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omments1.xml" ContentType="application/vnd.openxmlformats-officedocument.spreadsheetml.comments+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E:\Tools\Alpha nero\"/>
    </mc:Choice>
  </mc:AlternateContent>
  <xr:revisionPtr revIDLastSave="0" documentId="13_ncr:1_{5AD889AE-614D-4A63-B65E-7995D5F7AB45}" xr6:coauthVersionLast="47" xr6:coauthVersionMax="47" xr10:uidLastSave="{00000000-0000-0000-0000-000000000000}"/>
  <bookViews>
    <workbookView xWindow="-120" yWindow="-120" windowWidth="20730" windowHeight="11160" tabRatio="904" firstSheet="8" activeTab="16" xr2:uid="{00000000-000D-0000-FFFF-FFFF00000000}"/>
  </bookViews>
  <sheets>
    <sheet name="Cover Page" sheetId="46" r:id="rId1"/>
    <sheet name="Emission Summary -2021" sheetId="21" r:id="rId2"/>
    <sheet name="Project Emission Distribution" sheetId="67" r:id="rId3"/>
    <sheet name="Project Details Entry" sheetId="72" r:id="rId4"/>
    <sheet name="Electrical Energy Consumption" sheetId="65" r:id="rId5"/>
    <sheet name="Water Consumption" sheetId="47" r:id="rId6"/>
    <sheet name="Vehicles Emission" sheetId="66" r:id="rId7"/>
    <sheet name="Employee Commute" sheetId="56" r:id="rId8"/>
    <sheet name="Waste Generation" sheetId="70" r:id="rId9"/>
    <sheet name="Air travel" sheetId="63" r:id="rId10"/>
    <sheet name="Material Consumption" sheetId="69" state="hidden" r:id="rId11"/>
    <sheet name="Frieght" sheetId="86" r:id="rId12"/>
    <sheet name="Wood &amp; Plywood " sheetId="74" r:id="rId13"/>
    <sheet name="Metals &amp; Acrylic" sheetId="79" r:id="rId14"/>
    <sheet name="Paint Consumption" sheetId="76" r:id="rId15"/>
    <sheet name="Packing material" sheetId="77" r:id="rId16"/>
    <sheet name="Material - Search sheet" sheetId="80" r:id="rId17"/>
    <sheet name="GWP &amp; Emission Factors " sheetId="20" r:id="rId18"/>
    <sheet name="Product Emissions" sheetId="84" r:id="rId19"/>
    <sheet name="Table for material consumption" sheetId="73" state="hidden" r:id="rId20"/>
    <sheet name="Density" sheetId="81" state="hidden" r:id="rId21"/>
  </sheets>
  <definedNames>
    <definedName name="_xlnm._FilterDatabase" localSheetId="16" hidden="1">'Material - Search sheet'!$B$6:$H$544</definedName>
    <definedName name="AN01_">'Project Emission Distribution'!$D$25:$D$59</definedName>
    <definedName name="d">#REF!</definedName>
    <definedName name="Project">#REF!</definedName>
    <definedName name="Ratings">#REF!</definedName>
  </definedNames>
  <calcPr calcId="191028" iterateDelta="1E-4"/>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11" i="80" l="1"/>
  <c r="T18" i="80"/>
  <c r="S19" i="80" s="1"/>
  <c r="T27" i="80"/>
  <c r="S28" i="80" s="1"/>
  <c r="S41" i="80"/>
  <c r="L65" i="80" s="1"/>
  <c r="S51" i="80"/>
  <c r="T58" i="80"/>
  <c r="S59" i="80" s="1"/>
  <c r="T66" i="80"/>
  <c r="S67" i="80"/>
  <c r="S72" i="80"/>
  <c r="T72" i="80"/>
  <c r="U72" i="80"/>
  <c r="W72" i="80"/>
  <c r="T73" i="80"/>
  <c r="U73" i="80"/>
  <c r="W73" i="80"/>
  <c r="L16" i="80"/>
  <c r="L45" i="80"/>
  <c r="T51" i="80" s="1"/>
  <c r="H11" i="84"/>
  <c r="Q28" i="56"/>
  <c r="P28" i="56"/>
  <c r="O28" i="56"/>
  <c r="N28" i="56"/>
  <c r="M28" i="56"/>
  <c r="L28" i="56"/>
  <c r="K28" i="56"/>
  <c r="J28" i="56"/>
  <c r="I28" i="56"/>
  <c r="H28" i="56"/>
  <c r="G28" i="56"/>
  <c r="F28" i="56"/>
  <c r="R17" i="56"/>
  <c r="R16" i="56"/>
  <c r="R15" i="56"/>
  <c r="R14" i="56"/>
  <c r="R13" i="56"/>
  <c r="E105" i="20"/>
  <c r="E104" i="20"/>
  <c r="E107" i="20"/>
  <c r="E106" i="20"/>
  <c r="E103" i="20"/>
  <c r="E102" i="20"/>
  <c r="E97" i="20"/>
  <c r="A97" i="20"/>
  <c r="E98" i="20"/>
  <c r="A98" i="20"/>
  <c r="K73" i="86"/>
  <c r="K72" i="86"/>
  <c r="K71" i="86"/>
  <c r="K70" i="86"/>
  <c r="K69" i="86"/>
  <c r="K68" i="86"/>
  <c r="K67" i="86"/>
  <c r="K66" i="86"/>
  <c r="K65" i="86"/>
  <c r="K64" i="86"/>
  <c r="K63" i="86"/>
  <c r="K62" i="86"/>
  <c r="K61" i="86"/>
  <c r="K60" i="86"/>
  <c r="K59" i="86"/>
  <c r="K58" i="86"/>
  <c r="K57" i="86"/>
  <c r="K56" i="86"/>
  <c r="K55" i="86"/>
  <c r="K54" i="86"/>
  <c r="K53" i="86"/>
  <c r="K52" i="86"/>
  <c r="K51" i="86"/>
  <c r="K50" i="86"/>
  <c r="K49" i="86"/>
  <c r="K48" i="86"/>
  <c r="K47" i="86"/>
  <c r="K46" i="86"/>
  <c r="K45" i="86"/>
  <c r="K44" i="86"/>
  <c r="K43" i="86"/>
  <c r="K42" i="86"/>
  <c r="K41" i="86"/>
  <c r="K40" i="86"/>
  <c r="K39" i="86"/>
  <c r="K38" i="86"/>
  <c r="K37" i="86"/>
  <c r="K36" i="86"/>
  <c r="K35" i="86"/>
  <c r="K34" i="86"/>
  <c r="K33" i="86"/>
  <c r="K32" i="86"/>
  <c r="K31" i="86"/>
  <c r="K30" i="86"/>
  <c r="K29" i="86"/>
  <c r="K28" i="86"/>
  <c r="K27" i="86"/>
  <c r="K26" i="86"/>
  <c r="K25" i="86"/>
  <c r="K24" i="86"/>
  <c r="K23" i="86"/>
  <c r="K22" i="86"/>
  <c r="K21" i="86"/>
  <c r="K20" i="86"/>
  <c r="K19" i="86"/>
  <c r="K18" i="86"/>
  <c r="K17" i="86"/>
  <c r="K16" i="86"/>
  <c r="K15" i="86"/>
  <c r="K14" i="86"/>
  <c r="L44" i="80" l="1"/>
  <c r="L33" i="80"/>
  <c r="L20" i="80"/>
  <c r="L25" i="80"/>
  <c r="L29" i="80"/>
  <c r="L34" i="80"/>
  <c r="L53" i="80"/>
  <c r="L83" i="80"/>
  <c r="L26" i="80"/>
  <c r="L35" i="80"/>
  <c r="L54" i="80"/>
  <c r="L31" i="80"/>
  <c r="L28" i="80"/>
  <c r="L61" i="80"/>
  <c r="L71" i="80"/>
  <c r="L88" i="80"/>
  <c r="L76" i="80"/>
  <c r="L89" i="80"/>
  <c r="L52" i="80"/>
  <c r="L64" i="80"/>
  <c r="L74" i="80"/>
  <c r="L86" i="80"/>
  <c r="L30" i="80"/>
  <c r="L62" i="80"/>
  <c r="L72" i="80"/>
  <c r="L27" i="80"/>
  <c r="L43" i="80"/>
  <c r="L50" i="80"/>
  <c r="L63" i="80"/>
  <c r="L68" i="80"/>
  <c r="L73" i="80"/>
  <c r="L77" i="80"/>
  <c r="L90" i="80"/>
  <c r="L70" i="80"/>
  <c r="L81" i="80"/>
  <c r="L12" i="80"/>
  <c r="L17" i="80"/>
  <c r="L21" i="80"/>
  <c r="L13" i="80"/>
  <c r="L18" i="80"/>
  <c r="L22" i="80"/>
  <c r="L49" i="80"/>
  <c r="L19" i="80"/>
  <c r="L23" i="80"/>
  <c r="L57" i="80"/>
  <c r="L24" i="80"/>
  <c r="L58" i="80"/>
  <c r="L84" i="80"/>
  <c r="L15" i="80"/>
  <c r="L66" i="80"/>
  <c r="L82" i="80"/>
  <c r="L75" i="80"/>
  <c r="F30" i="21"/>
  <c r="T67" i="80" l="1"/>
  <c r="T59" i="80"/>
  <c r="T41" i="80"/>
  <c r="T28" i="80"/>
  <c r="T19" i="80"/>
  <c r="P9" i="47"/>
  <c r="J75" i="77" l="1"/>
  <c r="I75" i="77"/>
  <c r="H75" i="77"/>
  <c r="G75" i="77"/>
  <c r="F75" i="77"/>
  <c r="E75" i="77"/>
  <c r="M76" i="79"/>
  <c r="K76" i="79"/>
  <c r="F177" i="80"/>
  <c r="F176" i="80"/>
  <c r="F175" i="80"/>
  <c r="F159" i="80"/>
  <c r="F152" i="80"/>
  <c r="F151" i="80"/>
  <c r="F145" i="80"/>
  <c r="F142" i="80"/>
  <c r="F141" i="80"/>
  <c r="F140" i="80"/>
  <c r="F138" i="80"/>
  <c r="F139" i="80"/>
  <c r="F133" i="80"/>
  <c r="F128" i="80"/>
  <c r="F127" i="80"/>
  <c r="F126" i="80"/>
  <c r="F125" i="80"/>
  <c r="F122" i="80"/>
  <c r="F116" i="80"/>
  <c r="F115" i="80"/>
  <c r="F111" i="80"/>
  <c r="F113" i="80"/>
  <c r="F109" i="80"/>
  <c r="F108" i="80"/>
  <c r="P78" i="74"/>
  <c r="F171" i="80"/>
  <c r="F168" i="80"/>
  <c r="F163" i="80"/>
  <c r="F162" i="80"/>
  <c r="F160" i="80"/>
  <c r="F147" i="80"/>
  <c r="F146" i="80"/>
  <c r="F124" i="80"/>
  <c r="F112" i="80"/>
  <c r="F107" i="80"/>
  <c r="F105" i="80"/>
  <c r="F102" i="80"/>
  <c r="F101" i="80"/>
  <c r="F100" i="80"/>
  <c r="F98" i="80"/>
  <c r="F97" i="80"/>
  <c r="F95" i="80"/>
  <c r="F94" i="80"/>
  <c r="F93" i="80"/>
  <c r="F92" i="80"/>
  <c r="F68" i="80"/>
  <c r="AC75" i="76"/>
  <c r="AB75" i="76"/>
  <c r="AA75" i="76"/>
  <c r="Z75" i="76"/>
  <c r="Y75" i="76"/>
  <c r="X75" i="76"/>
  <c r="W75" i="76"/>
  <c r="V75" i="76"/>
  <c r="U75" i="76"/>
  <c r="T75" i="76"/>
  <c r="S75" i="76"/>
  <c r="R75" i="76"/>
  <c r="Q75" i="76"/>
  <c r="P75" i="76"/>
  <c r="O75" i="76"/>
  <c r="N75" i="76"/>
  <c r="M75" i="76"/>
  <c r="L75" i="76"/>
  <c r="K75" i="76"/>
  <c r="J75" i="76"/>
  <c r="I75" i="76"/>
  <c r="H75" i="76"/>
  <c r="G75" i="76"/>
  <c r="F75" i="76"/>
  <c r="E75" i="76"/>
  <c r="R9" i="79"/>
  <c r="O78" i="74"/>
  <c r="N78" i="74"/>
  <c r="M78" i="74"/>
  <c r="L78" i="74"/>
  <c r="K78" i="74"/>
  <c r="J78" i="74"/>
  <c r="I78" i="74"/>
  <c r="H78" i="74"/>
  <c r="G78" i="74"/>
  <c r="F78" i="74"/>
  <c r="E89" i="79"/>
  <c r="E88" i="79"/>
  <c r="E86" i="79"/>
  <c r="I93" i="79"/>
  <c r="W166" i="20"/>
  <c r="W181" i="20"/>
  <c r="W182" i="20" s="1"/>
  <c r="W184" i="20" s="1"/>
  <c r="W175" i="20"/>
  <c r="S160" i="20"/>
  <c r="S161" i="20"/>
  <c r="S162" i="20"/>
  <c r="S163" i="20"/>
  <c r="S164" i="20"/>
  <c r="T166" i="20"/>
  <c r="W154" i="20"/>
  <c r="I93" i="74"/>
  <c r="I94" i="74"/>
  <c r="I96" i="74"/>
  <c r="I95" i="74"/>
  <c r="W164" i="20"/>
  <c r="F160" i="20" s="1"/>
  <c r="W163" i="20"/>
  <c r="F164" i="20" s="1"/>
  <c r="V162" i="20"/>
  <c r="W162" i="20" s="1"/>
  <c r="F163" i="20" s="1"/>
  <c r="V161" i="20"/>
  <c r="W161" i="20" s="1"/>
  <c r="F157" i="20" s="1"/>
  <c r="X155" i="20" l="1"/>
  <c r="X158" i="20" l="1"/>
  <c r="I90" i="74" s="1"/>
  <c r="I88" i="74"/>
  <c r="X157" i="20"/>
  <c r="I89" i="74" s="1"/>
  <c r="W155" i="20" l="1"/>
  <c r="F154" i="20" s="1"/>
  <c r="W157" i="20"/>
  <c r="F156" i="20" s="1"/>
  <c r="W159" i="20"/>
  <c r="F161" i="20" s="1"/>
  <c r="W160" i="20"/>
  <c r="F162" i="20" s="1"/>
  <c r="S167" i="20"/>
  <c r="W158" i="20"/>
  <c r="F159" i="20" s="1"/>
  <c r="S148" i="20"/>
  <c r="O148" i="20"/>
  <c r="O149" i="20"/>
  <c r="O150" i="20"/>
  <c r="O151" i="20"/>
  <c r="O152" i="20"/>
  <c r="O153" i="20"/>
  <c r="O154" i="20"/>
  <c r="O155" i="20"/>
  <c r="O156" i="20"/>
  <c r="O157" i="20"/>
  <c r="O158" i="20"/>
  <c r="O159" i="20"/>
  <c r="F242" i="20" l="1"/>
  <c r="F240" i="20"/>
  <c r="M147" i="20"/>
  <c r="X160" i="20"/>
  <c r="I92" i="74" s="1"/>
  <c r="X159" i="20"/>
  <c r="I91" i="74" s="1"/>
  <c r="X156" i="20" l="1"/>
  <c r="I87" i="74" s="1"/>
  <c r="W156" i="20"/>
  <c r="F155" i="20" s="1"/>
  <c r="V5" i="73"/>
  <c r="V3" i="73"/>
  <c r="B111" i="81"/>
  <c r="B110" i="81"/>
  <c r="B109" i="81"/>
  <c r="B108" i="81"/>
  <c r="B107" i="81"/>
  <c r="B106" i="81"/>
  <c r="B105" i="81"/>
  <c r="B104" i="81"/>
  <c r="B103" i="81"/>
  <c r="B102" i="81"/>
  <c r="B101" i="81"/>
  <c r="B100" i="81"/>
  <c r="B52" i="81"/>
  <c r="C52" i="81"/>
  <c r="C53" i="81" s="1"/>
  <c r="D52" i="81"/>
  <c r="D53" i="81" s="1"/>
  <c r="E52" i="81"/>
  <c r="E53" i="81" s="1"/>
  <c r="E59" i="81" s="1"/>
  <c r="F52" i="81"/>
  <c r="G52" i="81"/>
  <c r="B53" i="81"/>
  <c r="B58" i="81" s="1"/>
  <c r="F53" i="81"/>
  <c r="G53" i="81"/>
  <c r="G59" i="81" s="1"/>
  <c r="F58" i="81"/>
  <c r="F59" i="81"/>
  <c r="A77" i="81"/>
  <c r="C78" i="81" s="1"/>
  <c r="E78" i="81"/>
  <c r="F25" i="80"/>
  <c r="F158" i="80"/>
  <c r="F156" i="80"/>
  <c r="F153" i="80"/>
  <c r="F150" i="80"/>
  <c r="F144" i="80"/>
  <c r="F137" i="80"/>
  <c r="F136" i="80"/>
  <c r="F135" i="80"/>
  <c r="F134" i="80"/>
  <c r="F129" i="80"/>
  <c r="F123" i="80"/>
  <c r="F121" i="80"/>
  <c r="F120" i="80"/>
  <c r="F118" i="80"/>
  <c r="F114" i="80"/>
  <c r="F106" i="80"/>
  <c r="F104" i="80"/>
  <c r="F103" i="80"/>
  <c r="F99" i="80"/>
  <c r="F96" i="80"/>
  <c r="F91" i="80"/>
  <c r="F90" i="80"/>
  <c r="F89" i="80"/>
  <c r="F88" i="80"/>
  <c r="F87" i="80"/>
  <c r="F85" i="80"/>
  <c r="F83" i="80"/>
  <c r="F80" i="80"/>
  <c r="F78" i="80"/>
  <c r="F77" i="80"/>
  <c r="F76" i="80"/>
  <c r="F75" i="80"/>
  <c r="F74" i="80"/>
  <c r="F73" i="80"/>
  <c r="F72" i="80"/>
  <c r="F71" i="80"/>
  <c r="F70" i="80"/>
  <c r="F69" i="80"/>
  <c r="F67" i="80"/>
  <c r="F64" i="80"/>
  <c r="F63" i="80"/>
  <c r="F62" i="80"/>
  <c r="F61" i="80"/>
  <c r="F60" i="80"/>
  <c r="F59" i="80"/>
  <c r="F58" i="80"/>
  <c r="F55" i="80"/>
  <c r="F53" i="80"/>
  <c r="F52" i="80"/>
  <c r="F51" i="80"/>
  <c r="F50" i="80"/>
  <c r="F49" i="80"/>
  <c r="F47" i="80"/>
  <c r="F45" i="80"/>
  <c r="F44" i="80"/>
  <c r="F42" i="80"/>
  <c r="F41" i="80"/>
  <c r="F39" i="80"/>
  <c r="F37" i="80"/>
  <c r="F36" i="80"/>
  <c r="F35" i="80"/>
  <c r="F34" i="80"/>
  <c r="F32" i="80"/>
  <c r="F31" i="80"/>
  <c r="F30" i="80"/>
  <c r="F29" i="80"/>
  <c r="F28" i="80"/>
  <c r="F27" i="80"/>
  <c r="F26" i="80"/>
  <c r="F17" i="80"/>
  <c r="F12" i="80"/>
  <c r="M12" i="80" s="1"/>
  <c r="E39" i="81"/>
  <c r="D39" i="81"/>
  <c r="C39" i="81"/>
  <c r="I29" i="81"/>
  <c r="H29" i="81"/>
  <c r="G29" i="81"/>
  <c r="F29" i="81"/>
  <c r="E29" i="81"/>
  <c r="D29" i="81"/>
  <c r="C29" i="81"/>
  <c r="H21" i="81"/>
  <c r="G21" i="81"/>
  <c r="F21" i="81"/>
  <c r="E21" i="81"/>
  <c r="D21" i="81"/>
  <c r="C21" i="81"/>
  <c r="I13" i="81"/>
  <c r="H13" i="81"/>
  <c r="G13" i="81"/>
  <c r="F13" i="81"/>
  <c r="E13" i="81"/>
  <c r="D13" i="81"/>
  <c r="C13" i="81"/>
  <c r="K6" i="81"/>
  <c r="J6" i="81"/>
  <c r="I6" i="81"/>
  <c r="H6" i="81"/>
  <c r="G6" i="81"/>
  <c r="F6" i="81"/>
  <c r="E6" i="81"/>
  <c r="D6" i="81"/>
  <c r="C6" i="81"/>
  <c r="E4" i="81"/>
  <c r="B12" i="81"/>
  <c r="D37" i="81"/>
  <c r="C37" i="81"/>
  <c r="H27" i="81"/>
  <c r="G27" i="81"/>
  <c r="F27" i="81"/>
  <c r="E27" i="81"/>
  <c r="D27" i="81"/>
  <c r="D19" i="81"/>
  <c r="G19" i="81"/>
  <c r="E19" i="81"/>
  <c r="C19" i="81"/>
  <c r="F11" i="81"/>
  <c r="D11" i="81"/>
  <c r="C11" i="81"/>
  <c r="J4" i="81"/>
  <c r="H4" i="81"/>
  <c r="B5" i="81"/>
  <c r="K5" i="81" s="1"/>
  <c r="N6" i="81" l="1"/>
  <c r="K7" i="81"/>
  <c r="N21" i="81"/>
  <c r="N29" i="81"/>
  <c r="N39" i="81"/>
  <c r="E58" i="81"/>
  <c r="D58" i="81"/>
  <c r="D59" i="81"/>
  <c r="D78" i="81"/>
  <c r="N13" i="81"/>
  <c r="B59" i="81"/>
  <c r="G58" i="81"/>
  <c r="C59" i="81"/>
  <c r="C58" i="81"/>
  <c r="F78" i="81"/>
  <c r="B78" i="81"/>
  <c r="G78" i="81"/>
  <c r="C12" i="81"/>
  <c r="C14" i="81" s="1"/>
  <c r="C20" i="81"/>
  <c r="C22" i="81" s="1"/>
  <c r="G20" i="81"/>
  <c r="G22" i="81" s="1"/>
  <c r="E28" i="81"/>
  <c r="I28" i="81"/>
  <c r="D20" i="81"/>
  <c r="D22" i="81" s="1"/>
  <c r="H20" i="81"/>
  <c r="H22" i="81" s="1"/>
  <c r="F28" i="81"/>
  <c r="C38" i="81"/>
  <c r="F12" i="81"/>
  <c r="F14" i="81" s="1"/>
  <c r="E20" i="81"/>
  <c r="E22" i="81" s="1"/>
  <c r="C28" i="81"/>
  <c r="G28" i="81"/>
  <c r="D38" i="81"/>
  <c r="G12" i="81"/>
  <c r="G14" i="81" s="1"/>
  <c r="F20" i="81"/>
  <c r="F22" i="81" s="1"/>
  <c r="D28" i="81"/>
  <c r="H28" i="81"/>
  <c r="E38" i="81"/>
  <c r="D12" i="81"/>
  <c r="D14" i="81" s="1"/>
  <c r="H12" i="81"/>
  <c r="H14" i="81" s="1"/>
  <c r="E12" i="81"/>
  <c r="E14" i="81" s="1"/>
  <c r="I12" i="81"/>
  <c r="I14" i="81" s="1"/>
  <c r="H5" i="81"/>
  <c r="H7" i="81" s="1"/>
  <c r="I5" i="81"/>
  <c r="I7" i="81" s="1"/>
  <c r="J5" i="81"/>
  <c r="J7" i="81" s="1"/>
  <c r="E5" i="81"/>
  <c r="E7" i="81" s="1"/>
  <c r="C5" i="81"/>
  <c r="F5" i="81"/>
  <c r="F7" i="81" s="1"/>
  <c r="D5" i="81"/>
  <c r="D7" i="81" s="1"/>
  <c r="G5" i="81"/>
  <c r="G7" i="81" s="1"/>
  <c r="H59" i="81" l="1"/>
  <c r="H58" i="81"/>
  <c r="N5" i="81"/>
  <c r="O6" i="81" s="1"/>
  <c r="N28" i="81"/>
  <c r="O29" i="81" s="1"/>
  <c r="C7" i="81"/>
  <c r="C89" i="81"/>
  <c r="G89" i="81"/>
  <c r="D90" i="81"/>
  <c r="E91" i="81"/>
  <c r="B92" i="81"/>
  <c r="F92" i="81"/>
  <c r="C93" i="81"/>
  <c r="G93" i="81"/>
  <c r="D94" i="81"/>
  <c r="E95" i="81"/>
  <c r="B96" i="81"/>
  <c r="F96" i="81"/>
  <c r="D89" i="81"/>
  <c r="F91" i="81"/>
  <c r="G92" i="81"/>
  <c r="F95" i="81"/>
  <c r="G96" i="81"/>
  <c r="E89" i="81"/>
  <c r="B90" i="81"/>
  <c r="F90" i="81"/>
  <c r="C91" i="81"/>
  <c r="G91" i="81"/>
  <c r="D92" i="81"/>
  <c r="E93" i="81"/>
  <c r="B94" i="81"/>
  <c r="F94" i="81"/>
  <c r="C95" i="81"/>
  <c r="G95" i="81"/>
  <c r="D96" i="81"/>
  <c r="B89" i="81"/>
  <c r="F89" i="81"/>
  <c r="C90" i="81"/>
  <c r="G90" i="81"/>
  <c r="D91" i="81"/>
  <c r="E92" i="81"/>
  <c r="B93" i="81"/>
  <c r="F93" i="81"/>
  <c r="C94" i="81"/>
  <c r="G94" i="81"/>
  <c r="D95" i="81"/>
  <c r="E96" i="81"/>
  <c r="E90" i="81"/>
  <c r="B91" i="81"/>
  <c r="C92" i="81"/>
  <c r="D93" i="81"/>
  <c r="E94" i="81"/>
  <c r="B95" i="81"/>
  <c r="C96" i="81"/>
  <c r="N20" i="81"/>
  <c r="O21" i="81" s="1"/>
  <c r="N38" i="81"/>
  <c r="O39" i="81" s="1"/>
  <c r="N12" i="81"/>
  <c r="O13" i="81" s="1"/>
  <c r="F110" i="80"/>
  <c r="F172" i="80"/>
  <c r="F170" i="80"/>
  <c r="F169" i="80"/>
  <c r="F167" i="80"/>
  <c r="F166" i="80"/>
  <c r="F165" i="80"/>
  <c r="F164" i="80"/>
  <c r="F155" i="80"/>
  <c r="F149" i="80"/>
  <c r="F148" i="80"/>
  <c r="F143" i="80"/>
  <c r="F132" i="80"/>
  <c r="F131" i="80"/>
  <c r="F130" i="80"/>
  <c r="F119" i="80"/>
  <c r="F117" i="80"/>
  <c r="H348" i="80"/>
  <c r="H347" i="80"/>
  <c r="H346" i="80"/>
  <c r="H345" i="80"/>
  <c r="H344" i="80"/>
  <c r="H343" i="80"/>
  <c r="H342" i="80"/>
  <c r="H341" i="80"/>
  <c r="H340" i="80"/>
  <c r="H339" i="80"/>
  <c r="H338" i="80"/>
  <c r="H337" i="80"/>
  <c r="H336" i="80"/>
  <c r="H335" i="80"/>
  <c r="H334" i="80"/>
  <c r="H333" i="80"/>
  <c r="H332" i="80"/>
  <c r="H331" i="80"/>
  <c r="H330" i="80"/>
  <c r="H329" i="80"/>
  <c r="H328" i="80"/>
  <c r="H327" i="80"/>
  <c r="H326" i="80"/>
  <c r="H325" i="80"/>
  <c r="H324" i="80"/>
  <c r="H323" i="80"/>
  <c r="H322" i="80"/>
  <c r="H321" i="80"/>
  <c r="H320" i="80"/>
  <c r="H319" i="80"/>
  <c r="H318" i="80"/>
  <c r="H317" i="80"/>
  <c r="H316" i="80"/>
  <c r="H315" i="80"/>
  <c r="H314" i="80"/>
  <c r="H313" i="80"/>
  <c r="H312" i="80"/>
  <c r="H311" i="80"/>
  <c r="H310" i="80"/>
  <c r="H309" i="80"/>
  <c r="H308" i="80"/>
  <c r="H307" i="80"/>
  <c r="H306" i="80"/>
  <c r="H305" i="80"/>
  <c r="H304" i="80"/>
  <c r="H303" i="80"/>
  <c r="H302" i="80"/>
  <c r="H301" i="80"/>
  <c r="H300" i="80"/>
  <c r="H299" i="80"/>
  <c r="H298" i="80"/>
  <c r="H297" i="80"/>
  <c r="H296" i="80"/>
  <c r="H295" i="80"/>
  <c r="H294" i="80"/>
  <c r="H293" i="80"/>
  <c r="H292" i="80"/>
  <c r="H291" i="80"/>
  <c r="H290" i="80"/>
  <c r="H289" i="80"/>
  <c r="H288" i="80"/>
  <c r="H287" i="80"/>
  <c r="H286" i="80"/>
  <c r="H285" i="80"/>
  <c r="H284" i="80"/>
  <c r="H283" i="80"/>
  <c r="H282" i="80"/>
  <c r="H281" i="80"/>
  <c r="H280" i="80"/>
  <c r="H279" i="80"/>
  <c r="H278" i="80"/>
  <c r="H277" i="80"/>
  <c r="H276" i="80"/>
  <c r="H275" i="80"/>
  <c r="H274" i="80"/>
  <c r="H273" i="80"/>
  <c r="H272" i="80"/>
  <c r="H271" i="80"/>
  <c r="H270" i="80"/>
  <c r="H269" i="80"/>
  <c r="H268" i="80"/>
  <c r="H267" i="80"/>
  <c r="H266" i="80"/>
  <c r="H265" i="80"/>
  <c r="H264" i="80"/>
  <c r="H263" i="80"/>
  <c r="H262" i="80"/>
  <c r="H261" i="80"/>
  <c r="H260" i="80"/>
  <c r="H259" i="80"/>
  <c r="H258" i="80"/>
  <c r="H257" i="80"/>
  <c r="H256" i="80"/>
  <c r="H255" i="80"/>
  <c r="H254" i="80"/>
  <c r="H253" i="80"/>
  <c r="H252" i="80"/>
  <c r="H251" i="80"/>
  <c r="H250" i="80"/>
  <c r="H249" i="80"/>
  <c r="H248" i="80"/>
  <c r="H247" i="80"/>
  <c r="H246" i="80"/>
  <c r="H245" i="80"/>
  <c r="H244" i="80"/>
  <c r="H243" i="80"/>
  <c r="H242" i="80"/>
  <c r="H241" i="80"/>
  <c r="H240" i="80"/>
  <c r="H239" i="80"/>
  <c r="H238" i="80"/>
  <c r="H237" i="80"/>
  <c r="H236" i="80"/>
  <c r="H235" i="80"/>
  <c r="H234" i="80"/>
  <c r="H233" i="80"/>
  <c r="H232" i="80"/>
  <c r="H231" i="80"/>
  <c r="H230" i="80"/>
  <c r="H229" i="80"/>
  <c r="H228" i="80"/>
  <c r="H227" i="80"/>
  <c r="H226" i="80"/>
  <c r="H225" i="80"/>
  <c r="H224" i="80"/>
  <c r="H223" i="80"/>
  <c r="H222" i="80"/>
  <c r="H221" i="80"/>
  <c r="H220" i="80"/>
  <c r="H219" i="80"/>
  <c r="H218" i="80"/>
  <c r="H217" i="80"/>
  <c r="H216" i="80"/>
  <c r="H215" i="80"/>
  <c r="H214" i="80"/>
  <c r="H213" i="80"/>
  <c r="H212" i="80"/>
  <c r="H211" i="80"/>
  <c r="H210" i="80"/>
  <c r="H209" i="80"/>
  <c r="H208" i="80"/>
  <c r="H207" i="80"/>
  <c r="H206" i="80"/>
  <c r="H205" i="80"/>
  <c r="H204" i="80"/>
  <c r="H203" i="80"/>
  <c r="H202" i="80"/>
  <c r="H201" i="80"/>
  <c r="H200" i="80"/>
  <c r="H199" i="80"/>
  <c r="H198" i="80"/>
  <c r="H197" i="80"/>
  <c r="H196" i="80"/>
  <c r="H195" i="80"/>
  <c r="H194" i="80"/>
  <c r="H193" i="80"/>
  <c r="H192" i="80"/>
  <c r="H191" i="80"/>
  <c r="H190" i="80"/>
  <c r="H189" i="80"/>
  <c r="H188" i="80"/>
  <c r="H187" i="80"/>
  <c r="H186" i="80"/>
  <c r="H185" i="80"/>
  <c r="H184" i="80"/>
  <c r="H183" i="80"/>
  <c r="H182" i="80"/>
  <c r="H181" i="80"/>
  <c r="H180" i="80"/>
  <c r="H179" i="80"/>
  <c r="H178" i="80"/>
  <c r="H177" i="80"/>
  <c r="H176" i="80"/>
  <c r="H175" i="80"/>
  <c r="H174" i="80"/>
  <c r="H173" i="80"/>
  <c r="H172" i="80"/>
  <c r="H171" i="80"/>
  <c r="H170" i="80"/>
  <c r="H169" i="80"/>
  <c r="H168" i="80"/>
  <c r="H167" i="80"/>
  <c r="H166" i="80"/>
  <c r="H165" i="80"/>
  <c r="H164" i="80"/>
  <c r="H163" i="80"/>
  <c r="H162" i="80"/>
  <c r="H161" i="80"/>
  <c r="H160" i="80"/>
  <c r="H159" i="80"/>
  <c r="H158" i="80"/>
  <c r="H157" i="80"/>
  <c r="H156" i="80"/>
  <c r="H155" i="80"/>
  <c r="H154" i="80"/>
  <c r="H153" i="80"/>
  <c r="H152" i="80"/>
  <c r="H151" i="80"/>
  <c r="H150" i="80"/>
  <c r="H149" i="80"/>
  <c r="H148" i="80"/>
  <c r="H147" i="80"/>
  <c r="H146" i="80"/>
  <c r="H145" i="80"/>
  <c r="H144" i="80"/>
  <c r="H143" i="80"/>
  <c r="H142" i="80"/>
  <c r="H141" i="80"/>
  <c r="H140" i="80"/>
  <c r="H139" i="80"/>
  <c r="H138" i="80"/>
  <c r="H137" i="80"/>
  <c r="H136" i="80"/>
  <c r="H135" i="80"/>
  <c r="H134" i="80"/>
  <c r="H133" i="80"/>
  <c r="H132" i="80"/>
  <c r="H131" i="80"/>
  <c r="H130" i="80"/>
  <c r="H129" i="80"/>
  <c r="H128" i="80"/>
  <c r="H127" i="80"/>
  <c r="H126" i="80"/>
  <c r="H125" i="80"/>
  <c r="H124" i="80"/>
  <c r="H123" i="80"/>
  <c r="H122" i="80"/>
  <c r="H121" i="80"/>
  <c r="H120" i="80"/>
  <c r="H119" i="80"/>
  <c r="H118" i="80"/>
  <c r="H117" i="80"/>
  <c r="H116" i="80"/>
  <c r="H115" i="80"/>
  <c r="H114" i="80"/>
  <c r="H113" i="80"/>
  <c r="H112" i="80"/>
  <c r="H111" i="80"/>
  <c r="H110" i="80"/>
  <c r="H109" i="80"/>
  <c r="H108" i="80"/>
  <c r="H107" i="80"/>
  <c r="H106" i="80"/>
  <c r="H105" i="80"/>
  <c r="H104" i="80"/>
  <c r="H103" i="80"/>
  <c r="H102" i="80"/>
  <c r="H101" i="80"/>
  <c r="H100" i="80"/>
  <c r="H99" i="80"/>
  <c r="H98" i="80"/>
  <c r="H97" i="80"/>
  <c r="H96" i="80"/>
  <c r="H95" i="80"/>
  <c r="H94" i="80"/>
  <c r="H93" i="80"/>
  <c r="H92" i="80"/>
  <c r="H68" i="80"/>
  <c r="H67" i="80"/>
  <c r="H66" i="80"/>
  <c r="H11" i="80"/>
  <c r="H10" i="80"/>
  <c r="H9" i="80"/>
  <c r="H8" i="80"/>
  <c r="H7" i="80"/>
  <c r="H544" i="80"/>
  <c r="H543" i="80"/>
  <c r="H542" i="80"/>
  <c r="H541" i="80"/>
  <c r="H540" i="80"/>
  <c r="H539" i="80"/>
  <c r="H77" i="80"/>
  <c r="F79" i="80"/>
  <c r="H79" i="80" s="1"/>
  <c r="H78" i="80"/>
  <c r="H90" i="80"/>
  <c r="H91" i="80"/>
  <c r="H89" i="80"/>
  <c r="H88" i="80"/>
  <c r="H87" i="80"/>
  <c r="F86" i="80"/>
  <c r="H86" i="80" s="1"/>
  <c r="H85" i="80"/>
  <c r="F84" i="80"/>
  <c r="H84" i="80" s="1"/>
  <c r="H83" i="80"/>
  <c r="F82" i="80"/>
  <c r="H82" i="80" s="1"/>
  <c r="F81" i="80"/>
  <c r="H81" i="80" s="1"/>
  <c r="H80" i="80"/>
  <c r="H76" i="80"/>
  <c r="H75" i="80"/>
  <c r="H74" i="80"/>
  <c r="H73" i="80"/>
  <c r="H72" i="80"/>
  <c r="H71" i="80"/>
  <c r="H70" i="80"/>
  <c r="H69" i="80"/>
  <c r="F65" i="80"/>
  <c r="H65" i="80" s="1"/>
  <c r="H64" i="80"/>
  <c r="H63" i="80"/>
  <c r="H62" i="80"/>
  <c r="H61" i="80"/>
  <c r="H60" i="80"/>
  <c r="H55" i="80"/>
  <c r="F54" i="80"/>
  <c r="H54" i="80" s="1"/>
  <c r="F56" i="80"/>
  <c r="H56" i="80" s="1"/>
  <c r="F57" i="80"/>
  <c r="H57" i="80" s="1"/>
  <c r="H59" i="80"/>
  <c r="H58" i="80"/>
  <c r="H53" i="80"/>
  <c r="H52" i="80"/>
  <c r="H51" i="80"/>
  <c r="H50" i="80"/>
  <c r="H49" i="80"/>
  <c r="F48" i="80"/>
  <c r="H48" i="80" s="1"/>
  <c r="H47" i="80"/>
  <c r="F46" i="80"/>
  <c r="H46" i="80" s="1"/>
  <c r="H45" i="80"/>
  <c r="H44" i="80"/>
  <c r="F43" i="80"/>
  <c r="H43" i="80" s="1"/>
  <c r="H42" i="80"/>
  <c r="H41" i="80"/>
  <c r="F40" i="80"/>
  <c r="H40" i="80" s="1"/>
  <c r="H39" i="80"/>
  <c r="F38" i="80"/>
  <c r="H38" i="80" s="1"/>
  <c r="H37" i="80"/>
  <c r="H36" i="80"/>
  <c r="H35" i="80"/>
  <c r="H34" i="80"/>
  <c r="F16" i="80"/>
  <c r="H16" i="80" s="1"/>
  <c r="F33" i="80"/>
  <c r="H33" i="80" s="1"/>
  <c r="H32" i="80"/>
  <c r="H31" i="80"/>
  <c r="H29" i="80"/>
  <c r="H28" i="80"/>
  <c r="H30" i="80"/>
  <c r="H27" i="80"/>
  <c r="H26" i="80"/>
  <c r="H25" i="80"/>
  <c r="F24" i="80"/>
  <c r="H24" i="80" s="1"/>
  <c r="F23" i="80"/>
  <c r="H23" i="80" s="1"/>
  <c r="F22" i="80"/>
  <c r="H22" i="80" s="1"/>
  <c r="F21" i="80"/>
  <c r="H21" i="80" s="1"/>
  <c r="F20" i="80"/>
  <c r="H20" i="80" s="1"/>
  <c r="F19" i="80"/>
  <c r="H19" i="80" s="1"/>
  <c r="F18" i="80"/>
  <c r="H18" i="80" s="1"/>
  <c r="H17" i="80"/>
  <c r="F15" i="80"/>
  <c r="H15" i="80" s="1"/>
  <c r="F14" i="80"/>
  <c r="H14" i="80" s="1"/>
  <c r="F13" i="80"/>
  <c r="H13" i="80" s="1"/>
  <c r="L76" i="79"/>
  <c r="J76" i="79"/>
  <c r="I76" i="79"/>
  <c r="H76" i="79"/>
  <c r="G76" i="79"/>
  <c r="F76" i="79"/>
  <c r="E76" i="79"/>
  <c r="E78" i="74"/>
  <c r="F87" i="77"/>
  <c r="F86" i="77"/>
  <c r="F84" i="77"/>
  <c r="F87" i="76"/>
  <c r="F86" i="76"/>
  <c r="F84" i="76"/>
  <c r="H95" i="81" l="1"/>
  <c r="H91" i="81"/>
  <c r="H93" i="81"/>
  <c r="H90" i="81"/>
  <c r="H96" i="81"/>
  <c r="H89" i="81"/>
  <c r="H94" i="81"/>
  <c r="H92" i="81"/>
  <c r="H12" i="80"/>
  <c r="E90" i="74" l="1"/>
  <c r="E89" i="74"/>
  <c r="E87" i="74"/>
  <c r="R8" i="69"/>
  <c r="K170" i="69"/>
  <c r="K171" i="69"/>
  <c r="K168" i="69"/>
  <c r="O12" i="74" l="1"/>
  <c r="Q50" i="69"/>
  <c r="Q49" i="69"/>
  <c r="Q48" i="69"/>
  <c r="Q47" i="69"/>
  <c r="Q46" i="69"/>
  <c r="Q45" i="69"/>
  <c r="Q44" i="69"/>
  <c r="Q43" i="69"/>
  <c r="Q42" i="69"/>
  <c r="Q41" i="69"/>
  <c r="Q40" i="69"/>
  <c r="Q39" i="69"/>
  <c r="Q38" i="69"/>
  <c r="Q37" i="69"/>
  <c r="Q36" i="69"/>
  <c r="Q35" i="69"/>
  <c r="Q34" i="69"/>
  <c r="Q33" i="69"/>
  <c r="Q32" i="69"/>
  <c r="Q31" i="69"/>
  <c r="Q30" i="69"/>
  <c r="Q29" i="69"/>
  <c r="Q28" i="69"/>
  <c r="Q27" i="69"/>
  <c r="Q26" i="69"/>
  <c r="Q25" i="69"/>
  <c r="Q24" i="69"/>
  <c r="Q23" i="69"/>
  <c r="Q22" i="69"/>
  <c r="Q21" i="69"/>
  <c r="Q20" i="69"/>
  <c r="Q19" i="69"/>
  <c r="Q18" i="69"/>
  <c r="Q17" i="69"/>
  <c r="Q16" i="69"/>
  <c r="Q15" i="69"/>
  <c r="Q14" i="69"/>
  <c r="Q13" i="69"/>
  <c r="Q12" i="69"/>
  <c r="D50" i="69"/>
  <c r="D49" i="69"/>
  <c r="D48" i="69"/>
  <c r="D47" i="69"/>
  <c r="D46" i="69"/>
  <c r="D45" i="69"/>
  <c r="D44" i="69"/>
  <c r="D43" i="69"/>
  <c r="D42" i="69"/>
  <c r="D41" i="69"/>
  <c r="D40" i="69"/>
  <c r="D39" i="69"/>
  <c r="D38" i="69"/>
  <c r="D37" i="69"/>
  <c r="D36" i="69"/>
  <c r="D35" i="69"/>
  <c r="D34" i="69"/>
  <c r="D33" i="69"/>
  <c r="D32" i="69"/>
  <c r="D31" i="69"/>
  <c r="D30" i="69"/>
  <c r="D29" i="69"/>
  <c r="D28" i="69"/>
  <c r="D27" i="69"/>
  <c r="D26" i="69"/>
  <c r="D25" i="69"/>
  <c r="D24" i="69"/>
  <c r="D23" i="69"/>
  <c r="D22" i="69"/>
  <c r="D21" i="69"/>
  <c r="D20" i="69"/>
  <c r="D19" i="69"/>
  <c r="D18" i="69"/>
  <c r="D17" i="69"/>
  <c r="D16" i="69"/>
  <c r="D15" i="69"/>
  <c r="D14" i="69"/>
  <c r="D13" i="69"/>
  <c r="D12" i="69"/>
  <c r="D95" i="69"/>
  <c r="D94" i="69"/>
  <c r="D93" i="69"/>
  <c r="D92" i="69"/>
  <c r="D91" i="69"/>
  <c r="D90" i="69"/>
  <c r="D89" i="69"/>
  <c r="D88" i="69"/>
  <c r="D87" i="69"/>
  <c r="D86" i="69"/>
  <c r="D85" i="69"/>
  <c r="D84" i="69"/>
  <c r="D83" i="69"/>
  <c r="D82" i="69"/>
  <c r="D81" i="69"/>
  <c r="D80" i="69"/>
  <c r="D79" i="69"/>
  <c r="D78" i="69"/>
  <c r="D77" i="69"/>
  <c r="D76" i="69"/>
  <c r="D75" i="69"/>
  <c r="D74" i="69"/>
  <c r="D73" i="69"/>
  <c r="D72" i="69"/>
  <c r="D71" i="69"/>
  <c r="D70" i="69"/>
  <c r="D69" i="69"/>
  <c r="D68" i="69"/>
  <c r="D67" i="69"/>
  <c r="D66" i="69"/>
  <c r="D65" i="69"/>
  <c r="D64" i="69"/>
  <c r="D63" i="69"/>
  <c r="D62" i="69"/>
  <c r="D61" i="69"/>
  <c r="D60" i="69"/>
  <c r="D59" i="69"/>
  <c r="D58" i="69"/>
  <c r="D57" i="69"/>
  <c r="C50" i="69"/>
  <c r="C49" i="69"/>
  <c r="C48" i="69"/>
  <c r="C47" i="69"/>
  <c r="C46" i="69"/>
  <c r="C45" i="69"/>
  <c r="C44" i="69"/>
  <c r="C43" i="69"/>
  <c r="C42" i="69"/>
  <c r="C41" i="69"/>
  <c r="C40" i="69"/>
  <c r="C39" i="69"/>
  <c r="C38" i="69"/>
  <c r="C37" i="69"/>
  <c r="C36" i="69"/>
  <c r="C35" i="69"/>
  <c r="C34" i="69"/>
  <c r="C33" i="69"/>
  <c r="C32" i="69"/>
  <c r="C31" i="69"/>
  <c r="C30" i="69"/>
  <c r="C29" i="69"/>
  <c r="C28" i="69"/>
  <c r="C27" i="69"/>
  <c r="C26" i="69"/>
  <c r="C25" i="69"/>
  <c r="C24" i="69"/>
  <c r="C23" i="69"/>
  <c r="C22" i="69"/>
  <c r="C21" i="69"/>
  <c r="C20" i="69"/>
  <c r="C19" i="69"/>
  <c r="C18" i="69"/>
  <c r="C17" i="69"/>
  <c r="C16" i="69"/>
  <c r="C15" i="69"/>
  <c r="C14" i="69"/>
  <c r="C13" i="69"/>
  <c r="C12" i="69"/>
  <c r="R50" i="69"/>
  <c r="R49" i="69"/>
  <c r="R48" i="69"/>
  <c r="R25" i="69"/>
  <c r="R24" i="69"/>
  <c r="R23" i="69"/>
  <c r="R22" i="69"/>
  <c r="R21" i="69"/>
  <c r="R20" i="69"/>
  <c r="R19" i="69"/>
  <c r="R18" i="69"/>
  <c r="R17" i="69"/>
  <c r="R16" i="69"/>
  <c r="R15" i="69"/>
  <c r="R14" i="69"/>
  <c r="R13" i="69"/>
  <c r="R12" i="69"/>
  <c r="A13" i="73"/>
  <c r="A14" i="73" s="1"/>
  <c r="A15" i="73" s="1"/>
  <c r="A16" i="73" s="1"/>
  <c r="A17" i="73" s="1"/>
  <c r="A18" i="73" s="1"/>
  <c r="A19" i="73" s="1"/>
  <c r="A20" i="73" s="1"/>
  <c r="A21" i="73" s="1"/>
  <c r="A22" i="73" s="1"/>
  <c r="A23" i="73" s="1"/>
  <c r="A24" i="73" s="1"/>
  <c r="A25" i="73" s="1"/>
  <c r="A26" i="73" s="1"/>
  <c r="A27" i="73" s="1"/>
  <c r="A28" i="73" s="1"/>
  <c r="A29" i="73" s="1"/>
  <c r="A30" i="73" s="1"/>
  <c r="A31" i="73" s="1"/>
  <c r="A32" i="73" s="1"/>
  <c r="A33" i="73" s="1"/>
  <c r="A34" i="73" s="1"/>
  <c r="A35" i="73" s="1"/>
  <c r="A36" i="73" s="1"/>
  <c r="A37" i="73" s="1"/>
  <c r="A38" i="73" s="1"/>
  <c r="A39" i="73" s="1"/>
  <c r="A40" i="73" s="1"/>
  <c r="A41" i="73" s="1"/>
  <c r="A42" i="73" s="1"/>
  <c r="A43" i="73" s="1"/>
  <c r="A44" i="73" s="1"/>
  <c r="A45" i="73" s="1"/>
  <c r="A46" i="73" s="1"/>
  <c r="A47" i="73" s="1"/>
  <c r="A48" i="73" s="1"/>
  <c r="A49" i="73" s="1"/>
  <c r="A50" i="73" s="1"/>
  <c r="M11" i="73"/>
  <c r="B11" i="73" s="1"/>
  <c r="G47" i="73"/>
  <c r="R47" i="69" s="1"/>
  <c r="G46" i="73"/>
  <c r="R46" i="69" s="1"/>
  <c r="G45" i="73"/>
  <c r="R45" i="69" s="1"/>
  <c r="G44" i="73"/>
  <c r="R44" i="69" s="1"/>
  <c r="G43" i="73"/>
  <c r="R43" i="69" s="1"/>
  <c r="G42" i="73"/>
  <c r="R42" i="69" s="1"/>
  <c r="G41" i="73"/>
  <c r="R41" i="69" s="1"/>
  <c r="G40" i="73"/>
  <c r="R40" i="69" s="1"/>
  <c r="G39" i="73"/>
  <c r="R39" i="69" s="1"/>
  <c r="G38" i="73"/>
  <c r="R38" i="69" s="1"/>
  <c r="G37" i="73"/>
  <c r="R37" i="69" s="1"/>
  <c r="G36" i="73"/>
  <c r="R36" i="69" s="1"/>
  <c r="G35" i="73"/>
  <c r="R35" i="69" s="1"/>
  <c r="G34" i="73"/>
  <c r="R34" i="69" s="1"/>
  <c r="G33" i="73"/>
  <c r="R33" i="69" s="1"/>
  <c r="G32" i="73"/>
  <c r="R32" i="69" s="1"/>
  <c r="G31" i="73"/>
  <c r="R31" i="69" s="1"/>
  <c r="G30" i="73"/>
  <c r="R30" i="69" s="1"/>
  <c r="G29" i="73"/>
  <c r="R29" i="69" s="1"/>
  <c r="G28" i="73"/>
  <c r="R28" i="69" s="1"/>
  <c r="G27" i="73"/>
  <c r="R27" i="69" s="1"/>
  <c r="G26" i="73"/>
  <c r="R26" i="69" s="1"/>
  <c r="R94" i="73"/>
  <c r="R93" i="73"/>
  <c r="R92" i="73"/>
  <c r="R91" i="73"/>
  <c r="R90" i="73"/>
  <c r="R89" i="73"/>
  <c r="R88" i="73"/>
  <c r="R87" i="73"/>
  <c r="R86" i="73"/>
  <c r="R85" i="73"/>
  <c r="R84" i="73"/>
  <c r="R83" i="73"/>
  <c r="R82" i="73"/>
  <c r="R81" i="73"/>
  <c r="R80" i="73"/>
  <c r="R79" i="73"/>
  <c r="R78" i="73"/>
  <c r="R77" i="73"/>
  <c r="R76" i="73"/>
  <c r="R75" i="73"/>
  <c r="R74" i="73"/>
  <c r="R73" i="73"/>
  <c r="R72" i="73"/>
  <c r="R71" i="73"/>
  <c r="R70" i="73"/>
  <c r="R69" i="73"/>
  <c r="R68" i="73"/>
  <c r="R67" i="73"/>
  <c r="R66" i="73"/>
  <c r="R65" i="73"/>
  <c r="R64" i="73"/>
  <c r="R63" i="73"/>
  <c r="R62" i="73"/>
  <c r="R61" i="73"/>
  <c r="R60" i="73"/>
  <c r="R59" i="73"/>
  <c r="R58" i="73"/>
  <c r="R57" i="73"/>
  <c r="R56" i="73"/>
  <c r="R55" i="73"/>
  <c r="R54" i="73"/>
  <c r="R53" i="73"/>
  <c r="R52" i="73"/>
  <c r="R51" i="73"/>
  <c r="R50" i="73"/>
  <c r="R49" i="73"/>
  <c r="R48" i="73"/>
  <c r="R47" i="73"/>
  <c r="R46" i="73"/>
  <c r="P58" i="69" l="1"/>
  <c r="L62" i="69"/>
  <c r="P66" i="69"/>
  <c r="S20" i="69"/>
  <c r="O59" i="69"/>
  <c r="O63" i="69"/>
  <c r="N67" i="69"/>
  <c r="P71" i="69"/>
  <c r="J75" i="69"/>
  <c r="J79" i="69"/>
  <c r="J83" i="69"/>
  <c r="J87" i="69"/>
  <c r="J91" i="69"/>
  <c r="J95" i="69"/>
  <c r="O60" i="69"/>
  <c r="S24" i="69"/>
  <c r="S36" i="69"/>
  <c r="S40" i="69"/>
  <c r="L57" i="69"/>
  <c r="L61" i="69"/>
  <c r="L65" i="69"/>
  <c r="S15" i="69"/>
  <c r="H60" i="69"/>
  <c r="P62" i="69"/>
  <c r="S19" i="69"/>
  <c r="S23" i="69"/>
  <c r="S27" i="69"/>
  <c r="S31" i="69"/>
  <c r="S35" i="69"/>
  <c r="S39" i="69"/>
  <c r="S43" i="69"/>
  <c r="S47" i="69"/>
  <c r="L58" i="69"/>
  <c r="H61" i="69"/>
  <c r="P63" i="69"/>
  <c r="L66" i="69"/>
  <c r="O64" i="69"/>
  <c r="N68" i="69"/>
  <c r="N72" i="69"/>
  <c r="N76" i="69"/>
  <c r="N80" i="69"/>
  <c r="N84" i="69"/>
  <c r="N88" i="69"/>
  <c r="N92" i="69"/>
  <c r="H64" i="69"/>
  <c r="P57" i="69"/>
  <c r="P65" i="69"/>
  <c r="H57" i="69"/>
  <c r="P59" i="69"/>
  <c r="H65" i="69"/>
  <c r="O61" i="69"/>
  <c r="K61" i="69"/>
  <c r="G61" i="69"/>
  <c r="N61" i="69"/>
  <c r="J61" i="69"/>
  <c r="F61" i="69"/>
  <c r="M61" i="69"/>
  <c r="I61" i="69"/>
  <c r="E61" i="69"/>
  <c r="M69" i="69"/>
  <c r="I69" i="69"/>
  <c r="E69" i="69"/>
  <c r="N69" i="69"/>
  <c r="H69" i="69"/>
  <c r="L69" i="69"/>
  <c r="G69" i="69"/>
  <c r="P69" i="69"/>
  <c r="K69" i="69"/>
  <c r="F69" i="69"/>
  <c r="O69" i="69"/>
  <c r="J69" i="69"/>
  <c r="M77" i="69"/>
  <c r="I77" i="69"/>
  <c r="E77" i="69"/>
  <c r="P77" i="69"/>
  <c r="L77" i="69"/>
  <c r="H77" i="69"/>
  <c r="O77" i="69"/>
  <c r="K77" i="69"/>
  <c r="G77" i="69"/>
  <c r="J77" i="69"/>
  <c r="F77" i="69"/>
  <c r="N77" i="69"/>
  <c r="M85" i="69"/>
  <c r="I85" i="69"/>
  <c r="E85" i="69"/>
  <c r="P85" i="69"/>
  <c r="L85" i="69"/>
  <c r="H85" i="69"/>
  <c r="O85" i="69"/>
  <c r="K85" i="69"/>
  <c r="G85" i="69"/>
  <c r="J85" i="69"/>
  <c r="F85" i="69"/>
  <c r="N85" i="69"/>
  <c r="M89" i="69"/>
  <c r="I89" i="69"/>
  <c r="E89" i="69"/>
  <c r="P89" i="69"/>
  <c r="L89" i="69"/>
  <c r="H89" i="69"/>
  <c r="O89" i="69"/>
  <c r="K89" i="69"/>
  <c r="G89" i="69"/>
  <c r="J89" i="69"/>
  <c r="F89" i="69"/>
  <c r="N89" i="69"/>
  <c r="J92" i="69"/>
  <c r="F87" i="69"/>
  <c r="F83" i="69"/>
  <c r="F79" i="69"/>
  <c r="J72" i="69"/>
  <c r="N70" i="69"/>
  <c r="K68" i="69"/>
  <c r="F91" i="69"/>
  <c r="J88" i="69"/>
  <c r="J84" i="69"/>
  <c r="F75" i="69"/>
  <c r="N71" i="69"/>
  <c r="H70" i="69"/>
  <c r="F68" i="69"/>
  <c r="S13" i="69"/>
  <c r="F95" i="69"/>
  <c r="J80" i="69"/>
  <c r="J76" i="69"/>
  <c r="G71" i="69"/>
  <c r="P68" i="69"/>
  <c r="L67" i="69"/>
  <c r="S21" i="69"/>
  <c r="S37" i="69"/>
  <c r="S41" i="69"/>
  <c r="S45" i="69"/>
  <c r="S49" i="69"/>
  <c r="S28" i="69"/>
  <c r="S44" i="69"/>
  <c r="H59" i="69"/>
  <c r="L60" i="69"/>
  <c r="P61" i="69"/>
  <c r="H63" i="69"/>
  <c r="L64" i="69"/>
  <c r="H67" i="69"/>
  <c r="O57" i="69"/>
  <c r="K57" i="69"/>
  <c r="G57" i="69"/>
  <c r="N57" i="69"/>
  <c r="J57" i="69"/>
  <c r="F57" i="69"/>
  <c r="M57" i="69"/>
  <c r="I57" i="69"/>
  <c r="O65" i="69"/>
  <c r="K65" i="69"/>
  <c r="G65" i="69"/>
  <c r="N65" i="69"/>
  <c r="J65" i="69"/>
  <c r="F65" i="69"/>
  <c r="M65" i="69"/>
  <c r="I65" i="69"/>
  <c r="E65" i="69"/>
  <c r="M73" i="69"/>
  <c r="I73" i="69"/>
  <c r="E73" i="69"/>
  <c r="P73" i="69"/>
  <c r="O73" i="69"/>
  <c r="K73" i="69"/>
  <c r="G73" i="69"/>
  <c r="L73" i="69"/>
  <c r="N73" i="69"/>
  <c r="F73" i="69"/>
  <c r="J73" i="69"/>
  <c r="H73" i="69"/>
  <c r="M81" i="69"/>
  <c r="I81" i="69"/>
  <c r="E81" i="69"/>
  <c r="P81" i="69"/>
  <c r="L81" i="69"/>
  <c r="H81" i="69"/>
  <c r="O81" i="69"/>
  <c r="K81" i="69"/>
  <c r="G81" i="69"/>
  <c r="J81" i="69"/>
  <c r="F81" i="69"/>
  <c r="N81" i="69"/>
  <c r="M93" i="69"/>
  <c r="I93" i="69"/>
  <c r="E93" i="69"/>
  <c r="P93" i="69"/>
  <c r="L93" i="69"/>
  <c r="H93" i="69"/>
  <c r="O93" i="69"/>
  <c r="K93" i="69"/>
  <c r="G93" i="69"/>
  <c r="J93" i="69"/>
  <c r="F93" i="69"/>
  <c r="N93" i="69"/>
  <c r="S17" i="69"/>
  <c r="S25" i="69"/>
  <c r="S29" i="69"/>
  <c r="S33" i="69"/>
  <c r="O58" i="69"/>
  <c r="O62" i="69"/>
  <c r="O66" i="69"/>
  <c r="S14" i="69"/>
  <c r="S18" i="69"/>
  <c r="S22" i="69"/>
  <c r="S26" i="69"/>
  <c r="S30" i="69"/>
  <c r="S34" i="69"/>
  <c r="S38" i="69"/>
  <c r="S42" i="69"/>
  <c r="S46" i="69"/>
  <c r="S50" i="69"/>
  <c r="S16" i="69"/>
  <c r="S32" i="69"/>
  <c r="S48" i="69"/>
  <c r="H58" i="69"/>
  <c r="L59" i="69"/>
  <c r="P60" i="69"/>
  <c r="H62" i="69"/>
  <c r="L63" i="69"/>
  <c r="P64" i="69"/>
  <c r="H66" i="69"/>
  <c r="M70" i="69"/>
  <c r="I70" i="69"/>
  <c r="E70" i="69"/>
  <c r="M74" i="69"/>
  <c r="I74" i="69"/>
  <c r="E74" i="69"/>
  <c r="P74" i="69"/>
  <c r="L74" i="69"/>
  <c r="H74" i="69"/>
  <c r="O74" i="69"/>
  <c r="K74" i="69"/>
  <c r="G74" i="69"/>
  <c r="M78" i="69"/>
  <c r="I78" i="69"/>
  <c r="E78" i="69"/>
  <c r="P78" i="69"/>
  <c r="L78" i="69"/>
  <c r="H78" i="69"/>
  <c r="O78" i="69"/>
  <c r="K78" i="69"/>
  <c r="G78" i="69"/>
  <c r="M82" i="69"/>
  <c r="I82" i="69"/>
  <c r="E82" i="69"/>
  <c r="P82" i="69"/>
  <c r="L82" i="69"/>
  <c r="H82" i="69"/>
  <c r="O82" i="69"/>
  <c r="K82" i="69"/>
  <c r="G82" i="69"/>
  <c r="M86" i="69"/>
  <c r="I86" i="69"/>
  <c r="E86" i="69"/>
  <c r="P86" i="69"/>
  <c r="L86" i="69"/>
  <c r="H86" i="69"/>
  <c r="O86" i="69"/>
  <c r="K86" i="69"/>
  <c r="G86" i="69"/>
  <c r="M90" i="69"/>
  <c r="I90" i="69"/>
  <c r="E90" i="69"/>
  <c r="P90" i="69"/>
  <c r="L90" i="69"/>
  <c r="H90" i="69"/>
  <c r="O90" i="69"/>
  <c r="K90" i="69"/>
  <c r="G90" i="69"/>
  <c r="M94" i="69"/>
  <c r="I94" i="69"/>
  <c r="E94" i="69"/>
  <c r="P94" i="69"/>
  <c r="L94" i="69"/>
  <c r="H94" i="69"/>
  <c r="O94" i="69"/>
  <c r="K94" i="69"/>
  <c r="G94" i="69"/>
  <c r="E58" i="69"/>
  <c r="I58" i="69"/>
  <c r="M58" i="69"/>
  <c r="E59" i="69"/>
  <c r="I59" i="69"/>
  <c r="M59" i="69"/>
  <c r="E60" i="69"/>
  <c r="I60" i="69"/>
  <c r="M60" i="69"/>
  <c r="E62" i="69"/>
  <c r="I62" i="69"/>
  <c r="M62" i="69"/>
  <c r="E63" i="69"/>
  <c r="I63" i="69"/>
  <c r="M63" i="69"/>
  <c r="E64" i="69"/>
  <c r="I64" i="69"/>
  <c r="M64" i="69"/>
  <c r="E66" i="69"/>
  <c r="I66" i="69"/>
  <c r="M66" i="69"/>
  <c r="E67" i="69"/>
  <c r="I67" i="69"/>
  <c r="G68" i="69"/>
  <c r="L68" i="69"/>
  <c r="J70" i="69"/>
  <c r="O70" i="69"/>
  <c r="H71" i="69"/>
  <c r="L72" i="69"/>
  <c r="F74" i="69"/>
  <c r="F78" i="69"/>
  <c r="F82" i="69"/>
  <c r="F86" i="69"/>
  <c r="F90" i="69"/>
  <c r="F94" i="69"/>
  <c r="M67" i="69"/>
  <c r="M71" i="69"/>
  <c r="I71" i="69"/>
  <c r="E71" i="69"/>
  <c r="O71" i="69"/>
  <c r="K71" i="69"/>
  <c r="M75" i="69"/>
  <c r="I75" i="69"/>
  <c r="E75" i="69"/>
  <c r="P75" i="69"/>
  <c r="L75" i="69"/>
  <c r="H75" i="69"/>
  <c r="O75" i="69"/>
  <c r="K75" i="69"/>
  <c r="G75" i="69"/>
  <c r="M79" i="69"/>
  <c r="I79" i="69"/>
  <c r="E79" i="69"/>
  <c r="P79" i="69"/>
  <c r="L79" i="69"/>
  <c r="H79" i="69"/>
  <c r="O79" i="69"/>
  <c r="K79" i="69"/>
  <c r="G79" i="69"/>
  <c r="M83" i="69"/>
  <c r="I83" i="69"/>
  <c r="E83" i="69"/>
  <c r="P83" i="69"/>
  <c r="L83" i="69"/>
  <c r="H83" i="69"/>
  <c r="O83" i="69"/>
  <c r="K83" i="69"/>
  <c r="G83" i="69"/>
  <c r="M87" i="69"/>
  <c r="I87" i="69"/>
  <c r="E87" i="69"/>
  <c r="P87" i="69"/>
  <c r="L87" i="69"/>
  <c r="H87" i="69"/>
  <c r="O87" i="69"/>
  <c r="K87" i="69"/>
  <c r="G87" i="69"/>
  <c r="M91" i="69"/>
  <c r="I91" i="69"/>
  <c r="E91" i="69"/>
  <c r="P91" i="69"/>
  <c r="L91" i="69"/>
  <c r="H91" i="69"/>
  <c r="O91" i="69"/>
  <c r="K91" i="69"/>
  <c r="G91" i="69"/>
  <c r="M95" i="69"/>
  <c r="I95" i="69"/>
  <c r="E95" i="69"/>
  <c r="P95" i="69"/>
  <c r="L95" i="69"/>
  <c r="H95" i="69"/>
  <c r="O95" i="69"/>
  <c r="K95" i="69"/>
  <c r="G95" i="69"/>
  <c r="F58" i="69"/>
  <c r="J58" i="69"/>
  <c r="N58" i="69"/>
  <c r="F59" i="69"/>
  <c r="J59" i="69"/>
  <c r="N59" i="69"/>
  <c r="F60" i="69"/>
  <c r="J60" i="69"/>
  <c r="N60" i="69"/>
  <c r="F62" i="69"/>
  <c r="J62" i="69"/>
  <c r="N62" i="69"/>
  <c r="F63" i="69"/>
  <c r="J63" i="69"/>
  <c r="N63" i="69"/>
  <c r="F64" i="69"/>
  <c r="J64" i="69"/>
  <c r="N64" i="69"/>
  <c r="F66" i="69"/>
  <c r="J66" i="69"/>
  <c r="N66" i="69"/>
  <c r="F67" i="69"/>
  <c r="J67" i="69"/>
  <c r="O67" i="69"/>
  <c r="H68" i="69"/>
  <c r="F70" i="69"/>
  <c r="K70" i="69"/>
  <c r="P70" i="69"/>
  <c r="J71" i="69"/>
  <c r="F72" i="69"/>
  <c r="J74" i="69"/>
  <c r="N75" i="69"/>
  <c r="J78" i="69"/>
  <c r="N79" i="69"/>
  <c r="J82" i="69"/>
  <c r="N83" i="69"/>
  <c r="J86" i="69"/>
  <c r="N87" i="69"/>
  <c r="J90" i="69"/>
  <c r="N91" i="69"/>
  <c r="J94" i="69"/>
  <c r="N95" i="69"/>
  <c r="M68" i="69"/>
  <c r="I68" i="69"/>
  <c r="E68" i="69"/>
  <c r="M72" i="69"/>
  <c r="I72" i="69"/>
  <c r="E72" i="69"/>
  <c r="O72" i="69"/>
  <c r="K72" i="69"/>
  <c r="G72" i="69"/>
  <c r="M76" i="69"/>
  <c r="I76" i="69"/>
  <c r="E76" i="69"/>
  <c r="P76" i="69"/>
  <c r="L76" i="69"/>
  <c r="H76" i="69"/>
  <c r="O76" i="69"/>
  <c r="K76" i="69"/>
  <c r="G76" i="69"/>
  <c r="M80" i="69"/>
  <c r="I80" i="69"/>
  <c r="E80" i="69"/>
  <c r="P80" i="69"/>
  <c r="L80" i="69"/>
  <c r="H80" i="69"/>
  <c r="O80" i="69"/>
  <c r="K80" i="69"/>
  <c r="G80" i="69"/>
  <c r="M84" i="69"/>
  <c r="I84" i="69"/>
  <c r="E84" i="69"/>
  <c r="P84" i="69"/>
  <c r="L84" i="69"/>
  <c r="H84" i="69"/>
  <c r="O84" i="69"/>
  <c r="K84" i="69"/>
  <c r="G84" i="69"/>
  <c r="M88" i="69"/>
  <c r="I88" i="69"/>
  <c r="E88" i="69"/>
  <c r="P88" i="69"/>
  <c r="L88" i="69"/>
  <c r="H88" i="69"/>
  <c r="O88" i="69"/>
  <c r="K88" i="69"/>
  <c r="G88" i="69"/>
  <c r="M92" i="69"/>
  <c r="I92" i="69"/>
  <c r="E92" i="69"/>
  <c r="P92" i="69"/>
  <c r="L92" i="69"/>
  <c r="H92" i="69"/>
  <c r="O92" i="69"/>
  <c r="K92" i="69"/>
  <c r="G92" i="69"/>
  <c r="G58" i="69"/>
  <c r="K58" i="69"/>
  <c r="G59" i="69"/>
  <c r="K59" i="69"/>
  <c r="G60" i="69"/>
  <c r="K60" i="69"/>
  <c r="G62" i="69"/>
  <c r="K62" i="69"/>
  <c r="G63" i="69"/>
  <c r="K63" i="69"/>
  <c r="G64" i="69"/>
  <c r="K64" i="69"/>
  <c r="G66" i="69"/>
  <c r="K66" i="69"/>
  <c r="G67" i="69"/>
  <c r="K67" i="69"/>
  <c r="P67" i="69"/>
  <c r="J68" i="69"/>
  <c r="O68" i="69"/>
  <c r="G70" i="69"/>
  <c r="L70" i="69"/>
  <c r="F71" i="69"/>
  <c r="L71" i="69"/>
  <c r="H72" i="69"/>
  <c r="P72" i="69"/>
  <c r="N74" i="69"/>
  <c r="F76" i="69"/>
  <c r="N78" i="69"/>
  <c r="F80" i="69"/>
  <c r="N82" i="69"/>
  <c r="F84" i="69"/>
  <c r="N86" i="69"/>
  <c r="F88" i="69"/>
  <c r="N90" i="69"/>
  <c r="F92" i="69"/>
  <c r="N94" i="69"/>
  <c r="E57" i="69"/>
  <c r="M12" i="73"/>
  <c r="B12" i="73" s="1"/>
  <c r="Q78" i="69" l="1"/>
  <c r="Q71" i="69"/>
  <c r="Q92" i="69"/>
  <c r="Q80" i="69"/>
  <c r="Q63" i="69"/>
  <c r="Q60" i="69"/>
  <c r="Q85" i="69"/>
  <c r="Q88" i="69"/>
  <c r="Q76" i="69"/>
  <c r="Q68" i="69"/>
  <c r="Q75" i="69"/>
  <c r="Q82" i="69"/>
  <c r="Q64" i="69"/>
  <c r="Q59" i="69"/>
  <c r="Q84" i="69"/>
  <c r="Q72" i="69"/>
  <c r="Q93" i="69"/>
  <c r="Q67" i="69"/>
  <c r="Q58" i="69"/>
  <c r="Q77" i="69"/>
  <c r="Q81" i="69"/>
  <c r="Q69" i="69"/>
  <c r="Q66" i="69"/>
  <c r="Q83" i="69"/>
  <c r="Q90" i="69"/>
  <c r="Q74" i="69"/>
  <c r="Q73" i="69"/>
  <c r="Q61" i="69"/>
  <c r="Q89" i="69"/>
  <c r="Q94" i="69"/>
  <c r="Q87" i="69"/>
  <c r="Q70" i="69"/>
  <c r="Q62" i="69"/>
  <c r="Q95" i="69"/>
  <c r="Q86" i="69"/>
  <c r="Q65" i="69"/>
  <c r="Q91" i="69"/>
  <c r="Q79" i="69"/>
  <c r="E96" i="69"/>
  <c r="M13" i="73"/>
  <c r="M14" i="73" s="1"/>
  <c r="B13" i="73" l="1"/>
  <c r="M15" i="73"/>
  <c r="B14" i="73"/>
  <c r="B148" i="20"/>
  <c r="B149" i="20" s="1"/>
  <c r="B150" i="20" s="1"/>
  <c r="B151" i="20" s="1"/>
  <c r="B152" i="20" s="1"/>
  <c r="B153" i="20" s="1"/>
  <c r="B154" i="20" s="1"/>
  <c r="B155" i="20" s="1"/>
  <c r="B156" i="20" s="1"/>
  <c r="B157" i="20" s="1"/>
  <c r="B158" i="20" s="1"/>
  <c r="B159" i="20" s="1"/>
  <c r="B160" i="20" s="1"/>
  <c r="B161" i="20" s="1"/>
  <c r="B162" i="20" s="1"/>
  <c r="B163" i="20" s="1"/>
  <c r="B164" i="20" s="1"/>
  <c r="B165" i="20" s="1"/>
  <c r="B166" i="20" s="1"/>
  <c r="B167" i="20" s="1"/>
  <c r="B168" i="20" s="1"/>
  <c r="B169" i="20" s="1"/>
  <c r="B170" i="20" s="1"/>
  <c r="B171" i="20" s="1"/>
  <c r="B172" i="20" s="1"/>
  <c r="B173" i="20" s="1"/>
  <c r="B174" i="20" s="1"/>
  <c r="B175" i="20" s="1"/>
  <c r="B176" i="20" s="1"/>
  <c r="B177" i="20" s="1"/>
  <c r="B178" i="20" s="1"/>
  <c r="B179" i="20" s="1"/>
  <c r="B180" i="20" s="1"/>
  <c r="B181" i="20" s="1"/>
  <c r="B182" i="20" s="1"/>
  <c r="B183" i="20" s="1"/>
  <c r="B184" i="20" s="1"/>
  <c r="B186" i="20" s="1"/>
  <c r="B187" i="20" s="1"/>
  <c r="B188" i="20" s="1"/>
  <c r="B185" i="20" l="1"/>
  <c r="B208" i="20" s="1"/>
  <c r="B209" i="20" s="1"/>
  <c r="B213" i="20" s="1"/>
  <c r="B214" i="20" s="1"/>
  <c r="B215" i="20" s="1"/>
  <c r="B216" i="20" s="1"/>
  <c r="B217" i="20" s="1"/>
  <c r="B218" i="20" s="1"/>
  <c r="B219" i="20" s="1"/>
  <c r="B220" i="20" s="1"/>
  <c r="B221" i="20" s="1"/>
  <c r="B222" i="20" s="1"/>
  <c r="B223" i="20" s="1"/>
  <c r="B224" i="20" s="1"/>
  <c r="B225" i="20" s="1"/>
  <c r="B226" i="20" s="1"/>
  <c r="B227" i="20" s="1"/>
  <c r="B228" i="20" s="1"/>
  <c r="B229" i="20" s="1"/>
  <c r="B230" i="20" s="1"/>
  <c r="B231" i="20" s="1"/>
  <c r="B232" i="20" s="1"/>
  <c r="B233" i="20" s="1"/>
  <c r="B234" i="20" s="1"/>
  <c r="B235" i="20" s="1"/>
  <c r="B236" i="20" s="1"/>
  <c r="B237" i="20" s="1"/>
  <c r="B238" i="20" s="1"/>
  <c r="B239" i="20" s="1"/>
  <c r="B240" i="20" s="1"/>
  <c r="B241" i="20" s="1"/>
  <c r="M16" i="73"/>
  <c r="D107" i="20"/>
  <c r="D105" i="20"/>
  <c r="D103" i="20"/>
  <c r="D100" i="20" l="1"/>
  <c r="M17" i="73"/>
  <c r="M18" i="73" l="1"/>
  <c r="B15" i="73"/>
  <c r="Q30" i="66"/>
  <c r="Q29" i="66"/>
  <c r="Q14" i="66"/>
  <c r="Q15" i="66"/>
  <c r="Q16" i="66"/>
  <c r="Q17" i="66"/>
  <c r="Q18" i="66"/>
  <c r="Q19" i="66"/>
  <c r="Q20" i="66"/>
  <c r="Q21" i="66"/>
  <c r="Q22" i="66"/>
  <c r="Q13" i="66"/>
  <c r="C30" i="66"/>
  <c r="M19" i="73" l="1"/>
  <c r="J31" i="66"/>
  <c r="F31" i="66"/>
  <c r="L31" i="66"/>
  <c r="M20" i="73" l="1"/>
  <c r="B16" i="73"/>
  <c r="M21" i="73" l="1"/>
  <c r="B17" i="73"/>
  <c r="M22" i="73" l="1"/>
  <c r="D25" i="70"/>
  <c r="D24" i="70"/>
  <c r="D23" i="70"/>
  <c r="D22" i="70"/>
  <c r="D21" i="70"/>
  <c r="D20" i="70"/>
  <c r="D19" i="70"/>
  <c r="D18" i="70"/>
  <c r="D17" i="70"/>
  <c r="D16" i="70"/>
  <c r="D15" i="70"/>
  <c r="D14" i="70"/>
  <c r="D25" i="47"/>
  <c r="D24" i="47"/>
  <c r="D23" i="47"/>
  <c r="D22" i="47"/>
  <c r="D21" i="47"/>
  <c r="D20" i="47"/>
  <c r="D19" i="47"/>
  <c r="D18" i="47"/>
  <c r="D17" i="47"/>
  <c r="D16" i="47"/>
  <c r="D15" i="47"/>
  <c r="D14" i="47"/>
  <c r="D28" i="65"/>
  <c r="D27" i="65"/>
  <c r="D26" i="65"/>
  <c r="D25" i="65"/>
  <c r="D24" i="65"/>
  <c r="D23" i="65"/>
  <c r="D22" i="65"/>
  <c r="D21" i="65"/>
  <c r="D20" i="65"/>
  <c r="D19" i="65"/>
  <c r="D18" i="65"/>
  <c r="D17" i="65"/>
  <c r="I105" i="65"/>
  <c r="I106" i="65"/>
  <c r="I107" i="65"/>
  <c r="I108" i="65"/>
  <c r="I109" i="65"/>
  <c r="I110" i="65"/>
  <c r="I111" i="65"/>
  <c r="I112" i="65"/>
  <c r="I113" i="65"/>
  <c r="I114" i="65"/>
  <c r="I115" i="65"/>
  <c r="I104" i="65"/>
  <c r="G14" i="72"/>
  <c r="G15" i="72"/>
  <c r="G16" i="72"/>
  <c r="G17" i="72"/>
  <c r="G18" i="72"/>
  <c r="G19" i="72"/>
  <c r="G20" i="72"/>
  <c r="G21" i="72"/>
  <c r="G22" i="72"/>
  <c r="G23" i="72"/>
  <c r="G24" i="72"/>
  <c r="G25" i="72"/>
  <c r="G26" i="72"/>
  <c r="G27" i="72"/>
  <c r="G28" i="72"/>
  <c r="G29" i="72"/>
  <c r="G30" i="72"/>
  <c r="G31" i="72"/>
  <c r="G32" i="72"/>
  <c r="G33" i="72"/>
  <c r="G34" i="72"/>
  <c r="G35" i="72"/>
  <c r="G36" i="72"/>
  <c r="G37" i="72"/>
  <c r="G38" i="72"/>
  <c r="G39" i="72"/>
  <c r="G40" i="72"/>
  <c r="G41" i="72"/>
  <c r="G42" i="72"/>
  <c r="G43" i="72"/>
  <c r="G44" i="72"/>
  <c r="G45" i="72"/>
  <c r="G46" i="72"/>
  <c r="G47" i="72"/>
  <c r="G48" i="72"/>
  <c r="G49" i="72"/>
  <c r="G50" i="72"/>
  <c r="G51" i="72"/>
  <c r="G52" i="72"/>
  <c r="G53" i="72"/>
  <c r="G54" i="72"/>
  <c r="G55" i="72"/>
  <c r="G56" i="72"/>
  <c r="G57" i="72"/>
  <c r="G58" i="72"/>
  <c r="G59" i="72"/>
  <c r="G60" i="72"/>
  <c r="G61" i="72"/>
  <c r="G62" i="72"/>
  <c r="G63" i="72"/>
  <c r="G64" i="72"/>
  <c r="G65" i="72"/>
  <c r="G66" i="72"/>
  <c r="G67" i="72"/>
  <c r="G68" i="72"/>
  <c r="G69" i="72"/>
  <c r="G70" i="72"/>
  <c r="G71" i="72"/>
  <c r="G72" i="72"/>
  <c r="G13" i="72"/>
  <c r="F39" i="72"/>
  <c r="F40" i="72"/>
  <c r="F41" i="72"/>
  <c r="F42" i="72"/>
  <c r="F43" i="72"/>
  <c r="F44" i="72"/>
  <c r="F45" i="72"/>
  <c r="F46" i="72"/>
  <c r="F47" i="72"/>
  <c r="F48" i="72"/>
  <c r="F49" i="72"/>
  <c r="F50" i="72"/>
  <c r="F51" i="72"/>
  <c r="F52" i="72"/>
  <c r="F53" i="72"/>
  <c r="F54" i="72"/>
  <c r="F55" i="72"/>
  <c r="F56" i="72"/>
  <c r="F57" i="72"/>
  <c r="F58" i="72"/>
  <c r="F59" i="72"/>
  <c r="F60" i="72"/>
  <c r="F61" i="72"/>
  <c r="F62" i="72"/>
  <c r="F63" i="72"/>
  <c r="F64" i="72"/>
  <c r="F65" i="72"/>
  <c r="F66" i="72"/>
  <c r="F67" i="72"/>
  <c r="F68" i="72"/>
  <c r="F69" i="72"/>
  <c r="F70" i="72"/>
  <c r="F71" i="72"/>
  <c r="F72" i="72"/>
  <c r="D26" i="67"/>
  <c r="D27" i="67"/>
  <c r="D28" i="67"/>
  <c r="D29" i="67"/>
  <c r="D30" i="67"/>
  <c r="D31" i="67"/>
  <c r="D32" i="67"/>
  <c r="D33" i="67"/>
  <c r="D34" i="67"/>
  <c r="D35" i="67"/>
  <c r="D36" i="67"/>
  <c r="D37" i="67"/>
  <c r="D38" i="67"/>
  <c r="D39" i="67"/>
  <c r="D40" i="67"/>
  <c r="D41" i="67"/>
  <c r="D42" i="67"/>
  <c r="D43" i="67"/>
  <c r="D44" i="67"/>
  <c r="D45" i="67"/>
  <c r="D46" i="67"/>
  <c r="D47" i="67"/>
  <c r="D48" i="67"/>
  <c r="D49" i="67"/>
  <c r="D50" i="67"/>
  <c r="D51" i="67"/>
  <c r="D52" i="67"/>
  <c r="D53" i="67"/>
  <c r="D54" i="67"/>
  <c r="D55" i="67"/>
  <c r="D56" i="67"/>
  <c r="D57" i="67"/>
  <c r="D58" i="67"/>
  <c r="D59" i="67"/>
  <c r="D60" i="67"/>
  <c r="D61" i="67"/>
  <c r="D62" i="67"/>
  <c r="D63" i="67"/>
  <c r="D64" i="67"/>
  <c r="D65" i="67"/>
  <c r="D66" i="67"/>
  <c r="D67" i="67"/>
  <c r="D68" i="67"/>
  <c r="D69" i="67"/>
  <c r="D70" i="67"/>
  <c r="D71" i="67"/>
  <c r="D72" i="67"/>
  <c r="D73" i="67"/>
  <c r="D74" i="67"/>
  <c r="D75" i="67"/>
  <c r="D76" i="67"/>
  <c r="D77" i="67"/>
  <c r="D78" i="67"/>
  <c r="D79" i="67"/>
  <c r="D80" i="67"/>
  <c r="D81" i="67"/>
  <c r="D82" i="67"/>
  <c r="D83" i="67"/>
  <c r="D84" i="67"/>
  <c r="D25" i="67"/>
  <c r="D32" i="47"/>
  <c r="E32" i="47"/>
  <c r="D33" i="47"/>
  <c r="E33" i="47"/>
  <c r="D34" i="47"/>
  <c r="E34" i="47"/>
  <c r="D35" i="47"/>
  <c r="E35" i="47"/>
  <c r="D36" i="47"/>
  <c r="E36" i="47"/>
  <c r="D37" i="47"/>
  <c r="E37" i="47"/>
  <c r="D38" i="47"/>
  <c r="E38" i="47"/>
  <c r="D39" i="47"/>
  <c r="E39" i="47"/>
  <c r="D40" i="47"/>
  <c r="E40" i="47"/>
  <c r="D41" i="47"/>
  <c r="E41" i="47"/>
  <c r="D42" i="47"/>
  <c r="E42" i="47"/>
  <c r="D43" i="47"/>
  <c r="E43" i="47"/>
  <c r="D44" i="47"/>
  <c r="E44" i="47"/>
  <c r="D45" i="47"/>
  <c r="E45" i="47"/>
  <c r="D46" i="47"/>
  <c r="E46" i="47"/>
  <c r="D47" i="47"/>
  <c r="E47" i="47"/>
  <c r="D48" i="47"/>
  <c r="E48" i="47"/>
  <c r="D49" i="47"/>
  <c r="E49" i="47"/>
  <c r="D50" i="47"/>
  <c r="E50" i="47"/>
  <c r="D51" i="47"/>
  <c r="E51" i="47"/>
  <c r="D52" i="47"/>
  <c r="E52" i="47"/>
  <c r="D53" i="47"/>
  <c r="E53" i="47"/>
  <c r="D54" i="47"/>
  <c r="E54" i="47"/>
  <c r="D55" i="47"/>
  <c r="E55" i="47"/>
  <c r="D56" i="47"/>
  <c r="E56" i="47"/>
  <c r="D57" i="47"/>
  <c r="E57" i="47"/>
  <c r="D58" i="47"/>
  <c r="E58" i="47"/>
  <c r="D59" i="47"/>
  <c r="E59" i="47"/>
  <c r="D60" i="47"/>
  <c r="E60" i="47"/>
  <c r="D61" i="47"/>
  <c r="E61" i="47"/>
  <c r="D62" i="47"/>
  <c r="E62" i="47"/>
  <c r="D63" i="47"/>
  <c r="E63" i="47"/>
  <c r="D64" i="47"/>
  <c r="E64" i="47"/>
  <c r="D65" i="47"/>
  <c r="E65" i="47"/>
  <c r="D66" i="47"/>
  <c r="E66" i="47"/>
  <c r="D67" i="47"/>
  <c r="E67" i="47"/>
  <c r="D68" i="47"/>
  <c r="E68" i="47"/>
  <c r="D69" i="47"/>
  <c r="E69" i="47"/>
  <c r="D70" i="47"/>
  <c r="E70" i="47"/>
  <c r="D71" i="47"/>
  <c r="E71" i="47"/>
  <c r="D72" i="47"/>
  <c r="E72" i="47"/>
  <c r="D73" i="47"/>
  <c r="E73" i="47"/>
  <c r="D74" i="47"/>
  <c r="E74" i="47"/>
  <c r="D75" i="47"/>
  <c r="E75" i="47"/>
  <c r="D76" i="47"/>
  <c r="E76" i="47"/>
  <c r="D77" i="47"/>
  <c r="E77" i="47"/>
  <c r="D78" i="47"/>
  <c r="E78" i="47"/>
  <c r="D79" i="47"/>
  <c r="E79" i="47"/>
  <c r="D80" i="47"/>
  <c r="E80" i="47"/>
  <c r="D81" i="47"/>
  <c r="E81" i="47"/>
  <c r="D82" i="47"/>
  <c r="E82" i="47"/>
  <c r="D83" i="47"/>
  <c r="E83" i="47"/>
  <c r="D84" i="47"/>
  <c r="E84" i="47"/>
  <c r="D85" i="47"/>
  <c r="E85" i="47"/>
  <c r="D86" i="47"/>
  <c r="E86" i="47"/>
  <c r="D87" i="47"/>
  <c r="E87" i="47"/>
  <c r="D88" i="47"/>
  <c r="E88" i="47"/>
  <c r="D89" i="47"/>
  <c r="E89" i="47"/>
  <c r="D90" i="47"/>
  <c r="E90" i="47"/>
  <c r="E31" i="47"/>
  <c r="D31" i="47"/>
  <c r="D35" i="65"/>
  <c r="E35" i="65"/>
  <c r="D36" i="65"/>
  <c r="E36" i="65"/>
  <c r="D37" i="65"/>
  <c r="E37" i="65"/>
  <c r="D38" i="65"/>
  <c r="E38" i="65"/>
  <c r="D39" i="65"/>
  <c r="E39" i="65"/>
  <c r="D40" i="65"/>
  <c r="E40" i="65"/>
  <c r="D41" i="65"/>
  <c r="E41" i="65"/>
  <c r="D42" i="65"/>
  <c r="E42" i="65"/>
  <c r="D43" i="65"/>
  <c r="E43" i="65"/>
  <c r="D44" i="65"/>
  <c r="E44" i="65"/>
  <c r="D45" i="65"/>
  <c r="E45" i="65"/>
  <c r="D46" i="65"/>
  <c r="E46" i="65"/>
  <c r="D47" i="65"/>
  <c r="E47" i="65"/>
  <c r="D48" i="65"/>
  <c r="E48" i="65"/>
  <c r="D49" i="65"/>
  <c r="E49" i="65"/>
  <c r="D50" i="65"/>
  <c r="E50" i="65"/>
  <c r="D51" i="65"/>
  <c r="E51" i="65"/>
  <c r="D52" i="65"/>
  <c r="E52" i="65"/>
  <c r="D53" i="65"/>
  <c r="E53" i="65"/>
  <c r="D54" i="65"/>
  <c r="E54" i="65"/>
  <c r="D55" i="65"/>
  <c r="E55" i="65"/>
  <c r="D56" i="65"/>
  <c r="E56" i="65"/>
  <c r="D57" i="65"/>
  <c r="E57" i="65"/>
  <c r="D58" i="65"/>
  <c r="E58" i="65"/>
  <c r="D59" i="65"/>
  <c r="E59" i="65"/>
  <c r="D60" i="65"/>
  <c r="E60" i="65"/>
  <c r="D61" i="65"/>
  <c r="E61" i="65"/>
  <c r="D62" i="65"/>
  <c r="E62" i="65"/>
  <c r="D63" i="65"/>
  <c r="E63" i="65"/>
  <c r="D64" i="65"/>
  <c r="E64" i="65"/>
  <c r="D65" i="65"/>
  <c r="E65" i="65"/>
  <c r="D66" i="65"/>
  <c r="E66" i="65"/>
  <c r="D67" i="65"/>
  <c r="E67" i="65"/>
  <c r="D68" i="65"/>
  <c r="E68" i="65"/>
  <c r="D69" i="65"/>
  <c r="E69" i="65"/>
  <c r="D70" i="65"/>
  <c r="E70" i="65"/>
  <c r="D71" i="65"/>
  <c r="E71" i="65"/>
  <c r="D72" i="65"/>
  <c r="E72" i="65"/>
  <c r="D73" i="65"/>
  <c r="E73" i="65"/>
  <c r="D74" i="65"/>
  <c r="E74" i="65"/>
  <c r="D75" i="65"/>
  <c r="E75" i="65"/>
  <c r="D76" i="65"/>
  <c r="E76" i="65"/>
  <c r="D77" i="65"/>
  <c r="E77" i="65"/>
  <c r="D78" i="65"/>
  <c r="E78" i="65"/>
  <c r="D79" i="65"/>
  <c r="E79" i="65"/>
  <c r="D80" i="65"/>
  <c r="E80" i="65"/>
  <c r="D81" i="65"/>
  <c r="E81" i="65"/>
  <c r="D82" i="65"/>
  <c r="E82" i="65"/>
  <c r="D83" i="65"/>
  <c r="E83" i="65"/>
  <c r="D84" i="65"/>
  <c r="E84" i="65"/>
  <c r="D85" i="65"/>
  <c r="E85" i="65"/>
  <c r="D86" i="65"/>
  <c r="E86" i="65"/>
  <c r="D87" i="65"/>
  <c r="E87" i="65"/>
  <c r="D88" i="65"/>
  <c r="E88" i="65"/>
  <c r="D89" i="65"/>
  <c r="E89" i="65"/>
  <c r="D90" i="65"/>
  <c r="E90" i="65"/>
  <c r="D91" i="65"/>
  <c r="E91" i="65"/>
  <c r="D92" i="65"/>
  <c r="E92" i="65"/>
  <c r="D93" i="65"/>
  <c r="E93" i="65"/>
  <c r="E34" i="65"/>
  <c r="D34" i="65"/>
  <c r="E26" i="67"/>
  <c r="F26" i="67"/>
  <c r="E37" i="56" s="1"/>
  <c r="E27" i="67"/>
  <c r="F27" i="67"/>
  <c r="E38" i="56" s="1"/>
  <c r="E28" i="67"/>
  <c r="F28" i="67"/>
  <c r="E39" i="56" s="1"/>
  <c r="E29" i="67"/>
  <c r="F29" i="67"/>
  <c r="E40" i="56" s="1"/>
  <c r="E30" i="67"/>
  <c r="F30" i="67"/>
  <c r="E41" i="56" s="1"/>
  <c r="E31" i="67"/>
  <c r="F31" i="67"/>
  <c r="E42" i="56" s="1"/>
  <c r="E32" i="67"/>
  <c r="F32" i="67"/>
  <c r="E43" i="56" s="1"/>
  <c r="E33" i="67"/>
  <c r="F33" i="67"/>
  <c r="E44" i="56" s="1"/>
  <c r="E34" i="67"/>
  <c r="F34" i="67"/>
  <c r="E45" i="56" s="1"/>
  <c r="E35" i="67"/>
  <c r="F35" i="67"/>
  <c r="E46" i="56" s="1"/>
  <c r="E36" i="67"/>
  <c r="F36" i="67"/>
  <c r="E47" i="56" s="1"/>
  <c r="E37" i="67"/>
  <c r="F37" i="67"/>
  <c r="E48" i="56" s="1"/>
  <c r="E38" i="67"/>
  <c r="F38" i="67"/>
  <c r="E49" i="56" s="1"/>
  <c r="E39" i="67"/>
  <c r="F39" i="67"/>
  <c r="E50" i="56" s="1"/>
  <c r="E40" i="67"/>
  <c r="F40" i="67"/>
  <c r="E51" i="56" s="1"/>
  <c r="E41" i="67"/>
  <c r="F41" i="67"/>
  <c r="E52" i="56" s="1"/>
  <c r="E42" i="67"/>
  <c r="F42" i="67"/>
  <c r="E53" i="56" s="1"/>
  <c r="E43" i="67"/>
  <c r="F43" i="67"/>
  <c r="E54" i="56" s="1"/>
  <c r="E44" i="67"/>
  <c r="F44" i="67"/>
  <c r="E55" i="56" s="1"/>
  <c r="E45" i="67"/>
  <c r="F45" i="67"/>
  <c r="E56" i="56" s="1"/>
  <c r="E46" i="67"/>
  <c r="F46" i="67"/>
  <c r="E57" i="56" s="1"/>
  <c r="E47" i="67"/>
  <c r="F47" i="67"/>
  <c r="E58" i="56" s="1"/>
  <c r="E48" i="67"/>
  <c r="F48" i="67"/>
  <c r="E59" i="56" s="1"/>
  <c r="E49" i="67"/>
  <c r="F49" i="67"/>
  <c r="E60" i="56" s="1"/>
  <c r="E50" i="67"/>
  <c r="F50" i="67"/>
  <c r="E61" i="56" s="1"/>
  <c r="E51" i="67"/>
  <c r="F51" i="67"/>
  <c r="E62" i="56" s="1"/>
  <c r="E52" i="67"/>
  <c r="F52" i="67"/>
  <c r="E58" i="70" s="1"/>
  <c r="E53" i="67"/>
  <c r="F53" i="67"/>
  <c r="E64" i="56" s="1"/>
  <c r="E54" i="67"/>
  <c r="F54" i="67"/>
  <c r="E60" i="70" s="1"/>
  <c r="E55" i="67"/>
  <c r="F55" i="67"/>
  <c r="E66" i="56" s="1"/>
  <c r="E56" i="67"/>
  <c r="F56" i="67"/>
  <c r="E62" i="70" s="1"/>
  <c r="E57" i="67"/>
  <c r="F57" i="67"/>
  <c r="E68" i="56" s="1"/>
  <c r="E58" i="67"/>
  <c r="F58" i="67"/>
  <c r="E64" i="70" s="1"/>
  <c r="E59" i="67"/>
  <c r="F59" i="67"/>
  <c r="E70" i="56" s="1"/>
  <c r="E60" i="67"/>
  <c r="F60" i="67"/>
  <c r="E66" i="70" s="1"/>
  <c r="E61" i="67"/>
  <c r="F61" i="67"/>
  <c r="E72" i="56" s="1"/>
  <c r="E62" i="67"/>
  <c r="F62" i="67"/>
  <c r="E68" i="70" s="1"/>
  <c r="E63" i="67"/>
  <c r="F63" i="67"/>
  <c r="E74" i="56" s="1"/>
  <c r="E64" i="67"/>
  <c r="F64" i="67"/>
  <c r="E70" i="70" s="1"/>
  <c r="E65" i="67"/>
  <c r="F65" i="67"/>
  <c r="E76" i="56" s="1"/>
  <c r="E66" i="67"/>
  <c r="F66" i="67"/>
  <c r="E72" i="70" s="1"/>
  <c r="E67" i="67"/>
  <c r="F67" i="67"/>
  <c r="E78" i="56" s="1"/>
  <c r="E68" i="67"/>
  <c r="F68" i="67"/>
  <c r="E74" i="70" s="1"/>
  <c r="E69" i="67"/>
  <c r="F69" i="67"/>
  <c r="E80" i="56" s="1"/>
  <c r="E70" i="67"/>
  <c r="F70" i="67"/>
  <c r="E76" i="70" s="1"/>
  <c r="E71" i="67"/>
  <c r="F71" i="67"/>
  <c r="E82" i="56" s="1"/>
  <c r="E72" i="67"/>
  <c r="F72" i="67"/>
  <c r="E78" i="70" s="1"/>
  <c r="E73" i="67"/>
  <c r="F73" i="67"/>
  <c r="E84" i="56" s="1"/>
  <c r="E74" i="67"/>
  <c r="F74" i="67"/>
  <c r="E80" i="70" s="1"/>
  <c r="E75" i="67"/>
  <c r="F75" i="67"/>
  <c r="E86" i="56" s="1"/>
  <c r="E76" i="67"/>
  <c r="F76" i="67"/>
  <c r="E82" i="70" s="1"/>
  <c r="E77" i="67"/>
  <c r="F77" i="67"/>
  <c r="E83" i="70" s="1"/>
  <c r="E78" i="67"/>
  <c r="F78" i="67"/>
  <c r="E84" i="70" s="1"/>
  <c r="E79" i="67"/>
  <c r="F79" i="67"/>
  <c r="E85" i="70" s="1"/>
  <c r="E80" i="67"/>
  <c r="F80" i="67"/>
  <c r="E86" i="70" s="1"/>
  <c r="E81" i="67"/>
  <c r="F81" i="67"/>
  <c r="E87" i="70" s="1"/>
  <c r="E82" i="67"/>
  <c r="F82" i="67"/>
  <c r="E88" i="70" s="1"/>
  <c r="E83" i="67"/>
  <c r="F83" i="67"/>
  <c r="E89" i="70" s="1"/>
  <c r="E84" i="67"/>
  <c r="F84" i="67"/>
  <c r="E95" i="56" s="1"/>
  <c r="F25" i="67"/>
  <c r="E36" i="56" s="1"/>
  <c r="E25" i="67"/>
  <c r="D102" i="69" s="1"/>
  <c r="D73" i="72"/>
  <c r="E73" i="72"/>
  <c r="H14" i="72"/>
  <c r="I14" i="72"/>
  <c r="J14" i="72"/>
  <c r="K14" i="72"/>
  <c r="L14" i="72"/>
  <c r="M14" i="72"/>
  <c r="N14" i="72"/>
  <c r="O14" i="72"/>
  <c r="P14" i="72"/>
  <c r="Q14" i="72"/>
  <c r="R14" i="72"/>
  <c r="S14" i="72"/>
  <c r="H15" i="72"/>
  <c r="I15" i="72"/>
  <c r="J15" i="72"/>
  <c r="K15" i="72"/>
  <c r="L15" i="72"/>
  <c r="M15" i="72"/>
  <c r="N15" i="72"/>
  <c r="O15" i="72"/>
  <c r="P15" i="72"/>
  <c r="Q15" i="72"/>
  <c r="R15" i="72"/>
  <c r="S15" i="72"/>
  <c r="H16" i="72"/>
  <c r="I16" i="72"/>
  <c r="J16" i="72"/>
  <c r="K16" i="72"/>
  <c r="L16" i="72"/>
  <c r="M16" i="72"/>
  <c r="N16" i="72"/>
  <c r="O16" i="72"/>
  <c r="P16" i="72"/>
  <c r="Q16" i="72"/>
  <c r="R16" i="72"/>
  <c r="S16" i="72"/>
  <c r="H17" i="72"/>
  <c r="I17" i="72"/>
  <c r="J17" i="72"/>
  <c r="K17" i="72"/>
  <c r="L17" i="72"/>
  <c r="M17" i="72"/>
  <c r="N17" i="72"/>
  <c r="O17" i="72"/>
  <c r="P17" i="72"/>
  <c r="Q17" i="72"/>
  <c r="R17" i="72"/>
  <c r="S17" i="72"/>
  <c r="H18" i="72"/>
  <c r="I18" i="72"/>
  <c r="J18" i="72"/>
  <c r="K18" i="72"/>
  <c r="L18" i="72"/>
  <c r="M18" i="72"/>
  <c r="N18" i="72"/>
  <c r="O18" i="72"/>
  <c r="P18" i="72"/>
  <c r="Q18" i="72"/>
  <c r="R18" i="72"/>
  <c r="S18" i="72"/>
  <c r="H19" i="72"/>
  <c r="I19" i="72"/>
  <c r="J19" i="72"/>
  <c r="K19" i="72"/>
  <c r="L19" i="72"/>
  <c r="M19" i="72"/>
  <c r="N19" i="72"/>
  <c r="O19" i="72"/>
  <c r="P19" i="72"/>
  <c r="Q19" i="72"/>
  <c r="R19" i="72"/>
  <c r="S19" i="72"/>
  <c r="H20" i="72"/>
  <c r="I20" i="72"/>
  <c r="J20" i="72"/>
  <c r="K20" i="72"/>
  <c r="L20" i="72"/>
  <c r="M20" i="72"/>
  <c r="N20" i="72"/>
  <c r="O20" i="72"/>
  <c r="P20" i="72"/>
  <c r="Q20" i="72"/>
  <c r="R20" i="72"/>
  <c r="S20" i="72"/>
  <c r="H21" i="72"/>
  <c r="I21" i="72"/>
  <c r="J21" i="72"/>
  <c r="K21" i="72"/>
  <c r="L21" i="72"/>
  <c r="M21" i="72"/>
  <c r="N21" i="72"/>
  <c r="O21" i="72"/>
  <c r="P21" i="72"/>
  <c r="Q21" i="72"/>
  <c r="R21" i="72"/>
  <c r="S21" i="72"/>
  <c r="H22" i="72"/>
  <c r="I22" i="72"/>
  <c r="J22" i="72"/>
  <c r="K22" i="72"/>
  <c r="L22" i="72"/>
  <c r="M22" i="72"/>
  <c r="N22" i="72"/>
  <c r="O22" i="72"/>
  <c r="P22" i="72"/>
  <c r="Q22" i="72"/>
  <c r="R22" i="72"/>
  <c r="S22" i="72"/>
  <c r="H23" i="72"/>
  <c r="I23" i="72"/>
  <c r="J23" i="72"/>
  <c r="K23" i="72"/>
  <c r="L23" i="72"/>
  <c r="M23" i="72"/>
  <c r="N23" i="72"/>
  <c r="O23" i="72"/>
  <c r="P23" i="72"/>
  <c r="Q23" i="72"/>
  <c r="R23" i="72"/>
  <c r="S23" i="72"/>
  <c r="H24" i="72"/>
  <c r="I24" i="72"/>
  <c r="J24" i="72"/>
  <c r="K24" i="72"/>
  <c r="L24" i="72"/>
  <c r="M24" i="72"/>
  <c r="N24" i="72"/>
  <c r="O24" i="72"/>
  <c r="P24" i="72"/>
  <c r="Q24" i="72"/>
  <c r="R24" i="72"/>
  <c r="S24" i="72"/>
  <c r="H25" i="72"/>
  <c r="I25" i="72"/>
  <c r="J25" i="72"/>
  <c r="K25" i="72"/>
  <c r="L25" i="72"/>
  <c r="M25" i="72"/>
  <c r="N25" i="72"/>
  <c r="O25" i="72"/>
  <c r="P25" i="72"/>
  <c r="Q25" i="72"/>
  <c r="R25" i="72"/>
  <c r="S25" i="72"/>
  <c r="H26" i="72"/>
  <c r="I26" i="72"/>
  <c r="J26" i="72"/>
  <c r="K26" i="72"/>
  <c r="L26" i="72"/>
  <c r="M26" i="72"/>
  <c r="N26" i="72"/>
  <c r="O26" i="72"/>
  <c r="P26" i="72"/>
  <c r="Q26" i="72"/>
  <c r="R26" i="72"/>
  <c r="S26" i="72"/>
  <c r="H27" i="72"/>
  <c r="I27" i="72"/>
  <c r="J27" i="72"/>
  <c r="K27" i="72"/>
  <c r="L27" i="72"/>
  <c r="M27" i="72"/>
  <c r="N27" i="72"/>
  <c r="O27" i="72"/>
  <c r="P27" i="72"/>
  <c r="Q27" i="72"/>
  <c r="R27" i="72"/>
  <c r="S27" i="72"/>
  <c r="H28" i="72"/>
  <c r="I28" i="72"/>
  <c r="J28" i="72"/>
  <c r="K28" i="72"/>
  <c r="L28" i="72"/>
  <c r="M28" i="72"/>
  <c r="N28" i="72"/>
  <c r="O28" i="72"/>
  <c r="P28" i="72"/>
  <c r="Q28" i="72"/>
  <c r="R28" i="72"/>
  <c r="S28" i="72"/>
  <c r="H29" i="72"/>
  <c r="I29" i="72"/>
  <c r="J29" i="72"/>
  <c r="K29" i="72"/>
  <c r="L29" i="72"/>
  <c r="M29" i="72"/>
  <c r="N29" i="72"/>
  <c r="O29" i="72"/>
  <c r="P29" i="72"/>
  <c r="Q29" i="72"/>
  <c r="R29" i="72"/>
  <c r="S29" i="72"/>
  <c r="H30" i="72"/>
  <c r="I30" i="72"/>
  <c r="J30" i="72"/>
  <c r="K30" i="72"/>
  <c r="L30" i="72"/>
  <c r="M30" i="72"/>
  <c r="N30" i="72"/>
  <c r="O30" i="72"/>
  <c r="P30" i="72"/>
  <c r="Q30" i="72"/>
  <c r="R30" i="72"/>
  <c r="S30" i="72"/>
  <c r="H31" i="72"/>
  <c r="I31" i="72"/>
  <c r="J31" i="72"/>
  <c r="K31" i="72"/>
  <c r="L31" i="72"/>
  <c r="M31" i="72"/>
  <c r="N31" i="72"/>
  <c r="O31" i="72"/>
  <c r="P31" i="72"/>
  <c r="Q31" i="72"/>
  <c r="R31" i="72"/>
  <c r="S31" i="72"/>
  <c r="H32" i="72"/>
  <c r="I32" i="72"/>
  <c r="J32" i="72"/>
  <c r="K32" i="72"/>
  <c r="L32" i="72"/>
  <c r="M32" i="72"/>
  <c r="N32" i="72"/>
  <c r="O32" i="72"/>
  <c r="P32" i="72"/>
  <c r="Q32" i="72"/>
  <c r="R32" i="72"/>
  <c r="S32" i="72"/>
  <c r="H33" i="72"/>
  <c r="I33" i="72"/>
  <c r="J33" i="72"/>
  <c r="K33" i="72"/>
  <c r="L33" i="72"/>
  <c r="M33" i="72"/>
  <c r="N33" i="72"/>
  <c r="O33" i="72"/>
  <c r="P33" i="72"/>
  <c r="Q33" i="72"/>
  <c r="R33" i="72"/>
  <c r="S33" i="72"/>
  <c r="H34" i="72"/>
  <c r="I34" i="72"/>
  <c r="J34" i="72"/>
  <c r="K34" i="72"/>
  <c r="L34" i="72"/>
  <c r="M34" i="72"/>
  <c r="N34" i="72"/>
  <c r="O34" i="72"/>
  <c r="P34" i="72"/>
  <c r="Q34" i="72"/>
  <c r="R34" i="72"/>
  <c r="S34" i="72"/>
  <c r="H35" i="72"/>
  <c r="I35" i="72"/>
  <c r="J35" i="72"/>
  <c r="K35" i="72"/>
  <c r="L35" i="72"/>
  <c r="M35" i="72"/>
  <c r="N35" i="72"/>
  <c r="O35" i="72"/>
  <c r="P35" i="72"/>
  <c r="Q35" i="72"/>
  <c r="R35" i="72"/>
  <c r="S35" i="72"/>
  <c r="H36" i="72"/>
  <c r="I36" i="72"/>
  <c r="J36" i="72"/>
  <c r="K36" i="72"/>
  <c r="L36" i="72"/>
  <c r="M36" i="72"/>
  <c r="N36" i="72"/>
  <c r="O36" i="72"/>
  <c r="P36" i="72"/>
  <c r="Q36" i="72"/>
  <c r="R36" i="72"/>
  <c r="S36" i="72"/>
  <c r="H37" i="72"/>
  <c r="I37" i="72"/>
  <c r="J37" i="72"/>
  <c r="K37" i="72"/>
  <c r="L37" i="72"/>
  <c r="M37" i="72"/>
  <c r="N37" i="72"/>
  <c r="O37" i="72"/>
  <c r="P37" i="72"/>
  <c r="Q37" i="72"/>
  <c r="R37" i="72"/>
  <c r="S37" i="72"/>
  <c r="H38" i="72"/>
  <c r="I38" i="72"/>
  <c r="J38" i="72"/>
  <c r="K38" i="72"/>
  <c r="L38" i="72"/>
  <c r="M38" i="72"/>
  <c r="N38" i="72"/>
  <c r="O38" i="72"/>
  <c r="P38" i="72"/>
  <c r="Q38" i="72"/>
  <c r="R38" i="72"/>
  <c r="S38" i="72"/>
  <c r="H39" i="72"/>
  <c r="I39" i="72"/>
  <c r="J39" i="72"/>
  <c r="K39" i="72"/>
  <c r="L39" i="72"/>
  <c r="M39" i="72"/>
  <c r="N39" i="72"/>
  <c r="O39" i="72"/>
  <c r="P39" i="72"/>
  <c r="Q39" i="72"/>
  <c r="R39" i="72"/>
  <c r="S39" i="72"/>
  <c r="H40" i="72"/>
  <c r="I40" i="72"/>
  <c r="J40" i="72"/>
  <c r="K40" i="72"/>
  <c r="L40" i="72"/>
  <c r="M40" i="72"/>
  <c r="N40" i="72"/>
  <c r="O40" i="72"/>
  <c r="P40" i="72"/>
  <c r="Q40" i="72"/>
  <c r="R40" i="72"/>
  <c r="S40" i="72"/>
  <c r="H41" i="72"/>
  <c r="I41" i="72"/>
  <c r="J41" i="72"/>
  <c r="K41" i="72"/>
  <c r="L41" i="72"/>
  <c r="M41" i="72"/>
  <c r="N41" i="72"/>
  <c r="O41" i="72"/>
  <c r="P41" i="72"/>
  <c r="Q41" i="72"/>
  <c r="R41" i="72"/>
  <c r="S41" i="72"/>
  <c r="H42" i="72"/>
  <c r="I42" i="72"/>
  <c r="J42" i="72"/>
  <c r="K42" i="72"/>
  <c r="L42" i="72"/>
  <c r="M42" i="72"/>
  <c r="N42" i="72"/>
  <c r="O42" i="72"/>
  <c r="P42" i="72"/>
  <c r="Q42" i="72"/>
  <c r="R42" i="72"/>
  <c r="S42" i="72"/>
  <c r="H43" i="72"/>
  <c r="I43" i="72"/>
  <c r="J43" i="72"/>
  <c r="K43" i="72"/>
  <c r="L43" i="72"/>
  <c r="M43" i="72"/>
  <c r="N43" i="72"/>
  <c r="O43" i="72"/>
  <c r="P43" i="72"/>
  <c r="Q43" i="72"/>
  <c r="R43" i="72"/>
  <c r="S43" i="72"/>
  <c r="H44" i="72"/>
  <c r="I44" i="72"/>
  <c r="J44" i="72"/>
  <c r="K44" i="72"/>
  <c r="L44" i="72"/>
  <c r="M44" i="72"/>
  <c r="N44" i="72"/>
  <c r="O44" i="72"/>
  <c r="P44" i="72"/>
  <c r="Q44" i="72"/>
  <c r="R44" i="72"/>
  <c r="S44" i="72"/>
  <c r="H45" i="72"/>
  <c r="I45" i="72"/>
  <c r="J45" i="72"/>
  <c r="K45" i="72"/>
  <c r="L45" i="72"/>
  <c r="M45" i="72"/>
  <c r="N45" i="72"/>
  <c r="O45" i="72"/>
  <c r="P45" i="72"/>
  <c r="Q45" i="72"/>
  <c r="R45" i="72"/>
  <c r="S45" i="72"/>
  <c r="H46" i="72"/>
  <c r="I46" i="72"/>
  <c r="J46" i="72"/>
  <c r="K46" i="72"/>
  <c r="L46" i="72"/>
  <c r="M46" i="72"/>
  <c r="N46" i="72"/>
  <c r="O46" i="72"/>
  <c r="P46" i="72"/>
  <c r="Q46" i="72"/>
  <c r="R46" i="72"/>
  <c r="S46" i="72"/>
  <c r="H47" i="72"/>
  <c r="I47" i="72"/>
  <c r="J47" i="72"/>
  <c r="K47" i="72"/>
  <c r="L47" i="72"/>
  <c r="M47" i="72"/>
  <c r="N47" i="72"/>
  <c r="O47" i="72"/>
  <c r="P47" i="72"/>
  <c r="Q47" i="72"/>
  <c r="R47" i="72"/>
  <c r="S47" i="72"/>
  <c r="H48" i="72"/>
  <c r="I48" i="72"/>
  <c r="J48" i="72"/>
  <c r="K48" i="72"/>
  <c r="L48" i="72"/>
  <c r="M48" i="72"/>
  <c r="N48" i="72"/>
  <c r="O48" i="72"/>
  <c r="P48" i="72"/>
  <c r="Q48" i="72"/>
  <c r="R48" i="72"/>
  <c r="S48" i="72"/>
  <c r="H49" i="72"/>
  <c r="I49" i="72"/>
  <c r="J49" i="72"/>
  <c r="K49" i="72"/>
  <c r="L49" i="72"/>
  <c r="M49" i="72"/>
  <c r="N49" i="72"/>
  <c r="O49" i="72"/>
  <c r="P49" i="72"/>
  <c r="Q49" i="72"/>
  <c r="R49" i="72"/>
  <c r="S49" i="72"/>
  <c r="H50" i="72"/>
  <c r="I50" i="72"/>
  <c r="J50" i="72"/>
  <c r="K50" i="72"/>
  <c r="L50" i="72"/>
  <c r="M50" i="72"/>
  <c r="N50" i="72"/>
  <c r="O50" i="72"/>
  <c r="P50" i="72"/>
  <c r="Q50" i="72"/>
  <c r="R50" i="72"/>
  <c r="S50" i="72"/>
  <c r="H51" i="72"/>
  <c r="I51" i="72"/>
  <c r="J51" i="72"/>
  <c r="K51" i="72"/>
  <c r="L51" i="72"/>
  <c r="M51" i="72"/>
  <c r="N51" i="72"/>
  <c r="O51" i="72"/>
  <c r="P51" i="72"/>
  <c r="Q51" i="72"/>
  <c r="R51" i="72"/>
  <c r="S51" i="72"/>
  <c r="H52" i="72"/>
  <c r="I52" i="72"/>
  <c r="J52" i="72"/>
  <c r="K52" i="72"/>
  <c r="L52" i="72"/>
  <c r="M52" i="72"/>
  <c r="N52" i="72"/>
  <c r="O52" i="72"/>
  <c r="P52" i="72"/>
  <c r="Q52" i="72"/>
  <c r="R52" i="72"/>
  <c r="S52" i="72"/>
  <c r="H53" i="72"/>
  <c r="I53" i="72"/>
  <c r="J53" i="72"/>
  <c r="K53" i="72"/>
  <c r="L53" i="72"/>
  <c r="M53" i="72"/>
  <c r="N53" i="72"/>
  <c r="O53" i="72"/>
  <c r="P53" i="72"/>
  <c r="Q53" i="72"/>
  <c r="R53" i="72"/>
  <c r="S53" i="72"/>
  <c r="H54" i="72"/>
  <c r="I54" i="72"/>
  <c r="J54" i="72"/>
  <c r="K54" i="72"/>
  <c r="L54" i="72"/>
  <c r="M54" i="72"/>
  <c r="N54" i="72"/>
  <c r="O54" i="72"/>
  <c r="P54" i="72"/>
  <c r="Q54" i="72"/>
  <c r="R54" i="72"/>
  <c r="S54" i="72"/>
  <c r="H55" i="72"/>
  <c r="I55" i="72"/>
  <c r="J55" i="72"/>
  <c r="K55" i="72"/>
  <c r="L55" i="72"/>
  <c r="M55" i="72"/>
  <c r="N55" i="72"/>
  <c r="O55" i="72"/>
  <c r="P55" i="72"/>
  <c r="Q55" i="72"/>
  <c r="R55" i="72"/>
  <c r="S55" i="72"/>
  <c r="H56" i="72"/>
  <c r="I56" i="72"/>
  <c r="J56" i="72"/>
  <c r="K56" i="72"/>
  <c r="L56" i="72"/>
  <c r="M56" i="72"/>
  <c r="N56" i="72"/>
  <c r="O56" i="72"/>
  <c r="P56" i="72"/>
  <c r="Q56" i="72"/>
  <c r="R56" i="72"/>
  <c r="S56" i="72"/>
  <c r="H57" i="72"/>
  <c r="I57" i="72"/>
  <c r="J57" i="72"/>
  <c r="K57" i="72"/>
  <c r="L57" i="72"/>
  <c r="M57" i="72"/>
  <c r="N57" i="72"/>
  <c r="O57" i="72"/>
  <c r="P57" i="72"/>
  <c r="Q57" i="72"/>
  <c r="R57" i="72"/>
  <c r="S57" i="72"/>
  <c r="H58" i="72"/>
  <c r="I58" i="72"/>
  <c r="J58" i="72"/>
  <c r="K58" i="72"/>
  <c r="L58" i="72"/>
  <c r="M58" i="72"/>
  <c r="N58" i="72"/>
  <c r="O58" i="72"/>
  <c r="P58" i="72"/>
  <c r="Q58" i="72"/>
  <c r="R58" i="72"/>
  <c r="S58" i="72"/>
  <c r="H59" i="72"/>
  <c r="I59" i="72"/>
  <c r="J59" i="72"/>
  <c r="K59" i="72"/>
  <c r="L59" i="72"/>
  <c r="M59" i="72"/>
  <c r="N59" i="72"/>
  <c r="O59" i="72"/>
  <c r="P59" i="72"/>
  <c r="Q59" i="72"/>
  <c r="R59" i="72"/>
  <c r="S59" i="72"/>
  <c r="H60" i="72"/>
  <c r="I60" i="72"/>
  <c r="J60" i="72"/>
  <c r="K60" i="72"/>
  <c r="L60" i="72"/>
  <c r="M60" i="72"/>
  <c r="N60" i="72"/>
  <c r="O60" i="72"/>
  <c r="P60" i="72"/>
  <c r="Q60" i="72"/>
  <c r="R60" i="72"/>
  <c r="S60" i="72"/>
  <c r="H61" i="72"/>
  <c r="I61" i="72"/>
  <c r="J61" i="72"/>
  <c r="K61" i="72"/>
  <c r="L61" i="72"/>
  <c r="M61" i="72"/>
  <c r="N61" i="72"/>
  <c r="O61" i="72"/>
  <c r="P61" i="72"/>
  <c r="Q61" i="72"/>
  <c r="R61" i="72"/>
  <c r="S61" i="72"/>
  <c r="H62" i="72"/>
  <c r="I62" i="72"/>
  <c r="J62" i="72"/>
  <c r="K62" i="72"/>
  <c r="L62" i="72"/>
  <c r="M62" i="72"/>
  <c r="N62" i="72"/>
  <c r="O62" i="72"/>
  <c r="P62" i="72"/>
  <c r="Q62" i="72"/>
  <c r="R62" i="72"/>
  <c r="S62" i="72"/>
  <c r="H63" i="72"/>
  <c r="I63" i="72"/>
  <c r="J63" i="72"/>
  <c r="K63" i="72"/>
  <c r="L63" i="72"/>
  <c r="M63" i="72"/>
  <c r="N63" i="72"/>
  <c r="O63" i="72"/>
  <c r="P63" i="72"/>
  <c r="Q63" i="72"/>
  <c r="R63" i="72"/>
  <c r="S63" i="72"/>
  <c r="H64" i="72"/>
  <c r="I64" i="72"/>
  <c r="J64" i="72"/>
  <c r="K64" i="72"/>
  <c r="L64" i="72"/>
  <c r="M64" i="72"/>
  <c r="N64" i="72"/>
  <c r="O64" i="72"/>
  <c r="P64" i="72"/>
  <c r="Q64" i="72"/>
  <c r="R64" i="72"/>
  <c r="S64" i="72"/>
  <c r="H65" i="72"/>
  <c r="I65" i="72"/>
  <c r="J65" i="72"/>
  <c r="K65" i="72"/>
  <c r="L65" i="72"/>
  <c r="M65" i="72"/>
  <c r="N65" i="72"/>
  <c r="O65" i="72"/>
  <c r="P65" i="72"/>
  <c r="Q65" i="72"/>
  <c r="R65" i="72"/>
  <c r="S65" i="72"/>
  <c r="H66" i="72"/>
  <c r="I66" i="72"/>
  <c r="J66" i="72"/>
  <c r="K66" i="72"/>
  <c r="L66" i="72"/>
  <c r="M66" i="72"/>
  <c r="N66" i="72"/>
  <c r="O66" i="72"/>
  <c r="P66" i="72"/>
  <c r="Q66" i="72"/>
  <c r="R66" i="72"/>
  <c r="S66" i="72"/>
  <c r="H67" i="72"/>
  <c r="I67" i="72"/>
  <c r="J67" i="72"/>
  <c r="K67" i="72"/>
  <c r="L67" i="72"/>
  <c r="M67" i="72"/>
  <c r="N67" i="72"/>
  <c r="O67" i="72"/>
  <c r="P67" i="72"/>
  <c r="Q67" i="72"/>
  <c r="R67" i="72"/>
  <c r="S67" i="72"/>
  <c r="H68" i="72"/>
  <c r="I68" i="72"/>
  <c r="J68" i="72"/>
  <c r="K68" i="72"/>
  <c r="L68" i="72"/>
  <c r="M68" i="72"/>
  <c r="N68" i="72"/>
  <c r="O68" i="72"/>
  <c r="P68" i="72"/>
  <c r="Q68" i="72"/>
  <c r="R68" i="72"/>
  <c r="S68" i="72"/>
  <c r="H69" i="72"/>
  <c r="I69" i="72"/>
  <c r="J69" i="72"/>
  <c r="K69" i="72"/>
  <c r="L69" i="72"/>
  <c r="M69" i="72"/>
  <c r="N69" i="72"/>
  <c r="O69" i="72"/>
  <c r="P69" i="72"/>
  <c r="Q69" i="72"/>
  <c r="R69" i="72"/>
  <c r="S69" i="72"/>
  <c r="H70" i="72"/>
  <c r="I70" i="72"/>
  <c r="J70" i="72"/>
  <c r="K70" i="72"/>
  <c r="L70" i="72"/>
  <c r="M70" i="72"/>
  <c r="N70" i="72"/>
  <c r="O70" i="72"/>
  <c r="P70" i="72"/>
  <c r="Q70" i="72"/>
  <c r="R70" i="72"/>
  <c r="S70" i="72"/>
  <c r="H71" i="72"/>
  <c r="I71" i="72"/>
  <c r="J71" i="72"/>
  <c r="K71" i="72"/>
  <c r="L71" i="72"/>
  <c r="M71" i="72"/>
  <c r="N71" i="72"/>
  <c r="O71" i="72"/>
  <c r="P71" i="72"/>
  <c r="Q71" i="72"/>
  <c r="R71" i="72"/>
  <c r="S71" i="72"/>
  <c r="H72" i="72"/>
  <c r="I72" i="72"/>
  <c r="J72" i="72"/>
  <c r="K72" i="72"/>
  <c r="L72" i="72"/>
  <c r="M72" i="72"/>
  <c r="N72" i="72"/>
  <c r="O72" i="72"/>
  <c r="P72" i="72"/>
  <c r="Q72" i="72"/>
  <c r="R72" i="72"/>
  <c r="S72" i="72"/>
  <c r="S13" i="72"/>
  <c r="R13" i="72"/>
  <c r="Q13" i="72"/>
  <c r="P13" i="72"/>
  <c r="O13" i="72"/>
  <c r="N13" i="72"/>
  <c r="L13" i="72"/>
  <c r="K13" i="72"/>
  <c r="J13" i="72"/>
  <c r="I13" i="72"/>
  <c r="H13" i="72"/>
  <c r="M13" i="72"/>
  <c r="C68" i="84" l="1"/>
  <c r="C64" i="84"/>
  <c r="C60" i="84"/>
  <c r="C56" i="84"/>
  <c r="C52" i="84"/>
  <c r="C48" i="84"/>
  <c r="C44" i="84"/>
  <c r="C40" i="84"/>
  <c r="C36" i="84"/>
  <c r="C32" i="84"/>
  <c r="C28" i="84"/>
  <c r="C24" i="84"/>
  <c r="C20" i="84"/>
  <c r="C16" i="84"/>
  <c r="C12" i="84"/>
  <c r="C11" i="84"/>
  <c r="C67" i="84"/>
  <c r="C63" i="84"/>
  <c r="C59" i="84"/>
  <c r="C55" i="84"/>
  <c r="C51" i="84"/>
  <c r="C47" i="84"/>
  <c r="C43" i="84"/>
  <c r="C39" i="84"/>
  <c r="C35" i="84"/>
  <c r="C31" i="84"/>
  <c r="C27" i="84"/>
  <c r="C23" i="84"/>
  <c r="C19" i="84"/>
  <c r="C15" i="84"/>
  <c r="C70" i="84"/>
  <c r="C66" i="84"/>
  <c r="C62" i="84"/>
  <c r="C58" i="84"/>
  <c r="C54" i="84"/>
  <c r="C50" i="84"/>
  <c r="C46" i="84"/>
  <c r="C42" i="84"/>
  <c r="C38" i="84"/>
  <c r="C34" i="84"/>
  <c r="C30" i="84"/>
  <c r="C26" i="84"/>
  <c r="C22" i="84"/>
  <c r="C18" i="84"/>
  <c r="C14" i="84"/>
  <c r="C69" i="84"/>
  <c r="C65" i="84"/>
  <c r="C61" i="84"/>
  <c r="C57" i="84"/>
  <c r="C53" i="84"/>
  <c r="C49" i="84"/>
  <c r="C45" i="84"/>
  <c r="C41" i="84"/>
  <c r="C37" i="84"/>
  <c r="C33" i="84"/>
  <c r="C29" i="84"/>
  <c r="C25" i="84"/>
  <c r="C21" i="84"/>
  <c r="C17" i="84"/>
  <c r="C13" i="84"/>
  <c r="D37" i="56"/>
  <c r="D103" i="69"/>
  <c r="D71" i="86"/>
  <c r="D72" i="77"/>
  <c r="D72" i="76"/>
  <c r="D73" i="79"/>
  <c r="D75" i="74"/>
  <c r="D67" i="86"/>
  <c r="D69" i="79"/>
  <c r="D68" i="77"/>
  <c r="D68" i="76"/>
  <c r="D71" i="74"/>
  <c r="D63" i="86"/>
  <c r="D64" i="77"/>
  <c r="D64" i="76"/>
  <c r="D65" i="79"/>
  <c r="D67" i="74"/>
  <c r="D59" i="86"/>
  <c r="D61" i="79"/>
  <c r="D60" i="77"/>
  <c r="D60" i="76"/>
  <c r="D63" i="74"/>
  <c r="D55" i="86"/>
  <c r="D56" i="77"/>
  <c r="D56" i="76"/>
  <c r="D57" i="79"/>
  <c r="D59" i="74"/>
  <c r="D51" i="86"/>
  <c r="D53" i="79"/>
  <c r="D52" i="77"/>
  <c r="D52" i="76"/>
  <c r="D55" i="74"/>
  <c r="D47" i="86"/>
  <c r="D48" i="77"/>
  <c r="D48" i="76"/>
  <c r="D49" i="79"/>
  <c r="D51" i="74"/>
  <c r="D43" i="86"/>
  <c r="D45" i="79"/>
  <c r="D44" i="77"/>
  <c r="D44" i="76"/>
  <c r="D47" i="74"/>
  <c r="D39" i="86"/>
  <c r="D40" i="77"/>
  <c r="D40" i="76"/>
  <c r="D41" i="79"/>
  <c r="D43" i="74"/>
  <c r="D35" i="86"/>
  <c r="D37" i="79"/>
  <c r="D36" i="77"/>
  <c r="D36" i="76"/>
  <c r="D39" i="74"/>
  <c r="D31" i="86"/>
  <c r="D32" i="77"/>
  <c r="D32" i="76"/>
  <c r="D33" i="79"/>
  <c r="D35" i="74"/>
  <c r="D27" i="86"/>
  <c r="D29" i="79"/>
  <c r="D28" i="76"/>
  <c r="D28" i="77"/>
  <c r="D31" i="74"/>
  <c r="D23" i="86"/>
  <c r="D24" i="77"/>
  <c r="D25" i="79"/>
  <c r="D24" i="76"/>
  <c r="D27" i="74"/>
  <c r="D19" i="86"/>
  <c r="D21" i="79"/>
  <c r="D20" i="77"/>
  <c r="D20" i="76"/>
  <c r="D23" i="74"/>
  <c r="D15" i="86"/>
  <c r="D16" i="77"/>
  <c r="D16" i="76"/>
  <c r="D17" i="79"/>
  <c r="D19" i="74"/>
  <c r="D90" i="70"/>
  <c r="D161" i="69"/>
  <c r="D93" i="56"/>
  <c r="D159" i="69"/>
  <c r="D91" i="56"/>
  <c r="D157" i="69"/>
  <c r="D89" i="56"/>
  <c r="D155" i="69"/>
  <c r="D82" i="70"/>
  <c r="D153" i="69"/>
  <c r="D80" i="70"/>
  <c r="D151" i="69"/>
  <c r="D78" i="70"/>
  <c r="D149" i="69"/>
  <c r="D76" i="70"/>
  <c r="D147" i="69"/>
  <c r="D74" i="70"/>
  <c r="D145" i="69"/>
  <c r="D72" i="70"/>
  <c r="D143" i="69"/>
  <c r="D70" i="70"/>
  <c r="D141" i="69"/>
  <c r="D68" i="70"/>
  <c r="D139" i="69"/>
  <c r="D66" i="70"/>
  <c r="D137" i="69"/>
  <c r="D64" i="70"/>
  <c r="D135" i="69"/>
  <c r="D62" i="70"/>
  <c r="D133" i="69"/>
  <c r="D60" i="70"/>
  <c r="D131" i="69"/>
  <c r="D58" i="70"/>
  <c r="D129" i="69"/>
  <c r="D61" i="56"/>
  <c r="D127" i="69"/>
  <c r="D59" i="56"/>
  <c r="D125" i="69"/>
  <c r="D57" i="56"/>
  <c r="D123" i="69"/>
  <c r="D55" i="56"/>
  <c r="D121" i="69"/>
  <c r="D53" i="56"/>
  <c r="D119" i="69"/>
  <c r="D51" i="56"/>
  <c r="D117" i="69"/>
  <c r="D49" i="56"/>
  <c r="D115" i="69"/>
  <c r="D47" i="56"/>
  <c r="D113" i="69"/>
  <c r="D45" i="56"/>
  <c r="D111" i="69"/>
  <c r="D43" i="56"/>
  <c r="D109" i="69"/>
  <c r="D41" i="56"/>
  <c r="D107" i="69"/>
  <c r="D39" i="56"/>
  <c r="D105" i="69"/>
  <c r="D14" i="86"/>
  <c r="D16" i="79"/>
  <c r="D15" i="77"/>
  <c r="D15" i="76"/>
  <c r="D18" i="74"/>
  <c r="D70" i="86"/>
  <c r="D72" i="79"/>
  <c r="D71" i="77"/>
  <c r="D71" i="76"/>
  <c r="D74" i="74"/>
  <c r="D66" i="86"/>
  <c r="D68" i="79"/>
  <c r="D67" i="77"/>
  <c r="D67" i="76"/>
  <c r="D70" i="74"/>
  <c r="D62" i="86"/>
  <c r="D64" i="79"/>
  <c r="D63" i="77"/>
  <c r="D63" i="76"/>
  <c r="D66" i="74"/>
  <c r="D58" i="86"/>
  <c r="D60" i="79"/>
  <c r="D59" i="77"/>
  <c r="D59" i="76"/>
  <c r="D62" i="74"/>
  <c r="D54" i="86"/>
  <c r="D56" i="79"/>
  <c r="D55" i="77"/>
  <c r="D55" i="76"/>
  <c r="D58" i="74"/>
  <c r="D50" i="86"/>
  <c r="D52" i="79"/>
  <c r="D51" i="77"/>
  <c r="D51" i="76"/>
  <c r="D54" i="74"/>
  <c r="D46" i="86"/>
  <c r="D48" i="79"/>
  <c r="D47" i="77"/>
  <c r="D47" i="76"/>
  <c r="D50" i="74"/>
  <c r="D42" i="86"/>
  <c r="D44" i="79"/>
  <c r="D43" i="77"/>
  <c r="D43" i="76"/>
  <c r="D46" i="74"/>
  <c r="D38" i="86"/>
  <c r="D40" i="79"/>
  <c r="D39" i="77"/>
  <c r="D39" i="76"/>
  <c r="D42" i="74"/>
  <c r="D34" i="86"/>
  <c r="D36" i="79"/>
  <c r="D35" i="77"/>
  <c r="D35" i="76"/>
  <c r="D38" i="74"/>
  <c r="D30" i="86"/>
  <c r="D32" i="79"/>
  <c r="D31" i="77"/>
  <c r="D31" i="76"/>
  <c r="D34" i="74"/>
  <c r="D26" i="86"/>
  <c r="D28" i="79"/>
  <c r="D27" i="77"/>
  <c r="D27" i="76"/>
  <c r="D30" i="74"/>
  <c r="D22" i="86"/>
  <c r="D24" i="79"/>
  <c r="D23" i="77"/>
  <c r="D23" i="76"/>
  <c r="D26" i="74"/>
  <c r="D18" i="86"/>
  <c r="D20" i="79"/>
  <c r="D19" i="77"/>
  <c r="D19" i="76"/>
  <c r="D22" i="74"/>
  <c r="D38" i="56"/>
  <c r="D104" i="69"/>
  <c r="D73" i="86"/>
  <c r="D74" i="76"/>
  <c r="D75" i="79"/>
  <c r="D74" i="77"/>
  <c r="D77" i="74"/>
  <c r="D69" i="86"/>
  <c r="D70" i="76"/>
  <c r="D71" i="79"/>
  <c r="D70" i="77"/>
  <c r="D73" i="74"/>
  <c r="D65" i="86"/>
  <c r="D66" i="76"/>
  <c r="D67" i="79"/>
  <c r="D66" i="77"/>
  <c r="D69" i="74"/>
  <c r="D61" i="86"/>
  <c r="D62" i="76"/>
  <c r="D63" i="79"/>
  <c r="D62" i="77"/>
  <c r="D65" i="74"/>
  <c r="D57" i="86"/>
  <c r="D58" i="76"/>
  <c r="D59" i="79"/>
  <c r="D58" i="77"/>
  <c r="D61" i="74"/>
  <c r="D53" i="86"/>
  <c r="D54" i="76"/>
  <c r="D55" i="79"/>
  <c r="D54" i="77"/>
  <c r="D57" i="74"/>
  <c r="D49" i="86"/>
  <c r="D50" i="76"/>
  <c r="D51" i="79"/>
  <c r="D50" i="77"/>
  <c r="D53" i="74"/>
  <c r="D45" i="86"/>
  <c r="D46" i="76"/>
  <c r="D47" i="79"/>
  <c r="D46" i="77"/>
  <c r="D49" i="74"/>
  <c r="D41" i="86"/>
  <c r="D42" i="76"/>
  <c r="D43" i="79"/>
  <c r="D42" i="77"/>
  <c r="D45" i="74"/>
  <c r="D37" i="86"/>
  <c r="D38" i="76"/>
  <c r="D39" i="79"/>
  <c r="D38" i="77"/>
  <c r="D41" i="74"/>
  <c r="D33" i="86"/>
  <c r="D34" i="76"/>
  <c r="D35" i="79"/>
  <c r="D34" i="77"/>
  <c r="D37" i="74"/>
  <c r="D29" i="86"/>
  <c r="D30" i="76"/>
  <c r="D31" i="79"/>
  <c r="D30" i="77"/>
  <c r="D33" i="74"/>
  <c r="D25" i="86"/>
  <c r="D26" i="76"/>
  <c r="D27" i="79"/>
  <c r="D26" i="77"/>
  <c r="D29" i="74"/>
  <c r="D21" i="86"/>
  <c r="D22" i="76"/>
  <c r="D23" i="79"/>
  <c r="D22" i="77"/>
  <c r="D25" i="74"/>
  <c r="D17" i="86"/>
  <c r="D18" i="76"/>
  <c r="D19" i="79"/>
  <c r="D18" i="77"/>
  <c r="D21" i="74"/>
  <c r="D94" i="56"/>
  <c r="D160" i="69"/>
  <c r="D92" i="56"/>
  <c r="D158" i="69"/>
  <c r="D90" i="56"/>
  <c r="D156" i="69"/>
  <c r="D88" i="56"/>
  <c r="D154" i="69"/>
  <c r="D86" i="56"/>
  <c r="D152" i="69"/>
  <c r="D84" i="56"/>
  <c r="D150" i="69"/>
  <c r="D82" i="56"/>
  <c r="D148" i="69"/>
  <c r="D80" i="56"/>
  <c r="D146" i="69"/>
  <c r="D78" i="56"/>
  <c r="D144" i="69"/>
  <c r="D76" i="56"/>
  <c r="D142" i="69"/>
  <c r="D74" i="56"/>
  <c r="D140" i="69"/>
  <c r="D72" i="56"/>
  <c r="D138" i="69"/>
  <c r="D70" i="56"/>
  <c r="D136" i="69"/>
  <c r="D68" i="56"/>
  <c r="D134" i="69"/>
  <c r="D66" i="56"/>
  <c r="D132" i="69"/>
  <c r="D64" i="56"/>
  <c r="D130" i="69"/>
  <c r="D62" i="56"/>
  <c r="D128" i="69"/>
  <c r="D60" i="56"/>
  <c r="D126" i="69"/>
  <c r="D58" i="56"/>
  <c r="D124" i="69"/>
  <c r="D56" i="56"/>
  <c r="D122" i="69"/>
  <c r="D54" i="56"/>
  <c r="D120" i="69"/>
  <c r="D52" i="56"/>
  <c r="D118" i="69"/>
  <c r="D50" i="56"/>
  <c r="D116" i="69"/>
  <c r="D48" i="56"/>
  <c r="D114" i="69"/>
  <c r="D46" i="56"/>
  <c r="D112" i="69"/>
  <c r="D44" i="56"/>
  <c r="D110" i="69"/>
  <c r="D42" i="56"/>
  <c r="D108" i="69"/>
  <c r="D40" i="56"/>
  <c r="D106" i="69"/>
  <c r="D72" i="86"/>
  <c r="D73" i="76"/>
  <c r="D74" i="79"/>
  <c r="D73" i="77"/>
  <c r="D76" i="74"/>
  <c r="D68" i="86"/>
  <c r="D69" i="76"/>
  <c r="D69" i="77"/>
  <c r="D70" i="79"/>
  <c r="D72" i="74"/>
  <c r="D64" i="86"/>
  <c r="D65" i="76"/>
  <c r="D66" i="79"/>
  <c r="D65" i="77"/>
  <c r="D68" i="74"/>
  <c r="D60" i="86"/>
  <c r="D61" i="76"/>
  <c r="D61" i="77"/>
  <c r="D62" i="79"/>
  <c r="D64" i="74"/>
  <c r="D56" i="86"/>
  <c r="D57" i="76"/>
  <c r="D58" i="79"/>
  <c r="D57" i="77"/>
  <c r="D60" i="74"/>
  <c r="D52" i="86"/>
  <c r="D53" i="76"/>
  <c r="D53" i="77"/>
  <c r="D54" i="79"/>
  <c r="D56" i="74"/>
  <c r="D48" i="86"/>
  <c r="D49" i="76"/>
  <c r="D50" i="79"/>
  <c r="D49" i="77"/>
  <c r="D52" i="74"/>
  <c r="D44" i="86"/>
  <c r="D45" i="76"/>
  <c r="D45" i="77"/>
  <c r="D46" i="79"/>
  <c r="D48" i="74"/>
  <c r="D40" i="86"/>
  <c r="D41" i="76"/>
  <c r="D42" i="79"/>
  <c r="D41" i="77"/>
  <c r="D44" i="74"/>
  <c r="D36" i="86"/>
  <c r="D37" i="76"/>
  <c r="D37" i="77"/>
  <c r="D38" i="79"/>
  <c r="D40" i="74"/>
  <c r="D32" i="86"/>
  <c r="D33" i="76"/>
  <c r="D34" i="79"/>
  <c r="D33" i="77"/>
  <c r="D36" i="74"/>
  <c r="D28" i="86"/>
  <c r="D29" i="77"/>
  <c r="D30" i="79"/>
  <c r="D29" i="76"/>
  <c r="D32" i="74"/>
  <c r="D24" i="86"/>
  <c r="D26" i="79"/>
  <c r="D25" i="76"/>
  <c r="D25" i="77"/>
  <c r="D28" i="74"/>
  <c r="D20" i="86"/>
  <c r="D21" i="77"/>
  <c r="D21" i="76"/>
  <c r="D22" i="79"/>
  <c r="D24" i="74"/>
  <c r="D16" i="86"/>
  <c r="D17" i="76"/>
  <c r="D18" i="79"/>
  <c r="D17" i="77"/>
  <c r="D20" i="74"/>
  <c r="M23" i="73"/>
  <c r="F37" i="72"/>
  <c r="F33" i="72"/>
  <c r="F29" i="72"/>
  <c r="F25" i="72"/>
  <c r="F21" i="72"/>
  <c r="F17" i="72"/>
  <c r="F38" i="72"/>
  <c r="F36" i="72"/>
  <c r="F35" i="72"/>
  <c r="F34" i="72"/>
  <c r="F32" i="72"/>
  <c r="F31" i="72"/>
  <c r="F30" i="72"/>
  <c r="F28" i="72"/>
  <c r="F27" i="72"/>
  <c r="F26" i="72"/>
  <c r="F24" i="72"/>
  <c r="F23" i="72"/>
  <c r="F22" i="72"/>
  <c r="F20" i="72"/>
  <c r="F19" i="72"/>
  <c r="F18" i="72"/>
  <c r="F16" i="72"/>
  <c r="F15" i="72"/>
  <c r="F14" i="72"/>
  <c r="F13" i="72"/>
  <c r="D84" i="70"/>
  <c r="H73" i="72"/>
  <c r="H79" i="72" a="1"/>
  <c r="H79" i="72" s="1"/>
  <c r="R73" i="72"/>
  <c r="N73" i="72"/>
  <c r="R79" i="72" a="1"/>
  <c r="R79" i="72" s="1"/>
  <c r="N79" i="72" a="1"/>
  <c r="N79" i="72" s="1"/>
  <c r="P73" i="72"/>
  <c r="L73" i="72"/>
  <c r="L79" i="72" a="1"/>
  <c r="L79" i="72" s="1"/>
  <c r="P79" i="72" a="1"/>
  <c r="P79" i="72" s="1"/>
  <c r="E93" i="56"/>
  <c r="E85" i="56"/>
  <c r="E77" i="56"/>
  <c r="E69" i="56"/>
  <c r="E90" i="70"/>
  <c r="S73" i="72"/>
  <c r="O73" i="72"/>
  <c r="K73" i="72"/>
  <c r="O79" i="72" a="1"/>
  <c r="O79" i="72" s="1"/>
  <c r="K79" i="72" a="1"/>
  <c r="K79" i="72" s="1"/>
  <c r="E83" i="56"/>
  <c r="E75" i="56"/>
  <c r="J73" i="72"/>
  <c r="J79" i="72" a="1"/>
  <c r="J79" i="72" s="1"/>
  <c r="E89" i="56"/>
  <c r="E81" i="56"/>
  <c r="E73" i="56"/>
  <c r="E65" i="56"/>
  <c r="D86" i="70"/>
  <c r="S79" i="72" a="1"/>
  <c r="S79" i="72" s="1"/>
  <c r="E91" i="56"/>
  <c r="E67" i="56"/>
  <c r="Q73" i="72"/>
  <c r="M73" i="72"/>
  <c r="I73" i="72"/>
  <c r="Q79" i="72" a="1"/>
  <c r="Q79" i="72" s="1"/>
  <c r="M79" i="72" a="1"/>
  <c r="M79" i="72" s="1"/>
  <c r="I79" i="72" a="1"/>
  <c r="I79" i="72" s="1"/>
  <c r="E87" i="56"/>
  <c r="E79" i="56"/>
  <c r="E71" i="56"/>
  <c r="E63" i="56"/>
  <c r="D88" i="70"/>
  <c r="D61" i="70"/>
  <c r="D65" i="70"/>
  <c r="D67" i="70"/>
  <c r="D71" i="70"/>
  <c r="D75" i="70"/>
  <c r="D79" i="70"/>
  <c r="D95" i="56"/>
  <c r="D87" i="56"/>
  <c r="D85" i="56"/>
  <c r="D83" i="56"/>
  <c r="D81" i="56"/>
  <c r="D79" i="56"/>
  <c r="D77" i="56"/>
  <c r="D75" i="56"/>
  <c r="D73" i="56"/>
  <c r="D71" i="56"/>
  <c r="D69" i="56"/>
  <c r="D67" i="56"/>
  <c r="D65" i="56"/>
  <c r="D63" i="56"/>
  <c r="E57" i="70"/>
  <c r="E59" i="70"/>
  <c r="E61" i="70"/>
  <c r="E63" i="70"/>
  <c r="E65" i="70"/>
  <c r="E67" i="70"/>
  <c r="E69" i="70"/>
  <c r="E71" i="70"/>
  <c r="E73" i="70"/>
  <c r="E75" i="70"/>
  <c r="E77" i="70"/>
  <c r="E79" i="70"/>
  <c r="E81" i="70"/>
  <c r="D59" i="70"/>
  <c r="D63" i="70"/>
  <c r="D69" i="70"/>
  <c r="D73" i="70"/>
  <c r="D77" i="70"/>
  <c r="D81" i="70"/>
  <c r="E94" i="56"/>
  <c r="E92" i="56"/>
  <c r="E90" i="56"/>
  <c r="E88" i="56"/>
  <c r="D83" i="70"/>
  <c r="D85" i="70"/>
  <c r="D87" i="70"/>
  <c r="D89" i="70"/>
  <c r="D57" i="70"/>
  <c r="Q28" i="74" l="1"/>
  <c r="AH25" i="67"/>
  <c r="AB70" i="67"/>
  <c r="AB51" i="67"/>
  <c r="AB67" i="67"/>
  <c r="AB48" i="67"/>
  <c r="AB29" i="67"/>
  <c r="AB69" i="67"/>
  <c r="AB62" i="67"/>
  <c r="AB35" i="67"/>
  <c r="AB59" i="67"/>
  <c r="AB83" i="67"/>
  <c r="AB32" i="67"/>
  <c r="AB64" i="67"/>
  <c r="AB72" i="67"/>
  <c r="AB37" i="67"/>
  <c r="AB61" i="67"/>
  <c r="AB25" i="67"/>
  <c r="AB30" i="67"/>
  <c r="AB46" i="67"/>
  <c r="AB78" i="67"/>
  <c r="K21" i="77"/>
  <c r="AD29" i="76"/>
  <c r="AD53" i="76"/>
  <c r="AB31" i="67"/>
  <c r="AB39" i="67"/>
  <c r="AB47" i="67"/>
  <c r="AB55" i="67"/>
  <c r="AB63" i="67"/>
  <c r="AB71" i="67"/>
  <c r="AB79" i="67"/>
  <c r="AB28" i="67"/>
  <c r="AB36" i="67"/>
  <c r="AB44" i="67"/>
  <c r="AB52" i="67"/>
  <c r="AB60" i="67"/>
  <c r="AB68" i="67"/>
  <c r="AB76" i="67"/>
  <c r="AB84" i="67"/>
  <c r="AB33" i="67"/>
  <c r="AB41" i="67"/>
  <c r="AB49" i="67"/>
  <c r="AB57" i="67"/>
  <c r="AB65" i="67"/>
  <c r="AB73" i="67"/>
  <c r="AB81" i="67"/>
  <c r="AB26" i="67"/>
  <c r="AB34" i="67"/>
  <c r="AB42" i="67"/>
  <c r="AB50" i="67"/>
  <c r="AB58" i="67"/>
  <c r="AB66" i="67"/>
  <c r="AB74" i="67"/>
  <c r="AB82" i="67"/>
  <c r="AB27" i="67"/>
  <c r="AB43" i="67"/>
  <c r="AB75" i="67"/>
  <c r="AB40" i="67"/>
  <c r="AB56" i="67"/>
  <c r="AB80" i="67"/>
  <c r="AB45" i="67"/>
  <c r="AB53" i="67"/>
  <c r="AB77" i="67"/>
  <c r="AB38" i="67"/>
  <c r="AB54" i="67"/>
  <c r="O34" i="79"/>
  <c r="N34" i="79"/>
  <c r="Q40" i="74"/>
  <c r="Q64" i="74"/>
  <c r="K22" i="77"/>
  <c r="O27" i="79"/>
  <c r="N27" i="79"/>
  <c r="K38" i="77"/>
  <c r="Q49" i="74"/>
  <c r="O63" i="79"/>
  <c r="N63" i="79"/>
  <c r="AD74" i="76"/>
  <c r="Q34" i="74"/>
  <c r="AD51" i="76"/>
  <c r="O72" i="79"/>
  <c r="N72" i="79"/>
  <c r="O29" i="79"/>
  <c r="N29" i="79"/>
  <c r="Q39" i="74"/>
  <c r="K48" i="77"/>
  <c r="AD68" i="76"/>
  <c r="AD17" i="76"/>
  <c r="K25" i="77"/>
  <c r="O50" i="79"/>
  <c r="N50" i="79"/>
  <c r="K57" i="77"/>
  <c r="O74" i="79"/>
  <c r="N74" i="79"/>
  <c r="O23" i="79"/>
  <c r="N23" i="79"/>
  <c r="Q37" i="74"/>
  <c r="O39" i="79"/>
  <c r="N39" i="79"/>
  <c r="Q53" i="74"/>
  <c r="O55" i="79"/>
  <c r="N55" i="79"/>
  <c r="Q22" i="74"/>
  <c r="O28" i="79"/>
  <c r="N28" i="79"/>
  <c r="AD43" i="76"/>
  <c r="Q70" i="74"/>
  <c r="O25" i="79"/>
  <c r="N25" i="79"/>
  <c r="K44" i="77"/>
  <c r="Q59" i="74"/>
  <c r="O61" i="79"/>
  <c r="N61" i="79"/>
  <c r="O65" i="79"/>
  <c r="N65" i="79"/>
  <c r="Q20" i="74"/>
  <c r="O22" i="79"/>
  <c r="N22" i="79"/>
  <c r="AD25" i="76"/>
  <c r="K29" i="77"/>
  <c r="Q36" i="74"/>
  <c r="K37" i="77"/>
  <c r="Q44" i="74"/>
  <c r="K45" i="77"/>
  <c r="AD49" i="76"/>
  <c r="O58" i="79"/>
  <c r="N58" i="79"/>
  <c r="Q72" i="74"/>
  <c r="AD73" i="76"/>
  <c r="K18" i="77"/>
  <c r="K34" i="77"/>
  <c r="K50" i="77"/>
  <c r="AD58" i="76"/>
  <c r="Q69" i="74"/>
  <c r="K70" i="77"/>
  <c r="AD19" i="76"/>
  <c r="AD35" i="76"/>
  <c r="O40" i="79"/>
  <c r="N40" i="79"/>
  <c r="K55" i="77"/>
  <c r="Q62" i="74"/>
  <c r="O64" i="79"/>
  <c r="N64" i="79"/>
  <c r="AD67" i="76"/>
  <c r="N16" i="79"/>
  <c r="O16" i="79"/>
  <c r="K16" i="77"/>
  <c r="K20" i="77"/>
  <c r="K24" i="77"/>
  <c r="O41" i="79"/>
  <c r="N41" i="79"/>
  <c r="O57" i="79"/>
  <c r="N57" i="79"/>
  <c r="AD64" i="76"/>
  <c r="AD72" i="76"/>
  <c r="O18" i="79"/>
  <c r="N18" i="79"/>
  <c r="K65" i="77"/>
  <c r="Q33" i="74"/>
  <c r="O43" i="79"/>
  <c r="N43" i="79"/>
  <c r="K54" i="77"/>
  <c r="AD23" i="76"/>
  <c r="K27" i="77"/>
  <c r="Q46" i="74"/>
  <c r="K47" i="77"/>
  <c r="AD32" i="76"/>
  <c r="AD44" i="76"/>
  <c r="K52" i="77"/>
  <c r="K60" i="77"/>
  <c r="Q24" i="74"/>
  <c r="O30" i="79"/>
  <c r="N30" i="79"/>
  <c r="AD33" i="76"/>
  <c r="O38" i="79"/>
  <c r="N38" i="79"/>
  <c r="AD41" i="76"/>
  <c r="O46" i="79"/>
  <c r="N46" i="79"/>
  <c r="Q56" i="74"/>
  <c r="O66" i="79"/>
  <c r="N66" i="79"/>
  <c r="Q21" i="74"/>
  <c r="AD26" i="76"/>
  <c r="AD42" i="76"/>
  <c r="AD66" i="76"/>
  <c r="Q77" i="74"/>
  <c r="K23" i="77"/>
  <c r="Q38" i="74"/>
  <c r="K39" i="77"/>
  <c r="O48" i="79"/>
  <c r="N48" i="79"/>
  <c r="K63" i="77"/>
  <c r="Q74" i="74"/>
  <c r="AD20" i="76"/>
  <c r="Q31" i="74"/>
  <c r="Q43" i="74"/>
  <c r="Q51" i="74"/>
  <c r="K72" i="77"/>
  <c r="K17" i="77"/>
  <c r="AD21" i="76"/>
  <c r="O26" i="79"/>
  <c r="N26" i="79"/>
  <c r="Q32" i="74"/>
  <c r="K33" i="77"/>
  <c r="AD37" i="76"/>
  <c r="K41" i="77"/>
  <c r="AD61" i="76"/>
  <c r="O70" i="79"/>
  <c r="N70" i="79"/>
  <c r="AD30" i="76"/>
  <c r="AD46" i="76"/>
  <c r="Q61" i="74"/>
  <c r="K62" i="77"/>
  <c r="O71" i="79"/>
  <c r="N71" i="79"/>
  <c r="O32" i="79"/>
  <c r="N32" i="79"/>
  <c r="Q54" i="74"/>
  <c r="O56" i="79"/>
  <c r="N56" i="79"/>
  <c r="AD59" i="76"/>
  <c r="Q18" i="74"/>
  <c r="Q19" i="74"/>
  <c r="O33" i="79"/>
  <c r="N33" i="79"/>
  <c r="O37" i="79"/>
  <c r="N37" i="79"/>
  <c r="AD52" i="76"/>
  <c r="Q71" i="74"/>
  <c r="O42" i="79"/>
  <c r="N42" i="79"/>
  <c r="AD45" i="76"/>
  <c r="Q52" i="74"/>
  <c r="O54" i="79"/>
  <c r="N54" i="79"/>
  <c r="AD57" i="76"/>
  <c r="O62" i="79"/>
  <c r="N62" i="79"/>
  <c r="AD65" i="76"/>
  <c r="K69" i="77"/>
  <c r="Q76" i="74"/>
  <c r="O19" i="79"/>
  <c r="N19" i="79"/>
  <c r="AD22" i="76"/>
  <c r="Q29" i="74"/>
  <c r="K30" i="77"/>
  <c r="O35" i="79"/>
  <c r="N35" i="79"/>
  <c r="AD38" i="76"/>
  <c r="Q45" i="74"/>
  <c r="K46" i="77"/>
  <c r="O51" i="79"/>
  <c r="N51" i="79"/>
  <c r="AD54" i="76"/>
  <c r="K58" i="77"/>
  <c r="AD62" i="76"/>
  <c r="K66" i="77"/>
  <c r="AD70" i="76"/>
  <c r="K74" i="77"/>
  <c r="K19" i="77"/>
  <c r="O24" i="79"/>
  <c r="N24" i="79"/>
  <c r="Q30" i="74"/>
  <c r="AD31" i="76"/>
  <c r="K35" i="77"/>
  <c r="Q42" i="74"/>
  <c r="K43" i="77"/>
  <c r="Q50" i="74"/>
  <c r="K51" i="77"/>
  <c r="Q58" i="74"/>
  <c r="K59" i="77"/>
  <c r="Q66" i="74"/>
  <c r="K67" i="77"/>
  <c r="AD71" i="76"/>
  <c r="AD15" i="76"/>
  <c r="O17" i="79"/>
  <c r="N17" i="79"/>
  <c r="O21" i="79"/>
  <c r="N21" i="79"/>
  <c r="Q27" i="74"/>
  <c r="K28" i="77"/>
  <c r="K32" i="77"/>
  <c r="AD36" i="76"/>
  <c r="AD40" i="76"/>
  <c r="O45" i="79"/>
  <c r="N45" i="79"/>
  <c r="O49" i="79"/>
  <c r="N49" i="79"/>
  <c r="O53" i="79"/>
  <c r="N53" i="79"/>
  <c r="AD56" i="76"/>
  <c r="Q63" i="74"/>
  <c r="K64" i="77"/>
  <c r="K68" i="77"/>
  <c r="Q75" i="74"/>
  <c r="Q48" i="74"/>
  <c r="K49" i="77"/>
  <c r="K53" i="77"/>
  <c r="Q60" i="74"/>
  <c r="K61" i="77"/>
  <c r="Q68" i="74"/>
  <c r="AD69" i="76"/>
  <c r="K73" i="77"/>
  <c r="AD18" i="76"/>
  <c r="Q25" i="74"/>
  <c r="K26" i="77"/>
  <c r="O31" i="79"/>
  <c r="N31" i="79"/>
  <c r="AD34" i="76"/>
  <c r="Q41" i="74"/>
  <c r="K42" i="77"/>
  <c r="O47" i="79"/>
  <c r="N47" i="79"/>
  <c r="AD50" i="76"/>
  <c r="Q57" i="74"/>
  <c r="O59" i="79"/>
  <c r="N59" i="79"/>
  <c r="Q65" i="74"/>
  <c r="O67" i="79"/>
  <c r="N67" i="79"/>
  <c r="Q73" i="74"/>
  <c r="O75" i="79"/>
  <c r="N75" i="79"/>
  <c r="O20" i="79"/>
  <c r="N20" i="79"/>
  <c r="Q26" i="74"/>
  <c r="AD27" i="76"/>
  <c r="K31" i="77"/>
  <c r="O36" i="79"/>
  <c r="N36" i="79"/>
  <c r="AD39" i="76"/>
  <c r="O44" i="79"/>
  <c r="N44" i="79"/>
  <c r="AD47" i="76"/>
  <c r="O52" i="79"/>
  <c r="N52" i="79"/>
  <c r="AD55" i="76"/>
  <c r="O60" i="79"/>
  <c r="N60" i="79"/>
  <c r="AD63" i="76"/>
  <c r="O68" i="79"/>
  <c r="N68" i="79"/>
  <c r="K71" i="77"/>
  <c r="K15" i="77"/>
  <c r="AD16" i="76"/>
  <c r="Q23" i="74"/>
  <c r="AD24" i="76"/>
  <c r="AD28" i="76"/>
  <c r="Q35" i="74"/>
  <c r="K36" i="77"/>
  <c r="K40" i="77"/>
  <c r="Q47" i="74"/>
  <c r="AD48" i="76"/>
  <c r="Q55" i="74"/>
  <c r="K56" i="77"/>
  <c r="AD60" i="76"/>
  <c r="Q67" i="74"/>
  <c r="O69" i="79"/>
  <c r="N69" i="79"/>
  <c r="O73" i="79"/>
  <c r="N73" i="79"/>
  <c r="M24" i="73"/>
  <c r="B18" i="73"/>
  <c r="E138" i="69"/>
  <c r="E139" i="69"/>
  <c r="E140" i="69"/>
  <c r="E141" i="69"/>
  <c r="E142" i="69"/>
  <c r="E143" i="69"/>
  <c r="E144" i="69"/>
  <c r="E145" i="69"/>
  <c r="E146" i="69"/>
  <c r="E147" i="69"/>
  <c r="E148" i="69"/>
  <c r="E149" i="69"/>
  <c r="E150" i="69"/>
  <c r="E151" i="69"/>
  <c r="E152" i="69"/>
  <c r="E153" i="69"/>
  <c r="E154" i="69"/>
  <c r="E155" i="69"/>
  <c r="E156" i="69"/>
  <c r="E157" i="69"/>
  <c r="E158" i="69"/>
  <c r="E159" i="69"/>
  <c r="E160" i="69"/>
  <c r="E161" i="69"/>
  <c r="C138" i="69"/>
  <c r="C139" i="69"/>
  <c r="C140" i="69"/>
  <c r="C141" i="69"/>
  <c r="C142" i="69"/>
  <c r="C143" i="69"/>
  <c r="C144" i="69"/>
  <c r="C145" i="69"/>
  <c r="C146" i="69"/>
  <c r="C147" i="69"/>
  <c r="C148" i="69"/>
  <c r="C149" i="69"/>
  <c r="C150" i="69"/>
  <c r="C151" i="69"/>
  <c r="C152" i="69"/>
  <c r="C153" i="69"/>
  <c r="C154" i="69"/>
  <c r="C155" i="69"/>
  <c r="C156" i="69"/>
  <c r="C157" i="69"/>
  <c r="C158" i="69"/>
  <c r="C159" i="69"/>
  <c r="C160" i="69"/>
  <c r="C161" i="69"/>
  <c r="C50" i="63"/>
  <c r="C51" i="63"/>
  <c r="C52" i="63"/>
  <c r="C53" i="63"/>
  <c r="C54" i="63"/>
  <c r="C55" i="63"/>
  <c r="C56" i="63"/>
  <c r="C57" i="63"/>
  <c r="C58" i="63"/>
  <c r="C59" i="63"/>
  <c r="C60" i="63"/>
  <c r="C61" i="63"/>
  <c r="C62" i="63"/>
  <c r="C63" i="63"/>
  <c r="C64" i="63"/>
  <c r="C65" i="63"/>
  <c r="C66" i="63"/>
  <c r="C67" i="63"/>
  <c r="C68" i="63"/>
  <c r="C69" i="63"/>
  <c r="C70" i="63"/>
  <c r="C71" i="63"/>
  <c r="C72" i="63"/>
  <c r="C73" i="63"/>
  <c r="F73" i="70"/>
  <c r="F75" i="70"/>
  <c r="F77" i="70"/>
  <c r="F78" i="70"/>
  <c r="C67" i="70"/>
  <c r="C68" i="70"/>
  <c r="C69" i="70"/>
  <c r="C70" i="70"/>
  <c r="C71" i="70"/>
  <c r="C72" i="70"/>
  <c r="C73" i="70"/>
  <c r="C74" i="70"/>
  <c r="C75" i="70"/>
  <c r="C76" i="70"/>
  <c r="C77" i="70"/>
  <c r="C78" i="70"/>
  <c r="C79" i="70"/>
  <c r="C80" i="70"/>
  <c r="C81" i="70"/>
  <c r="C82" i="70"/>
  <c r="C83" i="70"/>
  <c r="C84" i="70"/>
  <c r="C85" i="70"/>
  <c r="C86" i="70"/>
  <c r="C87" i="70"/>
  <c r="C88" i="70"/>
  <c r="C89" i="70"/>
  <c r="C90" i="70"/>
  <c r="C72" i="56"/>
  <c r="F72" i="56"/>
  <c r="C73" i="56"/>
  <c r="F73" i="56"/>
  <c r="C74" i="56"/>
  <c r="C75" i="56"/>
  <c r="C76" i="56"/>
  <c r="F76" i="56"/>
  <c r="C77" i="56"/>
  <c r="F77" i="56"/>
  <c r="C78" i="56"/>
  <c r="C79" i="56"/>
  <c r="C80" i="56"/>
  <c r="F80" i="56"/>
  <c r="C81" i="56"/>
  <c r="F81" i="56"/>
  <c r="C82" i="56"/>
  <c r="C83" i="56"/>
  <c r="C84" i="56"/>
  <c r="F84" i="56"/>
  <c r="C85" i="56"/>
  <c r="F85" i="56"/>
  <c r="C86" i="56"/>
  <c r="C87" i="56"/>
  <c r="C88" i="56"/>
  <c r="F88" i="56"/>
  <c r="C89" i="56"/>
  <c r="F89" i="56"/>
  <c r="C90" i="56"/>
  <c r="C91" i="56"/>
  <c r="C92" i="56"/>
  <c r="F92" i="56"/>
  <c r="C93" i="56"/>
  <c r="F93" i="56"/>
  <c r="C94" i="56"/>
  <c r="C95" i="56"/>
  <c r="D81" i="66"/>
  <c r="E81" i="66"/>
  <c r="D82" i="66"/>
  <c r="E82" i="66"/>
  <c r="D83" i="66"/>
  <c r="E83" i="66"/>
  <c r="D84" i="66"/>
  <c r="E84" i="66"/>
  <c r="D85" i="66"/>
  <c r="E85" i="66"/>
  <c r="D86" i="66"/>
  <c r="E86" i="66"/>
  <c r="D87" i="66"/>
  <c r="E87" i="66"/>
  <c r="D88" i="66"/>
  <c r="E88" i="66"/>
  <c r="D89" i="66"/>
  <c r="E89" i="66"/>
  <c r="D90" i="66"/>
  <c r="E90" i="66"/>
  <c r="D91" i="66"/>
  <c r="E91" i="66"/>
  <c r="D92" i="66"/>
  <c r="E92" i="66"/>
  <c r="D93" i="66"/>
  <c r="E93" i="66"/>
  <c r="D94" i="66"/>
  <c r="E94" i="66"/>
  <c r="D95" i="66"/>
  <c r="E95" i="66"/>
  <c r="D96" i="66"/>
  <c r="E96" i="66"/>
  <c r="D97" i="66"/>
  <c r="E97" i="66"/>
  <c r="D98" i="66"/>
  <c r="E98" i="66"/>
  <c r="D99" i="66"/>
  <c r="E99" i="66"/>
  <c r="D100" i="66"/>
  <c r="E100" i="66"/>
  <c r="D101" i="66"/>
  <c r="E101" i="66"/>
  <c r="D102" i="66"/>
  <c r="E102" i="66"/>
  <c r="D103" i="66"/>
  <c r="E103" i="66"/>
  <c r="D104" i="66"/>
  <c r="E104" i="66"/>
  <c r="C81" i="66"/>
  <c r="C82" i="66"/>
  <c r="C83" i="66"/>
  <c r="C84" i="66"/>
  <c r="C85" i="66"/>
  <c r="C86" i="66"/>
  <c r="C87" i="66"/>
  <c r="C88" i="66"/>
  <c r="C89" i="66"/>
  <c r="C90" i="66"/>
  <c r="C91" i="66"/>
  <c r="C92" i="66"/>
  <c r="C93" i="66"/>
  <c r="C94" i="66"/>
  <c r="C95" i="66"/>
  <c r="C96" i="66"/>
  <c r="C97" i="66"/>
  <c r="C98" i="66"/>
  <c r="C99" i="66"/>
  <c r="C100" i="66"/>
  <c r="C101" i="66"/>
  <c r="C102" i="66"/>
  <c r="C103" i="66"/>
  <c r="C104" i="66"/>
  <c r="F69" i="47"/>
  <c r="F82" i="47"/>
  <c r="F85" i="47"/>
  <c r="C85" i="47"/>
  <c r="C86" i="47"/>
  <c r="C87" i="47"/>
  <c r="C88" i="47"/>
  <c r="C89" i="47"/>
  <c r="C90" i="47"/>
  <c r="C67" i="47"/>
  <c r="C68" i="47"/>
  <c r="C69" i="47"/>
  <c r="C70" i="47"/>
  <c r="C71" i="47"/>
  <c r="C72" i="47"/>
  <c r="C73" i="47"/>
  <c r="C74" i="47"/>
  <c r="C75" i="47"/>
  <c r="C76" i="47"/>
  <c r="C77" i="47"/>
  <c r="C78" i="47"/>
  <c r="C79" i="47"/>
  <c r="C80" i="47"/>
  <c r="C81" i="47"/>
  <c r="C82" i="47"/>
  <c r="C83" i="47"/>
  <c r="C84" i="47"/>
  <c r="F70" i="65"/>
  <c r="F71" i="65"/>
  <c r="F72" i="65"/>
  <c r="F73" i="65"/>
  <c r="F74" i="65"/>
  <c r="F75" i="65"/>
  <c r="F76" i="65"/>
  <c r="F77" i="65"/>
  <c r="F78" i="65"/>
  <c r="F79" i="65"/>
  <c r="F80" i="65"/>
  <c r="F81" i="65"/>
  <c r="F82" i="65"/>
  <c r="F83" i="65"/>
  <c r="F84" i="65"/>
  <c r="F85" i="65"/>
  <c r="F86" i="65"/>
  <c r="F87" i="65"/>
  <c r="F88" i="65"/>
  <c r="F89" i="65"/>
  <c r="F90" i="65"/>
  <c r="F91" i="65"/>
  <c r="F92" i="65"/>
  <c r="F93" i="65"/>
  <c r="C70" i="65"/>
  <c r="C71" i="65"/>
  <c r="C72" i="65"/>
  <c r="C73" i="65"/>
  <c r="C74" i="65"/>
  <c r="C75" i="65"/>
  <c r="C76" i="65"/>
  <c r="C77" i="65"/>
  <c r="C78" i="65"/>
  <c r="C79" i="65"/>
  <c r="C80" i="65"/>
  <c r="C81" i="65"/>
  <c r="C82" i="65"/>
  <c r="C83" i="65"/>
  <c r="C84" i="65"/>
  <c r="C85" i="65"/>
  <c r="C86" i="65"/>
  <c r="C87" i="65"/>
  <c r="C88" i="65"/>
  <c r="C89" i="65"/>
  <c r="C90" i="65"/>
  <c r="C91" i="65"/>
  <c r="C92" i="65"/>
  <c r="C93" i="65"/>
  <c r="I9" i="72"/>
  <c r="H20" i="67"/>
  <c r="Y72" i="67" l="1"/>
  <c r="Y35" i="67"/>
  <c r="Y80" i="67"/>
  <c r="Y32" i="67"/>
  <c r="Y55" i="67"/>
  <c r="Y31" i="67"/>
  <c r="Y78" i="67"/>
  <c r="Y61" i="67"/>
  <c r="Y49" i="67"/>
  <c r="Y84" i="67"/>
  <c r="Y67" i="67"/>
  <c r="Y51" i="67"/>
  <c r="Y26" i="67"/>
  <c r="Y47" i="67"/>
  <c r="Y53" i="67"/>
  <c r="Y29" i="67"/>
  <c r="Y56" i="67"/>
  <c r="Y60" i="67"/>
  <c r="Y76" i="67"/>
  <c r="Y59" i="67"/>
  <c r="Y42" i="67"/>
  <c r="Y50" i="67"/>
  <c r="Y43" i="67"/>
  <c r="Y34" i="67"/>
  <c r="Y57" i="67"/>
  <c r="Y45" i="67"/>
  <c r="Y28" i="67"/>
  <c r="Y74" i="67"/>
  <c r="Y52" i="67"/>
  <c r="Y46" i="67"/>
  <c r="Y58" i="67"/>
  <c r="Y81" i="67"/>
  <c r="Y36" i="67"/>
  <c r="Y66" i="67"/>
  <c r="Y38" i="67"/>
  <c r="Y64" i="67"/>
  <c r="Y27" i="67"/>
  <c r="Y63" i="67"/>
  <c r="Y44" i="67"/>
  <c r="Y69" i="67"/>
  <c r="Y40" i="67"/>
  <c r="Y68" i="67"/>
  <c r="Y41" i="67"/>
  <c r="Y39" i="67"/>
  <c r="Y54" i="67"/>
  <c r="O76" i="79"/>
  <c r="Y65" i="67"/>
  <c r="Y75" i="67"/>
  <c r="Y70" i="67"/>
  <c r="Y83" i="67"/>
  <c r="Y82" i="67"/>
  <c r="Y48" i="67"/>
  <c r="Y77" i="67"/>
  <c r="Y71" i="67"/>
  <c r="N76" i="79"/>
  <c r="Y73" i="67"/>
  <c r="Y33" i="67"/>
  <c r="Y37" i="67"/>
  <c r="Y30" i="67"/>
  <c r="Y62" i="67"/>
  <c r="Y79" i="67"/>
  <c r="Y25" i="67"/>
  <c r="Q78" i="74"/>
  <c r="M25" i="73"/>
  <c r="B19" i="73"/>
  <c r="F156" i="69"/>
  <c r="F146" i="69"/>
  <c r="F144" i="69"/>
  <c r="F140" i="69"/>
  <c r="F101" i="66"/>
  <c r="F93" i="66"/>
  <c r="F91" i="66"/>
  <c r="F83" i="66"/>
  <c r="F96" i="66"/>
  <c r="F149" i="69"/>
  <c r="F154" i="69"/>
  <c r="F152" i="69"/>
  <c r="F148" i="69"/>
  <c r="F138" i="69"/>
  <c r="F76" i="70"/>
  <c r="F74" i="70"/>
  <c r="F72" i="70"/>
  <c r="F70" i="70"/>
  <c r="F68" i="70"/>
  <c r="F161" i="69"/>
  <c r="F159" i="69"/>
  <c r="F157" i="69"/>
  <c r="F155" i="69"/>
  <c r="F153" i="69"/>
  <c r="F151" i="69"/>
  <c r="F79" i="47"/>
  <c r="F99" i="66"/>
  <c r="F95" i="66"/>
  <c r="F89" i="66"/>
  <c r="F85" i="66"/>
  <c r="F94" i="56"/>
  <c r="F90" i="56"/>
  <c r="F86" i="56"/>
  <c r="F82" i="56"/>
  <c r="F78" i="56"/>
  <c r="F74" i="56"/>
  <c r="F89" i="70"/>
  <c r="F85" i="70"/>
  <c r="F83" i="70"/>
  <c r="F81" i="70"/>
  <c r="F158" i="69"/>
  <c r="F90" i="47"/>
  <c r="F86" i="47"/>
  <c r="F74" i="47"/>
  <c r="F70" i="47"/>
  <c r="F95" i="56"/>
  <c r="F91" i="56"/>
  <c r="F87" i="56"/>
  <c r="F83" i="56"/>
  <c r="F79" i="56"/>
  <c r="F75" i="56"/>
  <c r="F90" i="70"/>
  <c r="F78" i="47"/>
  <c r="F103" i="66"/>
  <c r="F97" i="66"/>
  <c r="F87" i="66"/>
  <c r="F81" i="66"/>
  <c r="F88" i="70"/>
  <c r="F86" i="70"/>
  <c r="F84" i="70"/>
  <c r="F82" i="70"/>
  <c r="F80" i="70"/>
  <c r="F69" i="70"/>
  <c r="F67" i="70"/>
  <c r="F160" i="69"/>
  <c r="F150" i="69"/>
  <c r="F147" i="69"/>
  <c r="F145" i="69"/>
  <c r="F143" i="69"/>
  <c r="F141" i="69"/>
  <c r="F139" i="69"/>
  <c r="F89" i="47"/>
  <c r="F87" i="47"/>
  <c r="F83" i="47"/>
  <c r="F81" i="47"/>
  <c r="F77" i="47"/>
  <c r="F75" i="47"/>
  <c r="F73" i="47"/>
  <c r="F71" i="47"/>
  <c r="F67" i="47"/>
  <c r="F87" i="70"/>
  <c r="F79" i="70"/>
  <c r="F142" i="69"/>
  <c r="F104" i="66"/>
  <c r="F100" i="66"/>
  <c r="F92" i="66"/>
  <c r="F88" i="66"/>
  <c r="F84" i="66"/>
  <c r="F71" i="70"/>
  <c r="F16" i="67"/>
  <c r="F12" i="67"/>
  <c r="F9" i="67"/>
  <c r="F17" i="67"/>
  <c r="F13" i="67"/>
  <c r="F18" i="67"/>
  <c r="F14" i="67"/>
  <c r="F10" i="67"/>
  <c r="F8" i="67"/>
  <c r="F102" i="66"/>
  <c r="F98" i="66"/>
  <c r="F94" i="66"/>
  <c r="F90" i="66"/>
  <c r="F86" i="66"/>
  <c r="F82" i="66"/>
  <c r="F88" i="47"/>
  <c r="F84" i="47"/>
  <c r="F80" i="47"/>
  <c r="F76" i="47"/>
  <c r="F72" i="47"/>
  <c r="F68" i="47"/>
  <c r="F31" i="56" l="1"/>
  <c r="E40" i="66"/>
  <c r="K31" i="56"/>
  <c r="J40" i="66"/>
  <c r="N31" i="56"/>
  <c r="M40" i="66"/>
  <c r="H31" i="56"/>
  <c r="G40" i="66"/>
  <c r="O31" i="56"/>
  <c r="N40" i="66"/>
  <c r="G31" i="56"/>
  <c r="F40" i="66"/>
  <c r="L31" i="56"/>
  <c r="K40" i="66"/>
  <c r="P31" i="56"/>
  <c r="O40" i="66"/>
  <c r="J31" i="56"/>
  <c r="I40" i="66"/>
  <c r="M26" i="73"/>
  <c r="B20" i="73"/>
  <c r="AD8" i="67"/>
  <c r="Z8" i="67"/>
  <c r="V8" i="67"/>
  <c r="R8" i="67"/>
  <c r="N8" i="67"/>
  <c r="J8" i="67"/>
  <c r="AC8" i="67"/>
  <c r="Y8" i="67"/>
  <c r="U8" i="67"/>
  <c r="Q8" i="67"/>
  <c r="M8" i="67"/>
  <c r="I8" i="67"/>
  <c r="AB8" i="67"/>
  <c r="X8" i="67"/>
  <c r="T8" i="67"/>
  <c r="P8" i="67"/>
  <c r="L8" i="67"/>
  <c r="H8" i="67"/>
  <c r="AE8" i="67"/>
  <c r="AA8" i="67"/>
  <c r="W8" i="67"/>
  <c r="S8" i="67"/>
  <c r="O8" i="67"/>
  <c r="K8" i="67"/>
  <c r="G8" i="67"/>
  <c r="AB16" i="67"/>
  <c r="X16" i="67"/>
  <c r="T16" i="67"/>
  <c r="P16" i="67"/>
  <c r="L16" i="67"/>
  <c r="H16" i="67"/>
  <c r="AE16" i="67"/>
  <c r="AA16" i="67"/>
  <c r="W16" i="67"/>
  <c r="S16" i="67"/>
  <c r="O16" i="67"/>
  <c r="K16" i="67"/>
  <c r="G16" i="67"/>
  <c r="AD16" i="67"/>
  <c r="Z16" i="67"/>
  <c r="V16" i="67"/>
  <c r="R16" i="67"/>
  <c r="N16" i="67"/>
  <c r="J16" i="67"/>
  <c r="AC16" i="67"/>
  <c r="Y16" i="67"/>
  <c r="U16" i="67"/>
  <c r="Q16" i="67"/>
  <c r="M16" i="67"/>
  <c r="I16" i="67"/>
  <c r="AB10" i="67"/>
  <c r="X10" i="67"/>
  <c r="T10" i="67"/>
  <c r="P10" i="67"/>
  <c r="L10" i="67"/>
  <c r="H10" i="67"/>
  <c r="AE10" i="67"/>
  <c r="AA10" i="67"/>
  <c r="W10" i="67"/>
  <c r="S10" i="67"/>
  <c r="O10" i="67"/>
  <c r="K10" i="67"/>
  <c r="G10" i="67"/>
  <c r="AD10" i="67"/>
  <c r="Z10" i="67"/>
  <c r="V10" i="67"/>
  <c r="R10" i="67"/>
  <c r="N10" i="67"/>
  <c r="J10" i="67"/>
  <c r="AC10" i="67"/>
  <c r="Y10" i="67"/>
  <c r="U10" i="67"/>
  <c r="Q10" i="67"/>
  <c r="M10" i="67"/>
  <c r="I10" i="67"/>
  <c r="AC17" i="67"/>
  <c r="Y17" i="67"/>
  <c r="U17" i="67"/>
  <c r="Q17" i="67"/>
  <c r="M17" i="67"/>
  <c r="I17" i="67"/>
  <c r="AB17" i="67"/>
  <c r="X17" i="67"/>
  <c r="T17" i="67"/>
  <c r="P17" i="67"/>
  <c r="L17" i="67"/>
  <c r="H17" i="67"/>
  <c r="AE17" i="67"/>
  <c r="AA17" i="67"/>
  <c r="W17" i="67"/>
  <c r="S17" i="67"/>
  <c r="O17" i="67"/>
  <c r="K17" i="67"/>
  <c r="G17" i="67"/>
  <c r="AD17" i="67"/>
  <c r="Z17" i="67"/>
  <c r="V17" i="67"/>
  <c r="R17" i="67"/>
  <c r="N17" i="67"/>
  <c r="J17" i="67"/>
  <c r="AB18" i="67"/>
  <c r="X18" i="67"/>
  <c r="T18" i="67"/>
  <c r="P18" i="67"/>
  <c r="L18" i="67"/>
  <c r="H18" i="67"/>
  <c r="AE18" i="67"/>
  <c r="AA18" i="67"/>
  <c r="W18" i="67"/>
  <c r="S18" i="67"/>
  <c r="O18" i="67"/>
  <c r="K18" i="67"/>
  <c r="G18" i="67"/>
  <c r="AD18" i="67"/>
  <c r="Z18" i="67"/>
  <c r="V18" i="67"/>
  <c r="R18" i="67"/>
  <c r="N18" i="67"/>
  <c r="J18" i="67"/>
  <c r="AC18" i="67"/>
  <c r="Y18" i="67"/>
  <c r="U18" i="67"/>
  <c r="Q18" i="67"/>
  <c r="M18" i="67"/>
  <c r="I18" i="67"/>
  <c r="AC13" i="67"/>
  <c r="Y13" i="67"/>
  <c r="U13" i="67"/>
  <c r="Q13" i="67"/>
  <c r="M13" i="67"/>
  <c r="I13" i="67"/>
  <c r="AB13" i="67"/>
  <c r="X13" i="67"/>
  <c r="T13" i="67"/>
  <c r="P13" i="67"/>
  <c r="L13" i="67"/>
  <c r="H13" i="67"/>
  <c r="AE13" i="67"/>
  <c r="AA13" i="67"/>
  <c r="W13" i="67"/>
  <c r="S13" i="67"/>
  <c r="O13" i="67"/>
  <c r="K13" i="67"/>
  <c r="G13" i="67"/>
  <c r="AD13" i="67"/>
  <c r="Z13" i="67"/>
  <c r="V13" i="67"/>
  <c r="R13" i="67"/>
  <c r="N13" i="67"/>
  <c r="J13" i="67"/>
  <c r="AE14" i="67"/>
  <c r="AA14" i="67"/>
  <c r="W14" i="67"/>
  <c r="S14" i="67"/>
  <c r="O14" i="67"/>
  <c r="K14" i="67"/>
  <c r="G14" i="67"/>
  <c r="AD14" i="67"/>
  <c r="Z14" i="67"/>
  <c r="V14" i="67"/>
  <c r="R14" i="67"/>
  <c r="N14" i="67"/>
  <c r="J14" i="67"/>
  <c r="AC14" i="67"/>
  <c r="Y14" i="67"/>
  <c r="U14" i="67"/>
  <c r="Q14" i="67"/>
  <c r="M14" i="67"/>
  <c r="I14" i="67"/>
  <c r="AB14" i="67"/>
  <c r="X14" i="67"/>
  <c r="T14" i="67"/>
  <c r="P14" i="67"/>
  <c r="L14" i="67"/>
  <c r="H14" i="67"/>
  <c r="AC9" i="67"/>
  <c r="Y9" i="67"/>
  <c r="U9" i="67"/>
  <c r="Q9" i="67"/>
  <c r="M9" i="67"/>
  <c r="I9" i="67"/>
  <c r="AB9" i="67"/>
  <c r="X9" i="67"/>
  <c r="T9" i="67"/>
  <c r="P9" i="67"/>
  <c r="L9" i="67"/>
  <c r="H9" i="67"/>
  <c r="AE9" i="67"/>
  <c r="AA9" i="67"/>
  <c r="W9" i="67"/>
  <c r="S9" i="67"/>
  <c r="O9" i="67"/>
  <c r="K9" i="67"/>
  <c r="G9" i="67"/>
  <c r="AD9" i="67"/>
  <c r="Z9" i="67"/>
  <c r="V9" i="67"/>
  <c r="R9" i="67"/>
  <c r="N9" i="67"/>
  <c r="J9" i="67"/>
  <c r="AD12" i="67"/>
  <c r="Z12" i="67"/>
  <c r="V12" i="67"/>
  <c r="R12" i="67"/>
  <c r="N12" i="67"/>
  <c r="J12" i="67"/>
  <c r="AC12" i="67"/>
  <c r="Y12" i="67"/>
  <c r="U12" i="67"/>
  <c r="Q12" i="67"/>
  <c r="M12" i="67"/>
  <c r="I12" i="67"/>
  <c r="AB12" i="67"/>
  <c r="X12" i="67"/>
  <c r="T12" i="67"/>
  <c r="P12" i="67"/>
  <c r="L12" i="67"/>
  <c r="H12" i="67"/>
  <c r="AE12" i="67"/>
  <c r="AA12" i="67"/>
  <c r="W12" i="67"/>
  <c r="S12" i="67"/>
  <c r="O12" i="67"/>
  <c r="K12" i="67"/>
  <c r="G12" i="67"/>
  <c r="C137" i="69"/>
  <c r="C136" i="69"/>
  <c r="C135" i="69"/>
  <c r="C134" i="69"/>
  <c r="C133" i="69"/>
  <c r="C132" i="69"/>
  <c r="C131" i="69"/>
  <c r="C130" i="69"/>
  <c r="C129" i="69"/>
  <c r="C128" i="69"/>
  <c r="C127" i="69"/>
  <c r="C126" i="69"/>
  <c r="C125" i="69"/>
  <c r="C124" i="69"/>
  <c r="C123" i="69"/>
  <c r="C122" i="69"/>
  <c r="C121" i="69"/>
  <c r="C120" i="69"/>
  <c r="C119" i="69"/>
  <c r="C118" i="69"/>
  <c r="C117" i="69"/>
  <c r="C116" i="69"/>
  <c r="C115" i="69"/>
  <c r="C114" i="69"/>
  <c r="C113" i="69"/>
  <c r="C112" i="69"/>
  <c r="C111" i="69"/>
  <c r="C110" i="69"/>
  <c r="C109" i="69"/>
  <c r="C108" i="69"/>
  <c r="C107" i="69"/>
  <c r="C106" i="69"/>
  <c r="C105" i="69"/>
  <c r="C104" i="69"/>
  <c r="C103" i="69"/>
  <c r="C102" i="69"/>
  <c r="C66" i="70"/>
  <c r="C65" i="70"/>
  <c r="C64" i="70"/>
  <c r="C63" i="70"/>
  <c r="C62" i="70"/>
  <c r="C61" i="70"/>
  <c r="C60" i="70"/>
  <c r="C59" i="70"/>
  <c r="C58" i="70"/>
  <c r="C57" i="70"/>
  <c r="C56" i="70"/>
  <c r="C55" i="70"/>
  <c r="C54" i="70"/>
  <c r="C53" i="70"/>
  <c r="C52" i="70"/>
  <c r="C51" i="70"/>
  <c r="C50" i="70"/>
  <c r="C49" i="70"/>
  <c r="C48" i="70"/>
  <c r="C47" i="70"/>
  <c r="C46" i="70"/>
  <c r="C45" i="70"/>
  <c r="C44" i="70"/>
  <c r="C43" i="70"/>
  <c r="C42" i="70"/>
  <c r="C41" i="70"/>
  <c r="C40" i="70"/>
  <c r="C39" i="70"/>
  <c r="C38" i="70"/>
  <c r="C37" i="70"/>
  <c r="C36" i="70"/>
  <c r="C35" i="70"/>
  <c r="C34" i="70"/>
  <c r="C33" i="70"/>
  <c r="C32" i="70"/>
  <c r="C31" i="70"/>
  <c r="C71" i="56"/>
  <c r="C70" i="56"/>
  <c r="C69" i="56"/>
  <c r="C68" i="56"/>
  <c r="C67" i="56"/>
  <c r="C66" i="56"/>
  <c r="C65" i="56"/>
  <c r="C64" i="56"/>
  <c r="C63" i="56"/>
  <c r="C62" i="56"/>
  <c r="C61" i="56"/>
  <c r="C60" i="56"/>
  <c r="C59" i="56"/>
  <c r="C58" i="56"/>
  <c r="C57" i="56"/>
  <c r="C56" i="56"/>
  <c r="C55" i="56"/>
  <c r="C54" i="56"/>
  <c r="C53" i="56"/>
  <c r="C52" i="56"/>
  <c r="C51" i="56"/>
  <c r="C50" i="56"/>
  <c r="C49" i="56"/>
  <c r="C48" i="56"/>
  <c r="C47" i="56"/>
  <c r="C46" i="56"/>
  <c r="C45" i="56"/>
  <c r="C44" i="56"/>
  <c r="C43" i="56"/>
  <c r="C42" i="56"/>
  <c r="C41" i="56"/>
  <c r="C40" i="56"/>
  <c r="C39" i="56"/>
  <c r="C38" i="56"/>
  <c r="C37" i="56"/>
  <c r="C36" i="56"/>
  <c r="C80" i="66"/>
  <c r="C79" i="66"/>
  <c r="C78" i="66"/>
  <c r="C77" i="66"/>
  <c r="C76" i="66"/>
  <c r="C75" i="66"/>
  <c r="C74" i="66"/>
  <c r="C73" i="66"/>
  <c r="C72" i="66"/>
  <c r="C71" i="66"/>
  <c r="C70" i="66"/>
  <c r="C69" i="66"/>
  <c r="C68" i="66"/>
  <c r="C67" i="66"/>
  <c r="C66" i="66"/>
  <c r="C65" i="66"/>
  <c r="C64" i="66"/>
  <c r="C63" i="66"/>
  <c r="C62" i="66"/>
  <c r="C61" i="66"/>
  <c r="C60" i="66"/>
  <c r="C59" i="66"/>
  <c r="C58" i="66"/>
  <c r="C57" i="66"/>
  <c r="C56" i="66"/>
  <c r="C55" i="66"/>
  <c r="C54" i="66"/>
  <c r="C53" i="66"/>
  <c r="C52" i="66"/>
  <c r="C51" i="66"/>
  <c r="C50" i="66"/>
  <c r="C49" i="66"/>
  <c r="C48" i="66"/>
  <c r="C47" i="66"/>
  <c r="C46" i="66"/>
  <c r="C45" i="66"/>
  <c r="C66" i="47"/>
  <c r="C65" i="47"/>
  <c r="C64" i="47"/>
  <c r="C63" i="47"/>
  <c r="C62" i="47"/>
  <c r="C61" i="47"/>
  <c r="C60" i="47"/>
  <c r="C59" i="47"/>
  <c r="C58" i="47"/>
  <c r="C57" i="47"/>
  <c r="C56" i="47"/>
  <c r="C55" i="47"/>
  <c r="C54" i="47"/>
  <c r="C53" i="47"/>
  <c r="C52" i="47"/>
  <c r="C51" i="47"/>
  <c r="C50" i="47"/>
  <c r="C49" i="47"/>
  <c r="C48" i="47"/>
  <c r="C47" i="47"/>
  <c r="C46" i="47"/>
  <c r="C45" i="47"/>
  <c r="C44" i="47"/>
  <c r="C43" i="47"/>
  <c r="C42" i="47"/>
  <c r="C41" i="47"/>
  <c r="C40" i="47"/>
  <c r="C39" i="47"/>
  <c r="C38" i="47"/>
  <c r="C37" i="47"/>
  <c r="C36" i="47"/>
  <c r="C35" i="47"/>
  <c r="C34" i="47"/>
  <c r="C33" i="47"/>
  <c r="C32" i="47"/>
  <c r="C31" i="47"/>
  <c r="C69" i="65"/>
  <c r="C68" i="65"/>
  <c r="C67" i="65"/>
  <c r="C66" i="65"/>
  <c r="C65" i="65"/>
  <c r="C64" i="65"/>
  <c r="C63" i="65"/>
  <c r="C62" i="65"/>
  <c r="C61" i="65"/>
  <c r="C60" i="65"/>
  <c r="C59" i="65"/>
  <c r="C58" i="65"/>
  <c r="C57" i="65"/>
  <c r="C56" i="65"/>
  <c r="C55" i="65"/>
  <c r="C54" i="65"/>
  <c r="C53" i="65"/>
  <c r="C52" i="65"/>
  <c r="C51" i="65"/>
  <c r="C50" i="65"/>
  <c r="C49" i="65"/>
  <c r="C48" i="65"/>
  <c r="C47" i="65"/>
  <c r="C46" i="65"/>
  <c r="C45" i="65"/>
  <c r="C44" i="65"/>
  <c r="C43" i="65"/>
  <c r="C42" i="65"/>
  <c r="C41" i="65"/>
  <c r="C40" i="65"/>
  <c r="C39" i="65"/>
  <c r="C38" i="65"/>
  <c r="C37" i="65"/>
  <c r="C36" i="65"/>
  <c r="C35" i="65"/>
  <c r="C34" i="65"/>
  <c r="C49" i="63"/>
  <c r="C48" i="63"/>
  <c r="C47" i="63"/>
  <c r="C46" i="63"/>
  <c r="C45" i="63"/>
  <c r="C44" i="63"/>
  <c r="C43" i="63"/>
  <c r="C42" i="63"/>
  <c r="C41" i="63"/>
  <c r="C40" i="63"/>
  <c r="C39" i="63"/>
  <c r="C38" i="63"/>
  <c r="C37" i="63"/>
  <c r="C36" i="63"/>
  <c r="C35" i="63"/>
  <c r="C34" i="63"/>
  <c r="C33" i="63"/>
  <c r="C32" i="63"/>
  <c r="C31" i="63"/>
  <c r="C30" i="63"/>
  <c r="C29" i="63"/>
  <c r="C28" i="63"/>
  <c r="C27" i="63"/>
  <c r="C26" i="63"/>
  <c r="C25" i="63"/>
  <c r="C24" i="63"/>
  <c r="C23" i="63"/>
  <c r="C22" i="63"/>
  <c r="C21" i="63"/>
  <c r="C20" i="63"/>
  <c r="C19" i="63"/>
  <c r="C18" i="63"/>
  <c r="C17" i="63"/>
  <c r="C16" i="63"/>
  <c r="C15" i="63"/>
  <c r="C14" i="63"/>
  <c r="D36" i="56"/>
  <c r="E56" i="70"/>
  <c r="D56" i="70"/>
  <c r="E55" i="70"/>
  <c r="D55" i="70"/>
  <c r="E54" i="70"/>
  <c r="D54" i="70"/>
  <c r="E53" i="70"/>
  <c r="D53" i="70"/>
  <c r="E52" i="70"/>
  <c r="D52" i="70"/>
  <c r="E51" i="70"/>
  <c r="D51" i="70"/>
  <c r="E50" i="70"/>
  <c r="D50" i="70"/>
  <c r="E49" i="70"/>
  <c r="D49" i="70"/>
  <c r="E48" i="70"/>
  <c r="D48" i="70"/>
  <c r="E47" i="70"/>
  <c r="D47" i="70"/>
  <c r="E46" i="70"/>
  <c r="D46" i="70"/>
  <c r="E45" i="70"/>
  <c r="D45" i="70"/>
  <c r="E44" i="70"/>
  <c r="D44" i="70"/>
  <c r="E43" i="70"/>
  <c r="D43" i="70"/>
  <c r="E42" i="70"/>
  <c r="D42" i="70"/>
  <c r="E41" i="70"/>
  <c r="D41" i="70"/>
  <c r="E40" i="70"/>
  <c r="D40" i="70"/>
  <c r="E39" i="70"/>
  <c r="D39" i="70"/>
  <c r="E38" i="70"/>
  <c r="D38" i="70"/>
  <c r="E37" i="70"/>
  <c r="D37" i="70"/>
  <c r="E36" i="70"/>
  <c r="D36" i="70"/>
  <c r="E35" i="70"/>
  <c r="D35" i="70"/>
  <c r="E34" i="70"/>
  <c r="D34" i="70"/>
  <c r="E33" i="70"/>
  <c r="D33" i="70"/>
  <c r="E32" i="70"/>
  <c r="D32" i="70"/>
  <c r="E31" i="70"/>
  <c r="D31" i="70"/>
  <c r="D26" i="70"/>
  <c r="P96" i="69"/>
  <c r="O96" i="69"/>
  <c r="N96" i="69"/>
  <c r="M96" i="69"/>
  <c r="L96" i="69"/>
  <c r="K96" i="69"/>
  <c r="J96" i="69"/>
  <c r="I96" i="69"/>
  <c r="H96" i="69"/>
  <c r="G96" i="69"/>
  <c r="F96" i="69"/>
  <c r="P51" i="69"/>
  <c r="O51" i="69"/>
  <c r="N51" i="69"/>
  <c r="M51" i="69"/>
  <c r="L51" i="69"/>
  <c r="K51" i="69"/>
  <c r="J51" i="69"/>
  <c r="I51" i="69"/>
  <c r="H51" i="69"/>
  <c r="G51" i="69"/>
  <c r="F51" i="69"/>
  <c r="E51" i="69"/>
  <c r="E137" i="69"/>
  <c r="E136" i="69"/>
  <c r="E135" i="69"/>
  <c r="E134" i="69"/>
  <c r="E133" i="69"/>
  <c r="E132" i="69"/>
  <c r="E131" i="69"/>
  <c r="E130" i="69"/>
  <c r="E129" i="69"/>
  <c r="E128" i="69"/>
  <c r="E127" i="69"/>
  <c r="E126" i="69"/>
  <c r="E125" i="69"/>
  <c r="E124" i="69"/>
  <c r="E123" i="69"/>
  <c r="E122" i="69"/>
  <c r="E121" i="69"/>
  <c r="E120" i="69"/>
  <c r="E119" i="69"/>
  <c r="E118" i="69"/>
  <c r="E117" i="69"/>
  <c r="E116" i="69"/>
  <c r="E115" i="69"/>
  <c r="E114" i="69"/>
  <c r="E113" i="69"/>
  <c r="E112" i="69"/>
  <c r="E111" i="69"/>
  <c r="E110" i="69"/>
  <c r="E109" i="69"/>
  <c r="E108" i="69"/>
  <c r="E107" i="69"/>
  <c r="E106" i="69"/>
  <c r="E105" i="69"/>
  <c r="E104" i="69"/>
  <c r="E103" i="69"/>
  <c r="E102" i="69"/>
  <c r="E80" i="66"/>
  <c r="D80" i="66"/>
  <c r="E79" i="66"/>
  <c r="D79" i="66"/>
  <c r="E78" i="66"/>
  <c r="D78" i="66"/>
  <c r="E77" i="66"/>
  <c r="D77" i="66"/>
  <c r="E76" i="66"/>
  <c r="D76" i="66"/>
  <c r="E75" i="66"/>
  <c r="D75" i="66"/>
  <c r="E74" i="66"/>
  <c r="D74" i="66"/>
  <c r="E73" i="66"/>
  <c r="D73" i="66"/>
  <c r="E72" i="66"/>
  <c r="D72" i="66"/>
  <c r="E71" i="66"/>
  <c r="D71" i="66"/>
  <c r="E70" i="66"/>
  <c r="D70" i="66"/>
  <c r="E69" i="66"/>
  <c r="D69" i="66"/>
  <c r="E68" i="66"/>
  <c r="D68" i="66"/>
  <c r="E67" i="66"/>
  <c r="D67" i="66"/>
  <c r="E66" i="66"/>
  <c r="D66" i="66"/>
  <c r="E65" i="66"/>
  <c r="D65" i="66"/>
  <c r="E64" i="66"/>
  <c r="D64" i="66"/>
  <c r="E63" i="66"/>
  <c r="D63" i="66"/>
  <c r="E62" i="66"/>
  <c r="D62" i="66"/>
  <c r="E61" i="66"/>
  <c r="D61" i="66"/>
  <c r="E60" i="66"/>
  <c r="D60" i="66"/>
  <c r="E59" i="66"/>
  <c r="D59" i="66"/>
  <c r="E58" i="66"/>
  <c r="D58" i="66"/>
  <c r="E57" i="66"/>
  <c r="D57" i="66"/>
  <c r="E56" i="66"/>
  <c r="D56" i="66"/>
  <c r="E55" i="66"/>
  <c r="D55" i="66"/>
  <c r="E54" i="66"/>
  <c r="D54" i="66"/>
  <c r="E53" i="66"/>
  <c r="D53" i="66"/>
  <c r="E52" i="66"/>
  <c r="D52" i="66"/>
  <c r="E51" i="66"/>
  <c r="D51" i="66"/>
  <c r="E50" i="66"/>
  <c r="D50" i="66"/>
  <c r="E49" i="66"/>
  <c r="D49" i="66"/>
  <c r="E48" i="66"/>
  <c r="D48" i="66"/>
  <c r="E47" i="66"/>
  <c r="D47" i="66"/>
  <c r="E46" i="66"/>
  <c r="D46" i="66"/>
  <c r="E45" i="66"/>
  <c r="D45" i="66"/>
  <c r="Q51" i="69" l="1"/>
  <c r="M27" i="73"/>
  <c r="B21" i="73"/>
  <c r="V61" i="67"/>
  <c r="V65" i="67"/>
  <c r="V69" i="67"/>
  <c r="V73" i="67"/>
  <c r="V77" i="67"/>
  <c r="V81" i="67"/>
  <c r="V76" i="67"/>
  <c r="V84" i="67"/>
  <c r="V71" i="67"/>
  <c r="V75" i="67"/>
  <c r="V64" i="67"/>
  <c r="V68" i="67"/>
  <c r="V72" i="67"/>
  <c r="V80" i="67"/>
  <c r="V63" i="67"/>
  <c r="V67" i="67"/>
  <c r="V62" i="67"/>
  <c r="V74" i="67"/>
  <c r="V78" i="67"/>
  <c r="V79" i="67"/>
  <c r="V70" i="67"/>
  <c r="V83" i="67"/>
  <c r="V66" i="67"/>
  <c r="V82" i="67"/>
  <c r="G64" i="67"/>
  <c r="G68" i="67"/>
  <c r="G72" i="67"/>
  <c r="G76" i="67"/>
  <c r="G80" i="67"/>
  <c r="G84" i="67"/>
  <c r="G74" i="67"/>
  <c r="G63" i="67"/>
  <c r="G67" i="67"/>
  <c r="G71" i="67"/>
  <c r="G75" i="67"/>
  <c r="G79" i="67"/>
  <c r="G83" i="67"/>
  <c r="G62" i="67"/>
  <c r="G66" i="67"/>
  <c r="G70" i="67"/>
  <c r="G78" i="67"/>
  <c r="G61" i="67"/>
  <c r="G77" i="67"/>
  <c r="G81" i="67"/>
  <c r="G73" i="67"/>
  <c r="G65" i="67"/>
  <c r="G82" i="67"/>
  <c r="G69" i="67"/>
  <c r="J61" i="67"/>
  <c r="J65" i="67"/>
  <c r="J69" i="67"/>
  <c r="J73" i="67"/>
  <c r="J77" i="67"/>
  <c r="J81" i="67"/>
  <c r="J72" i="67"/>
  <c r="J80" i="67"/>
  <c r="J67" i="67"/>
  <c r="J64" i="67"/>
  <c r="J68" i="67"/>
  <c r="J76" i="67"/>
  <c r="J84" i="67"/>
  <c r="J63" i="67"/>
  <c r="J71" i="67"/>
  <c r="J75" i="67"/>
  <c r="J62" i="67"/>
  <c r="J70" i="67"/>
  <c r="J82" i="67"/>
  <c r="J83" i="67"/>
  <c r="J66" i="67"/>
  <c r="J79" i="67"/>
  <c r="J74" i="67"/>
  <c r="J78" i="67"/>
  <c r="M62" i="67"/>
  <c r="M66" i="67"/>
  <c r="M70" i="67"/>
  <c r="M74" i="67"/>
  <c r="M78" i="67"/>
  <c r="M82" i="67"/>
  <c r="M73" i="67"/>
  <c r="M81" i="67"/>
  <c r="M64" i="67"/>
  <c r="M68" i="67"/>
  <c r="M61" i="67"/>
  <c r="M65" i="67"/>
  <c r="M69" i="67"/>
  <c r="M77" i="67"/>
  <c r="M72" i="67"/>
  <c r="M76" i="67"/>
  <c r="M63" i="67"/>
  <c r="M83" i="67"/>
  <c r="M67" i="67"/>
  <c r="M75" i="67"/>
  <c r="M80" i="67"/>
  <c r="M71" i="67"/>
  <c r="M79" i="67"/>
  <c r="M84" i="67"/>
  <c r="P63" i="67"/>
  <c r="P67" i="67"/>
  <c r="P71" i="67"/>
  <c r="P75" i="67"/>
  <c r="P79" i="67"/>
  <c r="P83" i="67"/>
  <c r="P74" i="67"/>
  <c r="P78" i="67"/>
  <c r="P82" i="67"/>
  <c r="P69" i="67"/>
  <c r="P62" i="67"/>
  <c r="P66" i="67"/>
  <c r="P70" i="67"/>
  <c r="P61" i="67"/>
  <c r="P65" i="67"/>
  <c r="P73" i="67"/>
  <c r="P77" i="67"/>
  <c r="P64" i="67"/>
  <c r="P72" i="67"/>
  <c r="P84" i="67"/>
  <c r="P68" i="67"/>
  <c r="P81" i="67"/>
  <c r="P80" i="67"/>
  <c r="P76" i="67"/>
  <c r="S64" i="67"/>
  <c r="S68" i="67"/>
  <c r="S72" i="67"/>
  <c r="S76" i="67"/>
  <c r="S80" i="67"/>
  <c r="S84" i="67"/>
  <c r="S71" i="67"/>
  <c r="S75" i="67"/>
  <c r="S79" i="67"/>
  <c r="S83" i="67"/>
  <c r="S66" i="67"/>
  <c r="S70" i="67"/>
  <c r="S63" i="67"/>
  <c r="S67" i="67"/>
  <c r="S62" i="67"/>
  <c r="S74" i="67"/>
  <c r="S61" i="67"/>
  <c r="S65" i="67"/>
  <c r="S77" i="67"/>
  <c r="S82" i="67"/>
  <c r="S78" i="67"/>
  <c r="S73" i="67"/>
  <c r="S81" i="67"/>
  <c r="S69" i="67"/>
  <c r="F71" i="56"/>
  <c r="F69" i="56"/>
  <c r="F67" i="56"/>
  <c r="F65" i="56"/>
  <c r="F63" i="56"/>
  <c r="F70" i="56"/>
  <c r="F68" i="56"/>
  <c r="F66" i="56"/>
  <c r="F64" i="56"/>
  <c r="F62" i="56"/>
  <c r="F97" i="69"/>
  <c r="J97" i="69"/>
  <c r="N97" i="69"/>
  <c r="H16" i="70"/>
  <c r="G97" i="69"/>
  <c r="K97" i="69"/>
  <c r="O97" i="69"/>
  <c r="H18" i="70"/>
  <c r="H20" i="70"/>
  <c r="H22" i="70"/>
  <c r="H15" i="70"/>
  <c r="H19" i="70"/>
  <c r="H24" i="70"/>
  <c r="E97" i="69"/>
  <c r="I97" i="69"/>
  <c r="M97" i="69"/>
  <c r="H14" i="70"/>
  <c r="H23" i="70"/>
  <c r="Q57" i="69"/>
  <c r="H19" i="65"/>
  <c r="H23" i="65"/>
  <c r="H27" i="65"/>
  <c r="H16" i="47"/>
  <c r="H20" i="47"/>
  <c r="H24" i="47"/>
  <c r="H17" i="65"/>
  <c r="H21" i="65"/>
  <c r="H25" i="65"/>
  <c r="H14" i="47"/>
  <c r="H18" i="47"/>
  <c r="H22" i="47"/>
  <c r="H18" i="65"/>
  <c r="H22" i="65"/>
  <c r="H26" i="65"/>
  <c r="H15" i="47"/>
  <c r="H19" i="47"/>
  <c r="H23" i="47"/>
  <c r="D26" i="47"/>
  <c r="D29" i="65"/>
  <c r="D10" i="20"/>
  <c r="H50" i="84" l="1"/>
  <c r="AH64" i="67" s="1"/>
  <c r="H54" i="84"/>
  <c r="AH68" i="67" s="1"/>
  <c r="H56" i="84"/>
  <c r="AH70" i="67" s="1"/>
  <c r="H62" i="84"/>
  <c r="AH76" i="67" s="1"/>
  <c r="H52" i="84"/>
  <c r="AH66" i="67" s="1"/>
  <c r="H59" i="84"/>
  <c r="AH73" i="67" s="1"/>
  <c r="H51" i="84"/>
  <c r="AH65" i="67" s="1"/>
  <c r="H61" i="84"/>
  <c r="AH75" i="67" s="1"/>
  <c r="H64" i="84"/>
  <c r="AH78" i="67" s="1"/>
  <c r="H47" i="84"/>
  <c r="AH61" i="67" s="1"/>
  <c r="H68" i="84"/>
  <c r="AH82" i="67" s="1"/>
  <c r="H66" i="84"/>
  <c r="AH80" i="67" s="1"/>
  <c r="H48" i="84"/>
  <c r="AH62" i="67" s="1"/>
  <c r="H65" i="84"/>
  <c r="AH79" i="67" s="1"/>
  <c r="H49" i="84"/>
  <c r="AH63" i="67" s="1"/>
  <c r="H55" i="84"/>
  <c r="AH69" i="67" s="1"/>
  <c r="H53" i="84"/>
  <c r="AH67" i="67" s="1"/>
  <c r="H67" i="84"/>
  <c r="AH81" i="67" s="1"/>
  <c r="H70" i="84"/>
  <c r="AH84" i="67" s="1"/>
  <c r="H58" i="84"/>
  <c r="AH72" i="67" s="1"/>
  <c r="H57" i="84"/>
  <c r="AH71" i="67" s="1"/>
  <c r="H63" i="84"/>
  <c r="AH77" i="67" s="1"/>
  <c r="H69" i="84"/>
  <c r="AH83" i="67" s="1"/>
  <c r="H60" i="84"/>
  <c r="AH74" i="67" s="1"/>
  <c r="AE68" i="67"/>
  <c r="AE77" i="67"/>
  <c r="AE70" i="67"/>
  <c r="AE82" i="67"/>
  <c r="AE79" i="67"/>
  <c r="AE63" i="67"/>
  <c r="AE76" i="67"/>
  <c r="AE84" i="67"/>
  <c r="AE73" i="67"/>
  <c r="AE66" i="67"/>
  <c r="AE78" i="67"/>
  <c r="AE75" i="67"/>
  <c r="AE80" i="67"/>
  <c r="AE72" i="67"/>
  <c r="AE65" i="67"/>
  <c r="AE62" i="67"/>
  <c r="AE74" i="67"/>
  <c r="AE71" i="67"/>
  <c r="AE81" i="67"/>
  <c r="AE64" i="67"/>
  <c r="AE61" i="67"/>
  <c r="AE69" i="67"/>
  <c r="AE83" i="67"/>
  <c r="AE67" i="67"/>
  <c r="P52" i="67"/>
  <c r="P54" i="67"/>
  <c r="P53" i="67"/>
  <c r="P55" i="67"/>
  <c r="P57" i="67"/>
  <c r="P56" i="67"/>
  <c r="P60" i="67"/>
  <c r="P51" i="67"/>
  <c r="P59" i="67"/>
  <c r="P58" i="67"/>
  <c r="E411" i="69"/>
  <c r="E415" i="69"/>
  <c r="E419" i="69"/>
  <c r="E423" i="69"/>
  <c r="E427" i="69"/>
  <c r="E431" i="69"/>
  <c r="E435" i="69"/>
  <c r="E439" i="69"/>
  <c r="E412" i="69"/>
  <c r="E416" i="69"/>
  <c r="E420" i="69"/>
  <c r="E424" i="69"/>
  <c r="E428" i="69"/>
  <c r="E432" i="69"/>
  <c r="E436" i="69"/>
  <c r="E417" i="69"/>
  <c r="E425" i="69"/>
  <c r="E433" i="69"/>
  <c r="E421" i="69"/>
  <c r="E437" i="69"/>
  <c r="E410" i="69"/>
  <c r="E418" i="69"/>
  <c r="E426" i="69"/>
  <c r="E434" i="69"/>
  <c r="E413" i="69"/>
  <c r="E429" i="69"/>
  <c r="E438" i="69"/>
  <c r="E414" i="69"/>
  <c r="E422" i="69"/>
  <c r="E430" i="69"/>
  <c r="E167" i="69"/>
  <c r="E171" i="69"/>
  <c r="E175" i="69"/>
  <c r="E179" i="69"/>
  <c r="E183" i="69"/>
  <c r="E187" i="69"/>
  <c r="E191" i="69"/>
  <c r="E195" i="69"/>
  <c r="E168" i="69"/>
  <c r="E172" i="69"/>
  <c r="E176" i="69"/>
  <c r="E180" i="69"/>
  <c r="E184" i="69"/>
  <c r="E188" i="69"/>
  <c r="E192" i="69"/>
  <c r="E196" i="69"/>
  <c r="E169" i="69"/>
  <c r="E177" i="69"/>
  <c r="E185" i="69"/>
  <c r="E193" i="69"/>
  <c r="E173" i="69"/>
  <c r="E181" i="69"/>
  <c r="E197" i="69"/>
  <c r="E190" i="69"/>
  <c r="E170" i="69"/>
  <c r="E178" i="69"/>
  <c r="E186" i="69"/>
  <c r="E194" i="69"/>
  <c r="E189" i="69"/>
  <c r="E174" i="69"/>
  <c r="E182" i="69"/>
  <c r="E443" i="69"/>
  <c r="E447" i="69"/>
  <c r="E451" i="69"/>
  <c r="E455" i="69"/>
  <c r="E459" i="69"/>
  <c r="E463" i="69"/>
  <c r="E467" i="69"/>
  <c r="E440" i="69"/>
  <c r="E444" i="69"/>
  <c r="E448" i="69"/>
  <c r="E452" i="69"/>
  <c r="E456" i="69"/>
  <c r="E460" i="69"/>
  <c r="E464" i="69"/>
  <c r="E468" i="69"/>
  <c r="E441" i="69"/>
  <c r="E449" i="69"/>
  <c r="E457" i="69"/>
  <c r="E465" i="69"/>
  <c r="E453" i="69"/>
  <c r="E469" i="69"/>
  <c r="E442" i="69"/>
  <c r="E450" i="69"/>
  <c r="E458" i="69"/>
  <c r="E466" i="69"/>
  <c r="E445" i="69"/>
  <c r="E461" i="69"/>
  <c r="E470" i="69"/>
  <c r="E462" i="69"/>
  <c r="E446" i="69"/>
  <c r="E454" i="69"/>
  <c r="E351" i="69"/>
  <c r="E355" i="69"/>
  <c r="E359" i="69"/>
  <c r="E363" i="69"/>
  <c r="E367" i="69"/>
  <c r="E371" i="69"/>
  <c r="E375" i="69"/>
  <c r="E348" i="69"/>
  <c r="E352" i="69"/>
  <c r="E356" i="69"/>
  <c r="E360" i="69"/>
  <c r="E364" i="69"/>
  <c r="E368" i="69"/>
  <c r="E372" i="69"/>
  <c r="E376" i="69"/>
  <c r="E353" i="69"/>
  <c r="E361" i="69"/>
  <c r="E369" i="69"/>
  <c r="E377" i="69"/>
  <c r="E357" i="69"/>
  <c r="E373" i="69"/>
  <c r="E350" i="69"/>
  <c r="E366" i="69"/>
  <c r="E354" i="69"/>
  <c r="E362" i="69"/>
  <c r="E370" i="69"/>
  <c r="E378" i="69"/>
  <c r="E349" i="69"/>
  <c r="E365" i="69"/>
  <c r="E358" i="69"/>
  <c r="E374" i="69"/>
  <c r="E199" i="69"/>
  <c r="E203" i="69"/>
  <c r="E207" i="69"/>
  <c r="E211" i="69"/>
  <c r="E215" i="69"/>
  <c r="E219" i="69"/>
  <c r="E223" i="69"/>
  <c r="E200" i="69"/>
  <c r="E204" i="69"/>
  <c r="E208" i="69"/>
  <c r="E212" i="69"/>
  <c r="E216" i="69"/>
  <c r="E220" i="69"/>
  <c r="E224" i="69"/>
  <c r="E201" i="69"/>
  <c r="E209" i="69"/>
  <c r="E217" i="69"/>
  <c r="E225" i="69"/>
  <c r="E213" i="69"/>
  <c r="E206" i="69"/>
  <c r="E222" i="69"/>
  <c r="E202" i="69"/>
  <c r="E210" i="69"/>
  <c r="E218" i="69"/>
  <c r="E205" i="69"/>
  <c r="E221" i="69"/>
  <c r="E198" i="69"/>
  <c r="E214" i="69"/>
  <c r="E471" i="69"/>
  <c r="E475" i="69"/>
  <c r="E479" i="69"/>
  <c r="E483" i="69"/>
  <c r="E487" i="69"/>
  <c r="E491" i="69"/>
  <c r="E495" i="69"/>
  <c r="E499" i="69"/>
  <c r="E472" i="69"/>
  <c r="E476" i="69"/>
  <c r="E480" i="69"/>
  <c r="E484" i="69"/>
  <c r="E488" i="69"/>
  <c r="E492" i="69"/>
  <c r="E496" i="69"/>
  <c r="E500" i="69"/>
  <c r="E473" i="69"/>
  <c r="E481" i="69"/>
  <c r="E489" i="69"/>
  <c r="E497" i="69"/>
  <c r="E485" i="69"/>
  <c r="E474" i="69"/>
  <c r="E482" i="69"/>
  <c r="E490" i="69"/>
  <c r="E498" i="69"/>
  <c r="E477" i="69"/>
  <c r="E493" i="69"/>
  <c r="E478" i="69"/>
  <c r="E486" i="69"/>
  <c r="E494" i="69"/>
  <c r="E319" i="69"/>
  <c r="E323" i="69"/>
  <c r="E327" i="69"/>
  <c r="E331" i="69"/>
  <c r="E335" i="69"/>
  <c r="E339" i="69"/>
  <c r="E343" i="69"/>
  <c r="E347" i="69"/>
  <c r="E320" i="69"/>
  <c r="E324" i="69"/>
  <c r="E328" i="69"/>
  <c r="E332" i="69"/>
  <c r="E336" i="69"/>
  <c r="E340" i="69"/>
  <c r="E344" i="69"/>
  <c r="E321" i="69"/>
  <c r="E329" i="69"/>
  <c r="E337" i="69"/>
  <c r="E345" i="69"/>
  <c r="E325" i="69"/>
  <c r="E341" i="69"/>
  <c r="E318" i="69"/>
  <c r="E334" i="69"/>
  <c r="E322" i="69"/>
  <c r="E330" i="69"/>
  <c r="E338" i="69"/>
  <c r="E346" i="69"/>
  <c r="E333" i="69"/>
  <c r="E326" i="69"/>
  <c r="E342" i="69"/>
  <c r="E227" i="69"/>
  <c r="E231" i="69"/>
  <c r="E235" i="69"/>
  <c r="E239" i="69"/>
  <c r="E243" i="69"/>
  <c r="E247" i="69"/>
  <c r="E251" i="69"/>
  <c r="E255" i="69"/>
  <c r="E228" i="69"/>
  <c r="E232" i="69"/>
  <c r="E236" i="69"/>
  <c r="E240" i="69"/>
  <c r="E244" i="69"/>
  <c r="E248" i="69"/>
  <c r="E252" i="69"/>
  <c r="E256" i="69"/>
  <c r="E233" i="69"/>
  <c r="E241" i="69"/>
  <c r="E249" i="69"/>
  <c r="E229" i="69"/>
  <c r="E245" i="69"/>
  <c r="E238" i="69"/>
  <c r="E254" i="69"/>
  <c r="E226" i="69"/>
  <c r="E234" i="69"/>
  <c r="E242" i="69"/>
  <c r="E250" i="69"/>
  <c r="E237" i="69"/>
  <c r="E253" i="69"/>
  <c r="E230" i="69"/>
  <c r="E246" i="69"/>
  <c r="E287" i="69"/>
  <c r="E291" i="69"/>
  <c r="E295" i="69"/>
  <c r="E299" i="69"/>
  <c r="E303" i="69"/>
  <c r="E307" i="69"/>
  <c r="E311" i="69"/>
  <c r="E315" i="69"/>
  <c r="E288" i="69"/>
  <c r="E292" i="69"/>
  <c r="E296" i="69"/>
  <c r="E300" i="69"/>
  <c r="E304" i="69"/>
  <c r="E308" i="69"/>
  <c r="E312" i="69"/>
  <c r="E316" i="69"/>
  <c r="E289" i="69"/>
  <c r="E297" i="69"/>
  <c r="E305" i="69"/>
  <c r="E313" i="69"/>
  <c r="E293" i="69"/>
  <c r="E309" i="69"/>
  <c r="E302" i="69"/>
  <c r="E290" i="69"/>
  <c r="E298" i="69"/>
  <c r="E306" i="69"/>
  <c r="E314" i="69"/>
  <c r="E301" i="69"/>
  <c r="E317" i="69"/>
  <c r="E294" i="69"/>
  <c r="E310" i="69"/>
  <c r="M28" i="73"/>
  <c r="B22" i="73"/>
  <c r="E22" i="70"/>
  <c r="F22" i="70" s="1"/>
  <c r="G22" i="70" s="1"/>
  <c r="E363" i="70" s="1"/>
  <c r="E18" i="70"/>
  <c r="F18" i="70" s="1"/>
  <c r="G18" i="70" s="1"/>
  <c r="E14" i="70"/>
  <c r="E25" i="70"/>
  <c r="F25" i="70" s="1"/>
  <c r="E21" i="70"/>
  <c r="F21" i="70" s="1"/>
  <c r="E17" i="70"/>
  <c r="F17" i="70" s="1"/>
  <c r="E24" i="70"/>
  <c r="F24" i="70" s="1"/>
  <c r="G24" i="70" s="1"/>
  <c r="E410" i="70" s="1"/>
  <c r="E20" i="70"/>
  <c r="F20" i="70" s="1"/>
  <c r="G20" i="70" s="1"/>
  <c r="E307" i="70" s="1"/>
  <c r="E16" i="70"/>
  <c r="F16" i="70" s="1"/>
  <c r="G16" i="70" s="1"/>
  <c r="E161" i="70" s="1"/>
  <c r="E23" i="70"/>
  <c r="F23" i="70" s="1"/>
  <c r="G23" i="70" s="1"/>
  <c r="E387" i="70" s="1"/>
  <c r="E19" i="70"/>
  <c r="F19" i="70" s="1"/>
  <c r="G19" i="70" s="1"/>
  <c r="E264" i="70" s="1"/>
  <c r="E15" i="70"/>
  <c r="F15" i="70" s="1"/>
  <c r="G15" i="70" s="1"/>
  <c r="E159" i="70" s="1"/>
  <c r="Q96" i="69"/>
  <c r="M29" i="73" l="1"/>
  <c r="E358" i="70"/>
  <c r="E361" i="70"/>
  <c r="E374" i="70"/>
  <c r="E346" i="70"/>
  <c r="E367" i="70"/>
  <c r="E368" i="70"/>
  <c r="E359" i="70"/>
  <c r="E353" i="70"/>
  <c r="E365" i="70"/>
  <c r="E351" i="70"/>
  <c r="E369" i="70"/>
  <c r="E370" i="70"/>
  <c r="E350" i="70"/>
  <c r="E372" i="70"/>
  <c r="E251" i="70"/>
  <c r="E222" i="70"/>
  <c r="E228" i="70"/>
  <c r="E348" i="70"/>
  <c r="E357" i="70"/>
  <c r="E355" i="70"/>
  <c r="E360" i="70"/>
  <c r="E362" i="70"/>
  <c r="E371" i="70"/>
  <c r="E364" i="70"/>
  <c r="E366" i="70"/>
  <c r="E354" i="70"/>
  <c r="E373" i="70"/>
  <c r="E356" i="70"/>
  <c r="E345" i="70"/>
  <c r="E347" i="70"/>
  <c r="E352" i="70"/>
  <c r="E349" i="70"/>
  <c r="F14" i="70"/>
  <c r="G14" i="70" s="1"/>
  <c r="E26" i="70"/>
  <c r="F27" i="21" s="1"/>
  <c r="E375" i="70"/>
  <c r="E399" i="70"/>
  <c r="E391" i="70"/>
  <c r="E397" i="70"/>
  <c r="E378" i="70"/>
  <c r="E389" i="70"/>
  <c r="E230" i="70"/>
  <c r="E392" i="70"/>
  <c r="E226" i="70"/>
  <c r="E236" i="70"/>
  <c r="E249" i="70"/>
  <c r="E143" i="70"/>
  <c r="E156" i="70"/>
  <c r="E153" i="70"/>
  <c r="E181" i="70"/>
  <c r="E178" i="70"/>
  <c r="E169" i="70"/>
  <c r="E417" i="70"/>
  <c r="E411" i="70"/>
  <c r="E149" i="70"/>
  <c r="E150" i="70"/>
  <c r="E141" i="70"/>
  <c r="E290" i="70"/>
  <c r="E310" i="70"/>
  <c r="E308" i="70"/>
  <c r="E158" i="70"/>
  <c r="E135" i="70"/>
  <c r="E139" i="70"/>
  <c r="E133" i="70"/>
  <c r="E134" i="70"/>
  <c r="E313" i="70"/>
  <c r="E292" i="70"/>
  <c r="E288" i="70"/>
  <c r="E302" i="70"/>
  <c r="E160" i="70"/>
  <c r="E144" i="70"/>
  <c r="E297" i="70"/>
  <c r="E299" i="70"/>
  <c r="E289" i="70"/>
  <c r="E379" i="70"/>
  <c r="E383" i="70"/>
  <c r="E231" i="70"/>
  <c r="E234" i="70"/>
  <c r="E384" i="70"/>
  <c r="E388" i="70"/>
  <c r="E247" i="70"/>
  <c r="E232" i="70"/>
  <c r="E233" i="70"/>
  <c r="E227" i="70"/>
  <c r="E376" i="70"/>
  <c r="E252" i="70"/>
  <c r="E381" i="70"/>
  <c r="E393" i="70"/>
  <c r="E398" i="70"/>
  <c r="E394" i="70"/>
  <c r="E396" i="70"/>
  <c r="E390" i="70"/>
  <c r="E242" i="70"/>
  <c r="E238" i="70"/>
  <c r="E224" i="70"/>
  <c r="E246" i="70"/>
  <c r="E244" i="70"/>
  <c r="E250" i="70"/>
  <c r="E401" i="70"/>
  <c r="E229" i="70"/>
  <c r="E382" i="70"/>
  <c r="E380" i="70"/>
  <c r="E377" i="70"/>
  <c r="E403" i="70"/>
  <c r="E405" i="70"/>
  <c r="E404" i="70"/>
  <c r="E400" i="70"/>
  <c r="E241" i="70"/>
  <c r="E248" i="70"/>
  <c r="E235" i="70"/>
  <c r="E429" i="70"/>
  <c r="E245" i="70"/>
  <c r="E426" i="70"/>
  <c r="E402" i="70"/>
  <c r="E257" i="70"/>
  <c r="E189" i="70"/>
  <c r="E419" i="70"/>
  <c r="E409" i="70"/>
  <c r="E175" i="70"/>
  <c r="E147" i="70"/>
  <c r="E154" i="70"/>
  <c r="E155" i="70"/>
  <c r="E151" i="70"/>
  <c r="E145" i="70"/>
  <c r="E136" i="70"/>
  <c r="E146" i="70"/>
  <c r="E305" i="70"/>
  <c r="E294" i="70"/>
  <c r="E287" i="70"/>
  <c r="E283" i="70"/>
  <c r="E291" i="70"/>
  <c r="E303" i="70"/>
  <c r="E138" i="70"/>
  <c r="E140" i="70"/>
  <c r="E157" i="70"/>
  <c r="E298" i="70"/>
  <c r="E311" i="70"/>
  <c r="E295" i="70"/>
  <c r="E309" i="70"/>
  <c r="E284" i="70"/>
  <c r="E306" i="70"/>
  <c r="E301" i="70"/>
  <c r="E148" i="70"/>
  <c r="E137" i="70"/>
  <c r="E254" i="70"/>
  <c r="E278" i="70"/>
  <c r="E256" i="70"/>
  <c r="E268" i="70"/>
  <c r="E272" i="70"/>
  <c r="E274" i="70"/>
  <c r="E263" i="70"/>
  <c r="E173" i="70"/>
  <c r="E183" i="70"/>
  <c r="E186" i="70"/>
  <c r="E180" i="70"/>
  <c r="E191" i="70"/>
  <c r="E187" i="70"/>
  <c r="E165" i="70"/>
  <c r="E167" i="70"/>
  <c r="E225" i="70"/>
  <c r="E434" i="70"/>
  <c r="E239" i="70"/>
  <c r="E312" i="70"/>
  <c r="E300" i="70"/>
  <c r="E427" i="70"/>
  <c r="E237" i="70"/>
  <c r="E293" i="70"/>
  <c r="E413" i="70"/>
  <c r="E407" i="70"/>
  <c r="E432" i="70"/>
  <c r="E296" i="70"/>
  <c r="E260" i="70"/>
  <c r="E269" i="70"/>
  <c r="E259" i="70"/>
  <c r="E262" i="70"/>
  <c r="E304" i="70"/>
  <c r="E243" i="70"/>
  <c r="E285" i="70"/>
  <c r="E415" i="70"/>
  <c r="E421" i="70"/>
  <c r="E240" i="70"/>
  <c r="E286" i="70"/>
  <c r="E428" i="70"/>
  <c r="E385" i="70"/>
  <c r="E273" i="70"/>
  <c r="E223" i="70"/>
  <c r="E152" i="70"/>
  <c r="E395" i="70"/>
  <c r="E279" i="70"/>
  <c r="E386" i="70"/>
  <c r="E179" i="70"/>
  <c r="E172" i="70"/>
  <c r="E142" i="70"/>
  <c r="E282" i="70"/>
  <c r="E171" i="70"/>
  <c r="E275" i="70"/>
  <c r="E435" i="70"/>
  <c r="E190" i="70"/>
  <c r="E164" i="70"/>
  <c r="E170" i="70"/>
  <c r="E168" i="70"/>
  <c r="E182" i="70"/>
  <c r="E418" i="70"/>
  <c r="E424" i="70"/>
  <c r="E430" i="70"/>
  <c r="E412" i="70"/>
  <c r="E271" i="70"/>
  <c r="E253" i="70"/>
  <c r="E277" i="70"/>
  <c r="E422" i="70"/>
  <c r="E425" i="70"/>
  <c r="E420" i="70"/>
  <c r="E408" i="70"/>
  <c r="E416" i="70"/>
  <c r="E267" i="70"/>
  <c r="E258" i="70"/>
  <c r="E266" i="70"/>
  <c r="E162" i="70"/>
  <c r="E177" i="70"/>
  <c r="E276" i="70"/>
  <c r="E174" i="70"/>
  <c r="E188" i="70"/>
  <c r="E163" i="70"/>
  <c r="E185" i="70"/>
  <c r="E166" i="70"/>
  <c r="E176" i="70"/>
  <c r="E433" i="70"/>
  <c r="E431" i="70"/>
  <c r="E414" i="70"/>
  <c r="E270" i="70"/>
  <c r="E255" i="70"/>
  <c r="E261" i="70"/>
  <c r="E423" i="70"/>
  <c r="E406" i="70"/>
  <c r="E281" i="70"/>
  <c r="E265" i="70"/>
  <c r="E280" i="70"/>
  <c r="E184" i="70"/>
  <c r="F65" i="70"/>
  <c r="F62" i="70"/>
  <c r="F58" i="70"/>
  <c r="F79" i="66"/>
  <c r="M59" i="67" s="1"/>
  <c r="F76" i="66"/>
  <c r="M56" i="67" s="1"/>
  <c r="F63" i="70"/>
  <c r="F61" i="70"/>
  <c r="F59" i="70"/>
  <c r="F66" i="70"/>
  <c r="F72" i="66"/>
  <c r="M52" i="67" s="1"/>
  <c r="F57" i="70"/>
  <c r="F60" i="70"/>
  <c r="F64" i="70"/>
  <c r="F103" i="69"/>
  <c r="F134" i="69"/>
  <c r="F130" i="69"/>
  <c r="F132" i="69"/>
  <c r="F137" i="69"/>
  <c r="F129" i="69"/>
  <c r="F136" i="69"/>
  <c r="F133" i="69"/>
  <c r="F126" i="69"/>
  <c r="F74" i="66"/>
  <c r="M54" i="67" s="1"/>
  <c r="F73" i="66"/>
  <c r="M53" i="67" s="1"/>
  <c r="F71" i="66"/>
  <c r="M51" i="67" s="1"/>
  <c r="F77" i="66"/>
  <c r="M57" i="67" s="1"/>
  <c r="F80" i="66"/>
  <c r="M60" i="67" s="1"/>
  <c r="F78" i="66"/>
  <c r="M58" i="67" s="1"/>
  <c r="F75" i="66"/>
  <c r="M55" i="67" s="1"/>
  <c r="S57" i="67" l="1"/>
  <c r="S58" i="67"/>
  <c r="S60" i="67"/>
  <c r="S59" i="67"/>
  <c r="S54" i="67"/>
  <c r="S53" i="67"/>
  <c r="S56" i="67"/>
  <c r="S51" i="67"/>
  <c r="S55" i="67"/>
  <c r="S52" i="67"/>
  <c r="M30" i="73"/>
  <c r="E106" i="70"/>
  <c r="E118" i="70"/>
  <c r="E120" i="70"/>
  <c r="E122" i="70"/>
  <c r="E102" i="70"/>
  <c r="E128" i="70"/>
  <c r="E119" i="70"/>
  <c r="E107" i="70"/>
  <c r="E113" i="70"/>
  <c r="E105" i="70"/>
  <c r="E124" i="70"/>
  <c r="E104" i="70"/>
  <c r="E116" i="70"/>
  <c r="E112" i="70"/>
  <c r="E132" i="70"/>
  <c r="E114" i="70"/>
  <c r="E125" i="70"/>
  <c r="E103" i="70"/>
  <c r="E110" i="70"/>
  <c r="E115" i="70"/>
  <c r="E126" i="70"/>
  <c r="E129" i="70"/>
  <c r="E117" i="70"/>
  <c r="E109" i="70"/>
  <c r="E108" i="70"/>
  <c r="E127" i="70"/>
  <c r="E130" i="70"/>
  <c r="E111" i="70"/>
  <c r="E123" i="70"/>
  <c r="E131" i="70"/>
  <c r="E121" i="70"/>
  <c r="F32" i="70"/>
  <c r="F124" i="69"/>
  <c r="F115" i="69"/>
  <c r="F105" i="69"/>
  <c r="F111" i="69"/>
  <c r="F135" i="69"/>
  <c r="F108" i="69"/>
  <c r="F118" i="69"/>
  <c r="F128" i="69"/>
  <c r="F121" i="69"/>
  <c r="F131" i="69"/>
  <c r="F65" i="47"/>
  <c r="F61" i="47"/>
  <c r="F57" i="47"/>
  <c r="F64" i="47"/>
  <c r="F60" i="47"/>
  <c r="F63" i="47"/>
  <c r="F59" i="47"/>
  <c r="F66" i="47"/>
  <c r="F62" i="47"/>
  <c r="F58" i="47"/>
  <c r="F68" i="65"/>
  <c r="F64" i="65"/>
  <c r="F60" i="65"/>
  <c r="F63" i="65"/>
  <c r="F66" i="65"/>
  <c r="F69" i="65"/>
  <c r="F61" i="65"/>
  <c r="F67" i="65"/>
  <c r="F62" i="65"/>
  <c r="F65" i="65"/>
  <c r="G56" i="67" l="1"/>
  <c r="G60" i="67"/>
  <c r="G55" i="67"/>
  <c r="J60" i="67"/>
  <c r="J58" i="67"/>
  <c r="G52" i="67"/>
  <c r="G51" i="67"/>
  <c r="J56" i="67"/>
  <c r="J54" i="67"/>
  <c r="J59" i="67"/>
  <c r="G53" i="67"/>
  <c r="G57" i="67"/>
  <c r="G59" i="67"/>
  <c r="J53" i="67"/>
  <c r="J51" i="67"/>
  <c r="G58" i="67"/>
  <c r="G54" i="67"/>
  <c r="H40" i="84"/>
  <c r="AH54" i="67" s="1"/>
  <c r="J52" i="67"/>
  <c r="J57" i="67"/>
  <c r="J55" i="67"/>
  <c r="S26" i="67"/>
  <c r="M31" i="73"/>
  <c r="B23" i="73"/>
  <c r="F47" i="70"/>
  <c r="F34" i="70"/>
  <c r="F40" i="70"/>
  <c r="F37" i="70"/>
  <c r="F44" i="70"/>
  <c r="F55" i="70"/>
  <c r="F50" i="70"/>
  <c r="F53" i="70"/>
  <c r="D7" i="20"/>
  <c r="H45" i="84" l="1"/>
  <c r="AH59" i="67" s="1"/>
  <c r="H39" i="84"/>
  <c r="AH53" i="67" s="1"/>
  <c r="H42" i="84"/>
  <c r="AH56" i="67" s="1"/>
  <c r="H44" i="84"/>
  <c r="AH58" i="67" s="1"/>
  <c r="H43" i="84"/>
  <c r="AH57" i="67" s="1"/>
  <c r="H38" i="84"/>
  <c r="AH52" i="67" s="1"/>
  <c r="H46" i="84"/>
  <c r="AH60" i="67" s="1"/>
  <c r="H37" i="84"/>
  <c r="AH51" i="67" s="1"/>
  <c r="H41" i="84"/>
  <c r="AH55" i="67" s="1"/>
  <c r="S31" i="67"/>
  <c r="S44" i="67"/>
  <c r="S34" i="67"/>
  <c r="S49" i="67"/>
  <c r="S28" i="67"/>
  <c r="S47" i="67"/>
  <c r="S38" i="67"/>
  <c r="S41" i="67"/>
  <c r="M32" i="73"/>
  <c r="B24" i="73"/>
  <c r="H31" i="66"/>
  <c r="E31" i="66"/>
  <c r="G31" i="66"/>
  <c r="N31" i="66"/>
  <c r="M31" i="66"/>
  <c r="O31" i="66"/>
  <c r="I31" i="66"/>
  <c r="K31" i="66"/>
  <c r="P31" i="66"/>
  <c r="D9" i="20"/>
  <c r="M33" i="73" l="1"/>
  <c r="E23" i="47"/>
  <c r="F23" i="47" s="1"/>
  <c r="G23" i="47" s="1"/>
  <c r="E19" i="47"/>
  <c r="F19" i="47" s="1"/>
  <c r="G19" i="47" s="1"/>
  <c r="E15" i="47"/>
  <c r="F15" i="47" s="1"/>
  <c r="G15" i="47" s="1"/>
  <c r="E25" i="47"/>
  <c r="F25" i="47" s="1"/>
  <c r="E22" i="47"/>
  <c r="F22" i="47" s="1"/>
  <c r="G22" i="47" s="1"/>
  <c r="E18" i="47"/>
  <c r="F18" i="47" s="1"/>
  <c r="G18" i="47" s="1"/>
  <c r="E14" i="47"/>
  <c r="E21" i="47"/>
  <c r="F21" i="47" s="1"/>
  <c r="E16" i="47"/>
  <c r="F16" i="47" s="1"/>
  <c r="G16" i="47" s="1"/>
  <c r="E17" i="47"/>
  <c r="F17" i="47" s="1"/>
  <c r="E24" i="47"/>
  <c r="F24" i="47" s="1"/>
  <c r="G24" i="47" s="1"/>
  <c r="E20" i="47"/>
  <c r="F20" i="47" s="1"/>
  <c r="G20" i="47" s="1"/>
  <c r="Q31" i="66"/>
  <c r="E90" i="20"/>
  <c r="M34" i="73" l="1"/>
  <c r="E189" i="47"/>
  <c r="E173" i="47"/>
  <c r="E187" i="47"/>
  <c r="E166" i="47"/>
  <c r="E175" i="47"/>
  <c r="E179" i="47"/>
  <c r="E178" i="47"/>
  <c r="E183" i="47"/>
  <c r="E181" i="47"/>
  <c r="E165" i="47"/>
  <c r="E176" i="47"/>
  <c r="E186" i="47"/>
  <c r="E164" i="47"/>
  <c r="E174" i="47"/>
  <c r="E184" i="47"/>
  <c r="E169" i="47"/>
  <c r="E191" i="47"/>
  <c r="E168" i="47"/>
  <c r="E172" i="47"/>
  <c r="E177" i="47"/>
  <c r="E171" i="47"/>
  <c r="E190" i="47"/>
  <c r="E163" i="47"/>
  <c r="E185" i="47"/>
  <c r="E170" i="47"/>
  <c r="E188" i="47"/>
  <c r="E167" i="47"/>
  <c r="E193" i="47"/>
  <c r="E180" i="47"/>
  <c r="E192" i="47"/>
  <c r="E182" i="47"/>
  <c r="E365" i="47"/>
  <c r="E371" i="47"/>
  <c r="E349" i="47"/>
  <c r="E364" i="47"/>
  <c r="E350" i="47"/>
  <c r="E359" i="47"/>
  <c r="E363" i="47"/>
  <c r="E366" i="47"/>
  <c r="E357" i="47"/>
  <c r="E354" i="47"/>
  <c r="E376" i="47"/>
  <c r="E355" i="47"/>
  <c r="E362" i="47"/>
  <c r="E360" i="47"/>
  <c r="E353" i="47"/>
  <c r="E356" i="47"/>
  <c r="E373" i="47"/>
  <c r="E370" i="47"/>
  <c r="E367" i="47"/>
  <c r="E375" i="47"/>
  <c r="E372" i="47"/>
  <c r="E348" i="47"/>
  <c r="E368" i="47"/>
  <c r="E352" i="47"/>
  <c r="E369" i="47"/>
  <c r="E361" i="47"/>
  <c r="E351" i="47"/>
  <c r="E347" i="47"/>
  <c r="E374" i="47"/>
  <c r="E358" i="47"/>
  <c r="E379" i="47"/>
  <c r="E398" i="47"/>
  <c r="E391" i="47"/>
  <c r="E394" i="47"/>
  <c r="E405" i="47"/>
  <c r="E378" i="47"/>
  <c r="E393" i="47"/>
  <c r="E404" i="47"/>
  <c r="E388" i="47"/>
  <c r="E386" i="47"/>
  <c r="E382" i="47"/>
  <c r="E406" i="47"/>
  <c r="E390" i="47"/>
  <c r="E392" i="47"/>
  <c r="E381" i="47"/>
  <c r="E385" i="47"/>
  <c r="E396" i="47"/>
  <c r="E384" i="47"/>
  <c r="E399" i="47"/>
  <c r="E400" i="47"/>
  <c r="E401" i="47"/>
  <c r="E403" i="47"/>
  <c r="E387" i="47"/>
  <c r="E397" i="47"/>
  <c r="E402" i="47"/>
  <c r="E380" i="47"/>
  <c r="E377" i="47"/>
  <c r="E383" i="47"/>
  <c r="E395" i="47"/>
  <c r="E407" i="47"/>
  <c r="E389" i="47"/>
  <c r="E297" i="47"/>
  <c r="E301" i="47"/>
  <c r="E293" i="47"/>
  <c r="E303" i="47"/>
  <c r="E307" i="47"/>
  <c r="E313" i="47"/>
  <c r="E300" i="47"/>
  <c r="E315" i="47"/>
  <c r="E298" i="47"/>
  <c r="E287" i="47"/>
  <c r="E310" i="47"/>
  <c r="E290" i="47"/>
  <c r="E295" i="47"/>
  <c r="E314" i="47"/>
  <c r="E292" i="47"/>
  <c r="E311" i="47"/>
  <c r="E289" i="47"/>
  <c r="E302" i="47"/>
  <c r="E299" i="47"/>
  <c r="E296" i="47"/>
  <c r="E291" i="47"/>
  <c r="E294" i="47"/>
  <c r="E308" i="47"/>
  <c r="E286" i="47"/>
  <c r="E312" i="47"/>
  <c r="E305" i="47"/>
  <c r="E285" i="47"/>
  <c r="E306" i="47"/>
  <c r="E304" i="47"/>
  <c r="E288" i="47"/>
  <c r="E309" i="47"/>
  <c r="E429" i="47"/>
  <c r="E413" i="47"/>
  <c r="E422" i="47"/>
  <c r="E431" i="47"/>
  <c r="E410" i="47"/>
  <c r="E419" i="47"/>
  <c r="E434" i="47"/>
  <c r="E437" i="47"/>
  <c r="E421" i="47"/>
  <c r="E432" i="47"/>
  <c r="E411" i="47"/>
  <c r="E420" i="47"/>
  <c r="E430" i="47"/>
  <c r="E408" i="47"/>
  <c r="E412" i="47"/>
  <c r="E409" i="47"/>
  <c r="E426" i="47"/>
  <c r="E414" i="47"/>
  <c r="E417" i="47"/>
  <c r="E436" i="47"/>
  <c r="E424" i="47"/>
  <c r="E428" i="47"/>
  <c r="E425" i="47"/>
  <c r="E435" i="47"/>
  <c r="E427" i="47"/>
  <c r="E416" i="47"/>
  <c r="E433" i="47"/>
  <c r="E415" i="47"/>
  <c r="E423" i="47"/>
  <c r="E418" i="47"/>
  <c r="F14" i="47"/>
  <c r="G14" i="47" s="1"/>
  <c r="E26" i="47"/>
  <c r="F25" i="21" s="1"/>
  <c r="E140" i="47"/>
  <c r="E159" i="47"/>
  <c r="E135" i="47"/>
  <c r="E155" i="47"/>
  <c r="E143" i="47"/>
  <c r="E148" i="47"/>
  <c r="E146" i="47"/>
  <c r="E152" i="47"/>
  <c r="E161" i="47"/>
  <c r="E151" i="47"/>
  <c r="E139" i="47"/>
  <c r="E162" i="47"/>
  <c r="E144" i="47"/>
  <c r="E154" i="47"/>
  <c r="E141" i="47"/>
  <c r="E145" i="47"/>
  <c r="E157" i="47"/>
  <c r="E138" i="47"/>
  <c r="E147" i="47"/>
  <c r="E149" i="47"/>
  <c r="E136" i="47"/>
  <c r="E153" i="47"/>
  <c r="E150" i="47"/>
  <c r="E160" i="47"/>
  <c r="E158" i="47"/>
  <c r="E137" i="47"/>
  <c r="E142" i="47"/>
  <c r="E156" i="47"/>
  <c r="E247" i="47"/>
  <c r="E241" i="47"/>
  <c r="E244" i="47"/>
  <c r="E252" i="47"/>
  <c r="E235" i="47"/>
  <c r="E250" i="47"/>
  <c r="E238" i="47"/>
  <c r="E231" i="47"/>
  <c r="E233" i="47"/>
  <c r="E239" i="47"/>
  <c r="E253" i="47"/>
  <c r="E225" i="47"/>
  <c r="E242" i="47"/>
  <c r="E229" i="47"/>
  <c r="E224" i="47"/>
  <c r="E226" i="47"/>
  <c r="E251" i="47"/>
  <c r="E227" i="47"/>
  <c r="E240" i="47"/>
  <c r="E234" i="47"/>
  <c r="E230" i="47"/>
  <c r="E228" i="47"/>
  <c r="E254" i="47"/>
  <c r="E236" i="47"/>
  <c r="E232" i="47"/>
  <c r="E249" i="47"/>
  <c r="E245" i="47"/>
  <c r="E237" i="47"/>
  <c r="E243" i="47"/>
  <c r="E248" i="47"/>
  <c r="E246" i="47"/>
  <c r="E277" i="47"/>
  <c r="E274" i="47"/>
  <c r="E262" i="47"/>
  <c r="E256" i="47"/>
  <c r="E263" i="47"/>
  <c r="E255" i="47"/>
  <c r="E273" i="47"/>
  <c r="E258" i="47"/>
  <c r="E282" i="47"/>
  <c r="E271" i="47"/>
  <c r="E279" i="47"/>
  <c r="E268" i="47"/>
  <c r="E278" i="47"/>
  <c r="E270" i="47"/>
  <c r="E267" i="47"/>
  <c r="E259" i="47"/>
  <c r="E261" i="47"/>
  <c r="E269" i="47"/>
  <c r="E272" i="47"/>
  <c r="E283" i="47"/>
  <c r="E275" i="47"/>
  <c r="E281" i="47"/>
  <c r="E257" i="47"/>
  <c r="E260" i="47"/>
  <c r="E266" i="47"/>
  <c r="E276" i="47"/>
  <c r="E264" i="47"/>
  <c r="E265" i="47"/>
  <c r="E280" i="47"/>
  <c r="E284" i="47"/>
  <c r="D80" i="20"/>
  <c r="M35" i="73" l="1"/>
  <c r="F32" i="47"/>
  <c r="E128" i="47"/>
  <c r="E132" i="47"/>
  <c r="E112" i="47"/>
  <c r="E127" i="47"/>
  <c r="E114" i="47"/>
  <c r="E106" i="47"/>
  <c r="E120" i="47"/>
  <c r="E109" i="47"/>
  <c r="E124" i="47"/>
  <c r="E125" i="47"/>
  <c r="E116" i="47"/>
  <c r="E105" i="47"/>
  <c r="E113" i="47"/>
  <c r="E126" i="47"/>
  <c r="E119" i="47"/>
  <c r="E123" i="47"/>
  <c r="E134" i="47"/>
  <c r="E130" i="47"/>
  <c r="E129" i="47"/>
  <c r="E118" i="47"/>
  <c r="E107" i="47"/>
  <c r="E110" i="47"/>
  <c r="E131" i="47"/>
  <c r="E104" i="47"/>
  <c r="E133" i="47"/>
  <c r="E111" i="47"/>
  <c r="E117" i="47"/>
  <c r="E115" i="47"/>
  <c r="E122" i="47"/>
  <c r="E108" i="47"/>
  <c r="E121" i="47"/>
  <c r="E140" i="20"/>
  <c r="D141" i="20"/>
  <c r="E141" i="20" s="1"/>
  <c r="D139" i="20"/>
  <c r="E139" i="20" s="1"/>
  <c r="J26" i="67" l="1"/>
  <c r="M36" i="73"/>
  <c r="F55" i="47"/>
  <c r="F40" i="47"/>
  <c r="F34" i="47"/>
  <c r="F53" i="47"/>
  <c r="F50" i="47"/>
  <c r="F37" i="47"/>
  <c r="F47" i="47"/>
  <c r="F44" i="47"/>
  <c r="E142" i="20"/>
  <c r="J44" i="67" l="1"/>
  <c r="J38" i="67"/>
  <c r="J41" i="67"/>
  <c r="J28" i="67"/>
  <c r="J49" i="67"/>
  <c r="J47" i="67"/>
  <c r="J31" i="67"/>
  <c r="J34" i="67"/>
  <c r="M37" i="73"/>
  <c r="E86" i="20"/>
  <c r="E85" i="20"/>
  <c r="E84" i="20"/>
  <c r="M38" i="73" l="1"/>
  <c r="J50" i="63"/>
  <c r="J51" i="63"/>
  <c r="J52" i="63"/>
  <c r="J53" i="63"/>
  <c r="J54" i="63"/>
  <c r="J55" i="63"/>
  <c r="J56" i="63"/>
  <c r="J57" i="63"/>
  <c r="J58" i="63"/>
  <c r="J59" i="63"/>
  <c r="J60" i="63"/>
  <c r="J61" i="63"/>
  <c r="J62" i="63"/>
  <c r="J63" i="63"/>
  <c r="J64" i="63"/>
  <c r="J65" i="63"/>
  <c r="J66" i="63"/>
  <c r="J67" i="63"/>
  <c r="J68" i="63"/>
  <c r="J69" i="63"/>
  <c r="J70" i="63"/>
  <c r="J71" i="63"/>
  <c r="J72" i="63"/>
  <c r="J73" i="63"/>
  <c r="J46" i="63"/>
  <c r="J42" i="63"/>
  <c r="J38" i="63"/>
  <c r="J34" i="63"/>
  <c r="J30" i="63"/>
  <c r="J26" i="63"/>
  <c r="J22" i="63"/>
  <c r="J18" i="63"/>
  <c r="J14" i="63"/>
  <c r="J47" i="63"/>
  <c r="J43" i="63"/>
  <c r="J39" i="63"/>
  <c r="J35" i="63"/>
  <c r="J31" i="63"/>
  <c r="J27" i="63"/>
  <c r="J23" i="63"/>
  <c r="J19" i="63"/>
  <c r="J15" i="63"/>
  <c r="J48" i="63"/>
  <c r="J44" i="63"/>
  <c r="J40" i="63"/>
  <c r="J36" i="63"/>
  <c r="J32" i="63"/>
  <c r="J28" i="63"/>
  <c r="J24" i="63"/>
  <c r="J20" i="63"/>
  <c r="J16" i="63"/>
  <c r="J49" i="63"/>
  <c r="J45" i="63"/>
  <c r="J41" i="63"/>
  <c r="J37" i="63"/>
  <c r="J33" i="63"/>
  <c r="J29" i="63"/>
  <c r="J25" i="63"/>
  <c r="J21" i="63"/>
  <c r="J17" i="63"/>
  <c r="K50" i="63"/>
  <c r="K51" i="63"/>
  <c r="K52" i="63"/>
  <c r="K53" i="63"/>
  <c r="K54" i="63"/>
  <c r="K55" i="63"/>
  <c r="K56" i="63"/>
  <c r="K57" i="63"/>
  <c r="K58" i="63"/>
  <c r="K59" i="63"/>
  <c r="K60" i="63"/>
  <c r="K61" i="63"/>
  <c r="K62" i="63"/>
  <c r="K63" i="63"/>
  <c r="K64" i="63"/>
  <c r="K65" i="63"/>
  <c r="K66" i="63"/>
  <c r="K67" i="63"/>
  <c r="K68" i="63"/>
  <c r="K69" i="63"/>
  <c r="K70" i="63"/>
  <c r="K71" i="63"/>
  <c r="K72" i="63"/>
  <c r="K73" i="63"/>
  <c r="K47" i="63"/>
  <c r="K43" i="63"/>
  <c r="K39" i="63"/>
  <c r="K35" i="63"/>
  <c r="K31" i="63"/>
  <c r="K27" i="63"/>
  <c r="K23" i="63"/>
  <c r="K19" i="63"/>
  <c r="K15" i="63"/>
  <c r="K48" i="63"/>
  <c r="K44" i="63"/>
  <c r="K40" i="63"/>
  <c r="K36" i="63"/>
  <c r="K32" i="63"/>
  <c r="K28" i="63"/>
  <c r="K24" i="63"/>
  <c r="K20" i="63"/>
  <c r="K16" i="63"/>
  <c r="K49" i="63"/>
  <c r="K45" i="63"/>
  <c r="K41" i="63"/>
  <c r="K37" i="63"/>
  <c r="K33" i="63"/>
  <c r="K29" i="63"/>
  <c r="K25" i="63"/>
  <c r="K21" i="63"/>
  <c r="K17" i="63"/>
  <c r="K46" i="63"/>
  <c r="K42" i="63"/>
  <c r="K38" i="63"/>
  <c r="K34" i="63"/>
  <c r="K30" i="63"/>
  <c r="K26" i="63"/>
  <c r="K22" i="63"/>
  <c r="K18" i="63"/>
  <c r="K14" i="63"/>
  <c r="L50" i="63"/>
  <c r="L51" i="63"/>
  <c r="L52" i="63"/>
  <c r="L53" i="63"/>
  <c r="L54" i="63"/>
  <c r="L55" i="63"/>
  <c r="L56" i="63"/>
  <c r="L57" i="63"/>
  <c r="L58" i="63"/>
  <c r="L59" i="63"/>
  <c r="L60" i="63"/>
  <c r="L61" i="63"/>
  <c r="L62" i="63"/>
  <c r="L63" i="63"/>
  <c r="L64" i="63"/>
  <c r="L65" i="63"/>
  <c r="L66" i="63"/>
  <c r="L67" i="63"/>
  <c r="L68" i="63"/>
  <c r="L69" i="63"/>
  <c r="L70" i="63"/>
  <c r="L71" i="63"/>
  <c r="L72" i="63"/>
  <c r="L73" i="63"/>
  <c r="L48" i="63"/>
  <c r="L44" i="63"/>
  <c r="L40" i="63"/>
  <c r="L36" i="63"/>
  <c r="L32" i="63"/>
  <c r="L28" i="63"/>
  <c r="L24" i="63"/>
  <c r="L20" i="63"/>
  <c r="L16" i="63"/>
  <c r="L49" i="63"/>
  <c r="L45" i="63"/>
  <c r="L41" i="63"/>
  <c r="L37" i="63"/>
  <c r="L33" i="63"/>
  <c r="L29" i="63"/>
  <c r="L25" i="63"/>
  <c r="L21" i="63"/>
  <c r="L17" i="63"/>
  <c r="L46" i="63"/>
  <c r="L42" i="63"/>
  <c r="L38" i="63"/>
  <c r="L34" i="63"/>
  <c r="L30" i="63"/>
  <c r="L26" i="63"/>
  <c r="L22" i="63"/>
  <c r="L18" i="63"/>
  <c r="L14" i="63"/>
  <c r="L47" i="63"/>
  <c r="L43" i="63"/>
  <c r="L39" i="63"/>
  <c r="L35" i="63"/>
  <c r="L31" i="63"/>
  <c r="L27" i="63"/>
  <c r="L23" i="63"/>
  <c r="L19" i="63"/>
  <c r="L15" i="63"/>
  <c r="E125" i="20"/>
  <c r="E129" i="20"/>
  <c r="E128" i="20"/>
  <c r="E124" i="20"/>
  <c r="E123" i="20"/>
  <c r="M39" i="73" l="1"/>
  <c r="M14" i="63"/>
  <c r="M49" i="63"/>
  <c r="V60" i="67" s="1"/>
  <c r="AE60" i="67" s="1"/>
  <c r="M21" i="63"/>
  <c r="V32" i="67" s="1"/>
  <c r="M37" i="63"/>
  <c r="V48" i="67" s="1"/>
  <c r="M16" i="63"/>
  <c r="V27" i="67" s="1"/>
  <c r="M32" i="63"/>
  <c r="V43" i="67" s="1"/>
  <c r="M48" i="63"/>
  <c r="V59" i="67" s="1"/>
  <c r="AE59" i="67" s="1"/>
  <c r="M27" i="63"/>
  <c r="V38" i="67" s="1"/>
  <c r="M43" i="63"/>
  <c r="V54" i="67" s="1"/>
  <c r="AE54" i="67" s="1"/>
  <c r="M22" i="63"/>
  <c r="V33" i="67" s="1"/>
  <c r="M38" i="63"/>
  <c r="V49" i="67" s="1"/>
  <c r="M72" i="63"/>
  <c r="M68" i="63"/>
  <c r="M64" i="63"/>
  <c r="M60" i="63"/>
  <c r="M56" i="63"/>
  <c r="M52" i="63"/>
  <c r="M25" i="63"/>
  <c r="V36" i="67" s="1"/>
  <c r="M41" i="63"/>
  <c r="V52" i="67" s="1"/>
  <c r="AE52" i="67" s="1"/>
  <c r="M20" i="63"/>
  <c r="V31" i="67" s="1"/>
  <c r="M36" i="63"/>
  <c r="V47" i="67" s="1"/>
  <c r="M15" i="63"/>
  <c r="V26" i="67" s="1"/>
  <c r="M31" i="63"/>
  <c r="V42" i="67" s="1"/>
  <c r="M47" i="63"/>
  <c r="V58" i="67" s="1"/>
  <c r="AE58" i="67" s="1"/>
  <c r="M26" i="63"/>
  <c r="V37" i="67" s="1"/>
  <c r="M42" i="63"/>
  <c r="V53" i="67" s="1"/>
  <c r="AE53" i="67" s="1"/>
  <c r="M71" i="63"/>
  <c r="M67" i="63"/>
  <c r="M63" i="63"/>
  <c r="M59" i="63"/>
  <c r="M55" i="63"/>
  <c r="M51" i="63"/>
  <c r="M29" i="63"/>
  <c r="V40" i="67" s="1"/>
  <c r="M45" i="63"/>
  <c r="V56" i="67" s="1"/>
  <c r="AE56" i="67" s="1"/>
  <c r="M24" i="63"/>
  <c r="V35" i="67" s="1"/>
  <c r="M40" i="63"/>
  <c r="V51" i="67" s="1"/>
  <c r="AE51" i="67" s="1"/>
  <c r="M19" i="63"/>
  <c r="V30" i="67" s="1"/>
  <c r="M35" i="63"/>
  <c r="V46" i="67" s="1"/>
  <c r="M30" i="63"/>
  <c r="V41" i="67" s="1"/>
  <c r="M46" i="63"/>
  <c r="V57" i="67" s="1"/>
  <c r="AE57" i="67" s="1"/>
  <c r="M70" i="63"/>
  <c r="M66" i="63"/>
  <c r="M62" i="63"/>
  <c r="M58" i="63"/>
  <c r="M54" i="63"/>
  <c r="M50" i="63"/>
  <c r="M17" i="63"/>
  <c r="V28" i="67" s="1"/>
  <c r="M33" i="63"/>
  <c r="V44" i="67" s="1"/>
  <c r="M28" i="63"/>
  <c r="V39" i="67" s="1"/>
  <c r="M44" i="63"/>
  <c r="V55" i="67" s="1"/>
  <c r="AE55" i="67" s="1"/>
  <c r="M23" i="63"/>
  <c r="V34" i="67" s="1"/>
  <c r="M39" i="63"/>
  <c r="V50" i="67" s="1"/>
  <c r="M18" i="63"/>
  <c r="V29" i="67" s="1"/>
  <c r="M34" i="63"/>
  <c r="V45" i="67" s="1"/>
  <c r="M73" i="63"/>
  <c r="M69" i="63"/>
  <c r="M65" i="63"/>
  <c r="M61" i="63"/>
  <c r="M57" i="63"/>
  <c r="M53" i="63"/>
  <c r="E131" i="20"/>
  <c r="E126" i="20"/>
  <c r="V25" i="67" l="1"/>
  <c r="F29" i="21"/>
  <c r="M40" i="73"/>
  <c r="E96" i="20"/>
  <c r="E95" i="20"/>
  <c r="E94" i="20"/>
  <c r="E93" i="20"/>
  <c r="E91" i="20"/>
  <c r="D72" i="20"/>
  <c r="D71" i="20"/>
  <c r="D8" i="20" s="1"/>
  <c r="D70" i="20"/>
  <c r="D61" i="20"/>
  <c r="D60" i="20"/>
  <c r="D58" i="20"/>
  <c r="D57" i="20"/>
  <c r="D55" i="20"/>
  <c r="D54" i="20"/>
  <c r="D52" i="20"/>
  <c r="D51" i="20"/>
  <c r="D24" i="20"/>
  <c r="D23" i="20"/>
  <c r="M41" i="73" l="1"/>
  <c r="E17" i="65"/>
  <c r="E26" i="65"/>
  <c r="F26" i="65" s="1"/>
  <c r="G26" i="65" s="1"/>
  <c r="E22" i="65"/>
  <c r="F22" i="65" s="1"/>
  <c r="G22" i="65" s="1"/>
  <c r="E18" i="65"/>
  <c r="F18" i="65" s="1"/>
  <c r="G18" i="65" s="1"/>
  <c r="E28" i="65"/>
  <c r="F28" i="65" s="1"/>
  <c r="E23" i="65"/>
  <c r="F23" i="65" s="1"/>
  <c r="G23" i="65" s="1"/>
  <c r="E25" i="65"/>
  <c r="F25" i="65" s="1"/>
  <c r="G25" i="65" s="1"/>
  <c r="E21" i="65"/>
  <c r="F21" i="65" s="1"/>
  <c r="G21" i="65" s="1"/>
  <c r="E20" i="65"/>
  <c r="F20" i="65" s="1"/>
  <c r="E19" i="65"/>
  <c r="F19" i="65" s="1"/>
  <c r="G19" i="65" s="1"/>
  <c r="E24" i="65"/>
  <c r="F24" i="65" s="1"/>
  <c r="E27" i="65"/>
  <c r="F27" i="65" s="1"/>
  <c r="G27" i="65" s="1"/>
  <c r="E23" i="66"/>
  <c r="E37" i="66" s="1"/>
  <c r="G23" i="66"/>
  <c r="G37" i="66" s="1"/>
  <c r="G38" i="66" s="1"/>
  <c r="G39" i="66" s="1"/>
  <c r="F23" i="66"/>
  <c r="F37" i="66" s="1"/>
  <c r="F38" i="66" s="1"/>
  <c r="F39" i="66" s="1"/>
  <c r="J23" i="66"/>
  <c r="J37" i="66" s="1"/>
  <c r="J38" i="66" s="1"/>
  <c r="J39" i="66" s="1"/>
  <c r="N23" i="66"/>
  <c r="N37" i="66" s="1"/>
  <c r="N38" i="66" s="1"/>
  <c r="N39" i="66" s="1"/>
  <c r="H23" i="66"/>
  <c r="H37" i="66" s="1"/>
  <c r="H38" i="66" s="1"/>
  <c r="L23" i="66"/>
  <c r="L37" i="66" s="1"/>
  <c r="L38" i="66" s="1"/>
  <c r="P23" i="66"/>
  <c r="P37" i="66" s="1"/>
  <c r="P38" i="66" s="1"/>
  <c r="M23" i="66"/>
  <c r="M37" i="66" s="1"/>
  <c r="M38" i="66" s="1"/>
  <c r="M39" i="66" s="1"/>
  <c r="K23" i="66"/>
  <c r="K37" i="66" s="1"/>
  <c r="K38" i="66" s="1"/>
  <c r="K39" i="66" s="1"/>
  <c r="O23" i="66"/>
  <c r="O37" i="66" s="1"/>
  <c r="O38" i="66" s="1"/>
  <c r="O39" i="66" s="1"/>
  <c r="I23" i="66"/>
  <c r="I37" i="66" s="1"/>
  <c r="I38" i="66" s="1"/>
  <c r="I39" i="66" s="1"/>
  <c r="Q23" i="66"/>
  <c r="D75" i="20"/>
  <c r="M42" i="73" l="1"/>
  <c r="E357" i="66"/>
  <c r="E372" i="66"/>
  <c r="E378" i="66"/>
  <c r="E379" i="66"/>
  <c r="E382" i="66"/>
  <c r="E361" i="66"/>
  <c r="E360" i="66"/>
  <c r="E369" i="66"/>
  <c r="E374" i="66"/>
  <c r="E365" i="66"/>
  <c r="E366" i="66"/>
  <c r="E359" i="66"/>
  <c r="E383" i="66"/>
  <c r="E373" i="66"/>
  <c r="E358" i="66"/>
  <c r="E384" i="66"/>
  <c r="E371" i="66"/>
  <c r="E380" i="66"/>
  <c r="E363" i="66"/>
  <c r="E376" i="66"/>
  <c r="E386" i="66"/>
  <c r="E368" i="66"/>
  <c r="E364" i="66"/>
  <c r="E377" i="66"/>
  <c r="E375" i="66"/>
  <c r="E385" i="66"/>
  <c r="E367" i="66"/>
  <c r="E370" i="66"/>
  <c r="E362" i="66"/>
  <c r="E381" i="66"/>
  <c r="E417" i="66"/>
  <c r="E395" i="66"/>
  <c r="E402" i="66"/>
  <c r="E404" i="66"/>
  <c r="E411" i="66"/>
  <c r="E416" i="66"/>
  <c r="E391" i="66"/>
  <c r="E390" i="66"/>
  <c r="E399" i="66"/>
  <c r="E406" i="66"/>
  <c r="E387" i="66"/>
  <c r="E393" i="66"/>
  <c r="E414" i="66"/>
  <c r="E401" i="66"/>
  <c r="E409" i="66"/>
  <c r="E394" i="66"/>
  <c r="E403" i="66"/>
  <c r="E408" i="66"/>
  <c r="E412" i="66"/>
  <c r="E392" i="66"/>
  <c r="E398" i="66"/>
  <c r="E413" i="66"/>
  <c r="E415" i="66"/>
  <c r="E388" i="66"/>
  <c r="E396" i="66"/>
  <c r="E405" i="66"/>
  <c r="E397" i="66"/>
  <c r="E389" i="66"/>
  <c r="E407" i="66"/>
  <c r="E410" i="66"/>
  <c r="E400" i="66"/>
  <c r="E38" i="66"/>
  <c r="Q37" i="66"/>
  <c r="F23" i="21" s="1"/>
  <c r="D422" i="65"/>
  <c r="D436" i="65"/>
  <c r="D415" i="65"/>
  <c r="D424" i="65"/>
  <c r="D433" i="65"/>
  <c r="D412" i="65"/>
  <c r="D432" i="65"/>
  <c r="D426" i="65"/>
  <c r="D410" i="65"/>
  <c r="D420" i="65"/>
  <c r="D429" i="65"/>
  <c r="D408" i="65"/>
  <c r="D417" i="65"/>
  <c r="D416" i="65"/>
  <c r="D414" i="65"/>
  <c r="D435" i="65"/>
  <c r="D423" i="65"/>
  <c r="D427" i="65"/>
  <c r="D419" i="65"/>
  <c r="D413" i="65"/>
  <c r="D430" i="65"/>
  <c r="D437" i="65"/>
  <c r="D418" i="65"/>
  <c r="D409" i="65"/>
  <c r="D428" i="65"/>
  <c r="D411" i="65"/>
  <c r="D434" i="65"/>
  <c r="D431" i="65"/>
  <c r="D421" i="65"/>
  <c r="D425" i="65"/>
  <c r="D246" i="65"/>
  <c r="D230" i="65"/>
  <c r="D239" i="65"/>
  <c r="D248" i="65"/>
  <c r="D227" i="65"/>
  <c r="D251" i="65"/>
  <c r="D236" i="65"/>
  <c r="D245" i="65"/>
  <c r="D250" i="65"/>
  <c r="D234" i="65"/>
  <c r="D244" i="65"/>
  <c r="D253" i="65"/>
  <c r="D232" i="65"/>
  <c r="D231" i="65"/>
  <c r="D247" i="65"/>
  <c r="D224" i="65"/>
  <c r="D238" i="65"/>
  <c r="D228" i="65"/>
  <c r="D241" i="65"/>
  <c r="D235" i="65"/>
  <c r="D226" i="65"/>
  <c r="D240" i="65"/>
  <c r="D249" i="65"/>
  <c r="D229" i="65"/>
  <c r="D254" i="65"/>
  <c r="D242" i="65"/>
  <c r="D233" i="65"/>
  <c r="D252" i="65"/>
  <c r="D225" i="65"/>
  <c r="D243" i="65"/>
  <c r="D237" i="65"/>
  <c r="D158" i="65"/>
  <c r="D142" i="65"/>
  <c r="D148" i="65"/>
  <c r="D152" i="65"/>
  <c r="D156" i="65"/>
  <c r="D154" i="65"/>
  <c r="D159" i="65"/>
  <c r="D157" i="65"/>
  <c r="D145" i="65"/>
  <c r="D161" i="65"/>
  <c r="D139" i="65"/>
  <c r="D162" i="65"/>
  <c r="D138" i="65"/>
  <c r="D137" i="65"/>
  <c r="D136" i="65"/>
  <c r="D144" i="65"/>
  <c r="D140" i="65"/>
  <c r="D146" i="65"/>
  <c r="D141" i="65"/>
  <c r="D149" i="65"/>
  <c r="D135" i="65"/>
  <c r="D143" i="65"/>
  <c r="D150" i="65"/>
  <c r="D147" i="65"/>
  <c r="D151" i="65"/>
  <c r="D153" i="65"/>
  <c r="D160" i="65"/>
  <c r="D155" i="65"/>
  <c r="E249" i="66"/>
  <c r="E252" i="66"/>
  <c r="E254" i="66"/>
  <c r="E247" i="66"/>
  <c r="E235" i="66"/>
  <c r="E246" i="66"/>
  <c r="E236" i="66"/>
  <c r="E239" i="66"/>
  <c r="E244" i="66"/>
  <c r="E241" i="66"/>
  <c r="E261" i="66"/>
  <c r="E234" i="66"/>
  <c r="E256" i="66"/>
  <c r="E240" i="66"/>
  <c r="E250" i="66"/>
  <c r="E237" i="66"/>
  <c r="E262" i="66"/>
  <c r="E251" i="66"/>
  <c r="E255" i="66"/>
  <c r="E243" i="66"/>
  <c r="E245" i="66"/>
  <c r="E242" i="66"/>
  <c r="E260" i="66"/>
  <c r="E238" i="66"/>
  <c r="E257" i="66"/>
  <c r="E263" i="66"/>
  <c r="E253" i="66"/>
  <c r="E258" i="66"/>
  <c r="E259" i="66"/>
  <c r="E248" i="66"/>
  <c r="E264" i="66"/>
  <c r="E269" i="66"/>
  <c r="E284" i="66"/>
  <c r="E289" i="66"/>
  <c r="E277" i="66"/>
  <c r="E291" i="66"/>
  <c r="E290" i="66"/>
  <c r="E270" i="66"/>
  <c r="E280" i="66"/>
  <c r="E282" i="66"/>
  <c r="E276" i="66"/>
  <c r="E274" i="66"/>
  <c r="E286" i="66"/>
  <c r="E266" i="66"/>
  <c r="E265" i="66"/>
  <c r="E273" i="66"/>
  <c r="E287" i="66"/>
  <c r="E271" i="66"/>
  <c r="E293" i="66"/>
  <c r="E279" i="66"/>
  <c r="E268" i="66"/>
  <c r="E283" i="66"/>
  <c r="E285" i="66"/>
  <c r="E278" i="66"/>
  <c r="E281" i="66"/>
  <c r="E267" i="66"/>
  <c r="E272" i="66"/>
  <c r="E292" i="66"/>
  <c r="E275" i="66"/>
  <c r="E288" i="66"/>
  <c r="E294" i="66"/>
  <c r="D370" i="65"/>
  <c r="D354" i="65"/>
  <c r="D361" i="65"/>
  <c r="D376" i="65"/>
  <c r="D355" i="65"/>
  <c r="D359" i="65"/>
  <c r="D347" i="65"/>
  <c r="D362" i="65"/>
  <c r="D372" i="65"/>
  <c r="D351" i="65"/>
  <c r="D365" i="65"/>
  <c r="D375" i="65"/>
  <c r="D373" i="65"/>
  <c r="D353" i="65"/>
  <c r="D366" i="65"/>
  <c r="D356" i="65"/>
  <c r="D349" i="65"/>
  <c r="D368" i="65"/>
  <c r="D374" i="65"/>
  <c r="D367" i="65"/>
  <c r="D360" i="65"/>
  <c r="D357" i="65"/>
  <c r="D350" i="65"/>
  <c r="D348" i="65"/>
  <c r="D363" i="65"/>
  <c r="D352" i="65"/>
  <c r="D358" i="65"/>
  <c r="D364" i="65"/>
  <c r="D369" i="65"/>
  <c r="D371" i="65"/>
  <c r="D282" i="65"/>
  <c r="D266" i="65"/>
  <c r="D276" i="65"/>
  <c r="D255" i="65"/>
  <c r="D264" i="65"/>
  <c r="D270" i="65"/>
  <c r="D281" i="65"/>
  <c r="D260" i="65"/>
  <c r="D269" i="65"/>
  <c r="D273" i="65"/>
  <c r="D274" i="65"/>
  <c r="D265" i="65"/>
  <c r="D284" i="65"/>
  <c r="D261" i="65"/>
  <c r="D277" i="65"/>
  <c r="D263" i="65"/>
  <c r="D283" i="65"/>
  <c r="D268" i="65"/>
  <c r="D275" i="65"/>
  <c r="D278" i="65"/>
  <c r="D271" i="65"/>
  <c r="D259" i="65"/>
  <c r="D272" i="65"/>
  <c r="D257" i="65"/>
  <c r="D262" i="65"/>
  <c r="D280" i="65"/>
  <c r="D279" i="65"/>
  <c r="D267" i="65"/>
  <c r="D258" i="65"/>
  <c r="D256" i="65"/>
  <c r="E445" i="66"/>
  <c r="E436" i="66"/>
  <c r="E418" i="66"/>
  <c r="E444" i="66"/>
  <c r="E428" i="66"/>
  <c r="E432" i="66"/>
  <c r="E419" i="66"/>
  <c r="E435" i="66"/>
  <c r="E437" i="66"/>
  <c r="E434" i="66"/>
  <c r="E421" i="66"/>
  <c r="E442" i="66"/>
  <c r="E425" i="66"/>
  <c r="E438" i="66"/>
  <c r="E433" i="66"/>
  <c r="E446" i="66"/>
  <c r="E443" i="66"/>
  <c r="E441" i="66"/>
  <c r="E422" i="66"/>
  <c r="E427" i="66"/>
  <c r="E440" i="66"/>
  <c r="E447" i="66"/>
  <c r="E420" i="66"/>
  <c r="E423" i="66"/>
  <c r="E439" i="66"/>
  <c r="E430" i="66"/>
  <c r="E429" i="66"/>
  <c r="E426" i="66"/>
  <c r="E424" i="66"/>
  <c r="E431" i="66"/>
  <c r="E171" i="66"/>
  <c r="E148" i="66"/>
  <c r="E151" i="66"/>
  <c r="E155" i="66"/>
  <c r="E161" i="66"/>
  <c r="E170" i="66"/>
  <c r="E150" i="66"/>
  <c r="E156" i="66"/>
  <c r="E162" i="66"/>
  <c r="E157" i="66"/>
  <c r="E167" i="66"/>
  <c r="E172" i="66"/>
  <c r="E163" i="66"/>
  <c r="E153" i="66"/>
  <c r="E146" i="66"/>
  <c r="E145" i="66"/>
  <c r="E154" i="66"/>
  <c r="E164" i="66"/>
  <c r="E165" i="66"/>
  <c r="E147" i="66"/>
  <c r="E168" i="66"/>
  <c r="E166" i="66"/>
  <c r="E158" i="66"/>
  <c r="E160" i="66"/>
  <c r="E169" i="66"/>
  <c r="E149" i="66"/>
  <c r="E152" i="66"/>
  <c r="E159" i="66"/>
  <c r="D190" i="65"/>
  <c r="D174" i="65"/>
  <c r="D185" i="65"/>
  <c r="D164" i="65"/>
  <c r="D173" i="65"/>
  <c r="D177" i="65"/>
  <c r="D165" i="65"/>
  <c r="D192" i="65"/>
  <c r="D182" i="65"/>
  <c r="D166" i="65"/>
  <c r="D175" i="65"/>
  <c r="D184" i="65"/>
  <c r="D163" i="65"/>
  <c r="D187" i="65"/>
  <c r="D183" i="65"/>
  <c r="D171" i="65"/>
  <c r="D186" i="65"/>
  <c r="D180" i="65"/>
  <c r="D168" i="65"/>
  <c r="D193" i="65"/>
  <c r="D191" i="65"/>
  <c r="D179" i="65"/>
  <c r="D176" i="65"/>
  <c r="D170" i="65"/>
  <c r="D167" i="65"/>
  <c r="D169" i="65"/>
  <c r="D181" i="65"/>
  <c r="D189" i="65"/>
  <c r="D178" i="65"/>
  <c r="D188" i="65"/>
  <c r="D172" i="65"/>
  <c r="D302" i="65"/>
  <c r="D286" i="65"/>
  <c r="D297" i="65"/>
  <c r="D307" i="65"/>
  <c r="D285" i="65"/>
  <c r="D304" i="65"/>
  <c r="D289" i="65"/>
  <c r="D306" i="65"/>
  <c r="D290" i="65"/>
  <c r="D303" i="65"/>
  <c r="D312" i="65"/>
  <c r="D291" i="65"/>
  <c r="D315" i="65"/>
  <c r="D300" i="65"/>
  <c r="D288" i="65"/>
  <c r="D310" i="65"/>
  <c r="D308" i="65"/>
  <c r="D296" i="65"/>
  <c r="D311" i="65"/>
  <c r="D305" i="65"/>
  <c r="D299" i="65"/>
  <c r="D292" i="65"/>
  <c r="D294" i="65"/>
  <c r="D295" i="65"/>
  <c r="D314" i="65"/>
  <c r="D313" i="65"/>
  <c r="D301" i="65"/>
  <c r="D293" i="65"/>
  <c r="D298" i="65"/>
  <c r="D309" i="65"/>
  <c r="D287" i="65"/>
  <c r="D402" i="65"/>
  <c r="D386" i="65"/>
  <c r="D399" i="65"/>
  <c r="D377" i="65"/>
  <c r="D403" i="65"/>
  <c r="D381" i="65"/>
  <c r="D400" i="65"/>
  <c r="D405" i="65"/>
  <c r="D406" i="65"/>
  <c r="D390" i="65"/>
  <c r="D404" i="65"/>
  <c r="D383" i="65"/>
  <c r="D380" i="65"/>
  <c r="D387" i="65"/>
  <c r="D385" i="65"/>
  <c r="D389" i="65"/>
  <c r="D378" i="65"/>
  <c r="D391" i="65"/>
  <c r="D396" i="65"/>
  <c r="D398" i="65"/>
  <c r="D379" i="65"/>
  <c r="D388" i="65"/>
  <c r="D392" i="65"/>
  <c r="D382" i="65"/>
  <c r="D407" i="65"/>
  <c r="D401" i="65"/>
  <c r="D384" i="65"/>
  <c r="D393" i="65"/>
  <c r="D397" i="65"/>
  <c r="D394" i="65"/>
  <c r="D395" i="65"/>
  <c r="E313" i="66"/>
  <c r="E316" i="66"/>
  <c r="E306" i="66"/>
  <c r="E307" i="66"/>
  <c r="E310" i="66"/>
  <c r="E324" i="66"/>
  <c r="E315" i="66"/>
  <c r="E299" i="66"/>
  <c r="E302" i="66"/>
  <c r="E321" i="66"/>
  <c r="E323" i="66"/>
  <c r="E297" i="66"/>
  <c r="E320" i="66"/>
  <c r="E317" i="66"/>
  <c r="E300" i="66"/>
  <c r="E318" i="66"/>
  <c r="E311" i="66"/>
  <c r="E295" i="66"/>
  <c r="E319" i="66"/>
  <c r="E298" i="66"/>
  <c r="E309" i="66"/>
  <c r="E304" i="66"/>
  <c r="E308" i="66"/>
  <c r="E296" i="66"/>
  <c r="E325" i="66"/>
  <c r="E303" i="66"/>
  <c r="E305" i="66"/>
  <c r="E314" i="66"/>
  <c r="E301" i="66"/>
  <c r="E322" i="66"/>
  <c r="E312" i="66"/>
  <c r="E196" i="66"/>
  <c r="E187" i="66"/>
  <c r="E175" i="66"/>
  <c r="E182" i="66"/>
  <c r="E178" i="66"/>
  <c r="E200" i="66"/>
  <c r="E179" i="66"/>
  <c r="E199" i="66"/>
  <c r="E189" i="66"/>
  <c r="E197" i="66"/>
  <c r="E195" i="66"/>
  <c r="E176" i="66"/>
  <c r="E180" i="66"/>
  <c r="E194" i="66"/>
  <c r="E177" i="66"/>
  <c r="E202" i="66"/>
  <c r="E173" i="66"/>
  <c r="E193" i="66"/>
  <c r="E174" i="66"/>
  <c r="E192" i="66"/>
  <c r="E181" i="66"/>
  <c r="E190" i="66"/>
  <c r="E183" i="66"/>
  <c r="E201" i="66"/>
  <c r="E191" i="66"/>
  <c r="E198" i="66"/>
  <c r="E185" i="66"/>
  <c r="E184" i="66"/>
  <c r="E186" i="66"/>
  <c r="E203" i="66"/>
  <c r="E188" i="66"/>
  <c r="F17" i="65"/>
  <c r="G17" i="65" s="1"/>
  <c r="E29" i="65"/>
  <c r="F22" i="21" s="1"/>
  <c r="F10" i="21" s="1"/>
  <c r="R23" i="56"/>
  <c r="Q29" i="56" l="1"/>
  <c r="M29" i="56"/>
  <c r="I29" i="56"/>
  <c r="P29" i="56"/>
  <c r="P30" i="56" s="1"/>
  <c r="L29" i="56"/>
  <c r="L30" i="56" s="1"/>
  <c r="H29" i="56"/>
  <c r="H30" i="56" s="1"/>
  <c r="O29" i="56"/>
  <c r="O30" i="56" s="1"/>
  <c r="G29" i="56"/>
  <c r="G30" i="56" s="1"/>
  <c r="F29" i="56"/>
  <c r="J29" i="56"/>
  <c r="J30" i="56" s="1"/>
  <c r="N29" i="56"/>
  <c r="N30" i="56" s="1"/>
  <c r="K29" i="56"/>
  <c r="K30" i="56" s="1"/>
  <c r="M43" i="73"/>
  <c r="F46" i="66"/>
  <c r="M26" i="67" s="1"/>
  <c r="F35" i="65"/>
  <c r="D132" i="65"/>
  <c r="D115" i="65"/>
  <c r="D126" i="65"/>
  <c r="D110" i="65"/>
  <c r="D109" i="65"/>
  <c r="D108" i="65"/>
  <c r="D105" i="65"/>
  <c r="D113" i="65"/>
  <c r="D130" i="65"/>
  <c r="D119" i="65"/>
  <c r="D131" i="65"/>
  <c r="D114" i="65"/>
  <c r="D117" i="65"/>
  <c r="D116" i="65"/>
  <c r="D121" i="65"/>
  <c r="D129" i="65"/>
  <c r="D134" i="65"/>
  <c r="D107" i="65"/>
  <c r="D125" i="65"/>
  <c r="D112" i="65"/>
  <c r="D122" i="65"/>
  <c r="D120" i="65"/>
  <c r="D118" i="65"/>
  <c r="D104" i="65"/>
  <c r="D123" i="65"/>
  <c r="D111" i="65"/>
  <c r="D106" i="65"/>
  <c r="D128" i="65"/>
  <c r="D127" i="65"/>
  <c r="D133" i="65"/>
  <c r="D124" i="65"/>
  <c r="E39" i="66"/>
  <c r="Q38" i="66"/>
  <c r="F28" i="21"/>
  <c r="G26" i="67" l="1"/>
  <c r="R28" i="56"/>
  <c r="D292" i="56"/>
  <c r="D288" i="56"/>
  <c r="D284" i="56"/>
  <c r="D280" i="56"/>
  <c r="D276" i="56"/>
  <c r="D272" i="56"/>
  <c r="D268" i="56"/>
  <c r="D264" i="56"/>
  <c r="D289" i="56"/>
  <c r="D283" i="56"/>
  <c r="D278" i="56"/>
  <c r="D273" i="56"/>
  <c r="D267" i="56"/>
  <c r="D287" i="56"/>
  <c r="D282" i="56"/>
  <c r="D277" i="56"/>
  <c r="D271" i="56"/>
  <c r="D266" i="56"/>
  <c r="D291" i="56"/>
  <c r="D281" i="56"/>
  <c r="D270" i="56"/>
  <c r="D286" i="56"/>
  <c r="D265" i="56"/>
  <c r="D274" i="56"/>
  <c r="D290" i="56"/>
  <c r="D279" i="56"/>
  <c r="D269" i="56"/>
  <c r="D275" i="56"/>
  <c r="D285" i="56"/>
  <c r="D263" i="56"/>
  <c r="D168" i="56"/>
  <c r="D164" i="56"/>
  <c r="D160" i="56"/>
  <c r="D156" i="56"/>
  <c r="D152" i="56"/>
  <c r="D148" i="56"/>
  <c r="D144" i="56"/>
  <c r="D166" i="56"/>
  <c r="D161" i="56"/>
  <c r="D155" i="56"/>
  <c r="D150" i="56"/>
  <c r="D145" i="56"/>
  <c r="D170" i="56"/>
  <c r="D165" i="56"/>
  <c r="D159" i="56"/>
  <c r="D154" i="56"/>
  <c r="D149" i="56"/>
  <c r="D143" i="56"/>
  <c r="D163" i="56"/>
  <c r="D153" i="56"/>
  <c r="D169" i="56"/>
  <c r="D147" i="56"/>
  <c r="D157" i="56"/>
  <c r="D162" i="56"/>
  <c r="D151" i="56"/>
  <c r="D158" i="56"/>
  <c r="D167" i="56"/>
  <c r="D146" i="56"/>
  <c r="D444" i="56"/>
  <c r="D440" i="56"/>
  <c r="D436" i="56"/>
  <c r="D432" i="56"/>
  <c r="D428" i="56"/>
  <c r="D424" i="56"/>
  <c r="D420" i="56"/>
  <c r="D416" i="56"/>
  <c r="D443" i="56"/>
  <c r="D438" i="56"/>
  <c r="D433" i="56"/>
  <c r="D427" i="56"/>
  <c r="D422" i="56"/>
  <c r="D417" i="56"/>
  <c r="D441" i="56"/>
  <c r="D430" i="56"/>
  <c r="D419" i="56"/>
  <c r="D442" i="56"/>
  <c r="D437" i="56"/>
  <c r="D431" i="56"/>
  <c r="D426" i="56"/>
  <c r="D421" i="56"/>
  <c r="D435" i="56"/>
  <c r="D425" i="56"/>
  <c r="D429" i="56"/>
  <c r="D418" i="56"/>
  <c r="D445" i="56"/>
  <c r="D423" i="56"/>
  <c r="D439" i="56"/>
  <c r="D434" i="56"/>
  <c r="D384" i="56"/>
  <c r="D380" i="56"/>
  <c r="D376" i="56"/>
  <c r="D372" i="56"/>
  <c r="D368" i="56"/>
  <c r="D364" i="56"/>
  <c r="D360" i="56"/>
  <c r="D356" i="56"/>
  <c r="D379" i="56"/>
  <c r="D374" i="56"/>
  <c r="D369" i="56"/>
  <c r="D363" i="56"/>
  <c r="D358" i="56"/>
  <c r="D383" i="56"/>
  <c r="D378" i="56"/>
  <c r="D373" i="56"/>
  <c r="D367" i="56"/>
  <c r="D362" i="56"/>
  <c r="D357" i="56"/>
  <c r="D377" i="56"/>
  <c r="D366" i="56"/>
  <c r="D355" i="56"/>
  <c r="D371" i="56"/>
  <c r="D381" i="56"/>
  <c r="D359" i="56"/>
  <c r="D375" i="56"/>
  <c r="D365" i="56"/>
  <c r="D382" i="56"/>
  <c r="D361" i="56"/>
  <c r="D370" i="56"/>
  <c r="D412" i="56"/>
  <c r="D408" i="56"/>
  <c r="D404" i="56"/>
  <c r="D400" i="56"/>
  <c r="D396" i="56"/>
  <c r="D392" i="56"/>
  <c r="D388" i="56"/>
  <c r="D411" i="56"/>
  <c r="D406" i="56"/>
  <c r="D401" i="56"/>
  <c r="D395" i="56"/>
  <c r="D390" i="56"/>
  <c r="D385" i="56"/>
  <c r="D403" i="56"/>
  <c r="D393" i="56"/>
  <c r="D415" i="56"/>
  <c r="D410" i="56"/>
  <c r="D405" i="56"/>
  <c r="D399" i="56"/>
  <c r="D394" i="56"/>
  <c r="D389" i="56"/>
  <c r="D414" i="56"/>
  <c r="D409" i="56"/>
  <c r="D398" i="56"/>
  <c r="D407" i="56"/>
  <c r="D387" i="56"/>
  <c r="D397" i="56"/>
  <c r="D413" i="56"/>
  <c r="D402" i="56"/>
  <c r="D386" i="56"/>
  <c r="D391" i="56"/>
  <c r="D260" i="56"/>
  <c r="D256" i="56"/>
  <c r="D252" i="56"/>
  <c r="D248" i="56"/>
  <c r="D244" i="56"/>
  <c r="D240" i="56"/>
  <c r="D236" i="56"/>
  <c r="D232" i="56"/>
  <c r="D262" i="56"/>
  <c r="D257" i="56"/>
  <c r="D251" i="56"/>
  <c r="D246" i="56"/>
  <c r="D241" i="56"/>
  <c r="D235" i="56"/>
  <c r="D261" i="56"/>
  <c r="D255" i="56"/>
  <c r="D250" i="56"/>
  <c r="D245" i="56"/>
  <c r="D239" i="56"/>
  <c r="D234" i="56"/>
  <c r="D259" i="56"/>
  <c r="D249" i="56"/>
  <c r="D238" i="56"/>
  <c r="D243" i="56"/>
  <c r="D253" i="56"/>
  <c r="D258" i="56"/>
  <c r="D247" i="56"/>
  <c r="D237" i="56"/>
  <c r="D254" i="56"/>
  <c r="D233" i="56"/>
  <c r="D242" i="56"/>
  <c r="D200" i="56"/>
  <c r="D196" i="56"/>
  <c r="D192" i="56"/>
  <c r="D188" i="56"/>
  <c r="D184" i="56"/>
  <c r="D180" i="56"/>
  <c r="D176" i="56"/>
  <c r="D172" i="56"/>
  <c r="D198" i="56"/>
  <c r="D193" i="56"/>
  <c r="D187" i="56"/>
  <c r="D182" i="56"/>
  <c r="D177" i="56"/>
  <c r="D171" i="56"/>
  <c r="D197" i="56"/>
  <c r="D191" i="56"/>
  <c r="D186" i="56"/>
  <c r="D181" i="56"/>
  <c r="D175" i="56"/>
  <c r="D195" i="56"/>
  <c r="D185" i="56"/>
  <c r="D174" i="56"/>
  <c r="D190" i="56"/>
  <c r="D189" i="56"/>
  <c r="D194" i="56"/>
  <c r="D183" i="56"/>
  <c r="D173" i="56"/>
  <c r="D201" i="56"/>
  <c r="D179" i="56"/>
  <c r="D199" i="56"/>
  <c r="D178" i="56"/>
  <c r="F30" i="56"/>
  <c r="R29" i="56"/>
  <c r="D320" i="56"/>
  <c r="D316" i="56"/>
  <c r="D312" i="56"/>
  <c r="D308" i="56"/>
  <c r="D304" i="56"/>
  <c r="D300" i="56"/>
  <c r="D296" i="56"/>
  <c r="D321" i="56"/>
  <c r="D315" i="56"/>
  <c r="D310" i="56"/>
  <c r="D305" i="56"/>
  <c r="D299" i="56"/>
  <c r="D294" i="56"/>
  <c r="D319" i="56"/>
  <c r="D314" i="56"/>
  <c r="D309" i="56"/>
  <c r="D303" i="56"/>
  <c r="D298" i="56"/>
  <c r="D293" i="56"/>
  <c r="D323" i="56"/>
  <c r="D313" i="56"/>
  <c r="D302" i="56"/>
  <c r="D307" i="56"/>
  <c r="D317" i="56"/>
  <c r="D295" i="56"/>
  <c r="D322" i="56"/>
  <c r="D311" i="56"/>
  <c r="D301" i="56"/>
  <c r="D318" i="56"/>
  <c r="D297" i="56"/>
  <c r="D306" i="56"/>
  <c r="M44" i="73"/>
  <c r="B25" i="73"/>
  <c r="E121" i="66"/>
  <c r="E140" i="66"/>
  <c r="E120" i="66"/>
  <c r="E132" i="66"/>
  <c r="E118" i="66"/>
  <c r="E126" i="66"/>
  <c r="E143" i="66"/>
  <c r="E128" i="66"/>
  <c r="E116" i="66"/>
  <c r="E139" i="66"/>
  <c r="E124" i="66"/>
  <c r="E129" i="66"/>
  <c r="E144" i="66"/>
  <c r="E119" i="66"/>
  <c r="E135" i="66"/>
  <c r="E142" i="66"/>
  <c r="E117" i="66"/>
  <c r="E130" i="66"/>
  <c r="E127" i="66"/>
  <c r="E138" i="66"/>
  <c r="E131" i="66"/>
  <c r="E141" i="66"/>
  <c r="E115" i="66"/>
  <c r="E125" i="66"/>
  <c r="E122" i="66"/>
  <c r="E114" i="66"/>
  <c r="E123" i="66"/>
  <c r="E134" i="66"/>
  <c r="E133" i="66"/>
  <c r="E136" i="66"/>
  <c r="E137" i="66"/>
  <c r="F58" i="65"/>
  <c r="F53" i="65"/>
  <c r="F50" i="65"/>
  <c r="F56" i="65"/>
  <c r="F40" i="65"/>
  <c r="F37" i="65"/>
  <c r="F47" i="65"/>
  <c r="F43" i="65"/>
  <c r="F9" i="21"/>
  <c r="G41" i="67" l="1"/>
  <c r="G28" i="67"/>
  <c r="G44" i="67"/>
  <c r="G31" i="67"/>
  <c r="G49" i="67"/>
  <c r="G38" i="67"/>
  <c r="G34" i="67"/>
  <c r="G47" i="67"/>
  <c r="D140" i="56"/>
  <c r="D139" i="56"/>
  <c r="D135" i="56"/>
  <c r="D131" i="56"/>
  <c r="D127" i="56"/>
  <c r="D123" i="56"/>
  <c r="D119" i="56"/>
  <c r="D115" i="56"/>
  <c r="D138" i="56"/>
  <c r="D134" i="56"/>
  <c r="D130" i="56"/>
  <c r="D126" i="56"/>
  <c r="D122" i="56"/>
  <c r="D118" i="56"/>
  <c r="D114" i="56"/>
  <c r="D142" i="56"/>
  <c r="D133" i="56"/>
  <c r="D125" i="56"/>
  <c r="D117" i="56"/>
  <c r="D132" i="56"/>
  <c r="D116" i="56"/>
  <c r="D129" i="56"/>
  <c r="D113" i="56"/>
  <c r="D136" i="56"/>
  <c r="D120" i="56"/>
  <c r="D141" i="56"/>
  <c r="D124" i="56"/>
  <c r="D137" i="56"/>
  <c r="D121" i="56"/>
  <c r="D128" i="56"/>
  <c r="D112" i="56"/>
  <c r="F37" i="56"/>
  <c r="M45" i="73"/>
  <c r="F67" i="66"/>
  <c r="M47" i="67" s="1"/>
  <c r="F64" i="66"/>
  <c r="M44" i="67" s="1"/>
  <c r="F58" i="66"/>
  <c r="M38" i="67" s="1"/>
  <c r="F54" i="66"/>
  <c r="M34" i="67" s="1"/>
  <c r="F48" i="66"/>
  <c r="M28" i="67" s="1"/>
  <c r="F61" i="66"/>
  <c r="M41" i="67" s="1"/>
  <c r="F51" i="66"/>
  <c r="M31" i="67" s="1"/>
  <c r="F69" i="66"/>
  <c r="M49" i="67" s="1"/>
  <c r="F15" i="67"/>
  <c r="F11" i="67"/>
  <c r="F19" i="67"/>
  <c r="Q31" i="56" l="1"/>
  <c r="Q30" i="56" s="1"/>
  <c r="P40" i="66"/>
  <c r="P39" i="66" s="1"/>
  <c r="I31" i="56"/>
  <c r="H40" i="66"/>
  <c r="M31" i="56"/>
  <c r="M30" i="56" s="1"/>
  <c r="L40" i="66"/>
  <c r="L39" i="66" s="1"/>
  <c r="P26" i="67"/>
  <c r="AE26" i="67" s="1"/>
  <c r="H12" i="84"/>
  <c r="AH26" i="67" s="1"/>
  <c r="F60" i="56"/>
  <c r="F45" i="56"/>
  <c r="F42" i="56"/>
  <c r="F58" i="56"/>
  <c r="F52" i="56"/>
  <c r="F39" i="56"/>
  <c r="F49" i="56"/>
  <c r="F55" i="56"/>
  <c r="M46" i="73"/>
  <c r="H21" i="47"/>
  <c r="G21" i="47" s="1"/>
  <c r="E337" i="47" s="1"/>
  <c r="AD15" i="67"/>
  <c r="Z15" i="67"/>
  <c r="V15" i="67"/>
  <c r="R15" i="67"/>
  <c r="N15" i="67"/>
  <c r="J15" i="67"/>
  <c r="AC15" i="67"/>
  <c r="Y15" i="67"/>
  <c r="U15" i="67"/>
  <c r="Q15" i="67"/>
  <c r="M15" i="67"/>
  <c r="I15" i="67"/>
  <c r="AB15" i="67"/>
  <c r="X15" i="67"/>
  <c r="T15" i="67"/>
  <c r="P15" i="67"/>
  <c r="L15" i="67"/>
  <c r="H15" i="67"/>
  <c r="AE15" i="67"/>
  <c r="AA15" i="67"/>
  <c r="W15" i="67"/>
  <c r="S15" i="67"/>
  <c r="O15" i="67"/>
  <c r="K15" i="67"/>
  <c r="G15" i="67"/>
  <c r="AE19" i="67"/>
  <c r="AA19" i="67"/>
  <c r="W19" i="67"/>
  <c r="S19" i="67"/>
  <c r="O19" i="67"/>
  <c r="K19" i="67"/>
  <c r="G19" i="67"/>
  <c r="AD19" i="67"/>
  <c r="Z19" i="67"/>
  <c r="V19" i="67"/>
  <c r="R19" i="67"/>
  <c r="N19" i="67"/>
  <c r="J19" i="67"/>
  <c r="AC19" i="67"/>
  <c r="Y19" i="67"/>
  <c r="U19" i="67"/>
  <c r="Q19" i="67"/>
  <c r="M19" i="67"/>
  <c r="I19" i="67"/>
  <c r="AB19" i="67"/>
  <c r="X19" i="67"/>
  <c r="T19" i="67"/>
  <c r="P19" i="67"/>
  <c r="L19" i="67"/>
  <c r="H19" i="67"/>
  <c r="H20" i="65"/>
  <c r="G20" i="65" s="1"/>
  <c r="D214" i="65" s="1"/>
  <c r="AE11" i="67"/>
  <c r="AA11" i="67"/>
  <c r="W11" i="67"/>
  <c r="S11" i="67"/>
  <c r="O11" i="67"/>
  <c r="K11" i="67"/>
  <c r="G11" i="67"/>
  <c r="AD11" i="67"/>
  <c r="Z11" i="67"/>
  <c r="V11" i="67"/>
  <c r="R11" i="67"/>
  <c r="N11" i="67"/>
  <c r="J11" i="67"/>
  <c r="AC11" i="67"/>
  <c r="Y11" i="67"/>
  <c r="U11" i="67"/>
  <c r="Q11" i="67"/>
  <c r="M11" i="67"/>
  <c r="I11" i="67"/>
  <c r="AB11" i="67"/>
  <c r="X11" i="67"/>
  <c r="T11" i="67"/>
  <c r="P11" i="67"/>
  <c r="L11" i="67"/>
  <c r="H11" i="67"/>
  <c r="H17" i="70"/>
  <c r="H21" i="70"/>
  <c r="H28" i="65"/>
  <c r="G28" i="65" s="1"/>
  <c r="H25" i="47"/>
  <c r="G25" i="47" s="1"/>
  <c r="P97" i="69"/>
  <c r="H25" i="70"/>
  <c r="G25" i="70" s="1"/>
  <c r="L97" i="69"/>
  <c r="H97" i="69"/>
  <c r="H17" i="47"/>
  <c r="G17" i="47" s="1"/>
  <c r="H24" i="65"/>
  <c r="G24" i="65" s="1"/>
  <c r="Q40" i="66" l="1"/>
  <c r="H39" i="66"/>
  <c r="Q39" i="66" s="1"/>
  <c r="R31" i="56"/>
  <c r="I30" i="56"/>
  <c r="D348" i="56"/>
  <c r="D332" i="56"/>
  <c r="D347" i="56"/>
  <c r="D326" i="56"/>
  <c r="D335" i="56"/>
  <c r="D334" i="56"/>
  <c r="D354" i="56"/>
  <c r="D349" i="56"/>
  <c r="D344" i="56"/>
  <c r="D328" i="56"/>
  <c r="D342" i="56"/>
  <c r="D351" i="56"/>
  <c r="D330" i="56"/>
  <c r="D350" i="56"/>
  <c r="D343" i="56"/>
  <c r="D327" i="56"/>
  <c r="D352" i="56"/>
  <c r="D353" i="56"/>
  <c r="D341" i="56"/>
  <c r="D338" i="56"/>
  <c r="D340" i="56"/>
  <c r="D324" i="56"/>
  <c r="D337" i="56"/>
  <c r="D346" i="56"/>
  <c r="D325" i="56"/>
  <c r="D329" i="56"/>
  <c r="D333" i="56"/>
  <c r="D336" i="56"/>
  <c r="D331" i="56"/>
  <c r="D345" i="56"/>
  <c r="D339" i="56"/>
  <c r="D472" i="56"/>
  <c r="D456" i="56"/>
  <c r="D470" i="56"/>
  <c r="D449" i="56"/>
  <c r="D469" i="56"/>
  <c r="D447" i="56"/>
  <c r="D446" i="56"/>
  <c r="D455" i="56"/>
  <c r="D468" i="56"/>
  <c r="D452" i="56"/>
  <c r="D465" i="56"/>
  <c r="D467" i="56"/>
  <c r="D463" i="56"/>
  <c r="D473" i="56"/>
  <c r="D471" i="56"/>
  <c r="D466" i="56"/>
  <c r="D460" i="56"/>
  <c r="D454" i="56"/>
  <c r="D453" i="56"/>
  <c r="D461" i="56"/>
  <c r="D464" i="56"/>
  <c r="D448" i="56"/>
  <c r="D459" i="56"/>
  <c r="D451" i="56"/>
  <c r="D458" i="56"/>
  <c r="D462" i="56"/>
  <c r="D450" i="56"/>
  <c r="D476" i="56"/>
  <c r="D475" i="56"/>
  <c r="D474" i="56"/>
  <c r="D457" i="56"/>
  <c r="P49" i="67"/>
  <c r="AE49" i="67" s="1"/>
  <c r="H35" i="84"/>
  <c r="AH49" i="67" s="1"/>
  <c r="P38" i="67"/>
  <c r="AE38" i="67" s="1"/>
  <c r="H24" i="84"/>
  <c r="AH38" i="67" s="1"/>
  <c r="P31" i="67"/>
  <c r="AE31" i="67" s="1"/>
  <c r="H17" i="84"/>
  <c r="AH31" i="67" s="1"/>
  <c r="P28" i="67"/>
  <c r="AE28" i="67" s="1"/>
  <c r="H14" i="84"/>
  <c r="AH28" i="67" s="1"/>
  <c r="P41" i="67"/>
  <c r="AE41" i="67" s="1"/>
  <c r="H27" i="84"/>
  <c r="AH41" i="67" s="1"/>
  <c r="P34" i="67"/>
  <c r="AE34" i="67" s="1"/>
  <c r="H20" i="84"/>
  <c r="AH34" i="67" s="1"/>
  <c r="P44" i="67"/>
  <c r="AE44" i="67" s="1"/>
  <c r="H30" i="84"/>
  <c r="AH44" i="67" s="1"/>
  <c r="P47" i="67"/>
  <c r="AE47" i="67" s="1"/>
  <c r="H33" i="84"/>
  <c r="AH47" i="67" s="1"/>
  <c r="E267" i="69"/>
  <c r="E283" i="69"/>
  <c r="E272" i="69"/>
  <c r="E257" i="69"/>
  <c r="E261" i="69"/>
  <c r="E258" i="69"/>
  <c r="E269" i="69"/>
  <c r="E268" i="69"/>
  <c r="E286" i="69"/>
  <c r="E271" i="69"/>
  <c r="E260" i="69"/>
  <c r="E276" i="69"/>
  <c r="E265" i="69"/>
  <c r="E277" i="69"/>
  <c r="E266" i="69"/>
  <c r="E285" i="69"/>
  <c r="E281" i="69"/>
  <c r="E259" i="69"/>
  <c r="E275" i="69"/>
  <c r="E264" i="69"/>
  <c r="E280" i="69"/>
  <c r="E273" i="69"/>
  <c r="E270" i="69"/>
  <c r="E274" i="69"/>
  <c r="E262" i="69"/>
  <c r="E263" i="69"/>
  <c r="E279" i="69"/>
  <c r="E284" i="69"/>
  <c r="E282" i="69"/>
  <c r="E278" i="69"/>
  <c r="E505" i="69"/>
  <c r="E521" i="69"/>
  <c r="E511" i="69"/>
  <c r="E506" i="69"/>
  <c r="E522" i="69"/>
  <c r="E515" i="69"/>
  <c r="E508" i="69"/>
  <c r="E512" i="69"/>
  <c r="E531" i="69"/>
  <c r="E524" i="69"/>
  <c r="E509" i="69"/>
  <c r="E525" i="69"/>
  <c r="E519" i="69"/>
  <c r="E510" i="69"/>
  <c r="E526" i="69"/>
  <c r="E523" i="69"/>
  <c r="E528" i="69"/>
  <c r="E501" i="69"/>
  <c r="E507" i="69"/>
  <c r="E503" i="69"/>
  <c r="E513" i="69"/>
  <c r="E529" i="69"/>
  <c r="E527" i="69"/>
  <c r="E514" i="69"/>
  <c r="E530" i="69"/>
  <c r="E502" i="69"/>
  <c r="E516" i="69"/>
  <c r="E504" i="69"/>
  <c r="E517" i="69"/>
  <c r="E518" i="69"/>
  <c r="E520" i="69"/>
  <c r="E387" i="69"/>
  <c r="E403" i="69"/>
  <c r="E388" i="69"/>
  <c r="E404" i="69"/>
  <c r="E401" i="69"/>
  <c r="E386" i="69"/>
  <c r="E397" i="69"/>
  <c r="E390" i="69"/>
  <c r="E384" i="69"/>
  <c r="E405" i="69"/>
  <c r="E391" i="69"/>
  <c r="E407" i="69"/>
  <c r="E392" i="69"/>
  <c r="E408" i="69"/>
  <c r="E409" i="69"/>
  <c r="E394" i="69"/>
  <c r="E406" i="69"/>
  <c r="E381" i="69"/>
  <c r="E379" i="69"/>
  <c r="E395" i="69"/>
  <c r="E380" i="69"/>
  <c r="E396" i="69"/>
  <c r="E385" i="69"/>
  <c r="E389" i="69"/>
  <c r="E402" i="69"/>
  <c r="E398" i="69"/>
  <c r="E383" i="69"/>
  <c r="E399" i="69"/>
  <c r="E400" i="69"/>
  <c r="E393" i="69"/>
  <c r="E382" i="69"/>
  <c r="M47" i="73"/>
  <c r="B26" i="73"/>
  <c r="E335" i="47"/>
  <c r="E319" i="47"/>
  <c r="E333" i="47"/>
  <c r="E321" i="47"/>
  <c r="E331" i="47"/>
  <c r="E323" i="47"/>
  <c r="E318" i="47"/>
  <c r="E340" i="47"/>
  <c r="E339" i="47"/>
  <c r="E342" i="47"/>
  <c r="E320" i="47"/>
  <c r="E341" i="47"/>
  <c r="E325" i="47"/>
  <c r="E338" i="47"/>
  <c r="E343" i="47"/>
  <c r="E324" i="47"/>
  <c r="E328" i="47"/>
  <c r="E344" i="47"/>
  <c r="E336" i="47"/>
  <c r="E316" i="47"/>
  <c r="E346" i="47"/>
  <c r="E322" i="47"/>
  <c r="E317" i="47"/>
  <c r="E329" i="47"/>
  <c r="E326" i="47"/>
  <c r="E345" i="47"/>
  <c r="E327" i="47"/>
  <c r="E334" i="47"/>
  <c r="E332" i="47"/>
  <c r="E330" i="47"/>
  <c r="E224" i="66"/>
  <c r="G17" i="70"/>
  <c r="E193" i="70" s="1"/>
  <c r="G21" i="70"/>
  <c r="E335" i="70" s="1"/>
  <c r="D199" i="65"/>
  <c r="D220" i="65"/>
  <c r="D213" i="65"/>
  <c r="D210" i="65"/>
  <c r="D221" i="65"/>
  <c r="D208" i="65"/>
  <c r="D198" i="65"/>
  <c r="D212" i="65"/>
  <c r="D194" i="65"/>
  <c r="D200" i="65"/>
  <c r="D207" i="65"/>
  <c r="D215" i="65"/>
  <c r="D216" i="65"/>
  <c r="D218" i="65"/>
  <c r="D219" i="65"/>
  <c r="D205" i="65"/>
  <c r="D195" i="65"/>
  <c r="D202" i="65"/>
  <c r="D217" i="65"/>
  <c r="D204" i="65"/>
  <c r="D196" i="65"/>
  <c r="D222" i="65"/>
  <c r="D206" i="65"/>
  <c r="D209" i="65"/>
  <c r="D223" i="65"/>
  <c r="D197" i="65"/>
  <c r="D201" i="65"/>
  <c r="D203" i="65"/>
  <c r="D211" i="65"/>
  <c r="E194" i="47"/>
  <c r="E222" i="47"/>
  <c r="E216" i="47"/>
  <c r="E201" i="47"/>
  <c r="E213" i="47"/>
  <c r="E202" i="47"/>
  <c r="E221" i="47"/>
  <c r="E207" i="47"/>
  <c r="E203" i="47"/>
  <c r="E196" i="47"/>
  <c r="E217" i="47"/>
  <c r="E204" i="47"/>
  <c r="E223" i="47"/>
  <c r="E215" i="47"/>
  <c r="E198" i="47"/>
  <c r="E209" i="47"/>
  <c r="E197" i="47"/>
  <c r="E218" i="47"/>
  <c r="E195" i="47"/>
  <c r="E210" i="47"/>
  <c r="E214" i="47"/>
  <c r="E220" i="47"/>
  <c r="E219" i="47"/>
  <c r="E206" i="47"/>
  <c r="E199" i="47"/>
  <c r="E208" i="47"/>
  <c r="E212" i="47"/>
  <c r="E200" i="47"/>
  <c r="E205" i="47"/>
  <c r="E211" i="47"/>
  <c r="E465" i="70"/>
  <c r="E444" i="70"/>
  <c r="E453" i="70"/>
  <c r="E456" i="70"/>
  <c r="E447" i="70"/>
  <c r="E462" i="70"/>
  <c r="E438" i="70"/>
  <c r="E450" i="70"/>
  <c r="E463" i="70"/>
  <c r="E464" i="70"/>
  <c r="E452" i="70"/>
  <c r="E451" i="70"/>
  <c r="E437" i="70"/>
  <c r="E466" i="70"/>
  <c r="E455" i="70"/>
  <c r="E439" i="70"/>
  <c r="E440" i="70"/>
  <c r="E443" i="70"/>
  <c r="E461" i="70"/>
  <c r="E449" i="70"/>
  <c r="E448" i="70"/>
  <c r="E454" i="70"/>
  <c r="E459" i="70"/>
  <c r="E436" i="70"/>
  <c r="E457" i="70"/>
  <c r="E442" i="70"/>
  <c r="E460" i="70"/>
  <c r="E445" i="70"/>
  <c r="E441" i="70"/>
  <c r="E458" i="70"/>
  <c r="E446" i="70"/>
  <c r="E440" i="47"/>
  <c r="E444" i="47"/>
  <c r="E442" i="47"/>
  <c r="E441" i="47"/>
  <c r="E462" i="47"/>
  <c r="E455" i="47"/>
  <c r="E439" i="47"/>
  <c r="E464" i="47"/>
  <c r="E445" i="47"/>
  <c r="E449" i="47"/>
  <c r="E447" i="47"/>
  <c r="E454" i="47"/>
  <c r="E448" i="47"/>
  <c r="E446" i="47"/>
  <c r="E458" i="47"/>
  <c r="E451" i="47"/>
  <c r="E450" i="47"/>
  <c r="E463" i="47"/>
  <c r="E466" i="47"/>
  <c r="E460" i="47"/>
  <c r="E468" i="47"/>
  <c r="E443" i="47"/>
  <c r="E457" i="47"/>
  <c r="E467" i="47"/>
  <c r="E452" i="47"/>
  <c r="E456" i="47"/>
  <c r="E453" i="47"/>
  <c r="E465" i="47"/>
  <c r="E459" i="47"/>
  <c r="E438" i="47"/>
  <c r="E461" i="47"/>
  <c r="D447" i="65"/>
  <c r="D445" i="65"/>
  <c r="D454" i="65"/>
  <c r="D466" i="65"/>
  <c r="D451" i="65"/>
  <c r="D458" i="65"/>
  <c r="D456" i="65"/>
  <c r="D450" i="65"/>
  <c r="D467" i="65"/>
  <c r="D459" i="65"/>
  <c r="D448" i="65"/>
  <c r="D460" i="65"/>
  <c r="D453" i="65"/>
  <c r="D441" i="65"/>
  <c r="D444" i="65"/>
  <c r="D443" i="65"/>
  <c r="D452" i="65"/>
  <c r="D440" i="65"/>
  <c r="D464" i="65"/>
  <c r="D457" i="65"/>
  <c r="D439" i="65"/>
  <c r="D463" i="65"/>
  <c r="D462" i="65"/>
  <c r="D461" i="65"/>
  <c r="D449" i="65"/>
  <c r="D438" i="65"/>
  <c r="D468" i="65"/>
  <c r="D455" i="65"/>
  <c r="D442" i="65"/>
  <c r="D465" i="65"/>
  <c r="D446" i="65"/>
  <c r="D330" i="65"/>
  <c r="D339" i="65"/>
  <c r="D320" i="65"/>
  <c r="D331" i="65"/>
  <c r="D344" i="65"/>
  <c r="D341" i="65"/>
  <c r="D319" i="65"/>
  <c r="D325" i="65"/>
  <c r="D321" i="65"/>
  <c r="D329" i="65"/>
  <c r="D337" i="65"/>
  <c r="D332" i="65"/>
  <c r="D335" i="65"/>
  <c r="D343" i="65"/>
  <c r="D340" i="65"/>
  <c r="D342" i="65"/>
  <c r="D333" i="65"/>
  <c r="D336" i="65"/>
  <c r="D318" i="65"/>
  <c r="D324" i="65"/>
  <c r="D316" i="65"/>
  <c r="D322" i="65"/>
  <c r="D327" i="65"/>
  <c r="D326" i="65"/>
  <c r="D345" i="65"/>
  <c r="D317" i="65"/>
  <c r="D334" i="65"/>
  <c r="D346" i="65"/>
  <c r="D323" i="65"/>
  <c r="D338" i="65"/>
  <c r="D328" i="65"/>
  <c r="E332" i="66"/>
  <c r="E333" i="66"/>
  <c r="E352" i="66"/>
  <c r="E331" i="66"/>
  <c r="E350" i="66"/>
  <c r="E328" i="66"/>
  <c r="E351" i="66"/>
  <c r="E335" i="66"/>
  <c r="E348" i="66"/>
  <c r="E326" i="66"/>
  <c r="E341" i="66"/>
  <c r="E343" i="66"/>
  <c r="E345" i="66"/>
  <c r="E354" i="66"/>
  <c r="E349" i="66"/>
  <c r="E336" i="66"/>
  <c r="E355" i="66"/>
  <c r="E339" i="66"/>
  <c r="E327" i="66"/>
  <c r="E353" i="66"/>
  <c r="E347" i="66"/>
  <c r="E334" i="66"/>
  <c r="E346" i="66"/>
  <c r="E340" i="66"/>
  <c r="E356" i="66"/>
  <c r="E342" i="66"/>
  <c r="E344" i="66"/>
  <c r="E338" i="66"/>
  <c r="E329" i="66"/>
  <c r="E337" i="66"/>
  <c r="E330" i="66"/>
  <c r="E471" i="66"/>
  <c r="E450" i="66"/>
  <c r="E462" i="66"/>
  <c r="E449" i="66"/>
  <c r="E455" i="66"/>
  <c r="E472" i="66"/>
  <c r="E470" i="66"/>
  <c r="E452" i="66"/>
  <c r="E463" i="66"/>
  <c r="E454" i="66"/>
  <c r="E469" i="66"/>
  <c r="E459" i="66"/>
  <c r="E474" i="66"/>
  <c r="E464" i="66"/>
  <c r="E476" i="66"/>
  <c r="E448" i="66"/>
  <c r="E456" i="66"/>
  <c r="E461" i="66"/>
  <c r="E460" i="66"/>
  <c r="E475" i="66"/>
  <c r="E468" i="66"/>
  <c r="E458" i="66"/>
  <c r="E478" i="66"/>
  <c r="E466" i="66"/>
  <c r="E477" i="66"/>
  <c r="E457" i="66"/>
  <c r="E467" i="66"/>
  <c r="E451" i="66"/>
  <c r="E453" i="66"/>
  <c r="E473" i="66"/>
  <c r="E465" i="66"/>
  <c r="D224" i="56" l="1"/>
  <c r="D208" i="56"/>
  <c r="D219" i="56"/>
  <c r="D229" i="56"/>
  <c r="D207" i="56"/>
  <c r="D206" i="56"/>
  <c r="D226" i="56"/>
  <c r="D221" i="56"/>
  <c r="D220" i="56"/>
  <c r="D204" i="56"/>
  <c r="D214" i="56"/>
  <c r="D223" i="56"/>
  <c r="D202" i="56"/>
  <c r="D222" i="56"/>
  <c r="D215" i="56"/>
  <c r="D228" i="56"/>
  <c r="D203" i="56"/>
  <c r="D217" i="56"/>
  <c r="D211" i="56"/>
  <c r="D216" i="56"/>
  <c r="D230" i="56"/>
  <c r="D209" i="56"/>
  <c r="D218" i="56"/>
  <c r="D227" i="56"/>
  <c r="D231" i="56"/>
  <c r="D205" i="56"/>
  <c r="D212" i="56"/>
  <c r="D225" i="56"/>
  <c r="D213" i="56"/>
  <c r="D210" i="56"/>
  <c r="R30" i="56"/>
  <c r="F61" i="56"/>
  <c r="F127" i="69"/>
  <c r="M48" i="73"/>
  <c r="B27" i="73"/>
  <c r="E208" i="66"/>
  <c r="E318" i="70"/>
  <c r="E336" i="70"/>
  <c r="E316" i="70"/>
  <c r="E315" i="70"/>
  <c r="E331" i="70"/>
  <c r="E216" i="66"/>
  <c r="E213" i="66"/>
  <c r="E221" i="66"/>
  <c r="E233" i="66"/>
  <c r="E231" i="66"/>
  <c r="E211" i="66"/>
  <c r="E206" i="66"/>
  <c r="E214" i="66"/>
  <c r="E219" i="66"/>
  <c r="E229" i="66"/>
  <c r="E210" i="66"/>
  <c r="E223" i="66"/>
  <c r="E217" i="66"/>
  <c r="E202" i="70"/>
  <c r="E222" i="66"/>
  <c r="E227" i="66"/>
  <c r="E220" i="66"/>
  <c r="E209" i="66"/>
  <c r="E226" i="66"/>
  <c r="E204" i="66"/>
  <c r="E230" i="66"/>
  <c r="E217" i="70"/>
  <c r="E215" i="66"/>
  <c r="E207" i="66"/>
  <c r="E212" i="66"/>
  <c r="E225" i="66"/>
  <c r="E228" i="66"/>
  <c r="E205" i="66"/>
  <c r="E232" i="66"/>
  <c r="E218" i="66"/>
  <c r="E219" i="70"/>
  <c r="E204" i="70"/>
  <c r="E337" i="70"/>
  <c r="E221" i="70"/>
  <c r="E215" i="70"/>
  <c r="E199" i="70"/>
  <c r="E319" i="70"/>
  <c r="E322" i="70"/>
  <c r="E327" i="70"/>
  <c r="E344" i="70"/>
  <c r="E334" i="70"/>
  <c r="E338" i="70"/>
  <c r="E320" i="70"/>
  <c r="E332" i="70"/>
  <c r="E341" i="70"/>
  <c r="E343" i="70"/>
  <c r="E330" i="70"/>
  <c r="E326" i="70"/>
  <c r="E317" i="70"/>
  <c r="E340" i="70"/>
  <c r="E342" i="70"/>
  <c r="E339" i="70"/>
  <c r="E314" i="70"/>
  <c r="E325" i="70"/>
  <c r="E328" i="70"/>
  <c r="E323" i="70"/>
  <c r="E329" i="70"/>
  <c r="E321" i="70"/>
  <c r="E333" i="70"/>
  <c r="E208" i="70"/>
  <c r="E196" i="70"/>
  <c r="E201" i="70"/>
  <c r="E214" i="70"/>
  <c r="E203" i="70"/>
  <c r="E213" i="70"/>
  <c r="E218" i="70"/>
  <c r="E197" i="70"/>
  <c r="E220" i="70"/>
  <c r="E192" i="70"/>
  <c r="E194" i="70"/>
  <c r="E210" i="70"/>
  <c r="E207" i="70"/>
  <c r="E216" i="70"/>
  <c r="E195" i="70"/>
  <c r="E205" i="70"/>
  <c r="F48" i="65"/>
  <c r="F56" i="47"/>
  <c r="E200" i="70"/>
  <c r="E212" i="70"/>
  <c r="E206" i="70"/>
  <c r="E211" i="70"/>
  <c r="E198" i="70"/>
  <c r="E209" i="70"/>
  <c r="E324" i="70"/>
  <c r="F41" i="65"/>
  <c r="F51" i="65"/>
  <c r="F38" i="65"/>
  <c r="F34" i="65"/>
  <c r="F70" i="66"/>
  <c r="M50" i="67" s="1"/>
  <c r="F59" i="65"/>
  <c r="F54" i="65"/>
  <c r="F44" i="65"/>
  <c r="F57" i="65"/>
  <c r="F39" i="65"/>
  <c r="F36" i="65"/>
  <c r="F52" i="65"/>
  <c r="F55" i="65"/>
  <c r="F45" i="65"/>
  <c r="F42" i="65"/>
  <c r="F46" i="65"/>
  <c r="F49" i="65"/>
  <c r="F112" i="69"/>
  <c r="F102" i="69"/>
  <c r="F109" i="69"/>
  <c r="F114" i="69"/>
  <c r="F120" i="69"/>
  <c r="F117" i="69"/>
  <c r="F104" i="69"/>
  <c r="F110" i="69"/>
  <c r="F116" i="69"/>
  <c r="F119" i="69"/>
  <c r="F113" i="69"/>
  <c r="F123" i="69"/>
  <c r="F125" i="69"/>
  <c r="F122" i="69"/>
  <c r="F107" i="69"/>
  <c r="F106" i="69"/>
  <c r="F41" i="47"/>
  <c r="F46" i="47"/>
  <c r="F52" i="47"/>
  <c r="F42" i="47"/>
  <c r="F54" i="47"/>
  <c r="F51" i="47"/>
  <c r="F38" i="47"/>
  <c r="F35" i="47"/>
  <c r="F48" i="47"/>
  <c r="F43" i="47"/>
  <c r="F49" i="47"/>
  <c r="F31" i="47"/>
  <c r="F36" i="47"/>
  <c r="F33" i="47"/>
  <c r="F45" i="47"/>
  <c r="F39" i="47"/>
  <c r="P50" i="67" l="1"/>
  <c r="F43" i="56"/>
  <c r="F46" i="56"/>
  <c r="F53" i="56"/>
  <c r="F48" i="56"/>
  <c r="F54" i="56"/>
  <c r="F44" i="56"/>
  <c r="F40" i="56"/>
  <c r="F38" i="56"/>
  <c r="F50" i="56"/>
  <c r="F56" i="56"/>
  <c r="F41" i="56"/>
  <c r="F51" i="56"/>
  <c r="F47" i="56"/>
  <c r="F59" i="56"/>
  <c r="F57" i="56"/>
  <c r="F36" i="56"/>
  <c r="J39" i="67"/>
  <c r="J27" i="67"/>
  <c r="J37" i="67"/>
  <c r="J45" i="67"/>
  <c r="J40" i="67"/>
  <c r="G33" i="67"/>
  <c r="G27" i="67"/>
  <c r="G45" i="67"/>
  <c r="G29" i="67"/>
  <c r="J33" i="67"/>
  <c r="J30" i="67"/>
  <c r="J42" i="67"/>
  <c r="J48" i="67"/>
  <c r="J35" i="67"/>
  <c r="G36" i="67"/>
  <c r="G30" i="67"/>
  <c r="G50" i="67"/>
  <c r="G42" i="67"/>
  <c r="J25" i="67"/>
  <c r="J29" i="67"/>
  <c r="J36" i="67"/>
  <c r="G40" i="67"/>
  <c r="G46" i="67"/>
  <c r="G48" i="67"/>
  <c r="G32" i="67"/>
  <c r="J50" i="67"/>
  <c r="J43" i="67"/>
  <c r="J32" i="67"/>
  <c r="J46" i="67"/>
  <c r="G37" i="67"/>
  <c r="G43" i="67"/>
  <c r="G35" i="67"/>
  <c r="G25" i="67"/>
  <c r="G39" i="67"/>
  <c r="M49" i="73"/>
  <c r="B28" i="73"/>
  <c r="F55" i="66"/>
  <c r="M35" i="67" s="1"/>
  <c r="F60" i="66"/>
  <c r="M40" i="67" s="1"/>
  <c r="F62" i="66"/>
  <c r="M42" i="67" s="1"/>
  <c r="F47" i="66"/>
  <c r="M27" i="67" s="1"/>
  <c r="F49" i="66"/>
  <c r="M29" i="67" s="1"/>
  <c r="F63" i="66"/>
  <c r="M43" i="67" s="1"/>
  <c r="F57" i="66"/>
  <c r="M37" i="67" s="1"/>
  <c r="F65" i="66"/>
  <c r="M45" i="67" s="1"/>
  <c r="F68" i="66"/>
  <c r="M48" i="67" s="1"/>
  <c r="F56" i="66"/>
  <c r="M36" i="67" s="1"/>
  <c r="F52" i="66"/>
  <c r="M32" i="67" s="1"/>
  <c r="F45" i="66"/>
  <c r="M25" i="67" s="1"/>
  <c r="F66" i="66"/>
  <c r="M46" i="67" s="1"/>
  <c r="F59" i="66"/>
  <c r="M39" i="67" s="1"/>
  <c r="F53" i="66"/>
  <c r="M33" i="67" s="1"/>
  <c r="F50" i="66"/>
  <c r="M30" i="67" s="1"/>
  <c r="F36" i="70"/>
  <c r="F56" i="70"/>
  <c r="F52" i="70"/>
  <c r="F31" i="70"/>
  <c r="F51" i="70"/>
  <c r="F49" i="70"/>
  <c r="F39" i="70"/>
  <c r="F42" i="70"/>
  <c r="F35" i="70"/>
  <c r="F33" i="70"/>
  <c r="F41" i="70"/>
  <c r="F46" i="70"/>
  <c r="F45" i="70"/>
  <c r="F54" i="70"/>
  <c r="F38" i="70"/>
  <c r="F43" i="70"/>
  <c r="F48" i="70"/>
  <c r="H36" i="84" l="1"/>
  <c r="AH50" i="67" s="1"/>
  <c r="P48" i="67"/>
  <c r="H34" i="84"/>
  <c r="AH48" i="67" s="1"/>
  <c r="P45" i="67"/>
  <c r="H31" i="84"/>
  <c r="AH45" i="67" s="1"/>
  <c r="H19" i="84"/>
  <c r="AH33" i="67" s="1"/>
  <c r="P33" i="67"/>
  <c r="P35" i="67"/>
  <c r="H21" i="84"/>
  <c r="AH35" i="67" s="1"/>
  <c r="H25" i="84"/>
  <c r="AH39" i="67" s="1"/>
  <c r="P39" i="67"/>
  <c r="H29" i="84"/>
  <c r="AH43" i="67" s="1"/>
  <c r="P43" i="67"/>
  <c r="P32" i="67"/>
  <c r="H18" i="84"/>
  <c r="AH32" i="67" s="1"/>
  <c r="P36" i="67"/>
  <c r="H22" i="84"/>
  <c r="AH36" i="67" s="1"/>
  <c r="P25" i="67"/>
  <c r="P40" i="67"/>
  <c r="H26" i="84"/>
  <c r="AH40" i="67" s="1"/>
  <c r="H13" i="84"/>
  <c r="AH27" i="67" s="1"/>
  <c r="P27" i="67"/>
  <c r="P37" i="67"/>
  <c r="H23" i="84"/>
  <c r="AH37" i="67" s="1"/>
  <c r="P46" i="67"/>
  <c r="H32" i="84"/>
  <c r="AH46" i="67" s="1"/>
  <c r="P30" i="67"/>
  <c r="H16" i="84"/>
  <c r="AH30" i="67" s="1"/>
  <c r="P29" i="67"/>
  <c r="H15" i="84"/>
  <c r="AH29" i="67" s="1"/>
  <c r="P42" i="67"/>
  <c r="H28" i="84"/>
  <c r="AH42" i="67" s="1"/>
  <c r="S48" i="67"/>
  <c r="S42" i="67"/>
  <c r="S39" i="67"/>
  <c r="S29" i="67"/>
  <c r="S45" i="67"/>
  <c r="S30" i="67"/>
  <c r="S43" i="67"/>
  <c r="S37" i="67"/>
  <c r="S40" i="67"/>
  <c r="S36" i="67"/>
  <c r="S25" i="67"/>
  <c r="S27" i="67"/>
  <c r="S50" i="67"/>
  <c r="AE50" i="67" s="1"/>
  <c r="S32" i="67"/>
  <c r="S35" i="67"/>
  <c r="S33" i="67"/>
  <c r="S46" i="67"/>
  <c r="M50" i="73"/>
  <c r="B29" i="73"/>
  <c r="AE42" i="67" l="1"/>
  <c r="AE30" i="67"/>
  <c r="AE37" i="67"/>
  <c r="AE40" i="67"/>
  <c r="AE36" i="67"/>
  <c r="AE35" i="67"/>
  <c r="AE45" i="67"/>
  <c r="AE27" i="67"/>
  <c r="AE25" i="67"/>
  <c r="AE39" i="67"/>
  <c r="AE33" i="67"/>
  <c r="AE29" i="67"/>
  <c r="AE46" i="67"/>
  <c r="AE32" i="67"/>
  <c r="AE48" i="67"/>
  <c r="AE43" i="67"/>
  <c r="M51" i="73"/>
  <c r="B30" i="73"/>
  <c r="M52" i="73" l="1"/>
  <c r="B31" i="73"/>
  <c r="M53" i="73" l="1"/>
  <c r="B32" i="73"/>
  <c r="M54" i="73" l="1"/>
  <c r="B33" i="73"/>
  <c r="M55" i="73" l="1"/>
  <c r="B34" i="73"/>
  <c r="M56" i="73" l="1"/>
  <c r="B35" i="73"/>
  <c r="M57" i="73" l="1"/>
  <c r="B36" i="73"/>
  <c r="M58" i="73" l="1"/>
  <c r="B37" i="73"/>
  <c r="M59" i="73" l="1"/>
  <c r="B38" i="73"/>
  <c r="M60" i="73" l="1"/>
  <c r="B39" i="73"/>
  <c r="M61" i="73" l="1"/>
  <c r="B40" i="73"/>
  <c r="M62" i="73" l="1"/>
  <c r="B41" i="73"/>
  <c r="M63" i="73" l="1"/>
  <c r="B42" i="73"/>
  <c r="M64" i="73" l="1"/>
  <c r="B43" i="73"/>
  <c r="M65" i="73" l="1"/>
  <c r="B44" i="73"/>
  <c r="M66" i="73" l="1"/>
  <c r="B45" i="73"/>
  <c r="M67" i="73" l="1"/>
  <c r="B46" i="73"/>
  <c r="M68" i="73" l="1"/>
  <c r="M69" i="73" l="1"/>
  <c r="M70" i="73" l="1"/>
  <c r="M71" i="73" l="1"/>
  <c r="M72" i="73" l="1"/>
  <c r="M73" i="73" l="1"/>
  <c r="M74" i="73" l="1"/>
  <c r="M75" i="73" l="1"/>
  <c r="M76" i="73" l="1"/>
  <c r="M77" i="73" l="1"/>
  <c r="M78" i="73" l="1"/>
  <c r="M79" i="73" l="1"/>
  <c r="M80" i="73" l="1"/>
  <c r="M81" i="73" l="1"/>
  <c r="M82" i="73" l="1"/>
  <c r="B47" i="73"/>
  <c r="M83" i="73" l="1"/>
  <c r="M84" i="73" l="1"/>
  <c r="M85" i="73" l="1"/>
  <c r="M86" i="73" l="1"/>
  <c r="M87" i="73" l="1"/>
  <c r="M88" i="73" l="1"/>
  <c r="M89" i="73" l="1"/>
  <c r="M90" i="73" l="1"/>
  <c r="M91" i="73" l="1"/>
  <c r="M92" i="73" l="1"/>
  <c r="M93" i="73" l="1"/>
  <c r="M94" i="73" l="1"/>
  <c r="M95" i="73" l="1"/>
  <c r="B48" i="73"/>
  <c r="M96" i="73" l="1"/>
  <c r="B49" i="73"/>
  <c r="S12" i="69"/>
  <c r="S51" i="69" s="1"/>
  <c r="B50" i="73" l="1"/>
  <c r="M97" i="73"/>
  <c r="M98" i="73" l="1"/>
  <c r="B51" i="73"/>
  <c r="M99" i="73" l="1"/>
  <c r="B54" i="73" s="1"/>
  <c r="B52" i="73"/>
  <c r="F26" i="21" l="1"/>
  <c r="F11" i="21" s="1"/>
  <c r="F12" i="21" s="1"/>
  <c r="F31" i="21" l="1"/>
  <c r="K81" i="81" l="1"/>
  <c r="K81" i="81"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31" authorId="0" shapeId="0" xr:uid="{4F20F591-B241-4174-8A91-9FA6FE2EDE8D}">
      <text>
        <r>
          <rPr>
            <sz val="10"/>
            <color rgb="FF000000"/>
            <rFont val="Calibri"/>
            <family val="2"/>
            <scheme val="minor"/>
          </rPr>
          <t>2k red glossy + hardener ral / 
2k glossy pantone 200c + hardener</t>
        </r>
      </text>
    </comment>
    <comment ref="D535" authorId="0" shapeId="0" xr:uid="{24407067-99F6-48B7-BB05-346A55F1BB45}">
      <text>
        <r>
          <rPr>
            <sz val="10"/>
            <color rgb="FF000000"/>
            <rFont val="Calibri"/>
            <family val="2"/>
            <scheme val="minor"/>
          </rPr>
          <t>WAITING FOR SAMPLE FRM KIRAN</t>
        </r>
      </text>
    </comment>
    <comment ref="D537" authorId="0" shapeId="0" xr:uid="{6A86EBD2-C9C3-4643-8BF0-253A5028E325}">
      <text>
        <r>
          <rPr>
            <sz val="10"/>
            <color rgb="FF000000"/>
            <rFont val="Calibri"/>
            <family val="2"/>
            <scheme val="minor"/>
          </rPr>
          <t>waiting for sample from kiran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<sst xmlns="http://schemas.openxmlformats.org/spreadsheetml/2006/main" count="4699" uniqueCount="2374">
  <si>
    <t>Alpha Nero GHG Tool  2022</t>
  </si>
  <si>
    <t>Revision History</t>
  </si>
  <si>
    <t>Version No.</t>
  </si>
  <si>
    <t>Sheet</t>
  </si>
  <si>
    <t>Change</t>
  </si>
  <si>
    <t>Date</t>
  </si>
  <si>
    <t>Created</t>
  </si>
  <si>
    <t xml:space="preserve">All sheets </t>
  </si>
  <si>
    <t>Prepared By:</t>
  </si>
  <si>
    <t>Reviewed By:</t>
  </si>
  <si>
    <t>Emission Factors</t>
  </si>
  <si>
    <t>SN</t>
  </si>
  <si>
    <t>Description</t>
  </si>
  <si>
    <t>Value</t>
  </si>
  <si>
    <t>Unit</t>
  </si>
  <si>
    <t>Source</t>
  </si>
  <si>
    <t>Grid Emission Factor - Dubai specific</t>
  </si>
  <si>
    <t>tCO2e/MWh</t>
  </si>
  <si>
    <t>DEWA data - published in 2019 sustainability report</t>
  </si>
  <si>
    <t>Emission Factor for Petrol/Gasoline</t>
  </si>
  <si>
    <t>tCO2e/liter</t>
  </si>
  <si>
    <t>Calculated based on IPCC 2006 Default Values</t>
  </si>
  <si>
    <t>Emission Factor for Diesel</t>
  </si>
  <si>
    <t>Calculated based on IPCC 2006  Default Values</t>
  </si>
  <si>
    <t>Emission Factor for LPG</t>
  </si>
  <si>
    <t>Emission factor for desalinated water consumption</t>
  </si>
  <si>
    <t>tCO2e/M3</t>
  </si>
  <si>
    <t>UAE specific emission factor - Jiahong Liu, Silan Chen, a Hao Wang, Xiangdong Chen, Calculation of carbon footprints for water diversion and desalination projects, The 7th International Conference on Applied Energy – ICAE2015, Energy Procedia 75 ( 2015 ) 2483 – 2494, Elsevier</t>
  </si>
  <si>
    <t xml:space="preserve">Emissions from solid waste discharges to landfill </t>
  </si>
  <si>
    <t>tCO2e/kg</t>
  </si>
  <si>
    <t>MDF wood</t>
  </si>
  <si>
    <t>KgCO2e/Kg</t>
  </si>
  <si>
    <t>https://greenbuildingencyclopaedia.uk/wp-content/uploads/2014/07/Full-BSRIA-ICE-guide.pdf</t>
  </si>
  <si>
    <t>Paint</t>
  </si>
  <si>
    <t>https://www.winnipeg.ca/finance/findata/matmgt/documents/2012/682-2012/682-2012_Appendix_H-WSTP_South_End_Plant_Process_Selection_Report/Appendix%207.pdf</t>
  </si>
  <si>
    <t>SS</t>
  </si>
  <si>
    <t>Acrylic</t>
  </si>
  <si>
    <t xml:space="preserve">Packing Paper.                                 </t>
  </si>
  <si>
    <t>Conversion Factors</t>
  </si>
  <si>
    <t>M3 to IG</t>
  </si>
  <si>
    <t>http://www.env.gov.bc.ca/wsd/wrs/query/licences/help/unit_conv.pdf</t>
  </si>
  <si>
    <t>KWh to MWh</t>
  </si>
  <si>
    <t>Kg to Tonne</t>
  </si>
  <si>
    <t>Liters to M3</t>
  </si>
  <si>
    <t>Global Warming Potential</t>
  </si>
  <si>
    <t>Gas</t>
  </si>
  <si>
    <t>GWP</t>
  </si>
  <si>
    <t>Methane (CH4)</t>
  </si>
  <si>
    <t>https://www.ghgprotocol.org/sites/default/files/ghgp/Global-Warming-Potential-Values%20%28Feb%2016%202016%29_1.pdf</t>
  </si>
  <si>
    <t>CH2CF3</t>
  </si>
  <si>
    <t>CH2F2</t>
  </si>
  <si>
    <t>N20</t>
  </si>
  <si>
    <t>C02</t>
  </si>
  <si>
    <t>CHCLF2</t>
  </si>
  <si>
    <t>CHCl2CF3</t>
  </si>
  <si>
    <t>CHF3</t>
  </si>
  <si>
    <t>CH2FCF3</t>
  </si>
  <si>
    <t>CHF2CH2CF3</t>
  </si>
  <si>
    <t>R134A - Tetrafluoroethane</t>
  </si>
  <si>
    <t>https://www.engineeringtoolbox.com/Refrigerants-Environment-Properties-d_1220.html</t>
  </si>
  <si>
    <t>R410A</t>
  </si>
  <si>
    <t>https://archive.ipcc.ch/ipccreports/tar/wg3/index.php?idp=144</t>
  </si>
  <si>
    <t>Default Emission Factor</t>
  </si>
  <si>
    <t xml:space="preserve">Gasoline </t>
  </si>
  <si>
    <t>tCO2/TJ</t>
  </si>
  <si>
    <t>IPCC 2006</t>
  </si>
  <si>
    <t>tCH4/TJ</t>
  </si>
  <si>
    <t>tN2O/TJ</t>
  </si>
  <si>
    <t>Diesel</t>
  </si>
  <si>
    <t>LPG</t>
  </si>
  <si>
    <t>Natural Gas</t>
  </si>
  <si>
    <t>Default NCV</t>
  </si>
  <si>
    <t>TJ/t</t>
  </si>
  <si>
    <t>Fuel Density</t>
  </si>
  <si>
    <t>tonnes/liter</t>
  </si>
  <si>
    <t>https://www.engineeringtoolbox.com/fuels-densities-specific-volumes-d_166.html</t>
  </si>
  <si>
    <t>https://www.iocl.com/products/LPGSpecifications.pdf</t>
  </si>
  <si>
    <t>IPCC Emission Factor</t>
  </si>
  <si>
    <t>Calculated (tCO2e/tonne)</t>
  </si>
  <si>
    <t>HFO</t>
  </si>
  <si>
    <t>LFO</t>
  </si>
  <si>
    <t>Calculated kg/liter</t>
  </si>
  <si>
    <t>Flight</t>
  </si>
  <si>
    <t>tCO2e/passenger Miles</t>
  </si>
  <si>
    <t>Short Haul ( &lt;300 miles)</t>
  </si>
  <si>
    <t>https://www.epa.gov/sites/default/files/2018-03/documents/emission-factors_mar_2018_0.pdf</t>
  </si>
  <si>
    <t>Medium Haul (&gt;= 300 miles, &lt;2300 miles)</t>
  </si>
  <si>
    <t>Long Haul (&gt;=2300 miles)</t>
  </si>
  <si>
    <t>Vehicle Type</t>
  </si>
  <si>
    <t>tCO2e/Kilometer</t>
  </si>
  <si>
    <t>Light Weight Pickup/VAN Average (up to 3.5 tonnes)</t>
  </si>
  <si>
    <t>Petrol</t>
  </si>
  <si>
    <t>DEFRA_UK  - Adapted from within UK</t>
  </si>
  <si>
    <t>Deisel</t>
  </si>
  <si>
    <t>HGV (all diesel) Rigid (&gt;3.5 - 7.5 tonnes)</t>
  </si>
  <si>
    <t>HGV (all diesel)Rigid (&gt;7.5 tonnes-17 tonnes)</t>
  </si>
  <si>
    <t>Car (Lower medium family car/sedan)</t>
  </si>
  <si>
    <t>Rail (km)</t>
  </si>
  <si>
    <t>Bus(km)</t>
  </si>
  <si>
    <t>Refrigerants Used</t>
  </si>
  <si>
    <t>R407A</t>
  </si>
  <si>
    <t>HFC32</t>
  </si>
  <si>
    <t>HFC125</t>
  </si>
  <si>
    <t>HFC134a</t>
  </si>
  <si>
    <t xml:space="preserve">Total GWP </t>
  </si>
  <si>
    <r>
      <rPr>
        <b/>
        <sz val="11"/>
        <color theme="1"/>
        <rFont val="Calibri"/>
        <family val="2"/>
        <scheme val="minor"/>
      </rPr>
      <t>R404A</t>
    </r>
    <r>
      <rPr>
        <sz val="11"/>
        <color theme="1"/>
        <rFont val="Calibri"/>
        <family val="2"/>
        <scheme val="minor"/>
      </rPr>
      <t xml:space="preserve"> </t>
    </r>
  </si>
  <si>
    <t>HFC143a</t>
  </si>
  <si>
    <t>R-407C</t>
  </si>
  <si>
    <r>
      <t>CH</t>
    </r>
    <r>
      <rPr>
        <sz val="6"/>
        <color rgb="FF242424"/>
        <rFont val="Segoe UI"/>
        <family val="2"/>
      </rPr>
      <t>2</t>
    </r>
    <r>
      <rPr>
        <sz val="7"/>
        <color rgb="FF242424"/>
        <rFont val="Segoe UI"/>
        <family val="2"/>
      </rPr>
      <t>F</t>
    </r>
    <r>
      <rPr>
        <sz val="6"/>
        <color rgb="FF242424"/>
        <rFont val="Segoe UI"/>
        <family val="2"/>
      </rPr>
      <t>2</t>
    </r>
    <r>
      <rPr>
        <sz val="11"/>
        <color theme="1"/>
        <rFont val="Calibri"/>
        <family val="2"/>
        <scheme val="minor"/>
      </rPr>
      <t xml:space="preserve"> (23%)</t>
    </r>
  </si>
  <si>
    <r>
      <t>CF</t>
    </r>
    <r>
      <rPr>
        <sz val="6"/>
        <color rgb="FF242424"/>
        <rFont val="Segoe UI"/>
        <family val="2"/>
      </rPr>
      <t>3</t>
    </r>
    <r>
      <rPr>
        <sz val="7"/>
        <color rgb="FF242424"/>
        <rFont val="Segoe UI"/>
        <family val="2"/>
      </rPr>
      <t>CHF</t>
    </r>
    <r>
      <rPr>
        <sz val="6"/>
        <color rgb="FF242424"/>
        <rFont val="Segoe UI"/>
        <family val="2"/>
      </rPr>
      <t>2</t>
    </r>
    <r>
      <rPr>
        <sz val="11"/>
        <color theme="1"/>
        <rFont val="Calibri"/>
        <family val="2"/>
        <scheme val="minor"/>
      </rPr>
      <t xml:space="preserve"> (25%)</t>
    </r>
  </si>
  <si>
    <r>
      <t>CF</t>
    </r>
    <r>
      <rPr>
        <sz val="6"/>
        <color rgb="FF242424"/>
        <rFont val="Segoe UI"/>
        <family val="2"/>
      </rPr>
      <t>3</t>
    </r>
    <r>
      <rPr>
        <sz val="7"/>
        <color rgb="FF242424"/>
        <rFont val="Segoe UI"/>
        <family val="2"/>
      </rPr>
      <t>CH</t>
    </r>
    <r>
      <rPr>
        <sz val="6"/>
        <color rgb="FF242424"/>
        <rFont val="Segoe UI"/>
        <family val="2"/>
      </rPr>
      <t>2</t>
    </r>
    <r>
      <rPr>
        <sz val="7"/>
        <color rgb="FF242424"/>
        <rFont val="Segoe UI"/>
        <family val="2"/>
      </rPr>
      <t>F</t>
    </r>
    <r>
      <rPr>
        <sz val="11"/>
        <color theme="1"/>
        <rFont val="Calibri"/>
        <family val="2"/>
        <scheme val="minor"/>
      </rPr>
      <t xml:space="preserve"> (52%)</t>
    </r>
  </si>
  <si>
    <t>Scope wise GHG Emissions breakdown for Alpha Nero</t>
  </si>
  <si>
    <t>2021 Emissions (tCO2e)</t>
  </si>
  <si>
    <t>Scope 1</t>
  </si>
  <si>
    <t>Scope 2</t>
  </si>
  <si>
    <t>Scope 3</t>
  </si>
  <si>
    <t>Total</t>
  </si>
  <si>
    <t>Emission Source Breakdown</t>
  </si>
  <si>
    <t>Emission Sources</t>
  </si>
  <si>
    <t>Emissions for 2021</t>
  </si>
  <si>
    <t>Units</t>
  </si>
  <si>
    <t>SCOPE</t>
  </si>
  <si>
    <t xml:space="preserve">Data Quality </t>
  </si>
  <si>
    <t>Electricity Consumption</t>
  </si>
  <si>
    <t>tCO2e</t>
  </si>
  <si>
    <t>-</t>
  </si>
  <si>
    <t>Water Consumption</t>
  </si>
  <si>
    <t>Material consumption</t>
  </si>
  <si>
    <t>Waste generated</t>
  </si>
  <si>
    <t>Employee Commute - Distance</t>
  </si>
  <si>
    <t>Air Travel</t>
  </si>
  <si>
    <t xml:space="preserve">Total </t>
  </si>
  <si>
    <t>Months</t>
  </si>
  <si>
    <t>No of Projects running during the month</t>
  </si>
  <si>
    <t>GHG Emission (tCO2e)</t>
  </si>
  <si>
    <t>Jan</t>
  </si>
  <si>
    <t>Feb</t>
  </si>
  <si>
    <t>Mar</t>
  </si>
  <si>
    <t>Apr</t>
  </si>
  <si>
    <t>May</t>
  </si>
  <si>
    <t>Jun</t>
  </si>
  <si>
    <t>Jul</t>
  </si>
  <si>
    <t>Aug</t>
  </si>
  <si>
    <t>Sep</t>
  </si>
  <si>
    <t>Oct</t>
  </si>
  <si>
    <t>Nov</t>
  </si>
  <si>
    <t>Dec</t>
  </si>
  <si>
    <t>GHG Emission in (tCO2)</t>
  </si>
  <si>
    <t>No of Projects</t>
  </si>
  <si>
    <t>Start   Date</t>
  </si>
  <si>
    <t>End Date</t>
  </si>
  <si>
    <t>Emission in tCO2</t>
  </si>
  <si>
    <t>No of people</t>
  </si>
  <si>
    <t>Mode of Transport</t>
  </si>
  <si>
    <t>Car pool</t>
  </si>
  <si>
    <t>Bus</t>
  </si>
  <si>
    <t>Metro</t>
  </si>
  <si>
    <t>Distance (miles)</t>
  </si>
  <si>
    <t>Project  Serial No</t>
  </si>
  <si>
    <t>Average Daily Emission per Project in tCO2e</t>
  </si>
  <si>
    <t>Average Daily Emission  in tCO2e</t>
  </si>
  <si>
    <t>Monthly GHG Emission (tCO2e)</t>
  </si>
  <si>
    <t>Daily Average GHG Emission in the month  in tCO2e</t>
  </si>
  <si>
    <t>Daily Average GHG Emission in the month per Project in tCO2e</t>
  </si>
  <si>
    <t>Electrical Energy Consumption</t>
  </si>
  <si>
    <t>Vehicle Travel</t>
  </si>
  <si>
    <t>Waste Generation</t>
  </si>
  <si>
    <t>Start Date</t>
  </si>
  <si>
    <t>Project Emission in tCO2</t>
  </si>
  <si>
    <t>Fuel Type</t>
  </si>
  <si>
    <t>GHG Emission in tCO2</t>
  </si>
  <si>
    <t>Company Owned Vehicles</t>
  </si>
  <si>
    <t>Material Consumption</t>
  </si>
  <si>
    <t>Emissions from Material consumption  in  tCO2</t>
  </si>
  <si>
    <t>Vehicle Emisssion</t>
  </si>
  <si>
    <t>Table 2</t>
  </si>
  <si>
    <t>Emission Summary - 2021</t>
  </si>
  <si>
    <t>Employee Commute</t>
  </si>
  <si>
    <t>AN05</t>
  </si>
  <si>
    <t>AN03</t>
  </si>
  <si>
    <t>AN04</t>
  </si>
  <si>
    <t>AN02</t>
  </si>
  <si>
    <t>AN08</t>
  </si>
  <si>
    <t>Total Waste Disposal to Landfill (in Kg)</t>
  </si>
  <si>
    <t>Short Haul       ( &lt;300 miles)</t>
  </si>
  <si>
    <t>No of Trips
 ( One Way)</t>
  </si>
  <si>
    <t>No of Trips 
( One Way)</t>
  </si>
  <si>
    <t>AN06</t>
  </si>
  <si>
    <t>AN07</t>
  </si>
  <si>
    <t>AN09</t>
  </si>
  <si>
    <t>AN10</t>
  </si>
  <si>
    <t>AN11</t>
  </si>
  <si>
    <t>AN12</t>
  </si>
  <si>
    <t>AN13</t>
  </si>
  <si>
    <t>AN14</t>
  </si>
  <si>
    <t>AN15</t>
  </si>
  <si>
    <t>AN16</t>
  </si>
  <si>
    <t>AN17</t>
  </si>
  <si>
    <t>AN18</t>
  </si>
  <si>
    <t>AN19</t>
  </si>
  <si>
    <t>AN20</t>
  </si>
  <si>
    <t>AN21</t>
  </si>
  <si>
    <t>AN22</t>
  </si>
  <si>
    <t>AN23</t>
  </si>
  <si>
    <t>AN24</t>
  </si>
  <si>
    <t>AN25</t>
  </si>
  <si>
    <t>AN26</t>
  </si>
  <si>
    <t>AN27</t>
  </si>
  <si>
    <t>AN28</t>
  </si>
  <si>
    <t>AN29</t>
  </si>
  <si>
    <t>AN30</t>
  </si>
  <si>
    <t>AN31</t>
  </si>
  <si>
    <t>AN32</t>
  </si>
  <si>
    <t>AN33</t>
  </si>
  <si>
    <t>AN34</t>
  </si>
  <si>
    <t>AN35</t>
  </si>
  <si>
    <t>AN36</t>
  </si>
  <si>
    <t>Project wise emissions Distribution</t>
  </si>
  <si>
    <t>AN37</t>
  </si>
  <si>
    <t>AN38</t>
  </si>
  <si>
    <t>AN39</t>
  </si>
  <si>
    <t>AN40</t>
  </si>
  <si>
    <t>AN41</t>
  </si>
  <si>
    <t>AN42</t>
  </si>
  <si>
    <t>AN43</t>
  </si>
  <si>
    <t>AN44</t>
  </si>
  <si>
    <t>AN45</t>
  </si>
  <si>
    <t>AN46</t>
  </si>
  <si>
    <t>AN47</t>
  </si>
  <si>
    <t>AN48</t>
  </si>
  <si>
    <t>AN49</t>
  </si>
  <si>
    <t>AN50</t>
  </si>
  <si>
    <t>AN51</t>
  </si>
  <si>
    <t>AN52</t>
  </si>
  <si>
    <t>AN53</t>
  </si>
  <si>
    <t>AN54</t>
  </si>
  <si>
    <t>AN55</t>
  </si>
  <si>
    <t>AN56</t>
  </si>
  <si>
    <t>AN57</t>
  </si>
  <si>
    <t>AN58</t>
  </si>
  <si>
    <t>AN59</t>
  </si>
  <si>
    <t>AN60</t>
  </si>
  <si>
    <t>Distribution in No of Months</t>
  </si>
  <si>
    <t>Projects Executed in the Same month</t>
  </si>
  <si>
    <t>Start date</t>
  </si>
  <si>
    <t>No of Days</t>
  </si>
  <si>
    <t>Execution of Project in Days</t>
  </si>
  <si>
    <t>No of Projects executed in the month</t>
  </si>
  <si>
    <t xml:space="preserve">Employee Commute </t>
  </si>
  <si>
    <t>Months+C13:C22</t>
  </si>
  <si>
    <t>January</t>
  </si>
  <si>
    <t>February</t>
  </si>
  <si>
    <t>March</t>
  </si>
  <si>
    <t>April</t>
  </si>
  <si>
    <t>June</t>
  </si>
  <si>
    <t>July</t>
  </si>
  <si>
    <t>Auguest</t>
  </si>
  <si>
    <t>September</t>
  </si>
  <si>
    <t>October</t>
  </si>
  <si>
    <t>November</t>
  </si>
  <si>
    <t>December</t>
  </si>
  <si>
    <t>Electrical Energy Consumption in KWH</t>
  </si>
  <si>
    <t>Electrical Energy Consumption (in kWh)</t>
  </si>
  <si>
    <t>Monthly Water Consumption in Imperial Gallons</t>
  </si>
  <si>
    <t xml:space="preserve"> Water Consumption  (in Imperial Gallons)</t>
  </si>
  <si>
    <t>Monthly Waste Disposal to Landfill (in Kg)</t>
  </si>
  <si>
    <t>Electrical  Energy Consumption</t>
  </si>
  <si>
    <t xml:space="preserve">Material Consumption </t>
  </si>
  <si>
    <t xml:space="preserve">Waste Generation </t>
  </si>
  <si>
    <t>Particulars</t>
  </si>
  <si>
    <t>Total /Average</t>
  </si>
  <si>
    <t>Monthly Vehicle Fuel Consumption in Litres</t>
  </si>
  <si>
    <t>Vehicle Model</t>
  </si>
  <si>
    <t>Monthly travelled distance in Kilo meters</t>
  </si>
  <si>
    <t>Toyota Hilux</t>
  </si>
  <si>
    <t>Mitsubishi Pajero</t>
  </si>
  <si>
    <t xml:space="preserve">Annual  Fuel Consumption in Litres  </t>
  </si>
  <si>
    <t>Toyota Hiace</t>
  </si>
  <si>
    <t>Toyota Innova</t>
  </si>
  <si>
    <t>Travel  Travelled Distance in kilo meters</t>
  </si>
  <si>
    <t>Monthly Emissions in tCO2</t>
  </si>
  <si>
    <t>Monthly Projects in Numbers</t>
  </si>
  <si>
    <t xml:space="preserve">Passenger Car </t>
  </si>
  <si>
    <t xml:space="preserve">Bus </t>
  </si>
  <si>
    <t xml:space="preserve">Transit Rail </t>
  </si>
  <si>
    <t>vehicle-mile</t>
  </si>
  <si>
    <t>vehicle-km</t>
  </si>
  <si>
    <t>Passenger-mile</t>
  </si>
  <si>
    <t xml:space="preserve">Passenger -Km </t>
  </si>
  <si>
    <t>Other Materials</t>
  </si>
  <si>
    <t>Material</t>
  </si>
  <si>
    <t>MDF Plywood normal</t>
  </si>
  <si>
    <t>https://buildingtransparency.org/ec3/material-search</t>
  </si>
  <si>
    <t>Hardwood/ Solidwood</t>
  </si>
  <si>
    <t>FR medite mdf</t>
  </si>
  <si>
    <t>MDF waterproof</t>
  </si>
  <si>
    <t>Laminates</t>
  </si>
  <si>
    <t>MDF FR finsa/ FR</t>
  </si>
  <si>
    <t>Veener leaf</t>
  </si>
  <si>
    <t>Bend plywood</t>
  </si>
  <si>
    <t>Plywood</t>
  </si>
  <si>
    <t>Melamine</t>
  </si>
  <si>
    <t>veener</t>
  </si>
  <si>
    <t>Metals</t>
  </si>
  <si>
    <t>Aluminium</t>
  </si>
  <si>
    <t>Anodized Aluminium</t>
  </si>
  <si>
    <t>GI</t>
  </si>
  <si>
    <t>MS</t>
  </si>
  <si>
    <t>Titanium</t>
  </si>
  <si>
    <t>Brass</t>
  </si>
  <si>
    <t>opal</t>
  </si>
  <si>
    <t>https://ethesis.lib.ku.ac.th/dspace/bitstream/123456789/455/1/6034550220.pdf</t>
  </si>
  <si>
    <t>Acrylic Clear</t>
  </si>
  <si>
    <t>Acrylic Black</t>
  </si>
  <si>
    <t>Froasted acrylic</t>
  </si>
  <si>
    <t>Opaque white</t>
  </si>
  <si>
    <t>Polycarbonate</t>
  </si>
  <si>
    <t>silver mirror</t>
  </si>
  <si>
    <t>red acrylic</t>
  </si>
  <si>
    <t xml:space="preserve">white glossy </t>
  </si>
  <si>
    <t>black glossy</t>
  </si>
  <si>
    <t>Thinner</t>
  </si>
  <si>
    <t>Hardner</t>
  </si>
  <si>
    <t>Primer</t>
  </si>
  <si>
    <t>White Coat</t>
  </si>
  <si>
    <t>Polarshine</t>
  </si>
  <si>
    <t>PU white matt</t>
  </si>
  <si>
    <t>PU Black matt</t>
  </si>
  <si>
    <t>Turpentine</t>
  </si>
  <si>
    <t>Puttyfiller</t>
  </si>
  <si>
    <t>Stucco Putty filler white</t>
  </si>
  <si>
    <t>Wood Stainer</t>
  </si>
  <si>
    <t>Glass Primer</t>
  </si>
  <si>
    <t>Wash primer</t>
  </si>
  <si>
    <t>white satin</t>
  </si>
  <si>
    <t>Gold paint</t>
  </si>
  <si>
    <t>PU thinner</t>
  </si>
  <si>
    <t>Meiji spray paint</t>
  </si>
  <si>
    <t>Metalic paint ASP</t>
  </si>
  <si>
    <t>Acetone</t>
  </si>
  <si>
    <t>copper paint ASP</t>
  </si>
  <si>
    <t>Paint Mixing System</t>
  </si>
  <si>
    <t xml:space="preserve">MIPA BC </t>
  </si>
  <si>
    <t>MIPA Silicon remover</t>
  </si>
  <si>
    <t xml:space="preserve">Rosner Isolierfuller Rapid Black </t>
  </si>
  <si>
    <t>Rosner Isolierfuller Rapid white</t>
  </si>
  <si>
    <t>Rosner duocryl</t>
  </si>
  <si>
    <t>MIPA BC Pearl</t>
  </si>
  <si>
    <t>MS Hardner</t>
  </si>
  <si>
    <t>PMI pigment</t>
  </si>
  <si>
    <t>MIPA industrial dull matt</t>
  </si>
  <si>
    <t>MIPA BC transparent</t>
  </si>
  <si>
    <t>MIPA V25 thinner normal</t>
  </si>
  <si>
    <t>MIPA BC Xyrallic crystal</t>
  </si>
  <si>
    <t>Packing</t>
  </si>
  <si>
    <t>BROWN PAPER ROLL</t>
  </si>
  <si>
    <t>https://legacy.winnipeg.ca/finance/findata/matmgt/documents/2012/682-2012/682-2012_Appendix_H-WSTP_South_End_Plant_Process_Selection_Report/Appendix%207.pdf</t>
  </si>
  <si>
    <t>CORRUGATED ROLL (25MTR)</t>
  </si>
  <si>
    <t>https://consumerecology.com/carbon-footprint-of-a-cardboard-box/</t>
  </si>
  <si>
    <t>FOAM ROLL (100MTR/ROLL)</t>
  </si>
  <si>
    <t>kgCO2e/kg</t>
  </si>
  <si>
    <t>kgCO2e/ m3</t>
  </si>
  <si>
    <t xml:space="preserve"> kgCO2e/ kg</t>
  </si>
  <si>
    <t>KgCO2e/kg</t>
  </si>
  <si>
    <t>kgCO2e/  Kg</t>
  </si>
  <si>
    <t>Emission Factor</t>
  </si>
  <si>
    <t>Category</t>
  </si>
  <si>
    <t>Enamel</t>
  </si>
  <si>
    <t>Berger Butterfly GP Synthetic Enamel</t>
  </si>
  <si>
    <t>kg CO2e/kg</t>
  </si>
  <si>
    <t>Berger Luxol High Gloss Enamel</t>
  </si>
  <si>
    <t>Berger Luxol Lustre Enamel</t>
  </si>
  <si>
    <t>Berger Luxol Satin Enamel</t>
  </si>
  <si>
    <t xml:space="preserve">Luxol Xtra Super Gloss Enamel </t>
  </si>
  <si>
    <t>Berger Luxol Satin Xtra enamel</t>
  </si>
  <si>
    <t>Berger Luxol 7 in 1 Enamel</t>
  </si>
  <si>
    <t>Cement Primer</t>
  </si>
  <si>
    <t>Berger BP Cement Primer</t>
  </si>
  <si>
    <t>White primer</t>
  </si>
  <si>
    <t xml:space="preserve">Berger BP White Primer </t>
  </si>
  <si>
    <t>Wood primer</t>
  </si>
  <si>
    <t>Berger Parrot Wood Primer</t>
  </si>
  <si>
    <t>Metal primer</t>
  </si>
  <si>
    <t>Berger Red Oxide Primer for MS</t>
  </si>
  <si>
    <t>Berger BP Zinc Yellow Primer</t>
  </si>
  <si>
    <t>Epoxy primer</t>
  </si>
  <si>
    <t>Berger Luxol QD1K Epoxy Primer</t>
  </si>
  <si>
    <t>wood, veneer, plywood and MDF</t>
  </si>
  <si>
    <t>Berger Melamine Sealer</t>
  </si>
  <si>
    <t>Berger Melamine Finisher</t>
  </si>
  <si>
    <t>Interior wood</t>
  </si>
  <si>
    <t>PU paint for wood, veneer, plywood and MDF</t>
  </si>
  <si>
    <t>Berger Imperia Luxury Polyurethane</t>
  </si>
  <si>
    <t>Berger Imperia Gold</t>
  </si>
  <si>
    <t>Natural wood and wood veneers</t>
  </si>
  <si>
    <t>Berger Epoxy Block Primer</t>
  </si>
  <si>
    <t>wood, veneer, plywood and MDF for inteiors</t>
  </si>
  <si>
    <t>Berger Melamine Matt</t>
  </si>
  <si>
    <t>wood, veneer, plywood and MDF.</t>
  </si>
  <si>
    <t>Berger Melamine Gloss</t>
  </si>
  <si>
    <t>Yellow primer for MS and non-ferrous metals</t>
  </si>
  <si>
    <t>Interior walls extra Satin Enamel</t>
  </si>
  <si>
    <t>Interior wooden surfaces and Metals Enamel</t>
  </si>
  <si>
    <t>High Glossy for masonry surfaces Enamel</t>
  </si>
  <si>
    <t>Interior surfaces Enamel</t>
  </si>
  <si>
    <t>Satin enamel for interior walls Enamel</t>
  </si>
  <si>
    <t>Super Glossy Enamel - interior and exterior metal 7 woods</t>
  </si>
  <si>
    <t>Interior &amp; exterior for all wood, metal and masonry Enamel</t>
  </si>
  <si>
    <t>Epoxy Block Primer</t>
  </si>
  <si>
    <t xml:space="preserve"> Matt Primer</t>
  </si>
  <si>
    <t>Glosy Primer</t>
  </si>
  <si>
    <t>Pu Paint</t>
  </si>
  <si>
    <t>PU mettalic/ Gold</t>
  </si>
  <si>
    <t>PU based</t>
  </si>
  <si>
    <t>Sealer</t>
  </si>
  <si>
    <t>Mealamine sealer</t>
  </si>
  <si>
    <t>Mealamine Finsiher</t>
  </si>
  <si>
    <t>Mealamine wood keeper</t>
  </si>
  <si>
    <t>Sub Category</t>
  </si>
  <si>
    <t>Material Type</t>
  </si>
  <si>
    <t xml:space="preserve">Material </t>
  </si>
  <si>
    <t xml:space="preserve"> kgCO2e</t>
  </si>
  <si>
    <t>m3</t>
  </si>
  <si>
    <t>Kg</t>
  </si>
  <si>
    <t>Nos</t>
  </si>
  <si>
    <t>CEF</t>
  </si>
  <si>
    <t xml:space="preserve">Plywoods and MDF </t>
  </si>
  <si>
    <t>Input Units</t>
  </si>
  <si>
    <t>Index</t>
  </si>
  <si>
    <t>Sl.No</t>
  </si>
  <si>
    <t>FR Medite MDF</t>
  </si>
  <si>
    <t>MDF FR Finsa/ FR</t>
  </si>
  <si>
    <t>Total material</t>
  </si>
  <si>
    <t>Individual Car Diesel</t>
  </si>
  <si>
    <t>Individual Car Petrol</t>
  </si>
  <si>
    <t>Length</t>
  </si>
  <si>
    <t>Width</t>
  </si>
  <si>
    <t>Thickness</t>
  </si>
  <si>
    <t>mm</t>
  </si>
  <si>
    <t>M</t>
  </si>
  <si>
    <t>Inch</t>
  </si>
  <si>
    <t>Feet</t>
  </si>
  <si>
    <t>Metre</t>
  </si>
  <si>
    <t>Size</t>
  </si>
  <si>
    <t>Total Volume of the MDF in M3</t>
  </si>
  <si>
    <t>No of Boards</t>
  </si>
  <si>
    <t>MDF Board Conversion tool:
 Select Units for  Width, Length and thickness 
 Enter the values of the board size  and Numbers used</t>
  </si>
  <si>
    <t>Project</t>
  </si>
  <si>
    <t xml:space="preserve">Paint </t>
  </si>
  <si>
    <t>tCO2</t>
  </si>
  <si>
    <t xml:space="preserve"> sealer</t>
  </si>
  <si>
    <t>Paint consumption</t>
  </si>
  <si>
    <t xml:space="preserve"> tCO2</t>
  </si>
  <si>
    <t xml:space="preserve">PLYWOOD 18MM THICK </t>
  </si>
  <si>
    <t>WHITE WOOD 2 X 3 1/4 X 13</t>
  </si>
  <si>
    <t xml:space="preserve">PLYWOOD 12MM THICK </t>
  </si>
  <si>
    <t>Packing Material</t>
  </si>
  <si>
    <t>Barcode</t>
  </si>
  <si>
    <t>Simple Code</t>
  </si>
  <si>
    <t>Material in the Tool</t>
  </si>
  <si>
    <t>Stocking Unit</t>
  </si>
  <si>
    <t>Weight kg</t>
  </si>
  <si>
    <t>Emission(kgCO2e) per unit</t>
  </si>
  <si>
    <t>*MDF -1*</t>
  </si>
  <si>
    <t>MDF -1</t>
  </si>
  <si>
    <t>No s</t>
  </si>
  <si>
    <t>*MDF -2*</t>
  </si>
  <si>
    <t>MDF -2</t>
  </si>
  <si>
    <t xml:space="preserve">BLACK LAMINATE 1220 x 2440 </t>
  </si>
  <si>
    <t>*MDF -3*</t>
  </si>
  <si>
    <t>MDF -3</t>
  </si>
  <si>
    <t xml:space="preserve"> white matt laminate 1220 x 2440 </t>
  </si>
  <si>
    <t>*MDF -4*</t>
  </si>
  <si>
    <t>MDF -4</t>
  </si>
  <si>
    <t>0.8 BLACK LAMINATE 1220 X 2440</t>
  </si>
  <si>
    <t>*MDF -5*</t>
  </si>
  <si>
    <t>MDF -5</t>
  </si>
  <si>
    <t>0.8 WHITE LAMINATE 1220 X 2440</t>
  </si>
  <si>
    <t>*MDF -6*</t>
  </si>
  <si>
    <t>MDF -6</t>
  </si>
  <si>
    <t>MDF NORMAL 18MM 6 X 12</t>
  </si>
  <si>
    <t>*MDF -7*</t>
  </si>
  <si>
    <t>MDF -7</t>
  </si>
  <si>
    <t>MDF NORMAL 18MM 1220 X 2440</t>
  </si>
  <si>
    <t>*MDF -8*</t>
  </si>
  <si>
    <t>MDF -8</t>
  </si>
  <si>
    <t>MDF WATERPROOF 18MM 1220 X 2440</t>
  </si>
  <si>
    <t>*MDF -9*</t>
  </si>
  <si>
    <t>MDF -9</t>
  </si>
  <si>
    <t>MDF FR 18MM 1220 X 2440</t>
  </si>
  <si>
    <t>*MDF -10*</t>
  </si>
  <si>
    <t>MDF -10</t>
  </si>
  <si>
    <t>MDF FR 12MM 1220 X 2440</t>
  </si>
  <si>
    <t>Normal MDF</t>
  </si>
  <si>
    <t>*MDF -11*</t>
  </si>
  <si>
    <t>MDF -11</t>
  </si>
  <si>
    <t>MDF NORMAL 12MM 6 X 12</t>
  </si>
  <si>
    <t>Emission per 1 cubic meter</t>
  </si>
  <si>
    <t>Source*</t>
  </si>
  <si>
    <t>Exterior MDF</t>
  </si>
  <si>
    <t>*MDF -12*</t>
  </si>
  <si>
    <t>MDF -12</t>
  </si>
  <si>
    <t>MDF NORMAL 12MM 1220 X 2440</t>
  </si>
  <si>
    <t>253 kgCO2e</t>
  </si>
  <si>
    <t>1 cubic m =</t>
  </si>
  <si>
    <t>mm cube</t>
  </si>
  <si>
    <t>*MDF -13*</t>
  </si>
  <si>
    <t>MDF -13</t>
  </si>
  <si>
    <t>MDF NORMAL 15MM 1220 X 2440</t>
  </si>
  <si>
    <t>kg CO2e total</t>
  </si>
  <si>
    <t>*MDF -14*</t>
  </si>
  <si>
    <t>MDF -14</t>
  </si>
  <si>
    <t>MDF FR 9MM 1220 X 2440</t>
  </si>
  <si>
    <t>*MDF -15*</t>
  </si>
  <si>
    <t>MDF -15</t>
  </si>
  <si>
    <t>MDF NORMAL 9MM 1220 X 2440</t>
  </si>
  <si>
    <t>*MDF -17*</t>
  </si>
  <si>
    <t>MDF -17</t>
  </si>
  <si>
    <t>MDF NORMAL 6MM 1220 X 2440</t>
  </si>
  <si>
    <t>*MDF -18*</t>
  </si>
  <si>
    <t>MDF -18</t>
  </si>
  <si>
    <t>MDF NORMAL 3MM 1220 X 2440</t>
  </si>
  <si>
    <t>*MDF -19*</t>
  </si>
  <si>
    <t>MDF -19</t>
  </si>
  <si>
    <t>MDF NORMAL 4MM 1220 X 2440</t>
  </si>
  <si>
    <t xml:space="preserve">Plywood Good Quality/plywood </t>
  </si>
  <si>
    <t>*MDF -20*</t>
  </si>
  <si>
    <t>MDF -20</t>
  </si>
  <si>
    <t xml:space="preserve"> 5 mm band plywood (vertical) </t>
  </si>
  <si>
    <t>*MDF -21*</t>
  </si>
  <si>
    <t>MDF -21</t>
  </si>
  <si>
    <t xml:space="preserve"> 5 mm band ply 4' x 8'( horizontal) </t>
  </si>
  <si>
    <t>North American soft plywood</t>
  </si>
  <si>
    <t>*MDF -22*</t>
  </si>
  <si>
    <t>MDF -22</t>
  </si>
  <si>
    <t xml:space="preserve"> oak wood 2'' x 10'' x 12 ft  </t>
  </si>
  <si>
    <t>219 kgCO2e</t>
  </si>
  <si>
    <t>*MDF -23*</t>
  </si>
  <si>
    <t>MDF -23</t>
  </si>
  <si>
    <t xml:space="preserve"> 12 mm plywood good quality </t>
  </si>
  <si>
    <t>*MDF -24*</t>
  </si>
  <si>
    <t>MDF -24</t>
  </si>
  <si>
    <t xml:space="preserve"> 18 mm plywood good quality </t>
  </si>
  <si>
    <t>*MDF -25*</t>
  </si>
  <si>
    <t>MDF -25</t>
  </si>
  <si>
    <t xml:space="preserve"> WHITE WOOD 2 X 4 X 13' </t>
  </si>
  <si>
    <t>*MDF - 26*</t>
  </si>
  <si>
    <t>MDF - 26</t>
  </si>
  <si>
    <t xml:space="preserve"> 9 mm plywood </t>
  </si>
  <si>
    <t>*MDF - 27*</t>
  </si>
  <si>
    <t>MDF - 27</t>
  </si>
  <si>
    <t xml:space="preserve"> 12 mm 4' x 8' waterproof  MDF </t>
  </si>
  <si>
    <t>*MDF - 28*</t>
  </si>
  <si>
    <t>MDF - 28</t>
  </si>
  <si>
    <t>MDF FR FINSA 12MM 1220 X 2440</t>
  </si>
  <si>
    <t>*MDF - 29*</t>
  </si>
  <si>
    <t>MDF - 29</t>
  </si>
  <si>
    <t xml:space="preserve"> 12 mm plywood </t>
  </si>
  <si>
    <t>FR/ FR FINSA MDF</t>
  </si>
  <si>
    <t>*MDF - 30*</t>
  </si>
  <si>
    <t>MDF - 30</t>
  </si>
  <si>
    <t xml:space="preserve"> 18 mm plywood </t>
  </si>
  <si>
    <t>*MDF - 31*</t>
  </si>
  <si>
    <t>MDF - 31</t>
  </si>
  <si>
    <t xml:space="preserve"> 18mm Finsa white melamine 4' x 8' both side </t>
  </si>
  <si>
    <t>FR clear MDF</t>
  </si>
  <si>
    <t>*MDF - 32*</t>
  </si>
  <si>
    <t>MDF - 32</t>
  </si>
  <si>
    <t xml:space="preserve">MDF NORMAL  18 mm normal black melamine 4' x 8' both side </t>
  </si>
  <si>
    <t>242 kgCO2e</t>
  </si>
  <si>
    <t>*MDF - 33*</t>
  </si>
  <si>
    <t>MDF - 33</t>
  </si>
  <si>
    <t>MDF FR 12MM BLACK MELAMINE 2 SIDE GLOSSY 1220X2440</t>
  </si>
  <si>
    <t>*MDF - 34*</t>
  </si>
  <si>
    <t>MDF - 34</t>
  </si>
  <si>
    <t xml:space="preserve"> 12 mm 4' x 8'normal  black melamine glossy  2 sid</t>
  </si>
  <si>
    <t>*MDF - 35*</t>
  </si>
  <si>
    <t>MDF - 35</t>
  </si>
  <si>
    <t>MDF FR 12MM WHITE MELAMINE 2 SIDE GLOSSY 1220 X 2440</t>
  </si>
  <si>
    <t>*MDF - 36*</t>
  </si>
  <si>
    <t>MDF - 36</t>
  </si>
  <si>
    <t xml:space="preserve"> 12 mm 4' x 8' normal white melamine 2 side</t>
  </si>
  <si>
    <t>*MDF - 37*</t>
  </si>
  <si>
    <t>MDF - 37</t>
  </si>
  <si>
    <t>RED MERANTI WOOD 2 X 9 X 8FT</t>
  </si>
  <si>
    <t>*MDF - 38*</t>
  </si>
  <si>
    <t>MDF - 38</t>
  </si>
  <si>
    <t>MDF FR FINSA 18MM 1220 X 2440</t>
  </si>
  <si>
    <t>*MDF - 39*</t>
  </si>
  <si>
    <t>MDF - 39</t>
  </si>
  <si>
    <t>*MDF - 41*</t>
  </si>
  <si>
    <t>MDF - 41</t>
  </si>
  <si>
    <t>18 mm fr black melamine 4' x 8' both side</t>
  </si>
  <si>
    <t>*MDF - 42*</t>
  </si>
  <si>
    <t>MDF - 42</t>
  </si>
  <si>
    <t>MDF FR 12MM BLACK MELAMINE 2 SIDE MATT 1220 X 2440</t>
  </si>
  <si>
    <t>365 kgCO2e</t>
  </si>
  <si>
    <t>*MDF - 43*</t>
  </si>
  <si>
    <t>MDF - 43</t>
  </si>
  <si>
    <t>9 mm fr black melamine 4' x 8' both side</t>
  </si>
  <si>
    <t>*MDF - 44*</t>
  </si>
  <si>
    <t>MDF - 44</t>
  </si>
  <si>
    <t>MDF NORMAL 25MM 1220 X 2440</t>
  </si>
  <si>
    <t>*MDF - 45*</t>
  </si>
  <si>
    <t>MDF - 45</t>
  </si>
  <si>
    <t>2 x 10 x 11 ft beech wood</t>
  </si>
  <si>
    <t>*MDF -46*</t>
  </si>
  <si>
    <t>MDF -46</t>
  </si>
  <si>
    <t>18mm 4' x 8' normal white melamine 2 side</t>
  </si>
  <si>
    <t>*MDF - 47*</t>
  </si>
  <si>
    <t>MDF - 47</t>
  </si>
  <si>
    <t xml:space="preserve">WHITE OAK WOOD 2'' X 12 x 12'' </t>
  </si>
  <si>
    <t>*MDF-48*</t>
  </si>
  <si>
    <t>MDF-48</t>
  </si>
  <si>
    <t>8 mm bend plywood - horizontal</t>
  </si>
  <si>
    <t>*MDF - 49*</t>
  </si>
  <si>
    <t>MDF - 49</t>
  </si>
  <si>
    <t>8 mm bend plywood - vertical</t>
  </si>
  <si>
    <t>Wood Framing</t>
  </si>
  <si>
    <t>*MDF - 50*</t>
  </si>
  <si>
    <t>MDF - 50</t>
  </si>
  <si>
    <t>MDF FR 18MM WHITE MELAMINE 2 SIDE 1220 X 2440</t>
  </si>
  <si>
    <t>41.9 kgCO2e</t>
  </si>
  <si>
    <t>cubic inch</t>
  </si>
  <si>
    <t>*MDF - 51*</t>
  </si>
  <si>
    <t>MDF  - 51</t>
  </si>
  <si>
    <t>15 mm normal mdf 4' x 8'white melamine 2 side</t>
  </si>
  <si>
    <t>*MDF - 52*</t>
  </si>
  <si>
    <t>MDF - 52</t>
  </si>
  <si>
    <t>MDF NORMAL 30MM 1220 X 2440</t>
  </si>
  <si>
    <t>*MDF - 53*</t>
  </si>
  <si>
    <t>MDF - 53</t>
  </si>
  <si>
    <t>MDF NORMAL 22MM 1220 X 2440</t>
  </si>
  <si>
    <t>*MDF - 54*</t>
  </si>
  <si>
    <t>MDF - 54</t>
  </si>
  <si>
    <t>9 mm Black Melamine Fr 4' x 8' 1 SIDE</t>
  </si>
  <si>
    <t>*MDF - 55*</t>
  </si>
  <si>
    <t>MDF - 55</t>
  </si>
  <si>
    <t>18 mm Black Melamine Fr 4' x 8' 1 SIDE</t>
  </si>
  <si>
    <t xml:space="preserve">Bend Plywood </t>
  </si>
  <si>
    <t>*MDF - 56*</t>
  </si>
  <si>
    <t>MDF -56</t>
  </si>
  <si>
    <t>RED MERANTI WOOD 2 X 10 X 10FT</t>
  </si>
  <si>
    <t>*MDF - 57*</t>
  </si>
  <si>
    <t>MDF -57</t>
  </si>
  <si>
    <t>3'' X 12 x 9''WHITE OAK WOOD</t>
  </si>
  <si>
    <t>*MDF - 58*</t>
  </si>
  <si>
    <t>MDF -58</t>
  </si>
  <si>
    <t>2'' X 12 x 9''WHITE OAK WOOD</t>
  </si>
  <si>
    <t>*MDF - 59*</t>
  </si>
  <si>
    <t>MDF -59</t>
  </si>
  <si>
    <t>2'' x 8 x 8''WHITE OAK WOOD</t>
  </si>
  <si>
    <t>*MDF - 60*</t>
  </si>
  <si>
    <t>MDF - 60</t>
  </si>
  <si>
    <t>9mm FR Finsa mdf 4' x 8'</t>
  </si>
  <si>
    <t>*MDF - 62*</t>
  </si>
  <si>
    <t>MDF - 62</t>
  </si>
  <si>
    <t>MDF FR FINSA 6MM 1220 X 2440</t>
  </si>
  <si>
    <t>*MDF - 63*</t>
  </si>
  <si>
    <t>MDF - 63</t>
  </si>
  <si>
    <t xml:space="preserve">beech veneer leaf </t>
  </si>
  <si>
    <t>*MDF - 64*</t>
  </si>
  <si>
    <t>MDF - 64</t>
  </si>
  <si>
    <t>BEECH WOOD 2X8X8FT</t>
  </si>
  <si>
    <t>*MDF - 65*</t>
  </si>
  <si>
    <t>MDF - 65</t>
  </si>
  <si>
    <t>9 mm marine water proof mdf 1220 x 2440</t>
  </si>
  <si>
    <t>*MDF - 66*</t>
  </si>
  <si>
    <t>MDF - 66</t>
  </si>
  <si>
    <t>2'' X 10 x 12 ''WHITE OAK WOOD</t>
  </si>
  <si>
    <t>*MDF - 67*</t>
  </si>
  <si>
    <t>MDF - 67</t>
  </si>
  <si>
    <t>2'' X 10 x 8FT  ''WHITE OAK WOOD</t>
  </si>
  <si>
    <t>*MDF - 68*</t>
  </si>
  <si>
    <t>MDF - 68</t>
  </si>
  <si>
    <t>2'' x 8 x 12FT  ''WHITE OAK WOOD</t>
  </si>
  <si>
    <t>*MDF - 69*</t>
  </si>
  <si>
    <t>MDF - 69</t>
  </si>
  <si>
    <t>WALLNUT WOOD 2 X 8 X 8 FT</t>
  </si>
  <si>
    <t>*MDF - 70*</t>
  </si>
  <si>
    <t>MDF - 70</t>
  </si>
  <si>
    <t>3'' x 6'' x 13 ft Merandy Wood</t>
  </si>
  <si>
    <t>*MDF - 71*</t>
  </si>
  <si>
    <t>MDF - 71</t>
  </si>
  <si>
    <t>MDF FR FINSA 18MM 6 X 12</t>
  </si>
  <si>
    <t>*MDF - 72*</t>
  </si>
  <si>
    <t>MDF - 72</t>
  </si>
  <si>
    <t xml:space="preserve">WHITE OAK WOOD 2 X 10 X 9 </t>
  </si>
  <si>
    <t>*MDF - 73*</t>
  </si>
  <si>
    <t>MDF - 73</t>
  </si>
  <si>
    <t xml:space="preserve">WHITE OAK WOOD 3 X 10 X 10 </t>
  </si>
  <si>
    <t>*MDF - 74*</t>
  </si>
  <si>
    <t>MDF - 74</t>
  </si>
  <si>
    <t>WHITE OAK VENEER ROLL 9 X 8 QUARTER</t>
  </si>
  <si>
    <t>*MDF - 75*</t>
  </si>
  <si>
    <t>MDF - 75</t>
  </si>
  <si>
    <t xml:space="preserve">BEECH WOOD CROWN VENEER 8 X 8 VERTICAL </t>
  </si>
  <si>
    <t>*MDF - 76*</t>
  </si>
  <si>
    <t>MDF - 76</t>
  </si>
  <si>
    <t xml:space="preserve">WHITE GLOSSY LAMINATE 1220 X 2440 </t>
  </si>
  <si>
    <t>*MDF - 77*</t>
  </si>
  <si>
    <t>MDF - 77</t>
  </si>
  <si>
    <t>BEECH WOOD 2 X 8 X 9</t>
  </si>
  <si>
    <t>*MDF - 78*</t>
  </si>
  <si>
    <t>MDF - 78</t>
  </si>
  <si>
    <t>MDF FR 6MM 1220 X 2440</t>
  </si>
  <si>
    <t>*MDF - 79*</t>
  </si>
  <si>
    <t>MDF - 79</t>
  </si>
  <si>
    <t>6MM BEND PLY WOOD HORIZONTAL 1220 X 2440</t>
  </si>
  <si>
    <t>*MDF - 80*</t>
  </si>
  <si>
    <t>MDF - 80</t>
  </si>
  <si>
    <t>MDF FR FINSA 12MM 6 X 12</t>
  </si>
  <si>
    <t>*MDF - 81*</t>
  </si>
  <si>
    <t>MDF - 81</t>
  </si>
  <si>
    <t>WHITE LAMINATE 1MM X 1220 X 3000</t>
  </si>
  <si>
    <t>*MDF - 82*</t>
  </si>
  <si>
    <t>MDF - 82</t>
  </si>
  <si>
    <t xml:space="preserve">Beech WOOD 3 X 10 X 10 </t>
  </si>
  <si>
    <t>*MDF - 83*</t>
  </si>
  <si>
    <t>MDF - 83</t>
  </si>
  <si>
    <t xml:space="preserve">3MM THICK 1500X3000 MM ACP SHEET WHITE </t>
  </si>
  <si>
    <t>*MDF - 84*</t>
  </si>
  <si>
    <t>MDF - 84</t>
  </si>
  <si>
    <t xml:space="preserve">2" X 9" X 9' WALNUT SOLID WOOD W2 </t>
  </si>
  <si>
    <t>*MDF - 85*</t>
  </si>
  <si>
    <t>MDF - 85</t>
  </si>
  <si>
    <t>2" X 9" X 9' OAK WOOD SOLID WHITE W1</t>
  </si>
  <si>
    <t>*MDF - 86*</t>
  </si>
  <si>
    <t>MDF - 86</t>
  </si>
  <si>
    <t>2" X 9" X 9' BEECH WOOD</t>
  </si>
  <si>
    <t>*MDF - 87*</t>
  </si>
  <si>
    <t>MDF - 87</t>
  </si>
  <si>
    <t>15 mm Waterproof MDF ( 8x 4)</t>
  </si>
  <si>
    <t>*MDF - 88*</t>
  </si>
  <si>
    <t>MDF - 88</t>
  </si>
  <si>
    <t xml:space="preserve">18 mm thick ( 8x 4) marine plywood </t>
  </si>
  <si>
    <t>sheet</t>
  </si>
  <si>
    <t>*ACRYLIC - 2*</t>
  </si>
  <si>
    <t>ACRYLIC - 2</t>
  </si>
  <si>
    <t xml:space="preserve">ACRYLIC 10.00MM CLEAR 000 1220 X 2440 </t>
  </si>
  <si>
    <t>*ACRYLIC - 3*</t>
  </si>
  <si>
    <t>ACRYLIC - 3</t>
  </si>
  <si>
    <t xml:space="preserve">ACRYLIC 2.00MM BLACK 502 1220 X 2440 </t>
  </si>
  <si>
    <t>*ACRYLIC - 4*</t>
  </si>
  <si>
    <t>ACRYLIC - 4</t>
  </si>
  <si>
    <t>ACRYLIC 2.00MM CLEAR 000 1220 X 2440</t>
  </si>
  <si>
    <t>*ACRYLIC - 5*</t>
  </si>
  <si>
    <t>ACRYLIC - 5</t>
  </si>
  <si>
    <t xml:space="preserve">ACRYLIC 2.8MM CLEAR 000 1220 X 2440 </t>
  </si>
  <si>
    <t>*ACRYLIC - 6*</t>
  </si>
  <si>
    <t>ACRYLIC - 6</t>
  </si>
  <si>
    <t xml:space="preserve"> 2.8 MM OPAL 8X4 </t>
  </si>
  <si>
    <t>*ACRYLIC - 7*</t>
  </si>
  <si>
    <t>ACRYLIC - 7</t>
  </si>
  <si>
    <t>ACRYLIC 2.8MM OPAQUE WHITE 402 1220 X 2440</t>
  </si>
  <si>
    <t>*ACRYLIC - 8*</t>
  </si>
  <si>
    <t>ACRYLIC - 8</t>
  </si>
  <si>
    <t xml:space="preserve"> 2 mm clear plexiglass 8x4 </t>
  </si>
  <si>
    <t>*ACRYLIC - 9*</t>
  </si>
  <si>
    <t>ACRYLIC - 9</t>
  </si>
  <si>
    <t xml:space="preserve"> 3 mm opal 8x4 </t>
  </si>
  <si>
    <t>*ACRYLIC - 10*</t>
  </si>
  <si>
    <t>ACRYLIC - 10</t>
  </si>
  <si>
    <t>ACRYLIC 30.00MM CLEAR 000 1220 X 2440</t>
  </si>
  <si>
    <t>*ACRYLIC - 11*</t>
  </si>
  <si>
    <t>ACRYLIC - 11</t>
  </si>
  <si>
    <t xml:space="preserve"> 3 mm blue acrylic mirror  8x4 (as per sample) </t>
  </si>
  <si>
    <t>*ACRYLIC - 12*</t>
  </si>
  <si>
    <t>ACRYLIC - 12</t>
  </si>
  <si>
    <t xml:space="preserve"> 3 mm clear plexiglass 3x2 </t>
  </si>
  <si>
    <t>*ACRYLIC - 13*</t>
  </si>
  <si>
    <t>ACRYLIC - 13</t>
  </si>
  <si>
    <t xml:space="preserve"> 3 mm opal plexiglass 8x4 </t>
  </si>
  <si>
    <t>*ACRYLIC - 14*</t>
  </si>
  <si>
    <t>ACRYLIC - 14</t>
  </si>
  <si>
    <t>*ACRYLIC - 15*</t>
  </si>
  <si>
    <t>ACRYLIC - 15</t>
  </si>
  <si>
    <t>ACRYLIC 4.00MM CLEAR 000 1220 X 2440</t>
  </si>
  <si>
    <t>*ACRYLIC - 16*</t>
  </si>
  <si>
    <t>ACRYLIC - 16</t>
  </si>
  <si>
    <t xml:space="preserve"> 5 mm opal plexiglass 8x4 </t>
  </si>
  <si>
    <t>*ACRYLIC - 17*</t>
  </si>
  <si>
    <t>ACRYLIC - 17</t>
  </si>
  <si>
    <t xml:space="preserve">ACRYLIC 6.00MM CLEAR 000 1220 X 2440 </t>
  </si>
  <si>
    <t>*ACRYLIC - 18*</t>
  </si>
  <si>
    <t>ACRYLIC - 18</t>
  </si>
  <si>
    <t xml:space="preserve"> 6 mm black glossy 8x4 </t>
  </si>
  <si>
    <t>*ACRYLIC - 19*</t>
  </si>
  <si>
    <t>ACRYLIC - 19</t>
  </si>
  <si>
    <t xml:space="preserve"> 6 mm FROSTED ACRYLIC  8X4 SHEET  </t>
  </si>
  <si>
    <t>*ACRYLIC - 20*</t>
  </si>
  <si>
    <t>ACRYLIC - 20</t>
  </si>
  <si>
    <t>ACRYLIC 2.8MM OPAL WHITE 430 1220 X 2440</t>
  </si>
  <si>
    <t>BLUE RHINE</t>
  </si>
  <si>
    <t>*ACRYLIC - 21*</t>
  </si>
  <si>
    <t>ACRYLIC - 21</t>
  </si>
  <si>
    <t xml:space="preserve"> 12 mm white frosted acrylic 8x4 </t>
  </si>
  <si>
    <t>*ACRYLIC - 22*</t>
  </si>
  <si>
    <t>ACRYLIC - 22</t>
  </si>
  <si>
    <t xml:space="preserve">ACRYLIC 1.00MM BLACK 502 1220 X 2440 </t>
  </si>
  <si>
    <t>*ACRYLIC - 24*</t>
  </si>
  <si>
    <t>ACRYLIC - 24</t>
  </si>
  <si>
    <t xml:space="preserve"> 10 MM CLEAR ACRYLIC  3 X 2  </t>
  </si>
  <si>
    <t>*ACRYLIC - 25*</t>
  </si>
  <si>
    <t>ACRYLIC - 25</t>
  </si>
  <si>
    <t xml:space="preserve"> 10 mm opal 8x4 Ap421 </t>
  </si>
  <si>
    <t>*ACRYLIC - 26*</t>
  </si>
  <si>
    <t>ACRYLIC - 26</t>
  </si>
  <si>
    <t xml:space="preserve"> 10 MM FROSTED ACRYLIC  3  X  2  </t>
  </si>
  <si>
    <t>*ACRYLIC - 27*</t>
  </si>
  <si>
    <t>ACRYLIC - 27</t>
  </si>
  <si>
    <t xml:space="preserve"> 10 mm frosted acrylic 8x4 </t>
  </si>
  <si>
    <t>*ACRYLIC - 28*</t>
  </si>
  <si>
    <t>ACRYLIC - 28</t>
  </si>
  <si>
    <t>ACRYLIC 10.00MM OPAQUE WHITE 402 1220 X 2440</t>
  </si>
  <si>
    <t>*ACRYLIC - 29*</t>
  </si>
  <si>
    <t>ACRYLIC - 29</t>
  </si>
  <si>
    <t xml:space="preserve"> 12 MM OPAL ( FROSTED) 8X4 </t>
  </si>
  <si>
    <t>*ACRYLIC - 30*</t>
  </si>
  <si>
    <t>ACRYLIC - 30</t>
  </si>
  <si>
    <t>ACRYLIC 15.00MM CLEAR 000 1220 X 2440</t>
  </si>
  <si>
    <t>*ACRYLIC - 31*</t>
  </si>
  <si>
    <t>ACRYLIC - 31</t>
  </si>
  <si>
    <t xml:space="preserve"> 15mm opal frosted  (421) 8x4 </t>
  </si>
  <si>
    <t>*ACRYLIC - 32*</t>
  </si>
  <si>
    <t>ACRYLIC - 32</t>
  </si>
  <si>
    <t xml:space="preserve"> 15MM OPAL FROSTED 8X4 </t>
  </si>
  <si>
    <t>*ACRYLIC - 33*</t>
  </si>
  <si>
    <t>ACRYLIC - 33</t>
  </si>
  <si>
    <t xml:space="preserve"> 2 MM BLACK MATT 8x4 </t>
  </si>
  <si>
    <t>*ACRYLIC - 35*</t>
  </si>
  <si>
    <t>ACRYLIC - 35</t>
  </si>
  <si>
    <t xml:space="preserve"> 2 mm opal 8x4 </t>
  </si>
  <si>
    <t>*ACRYLIC - 36*</t>
  </si>
  <si>
    <t>ACRYLIC - 36</t>
  </si>
  <si>
    <t>ACRYLIC 2.8MM BLACK 502 1220 X 2440</t>
  </si>
  <si>
    <t>*ACRYLIC - 38*</t>
  </si>
  <si>
    <t>ACRYLIC - 38</t>
  </si>
  <si>
    <t xml:space="preserve"> 2.8 MM BLACK MATTE ACRYLIC 8 X 4 </t>
  </si>
  <si>
    <t>*ACRYLIC - 45*</t>
  </si>
  <si>
    <t>ACRYLIC - 45</t>
  </si>
  <si>
    <t xml:space="preserve"> 3 mm black glossy 8x4 </t>
  </si>
  <si>
    <t>*ACRYLIC - 46*</t>
  </si>
  <si>
    <t>ACRYLIC - 46</t>
  </si>
  <si>
    <t xml:space="preserve"> 3 mm clear  8x4 </t>
  </si>
  <si>
    <t>*ACRYLIC - 48*</t>
  </si>
  <si>
    <t>ACRYLIC - 48</t>
  </si>
  <si>
    <t xml:space="preserve"> 3 mm white 8x4 </t>
  </si>
  <si>
    <t>*ACRYLIC - 52*</t>
  </si>
  <si>
    <t>ACRYLIC - 52</t>
  </si>
  <si>
    <t xml:space="preserve"> 4 mm opal 8x4 </t>
  </si>
  <si>
    <t>*ACRYLIC - 53*</t>
  </si>
  <si>
    <t>ACRYLIC - 53</t>
  </si>
  <si>
    <t>ACRYLIC 5.00MM CLEAR 000 1220 X 2440</t>
  </si>
  <si>
    <t>*ACRYLIC - 54*</t>
  </si>
  <si>
    <t>ACRYLIC - 54</t>
  </si>
  <si>
    <t>ACRYLIC 5.00MM OPAQUE WHITE 402 1220 X 2440</t>
  </si>
  <si>
    <t>*ACRYLIC - 57*</t>
  </si>
  <si>
    <t>ACRYLIC - 57</t>
  </si>
  <si>
    <t xml:space="preserve">ACRYLIC 6.00MM CLEAR 000 1220 X 1830 </t>
  </si>
  <si>
    <t>*ACRYLIC - 60*</t>
  </si>
  <si>
    <t>ACRYLIC - 60</t>
  </si>
  <si>
    <t xml:space="preserve"> 8 mm clear 8x4 </t>
  </si>
  <si>
    <t>*ACRYLIC - 61*</t>
  </si>
  <si>
    <t>ACRYLIC - 61</t>
  </si>
  <si>
    <t xml:space="preserve"> 8 mm opal (frosted )8x4 Ap421 </t>
  </si>
  <si>
    <t>*ACRYLIC - 62*</t>
  </si>
  <si>
    <t>ACRYLIC - 62</t>
  </si>
  <si>
    <t xml:space="preserve"> 8 mm OPAL 8X4 </t>
  </si>
  <si>
    <t>*ACRYLIC - 64*</t>
  </si>
  <si>
    <t>ACRYLIC - 64</t>
  </si>
  <si>
    <t xml:space="preserve"> 4 mm opal white acrylic 8 x 4 </t>
  </si>
  <si>
    <t>*ACRYLIC - 66*</t>
  </si>
  <si>
    <t>ACRYLIC - 66</t>
  </si>
  <si>
    <t xml:space="preserve"> 2.8 mm opal white acrylic 8 x 4 </t>
  </si>
  <si>
    <t>*ACRYLIC - 67*</t>
  </si>
  <si>
    <t>ACRYLIC - 67</t>
  </si>
  <si>
    <t xml:space="preserve"> 10 mm black glossy 6x4 </t>
  </si>
  <si>
    <t>*ACRYLIC - 68*</t>
  </si>
  <si>
    <t>ACRYLIC - 68</t>
  </si>
  <si>
    <t xml:space="preserve"> 10 mm white glossy 8x4 </t>
  </si>
  <si>
    <t>*ACRYLIC - 69*</t>
  </si>
  <si>
    <t>ACRYLIC - 69</t>
  </si>
  <si>
    <t xml:space="preserve"> 6 mm clear 3 x 1.5 </t>
  </si>
  <si>
    <t>*ACRYLIC - 70*</t>
  </si>
  <si>
    <t>ACRYLIC - 70</t>
  </si>
  <si>
    <t xml:space="preserve"> 2.8 MM CLEAR ACRYLIC 3 x 1.5 SHEET  </t>
  </si>
  <si>
    <t>*ACRYLIC - 71*</t>
  </si>
  <si>
    <t>ACRYLIC - 71</t>
  </si>
  <si>
    <t xml:space="preserve"> 2.8 mm White Matte 8 x 4 </t>
  </si>
  <si>
    <t>*ACRYLIC - 72*</t>
  </si>
  <si>
    <t>ACRYLIC - 72</t>
  </si>
  <si>
    <t>ACRYLIC 4.00MM BLACK 502 1220 X 2440</t>
  </si>
  <si>
    <t>*ACRYLIC - 73*</t>
  </si>
  <si>
    <t>ACRYLIC - 73</t>
  </si>
  <si>
    <t xml:space="preserve"> 5mm Opal Acrylic 8 x 4  </t>
  </si>
  <si>
    <t>*ACRYLIC - 74*</t>
  </si>
  <si>
    <t>ACRYLIC - 74</t>
  </si>
  <si>
    <t xml:space="preserve"> 6mm Black matte 8 x 4 </t>
  </si>
  <si>
    <t>*ACRYLIC - 75*</t>
  </si>
  <si>
    <t>ACRYLIC - 75</t>
  </si>
  <si>
    <t>ACRYLIC 6.00MM OPAQUE WHITE 402 1220 X 2440</t>
  </si>
  <si>
    <t>*ACRYLIC - 76*</t>
  </si>
  <si>
    <t>ACRYLIC - 76</t>
  </si>
  <si>
    <t>ACRYLIC 8.00MM BLACK 502 1220 X 2440</t>
  </si>
  <si>
    <t>*ACRYLIC - 77*</t>
  </si>
  <si>
    <t>ACRYLIC - 77</t>
  </si>
  <si>
    <t>ACRYLIC 12.00MM CLEAR 000 1220 X 2440</t>
  </si>
  <si>
    <t>*ACRYLIC - 78*</t>
  </si>
  <si>
    <t>ACRYLIC - 78</t>
  </si>
  <si>
    <t>ACRYLIC 20.00MM CLEAR 000 1220 X 2440</t>
  </si>
  <si>
    <t>SABIN</t>
  </si>
  <si>
    <t>*ACRYLIC - 79*</t>
  </si>
  <si>
    <t>ACRYLIC - 79</t>
  </si>
  <si>
    <t>POLYCARBONATE 2.00MM OPAL WHITE 2 X 3</t>
  </si>
  <si>
    <t xml:space="preserve">BLUE RHINE </t>
  </si>
  <si>
    <t>*ACRYLIC - 80*</t>
  </si>
  <si>
    <t>ACRYLIC - 80</t>
  </si>
  <si>
    <t xml:space="preserve"> 6mm Plexiglass Clear 3 x 1.5 </t>
  </si>
  <si>
    <t>*ACRYLIC - 81*</t>
  </si>
  <si>
    <t>ACRYLIC - 81</t>
  </si>
  <si>
    <t xml:space="preserve"> 15mm Clear Acrylic 3 x 1.5 </t>
  </si>
  <si>
    <t>*ACRYLIC - 82*</t>
  </si>
  <si>
    <t>ACRYLIC - 82</t>
  </si>
  <si>
    <t xml:space="preserve"> 2.8mm Polycarbonate 3 x 1.5 </t>
  </si>
  <si>
    <t>*ACRYLIC - 83*</t>
  </si>
  <si>
    <t>ACRYLIC - 83</t>
  </si>
  <si>
    <t xml:space="preserve"> 2.5 Red Acrylic </t>
  </si>
  <si>
    <t>*ACRYLIC - 90*</t>
  </si>
  <si>
    <t>ACRYLIC - 90</t>
  </si>
  <si>
    <t>ACRYLIC 6.00MM CLEAR 2000 X 3000</t>
  </si>
  <si>
    <t>*ACRYLIC - 91*</t>
  </si>
  <si>
    <t>ACRYLIC - 91</t>
  </si>
  <si>
    <t>25 MM OPAL WHITE ACRYLIC AP445 8X4</t>
  </si>
  <si>
    <t>*ACRYLIC - 92*</t>
  </si>
  <si>
    <t>ACRYLIC - 92</t>
  </si>
  <si>
    <t>25mm dia acrylic pipe</t>
  </si>
  <si>
    <t>*ACRYLIC - 93*</t>
  </si>
  <si>
    <t>ACRYLIC - 93</t>
  </si>
  <si>
    <t>3MM OPAL WHITE PLEXIGLASS 3X2</t>
  </si>
  <si>
    <t>*ACRYLIC - 94*</t>
  </si>
  <si>
    <t>ACRYLIC - 94</t>
  </si>
  <si>
    <t>3MM OPAL WHITE  3X2</t>
  </si>
  <si>
    <t>*ACRYLIC - 95*</t>
  </si>
  <si>
    <t>ACRYLIC - 95</t>
  </si>
  <si>
    <t>ACRYLIC 3.00MM SILVER MIRROR 1220 X 1830</t>
  </si>
  <si>
    <t xml:space="preserve">SABIN PLASTIC </t>
  </si>
  <si>
    <t>*ACRYLIC - 98*</t>
  </si>
  <si>
    <t>ACRYLIC - 98</t>
  </si>
  <si>
    <t>ACRYLIC TUBE CLEAR 60MM X 2 METER</t>
  </si>
  <si>
    <t>*ACRYLIC - 99*</t>
  </si>
  <si>
    <t>ACRYLIC - 99</t>
  </si>
  <si>
    <t xml:space="preserve">ACRYLIC 1.00MM CLEAR 000 1220 X 2440 </t>
  </si>
  <si>
    <t>*ACRYLIC - 100*</t>
  </si>
  <si>
    <t>ACRYLIC - 100</t>
  </si>
  <si>
    <t>ACRYLIC 12.00MM OPAQUE WHITE 402 1220 X 2440</t>
  </si>
  <si>
    <t>*ACRYLIC - 101*</t>
  </si>
  <si>
    <t>ACRYLIC - 101</t>
  </si>
  <si>
    <t>ACRYLIC 4.00MM OPAL WHITE 430 1220 X 2440</t>
  </si>
  <si>
    <t>*ACRYLIC - 102*</t>
  </si>
  <si>
    <t>ACRYLIC - 102</t>
  </si>
  <si>
    <t>POLYCARBONATE 1.00MM CLEAR 1220 X 2440</t>
  </si>
  <si>
    <t>*ACRYLIC - 103*</t>
  </si>
  <si>
    <t>ACRYLIC - 103</t>
  </si>
  <si>
    <t>POLYCARBONATE 2.8MM OPAL WHITE 1220 X 2440</t>
  </si>
  <si>
    <t>*ACRYLIC - 104*</t>
  </si>
  <si>
    <t>ACRYLIC - 104</t>
  </si>
  <si>
    <t>POLYCARBONATE 2.00MM OPAL WHITE 1220 X 2440</t>
  </si>
  <si>
    <t>*ACRYLIC - 105*</t>
  </si>
  <si>
    <t>ACRYLIC - 105</t>
  </si>
  <si>
    <t>ACRYLIC 4.00MM OPAQUE WHITE 402 1220 X 2440</t>
  </si>
  <si>
    <t>*ACRYLIC - 106*</t>
  </si>
  <si>
    <t>ACRYLIC - 106</t>
  </si>
  <si>
    <t>ACRYLIC 10.00MM OPAL WHITE 430 1220 X 2440</t>
  </si>
  <si>
    <t>*ACRYLIC - 107*</t>
  </si>
  <si>
    <t>ACRYLIC - 107</t>
  </si>
  <si>
    <t>ACRYLIC 20.00MM OPAL WHITE 433 1220 X 2440</t>
  </si>
  <si>
    <t>*ACRYLIC - 108*</t>
  </si>
  <si>
    <t>ACRYLIC - 108</t>
  </si>
  <si>
    <t>ACRYLIC 3.00MM SILVER MIRROR 1220 X 2440</t>
  </si>
  <si>
    <t>*ACRYLIC - 109*</t>
  </si>
  <si>
    <t>ACRYLIC - 109</t>
  </si>
  <si>
    <t>ACRYLIC 15.00MM OPAL WHITE 430 1220 X 2440</t>
  </si>
  <si>
    <t>*ACRYLIC - 110*</t>
  </si>
  <si>
    <t>ACRYLIC - 110</t>
  </si>
  <si>
    <t>ACRYLIC PIPE 15 DIA</t>
  </si>
  <si>
    <t>nos</t>
  </si>
  <si>
    <t>*ACRYLIC - 111*</t>
  </si>
  <si>
    <t>ACRYLIC - 111</t>
  </si>
  <si>
    <t xml:space="preserve">ACRYLIC PIPE 10 DIA - 10 mm frosted tube 2 meter </t>
  </si>
  <si>
    <t>*ACRYLIC - 112*</t>
  </si>
  <si>
    <t>ACRYLIC - 112</t>
  </si>
  <si>
    <t>2 MM CLEAR ACRYLIC 8X4</t>
  </si>
  <si>
    <t>*ACRYLIC - 113*</t>
  </si>
  <si>
    <t>ACRYLIC - 113</t>
  </si>
  <si>
    <t>4MM RED ACRYLIC 8X4</t>
  </si>
  <si>
    <t>*ACRYLIC - 114*</t>
  </si>
  <si>
    <t>ACRYLIC - 114</t>
  </si>
  <si>
    <t>6 mm silver mirror acrylic 8x4</t>
  </si>
  <si>
    <t>*ACRYLIC - 115*</t>
  </si>
  <si>
    <t>ACRYLIC - 115</t>
  </si>
  <si>
    <t>*METAL - 1*</t>
  </si>
  <si>
    <t>METAL - 1</t>
  </si>
  <si>
    <t xml:space="preserve">12MM GI THREAD ROD X2MTR </t>
  </si>
  <si>
    <t>*METAL - 6*</t>
  </si>
  <si>
    <t>METAL - 6</t>
  </si>
  <si>
    <t xml:space="preserve">ALUMINUM SHEET 1.5MM 1220 X 2440 </t>
  </si>
  <si>
    <t>*METAL - 7*</t>
  </si>
  <si>
    <t>METAL - 7</t>
  </si>
  <si>
    <t>2.00MM Aluminium Sheet 1500 x 2440</t>
  </si>
  <si>
    <t>*METAL - 8*</t>
  </si>
  <si>
    <t>METAL - 8</t>
  </si>
  <si>
    <t>ALUMINUM SHEET 2.00MM 1220 X 2440</t>
  </si>
  <si>
    <t>*METAL - 9*</t>
  </si>
  <si>
    <t>METAL - 9</t>
  </si>
  <si>
    <t>2.00MM Aluminium Sheet 1500 x 3000</t>
  </si>
  <si>
    <t>*METAL - 14*</t>
  </si>
  <si>
    <t>METAL - 14</t>
  </si>
  <si>
    <t>3mm Aluminium ACP Mirror Finished sheet 3000x1250</t>
  </si>
  <si>
    <t>*METAL - 16*</t>
  </si>
  <si>
    <t>METAL - 16</t>
  </si>
  <si>
    <t>SS (304) SQUARE TUBE 1.5MM X 25 X 25 X 6MTR</t>
  </si>
  <si>
    <t>*METAL - 17*</t>
  </si>
  <si>
    <t>METAL - 17</t>
  </si>
  <si>
    <t>SS (304) 1.00MM MIRROR FINISH 1220 X 2440</t>
  </si>
  <si>
    <t>*METAL - 20*</t>
  </si>
  <si>
    <t>METAL - 20</t>
  </si>
  <si>
    <t>3MM SS ROUND ROD X6MTR</t>
  </si>
  <si>
    <t>*METAL - 21*</t>
  </si>
  <si>
    <t>METAL - 21</t>
  </si>
  <si>
    <t xml:space="preserve">8MM SS ROUND ROD X6MTR </t>
  </si>
  <si>
    <t>*METAL - 24*</t>
  </si>
  <si>
    <t>METAL - 24</t>
  </si>
  <si>
    <t xml:space="preserve">40X5 MS FLAT BAR X6MTR </t>
  </si>
  <si>
    <t>*METAL - 25*</t>
  </si>
  <si>
    <t>METAL - 25</t>
  </si>
  <si>
    <t>1.5MM SS SQUARE PIPE (304) MIRROR POLISHED 20X20X6</t>
  </si>
  <si>
    <t>*METAL - 26*</t>
  </si>
  <si>
    <t>METAL - 26</t>
  </si>
  <si>
    <t xml:space="preserve">1.5MM MIRROR POLISHED SS SQUARE PIPE 40X20X6MTR </t>
  </si>
  <si>
    <t>*METAL - 27*</t>
  </si>
  <si>
    <t>METAL - 27</t>
  </si>
  <si>
    <t>1.5MM SS MF SQUARE TUBE 20X20X6MTR</t>
  </si>
  <si>
    <t>*METAL - 28*</t>
  </si>
  <si>
    <t>METAL - 28</t>
  </si>
  <si>
    <t>1.2 MM GI sheet 1500 x 3000</t>
  </si>
  <si>
    <t>*METAL - 29*</t>
  </si>
  <si>
    <t>METAL - 29</t>
  </si>
  <si>
    <t>MS CR SHEET 1.00MM 1220 X 2440</t>
  </si>
  <si>
    <t>*METAL - 30*</t>
  </si>
  <si>
    <t>METAL - 30</t>
  </si>
  <si>
    <t>MS CR SHEET 2.00MM 1220 X 2440</t>
  </si>
  <si>
    <t>*METAL - 31*</t>
  </si>
  <si>
    <t>METAL - 31</t>
  </si>
  <si>
    <t>MS SQUARE TUBE 1.5MM X 12 X 12 X 6MTR</t>
  </si>
  <si>
    <t>*METAL - 32*</t>
  </si>
  <si>
    <t>METAL - 32</t>
  </si>
  <si>
    <t xml:space="preserve">1.5MM  MS SQURE PIPE 20X20X6MTR </t>
  </si>
  <si>
    <t>*METAL - 33*</t>
  </si>
  <si>
    <t>METAL - 33</t>
  </si>
  <si>
    <t>SS (304) 1.5MM MIRROR FINISH 1220 X 2440</t>
  </si>
  <si>
    <t>*METAL - 34*</t>
  </si>
  <si>
    <t>METAL - 34</t>
  </si>
  <si>
    <t>1.5MM SS ROUND PIPE 15 MM DIA X 6MTR</t>
  </si>
  <si>
    <t>*METAL - 35*</t>
  </si>
  <si>
    <t>METAL - 35</t>
  </si>
  <si>
    <t xml:space="preserve">2 MM MS SQUARE TUBE  40X40X6MTR </t>
  </si>
  <si>
    <t>*METAL - 36*</t>
  </si>
  <si>
    <t>METAL - 36</t>
  </si>
  <si>
    <t xml:space="preserve">20X5 MS FLATBAR X 6MTR </t>
  </si>
  <si>
    <t>*METAL - 37*</t>
  </si>
  <si>
    <t>METAL - 37</t>
  </si>
  <si>
    <t>MS SHEET 2.00MM 1220 X 2440</t>
  </si>
  <si>
    <t>*METAL - 38*</t>
  </si>
  <si>
    <t>METAL - 38</t>
  </si>
  <si>
    <t>MS SHEET 3.00MM 1220 X 2440</t>
  </si>
  <si>
    <t>*METAL - 39*</t>
  </si>
  <si>
    <t>METAL - 39</t>
  </si>
  <si>
    <t>MS SHEET 5.00MM 1220 X 2440</t>
  </si>
  <si>
    <t>*METAL - 40*</t>
  </si>
  <si>
    <t>METAL - 40</t>
  </si>
  <si>
    <t>12MM MS SHEET 2440X1220</t>
  </si>
  <si>
    <t>*METAL - 41*</t>
  </si>
  <si>
    <t>METAL - 41</t>
  </si>
  <si>
    <t>2MM MS SQUARE TUBE 20X20X6MTR</t>
  </si>
  <si>
    <t>*METAL - 42*</t>
  </si>
  <si>
    <t>METAL - 42</t>
  </si>
  <si>
    <t>2MM MS SQUARE TUBE 40X40X6MTR</t>
  </si>
  <si>
    <t>*METAL - 43*</t>
  </si>
  <si>
    <t>METAL - 43</t>
  </si>
  <si>
    <t>2MM MS SQUARE TUBE 25X25X6MTR</t>
  </si>
  <si>
    <t>*METAL - 44*</t>
  </si>
  <si>
    <t>METAL - 44</t>
  </si>
  <si>
    <t>2MM MS SQUARE TUBE 30X30X6MTR</t>
  </si>
  <si>
    <t>*METAL - 45*</t>
  </si>
  <si>
    <t>METAL - 45</t>
  </si>
  <si>
    <t>2MM MS RECT TUBE 40X20X6MTR</t>
  </si>
  <si>
    <t>*METAL - 46*</t>
  </si>
  <si>
    <t>METAL - 46</t>
  </si>
  <si>
    <t>1.5 MM MS SQUARE TUBE 20X20X6MTR</t>
  </si>
  <si>
    <t>*METAL - 47*</t>
  </si>
  <si>
    <t>METAL - 47</t>
  </si>
  <si>
    <t>1.5 MM MS SQUARE TUBE 15X15X6MTR</t>
  </si>
  <si>
    <t>*METAL - 48*</t>
  </si>
  <si>
    <t>METAL - 48</t>
  </si>
  <si>
    <t>SS (304) 3.00MM BRUSH FINISH 1220 X 2440</t>
  </si>
  <si>
    <t>*METAL - 49*</t>
  </si>
  <si>
    <t>METAL - 49</t>
  </si>
  <si>
    <t>SS (304) 2.00MM BRUSH FINISH 1220 X 2440</t>
  </si>
  <si>
    <t>*METAL - 50*</t>
  </si>
  <si>
    <t>METAL - 50</t>
  </si>
  <si>
    <t>(304) 2.00MM SS MF 1220 X 2440</t>
  </si>
  <si>
    <t>*METAL - 52*</t>
  </si>
  <si>
    <t>METAL - 52</t>
  </si>
  <si>
    <t>2MM SS ROUND PIPE 100 DIA X6 MTR</t>
  </si>
  <si>
    <t>*METAL - 53*</t>
  </si>
  <si>
    <t>METAL - 53</t>
  </si>
  <si>
    <t xml:space="preserve">2MM SS ROUND PIPE 20 MM DIA X6MTR </t>
  </si>
  <si>
    <t>*METAL - 54*</t>
  </si>
  <si>
    <t>METAL - 54</t>
  </si>
  <si>
    <t>2MM SS ROUND PIPE 25 MM DIA X 6MTR</t>
  </si>
  <si>
    <t>*METAL - 55*</t>
  </si>
  <si>
    <t>METAL - 55</t>
  </si>
  <si>
    <t>1.5 MM X 12.5 MMss Round Tube x6 mgtr</t>
  </si>
  <si>
    <t>*METAL - 57*</t>
  </si>
  <si>
    <t>METAL - 57</t>
  </si>
  <si>
    <t>2mm x100x50 MS Rect Tube x 6 mtr</t>
  </si>
  <si>
    <t>Box</t>
  </si>
  <si>
    <t>*METAL - 58*</t>
  </si>
  <si>
    <t>METAL - 58</t>
  </si>
  <si>
    <t>MS SHEET 1.00MM 1220 X 2440</t>
  </si>
  <si>
    <t>*METAL - 59*</t>
  </si>
  <si>
    <t>METAL - 59</t>
  </si>
  <si>
    <t>2 mm60 mM SS round Pipe x 1 mtr</t>
  </si>
  <si>
    <t>*METAL - 62*</t>
  </si>
  <si>
    <t>METAL - 62</t>
  </si>
  <si>
    <t>100X 50X2 mm SS Mirror Rect Tube X6 mtr</t>
  </si>
  <si>
    <t>*METAL - 63*</t>
  </si>
  <si>
    <t>METAL - 63</t>
  </si>
  <si>
    <t>2 MM 50 X50 SS mirror Rect Tube x6 mtr</t>
  </si>
  <si>
    <t>*METAL - 64*</t>
  </si>
  <si>
    <t>METAL - 64</t>
  </si>
  <si>
    <t>SS (304) 3.00MM MIRROR FINISH 1220 X 2440</t>
  </si>
  <si>
    <t>*METAL - 65*</t>
  </si>
  <si>
    <t>METAL - 65</t>
  </si>
  <si>
    <t>SS (304) 5.00MM MIRROR FINISH 1220 X 2440</t>
  </si>
  <si>
    <t>*METAL - 66*</t>
  </si>
  <si>
    <t>METAL - 66</t>
  </si>
  <si>
    <t>2MM SS MF 2440X 1220</t>
  </si>
  <si>
    <t>*METAL - 67*</t>
  </si>
  <si>
    <t>METAL - 67</t>
  </si>
  <si>
    <t xml:space="preserve">1.5 MM 19 DIA SS round Tube </t>
  </si>
  <si>
    <t>*METAL - 68*</t>
  </si>
  <si>
    <t>METAL - 68</t>
  </si>
  <si>
    <t> 5MM SS ROUND ROD X6MTR</t>
  </si>
  <si>
    <t>*METAL - 69*</t>
  </si>
  <si>
    <t>METAL - 69</t>
  </si>
  <si>
    <t>2MM ALUMINIUM RECTANGLE TUBE 100X20X6MTR</t>
  </si>
  <si>
    <t>*METAL - 70*</t>
  </si>
  <si>
    <t>METAL - 70</t>
  </si>
  <si>
    <t>SS ROUND PIPE (304) 1.2MM X 10MM DIA X 6MTR</t>
  </si>
  <si>
    <t>*METAL - 71*</t>
  </si>
  <si>
    <t>METAL - 71</t>
  </si>
  <si>
    <t>2MM SS MF SHEET 3000 X 1500</t>
  </si>
  <si>
    <t>*METAL - 72*</t>
  </si>
  <si>
    <t>METAL - 72</t>
  </si>
  <si>
    <t>SS (304) 2.00MM BRUSH FINISH 1220 X 3000</t>
  </si>
  <si>
    <t>*METAL - 73*</t>
  </si>
  <si>
    <t>METAL - 73</t>
  </si>
  <si>
    <t>SS (304) 5.00MM BRUSH FINISH 1220 X 2440</t>
  </si>
  <si>
    <t>*METAL - 74*</t>
  </si>
  <si>
    <t>METAL - 74</t>
  </si>
  <si>
    <t>50X10 MS FLAT BAR X6MTR</t>
  </si>
  <si>
    <t>*METAL - 75*</t>
  </si>
  <si>
    <t>METAL - 75</t>
  </si>
  <si>
    <t>0.8MM MS CR SHEET 2440X1220</t>
  </si>
  <si>
    <t>*METAL - 78*</t>
  </si>
  <si>
    <t>METAL - 78</t>
  </si>
  <si>
    <t>2MM SS ROUND PIPE 30 DIA X6MTR</t>
  </si>
  <si>
    <t>*METAL - 79*</t>
  </si>
  <si>
    <t>METAL - 79</t>
  </si>
  <si>
    <t>SS (304) SQUARE TUBE 1.5 X 30 X 30 X 6MTR</t>
  </si>
  <si>
    <t>*METAL - 80*</t>
  </si>
  <si>
    <t>METAL - 80</t>
  </si>
  <si>
    <t>1.5MM SS SQUARE TUBE 40X40X6MTR</t>
  </si>
  <si>
    <t>*METAL - 83*</t>
  </si>
  <si>
    <t>METAL - 83</t>
  </si>
  <si>
    <t>*METAL - 84*</t>
  </si>
  <si>
    <t>METAL - 84</t>
  </si>
  <si>
    <t>1mm thickness x 8mm DIA SS Round Pipe x 6 mtr</t>
  </si>
  <si>
    <t>*METAL - 87*</t>
  </si>
  <si>
    <t>METAL - 87</t>
  </si>
  <si>
    <t xml:space="preserve">ALUMINUM SHEET 1MM 1220 X 2440 </t>
  </si>
  <si>
    <t>*METAL - 88*</t>
  </si>
  <si>
    <t>METAL - 88</t>
  </si>
  <si>
    <t>Aluminium Sheet 3mm x 2000x6000</t>
  </si>
  <si>
    <t>*METAL - 89*</t>
  </si>
  <si>
    <t>METAL - 89</t>
  </si>
  <si>
    <t>SS (304) FLAT BAR 40 X 5 X 6MTR</t>
  </si>
  <si>
    <t>*METAL - 90*</t>
  </si>
  <si>
    <t>METAL - 90</t>
  </si>
  <si>
    <t>SS (304) SQUARE TUBE 1.2MM X 10 X 10 X 6MTR</t>
  </si>
  <si>
    <t>*METAL - 91*</t>
  </si>
  <si>
    <t>METAL - 91</t>
  </si>
  <si>
    <t>3 X 50 dia X 6000 Aluminium pipe</t>
  </si>
  <si>
    <t>*METAL - 92*</t>
  </si>
  <si>
    <t>METAL - 92</t>
  </si>
  <si>
    <t>*METAL - 93*</t>
  </si>
  <si>
    <t>METAL - 93</t>
  </si>
  <si>
    <t>1MM SS GOLD SHEET  2440X 1220</t>
  </si>
  <si>
    <t>*METAL - 94*</t>
  </si>
  <si>
    <t>METAL - 94</t>
  </si>
  <si>
    <t>1.5MM SS ROUND PIPE 25MM DIA X6MTR</t>
  </si>
  <si>
    <t>*METAL - 95*</t>
  </si>
  <si>
    <t>METAL - 95</t>
  </si>
  <si>
    <t>2 x 20 x 50 x 6000 aluminium L angle</t>
  </si>
  <si>
    <t>*METAL - 96*</t>
  </si>
  <si>
    <t>METAL - 96</t>
  </si>
  <si>
    <t>3 x 50 x 100 x 6000 aluminium L angle</t>
  </si>
  <si>
    <t>*METAL - 97*</t>
  </si>
  <si>
    <t>METAL - 97</t>
  </si>
  <si>
    <t>20x5 SS FLAT BAR X6MTR</t>
  </si>
  <si>
    <t>*METAL - 98*</t>
  </si>
  <si>
    <t>METAL - 98</t>
  </si>
  <si>
    <t>2MM SS POLISH FINISH PIPE 88.9MM DIA X 6MTR</t>
  </si>
  <si>
    <t>*METAL - 99*</t>
  </si>
  <si>
    <t>METAL - 99</t>
  </si>
  <si>
    <t>3 x 32 dia ss pipe x6mtr</t>
  </si>
  <si>
    <t>*METAL - 100*</t>
  </si>
  <si>
    <t>METAL - 100</t>
  </si>
  <si>
    <t>3MM SS BF SHEET 2440X1220</t>
  </si>
  <si>
    <t>*METAL - 101*</t>
  </si>
  <si>
    <t>METAL - 101</t>
  </si>
  <si>
    <t>10MM DIA SS ROUND ROD X6MTR</t>
  </si>
  <si>
    <t>*METAL - 102*</t>
  </si>
  <si>
    <t>METAL - 102</t>
  </si>
  <si>
    <t>6MM DIA SS ROUND ROD X6MTR</t>
  </si>
  <si>
    <t>*METAL - 103*</t>
  </si>
  <si>
    <t>METAL - 103</t>
  </si>
  <si>
    <t>2MM MS SQUARE TUBE 150X50X6MTR</t>
  </si>
  <si>
    <t>*METAL - 104*</t>
  </si>
  <si>
    <t>METAL - 104</t>
  </si>
  <si>
    <t>2MM MS SQUARE TUBE 80X40 X6MTR</t>
  </si>
  <si>
    <t>*METAL - 105*</t>
  </si>
  <si>
    <t>METAL - 105</t>
  </si>
  <si>
    <t>SS (304) SQUARE TUBE 1.5MM X 20 X 20 X 6MTR</t>
  </si>
  <si>
    <t>*METAL - 106*</t>
  </si>
  <si>
    <t>METAL - 106</t>
  </si>
  <si>
    <t>ALUMINUM SHEET 5.00MM 1220 X 2440</t>
  </si>
  <si>
    <t>*METAL - 107*</t>
  </si>
  <si>
    <t>METAL - 107</t>
  </si>
  <si>
    <t>TITANIUM GOLD 1.00MM BRUSH FINISH 1220 X 2440</t>
  </si>
  <si>
    <t>*METAL - 108*</t>
  </si>
  <si>
    <t>METAL - 108</t>
  </si>
  <si>
    <t>30 X 15 SS MF RECT TUBE 1.2MM X 6MTR</t>
  </si>
  <si>
    <t>*METAL - 109*</t>
  </si>
  <si>
    <t>METAL - 109</t>
  </si>
  <si>
    <t>2MM X 32 DIA SS ROUND PIPE X6MTR</t>
  </si>
  <si>
    <t>*METAL - 114*</t>
  </si>
  <si>
    <t>METAL - 114</t>
  </si>
  <si>
    <t>MS RECT TUBE 2MM X 50 X 25 X 6MTR</t>
  </si>
  <si>
    <t>*METAL - 115*</t>
  </si>
  <si>
    <t>METAL - 115</t>
  </si>
  <si>
    <t>SS SQUARE ROD 6x6 x6MTR</t>
  </si>
  <si>
    <t>*METAL - 116*</t>
  </si>
  <si>
    <t>METAL - 116</t>
  </si>
  <si>
    <t>2MM SS SQUARE TUBE 40x40x6mtr</t>
  </si>
  <si>
    <t>*METAL - 117*</t>
  </si>
  <si>
    <t>METAL - 117</t>
  </si>
  <si>
    <t>1.5MM SS SQUARE TUBE 12X12X6MTR</t>
  </si>
  <si>
    <t>*METAL - 118*</t>
  </si>
  <si>
    <t>METAL - 118</t>
  </si>
  <si>
    <t>2MM SS polished square tube 30x30x6mtr</t>
  </si>
  <si>
    <t>*METAL - 119*</t>
  </si>
  <si>
    <t>METAL - 119</t>
  </si>
  <si>
    <t>2MM X 26.70MM DIA MS PIPE X6MTR</t>
  </si>
  <si>
    <t>*METAL - 120*</t>
  </si>
  <si>
    <t>METAL - 120</t>
  </si>
  <si>
    <t>2MM X 21MM DIA MS PIPE X6MTR</t>
  </si>
  <si>
    <t>*METAL - 121*</t>
  </si>
  <si>
    <t>METAL - 121</t>
  </si>
  <si>
    <t>2MM X 63.5MM DIA SS ROUND PIPE X6MTR</t>
  </si>
  <si>
    <t>*METAL - 123*</t>
  </si>
  <si>
    <t>METAL - 123</t>
  </si>
  <si>
    <t>SS (304) SQUARE TUBE 1.5MM X 15 X 15 X 6MTR</t>
  </si>
  <si>
    <t>no's</t>
  </si>
  <si>
    <t>*METAL - 124*</t>
  </si>
  <si>
    <t>METAL - 124</t>
  </si>
  <si>
    <t>SS (304) SOLID SQUARE ROD 20 X 20 X 4MTR</t>
  </si>
  <si>
    <t>*METAL - 125*</t>
  </si>
  <si>
    <t>METAL - 125</t>
  </si>
  <si>
    <t>2MM SS ROUND PIPE 19 DIA X6MTR</t>
  </si>
  <si>
    <t>*METAL - 126*</t>
  </si>
  <si>
    <t>METAL - 126</t>
  </si>
  <si>
    <t>2MM SS ROUND PIPE 16 DIA X6MTR</t>
  </si>
  <si>
    <t>*METAL - 127*</t>
  </si>
  <si>
    <t>METAL - 127</t>
  </si>
  <si>
    <t>25X5 SS FLAT BAR X6MTR</t>
  </si>
  <si>
    <t>*METAL - 128*</t>
  </si>
  <si>
    <t>METAL - 128</t>
  </si>
  <si>
    <t>10X5 SS STRIP X3MTR</t>
  </si>
  <si>
    <t>*METAL - 129*</t>
  </si>
  <si>
    <t>METAL - 129</t>
  </si>
  <si>
    <t>10X10 SS SQUARE  SOLID ROD X6MTR</t>
  </si>
  <si>
    <t>*METAL - 130*</t>
  </si>
  <si>
    <t>METAL - 130</t>
  </si>
  <si>
    <t>3MM SS ROUND ROD X4MTR</t>
  </si>
  <si>
    <t>*METAL - 132*</t>
  </si>
  <si>
    <t>METAL - 132</t>
  </si>
  <si>
    <t>ALUMINUM SHEET 1.2MM X 1220 X 2440</t>
  </si>
  <si>
    <t>*METAL - 133*</t>
  </si>
  <si>
    <t>METAL - 133</t>
  </si>
  <si>
    <t>33MMX2MM DIA MS ROUND PIPE X6MTR</t>
  </si>
  <si>
    <t>*METAL - 135*</t>
  </si>
  <si>
    <t>METAL - 135</t>
  </si>
  <si>
    <t>2MM SS BF SHEET 3000 X 1500</t>
  </si>
  <si>
    <t>*METAL - 136*</t>
  </si>
  <si>
    <t>METAL - 136</t>
  </si>
  <si>
    <t>MS SQUARE TUBE 1.5MM X 25 X 25 X 6MTR</t>
  </si>
  <si>
    <t>*METAL - 137*</t>
  </si>
  <si>
    <t>METAL - 137</t>
  </si>
  <si>
    <t>25 x 4.5MM MS FLAT BAR X6MTR</t>
  </si>
  <si>
    <t>*METAL - 138*</t>
  </si>
  <si>
    <t>METAL - 138</t>
  </si>
  <si>
    <t>1MM MS CR SHEET 2440X 1220</t>
  </si>
  <si>
    <t>*METAL - 139*</t>
  </si>
  <si>
    <t>METAL - 139</t>
  </si>
  <si>
    <t>5X5 SS SQUARE ROD X4MTR</t>
  </si>
  <si>
    <t>*METAL - 140*</t>
  </si>
  <si>
    <t>METAL - 140</t>
  </si>
  <si>
    <t>2MM SS MF SHEET 316 GRADE 2440X1220</t>
  </si>
  <si>
    <t>*METAL - 141*</t>
  </si>
  <si>
    <t>METAL - 141</t>
  </si>
  <si>
    <t>4 X 200 X 200 X 6000 ALUMINIUM TUBE</t>
  </si>
  <si>
    <t>*METAL - 145*</t>
  </si>
  <si>
    <t>METAL - 145</t>
  </si>
  <si>
    <t>2MM SS SQUARE TUBE 30X30X6MTR</t>
  </si>
  <si>
    <t>*METAL - 146*</t>
  </si>
  <si>
    <t>METAL - 146</t>
  </si>
  <si>
    <t>8X8 SS SQUARE SOLID ROD X6MTR</t>
  </si>
  <si>
    <t>*METAL - 147*</t>
  </si>
  <si>
    <t>METAL - 147</t>
  </si>
  <si>
    <t>MS SHEET 4.00MM 1220 X 2440</t>
  </si>
  <si>
    <t>*METAL - 148*</t>
  </si>
  <si>
    <t>METAL - 148</t>
  </si>
  <si>
    <t>MS BLACK SHEET 2.00MM 1220 X 2440</t>
  </si>
  <si>
    <t>*METAL - 149*</t>
  </si>
  <si>
    <t>METAL - 149</t>
  </si>
  <si>
    <t>1.5MM X 42MM DIA MS PIPE X6MTR</t>
  </si>
  <si>
    <t>*METAL - 150*</t>
  </si>
  <si>
    <t>METAL - 150</t>
  </si>
  <si>
    <t>SS SQUARE ROD 5 X 5 X 6MTR</t>
  </si>
  <si>
    <t>*METAL - 151*</t>
  </si>
  <si>
    <t>METAL - 151</t>
  </si>
  <si>
    <t>SS MIRROR FINISH RECT TUBE 1.5MM X 30 X 15 X 6MTR</t>
  </si>
  <si>
    <t>*METAL - 152*</t>
  </si>
  <si>
    <t>METAL - 152</t>
  </si>
  <si>
    <t>10X10 SS MIRROR FINISH SQUARE ROD X6MTR</t>
  </si>
  <si>
    <t>*METAL - 153*</t>
  </si>
  <si>
    <t>METAL - 153</t>
  </si>
  <si>
    <t>10MM DIA SS SOLID ROD X 6MTR</t>
  </si>
  <si>
    <t>1.5MM SS ROUND PIPE X12 MM DIA X 6MTR</t>
  </si>
  <si>
    <t>*METAL - 154*</t>
  </si>
  <si>
    <t>METAL - 154</t>
  </si>
  <si>
    <t>1.5MM SS MIRROR POLISHED RECT TUBE 50 X 25 X 6MTR</t>
  </si>
  <si>
    <t>*METAL - 155*</t>
  </si>
  <si>
    <t>METAL - 155</t>
  </si>
  <si>
    <t>2MM SS SQUARE TUBE 25 X 25 X 6MTR</t>
  </si>
  <si>
    <t>*METAL - 156*</t>
  </si>
  <si>
    <t>METAL - 156</t>
  </si>
  <si>
    <t>SS (304) 2MM MIRROR FINISH SHEET 1220 X 3000</t>
  </si>
  <si>
    <t>*METAL - 158*</t>
  </si>
  <si>
    <t>METAL - 158</t>
  </si>
  <si>
    <t xml:space="preserve">1.00MM SILVER BRUSHED ANODIZED ALUM. 1220 x 2440 </t>
  </si>
  <si>
    <t>*METAL - 159*</t>
  </si>
  <si>
    <t>METAL - 159</t>
  </si>
  <si>
    <t xml:space="preserve">MS FLAT BAR 20 X 5 X 6MTR </t>
  </si>
  <si>
    <t>*METAL - 160*</t>
  </si>
  <si>
    <t>METAL - 160</t>
  </si>
  <si>
    <t>SS (304) SQUARE TUBE 1.5MM X 10 X 10 X 6MTR</t>
  </si>
  <si>
    <t>*METAL - 161*</t>
  </si>
  <si>
    <t>METAL - 161</t>
  </si>
  <si>
    <t>ALUMINUM SHEET 2.8MM 1220 X 2440</t>
  </si>
  <si>
    <t>*METAL - 162*</t>
  </si>
  <si>
    <t>METAL - 162</t>
  </si>
  <si>
    <t>3MM SS (304) ROUND SOLID ROD X 4MTR</t>
  </si>
  <si>
    <t>*METAL - 163*</t>
  </si>
  <si>
    <t>METAL - 163</t>
  </si>
  <si>
    <t>SS SQUARE TUBE 1.5MM X 40 X 40 X 6MTR</t>
  </si>
  <si>
    <t>*METAL - 164*</t>
  </si>
  <si>
    <t>METAL - 164</t>
  </si>
  <si>
    <t>MS RECT TUBE 1.5MM X 40 X 20 X 6MTR</t>
  </si>
  <si>
    <t>*METAL - 165*</t>
  </si>
  <si>
    <t>METAL - 165</t>
  </si>
  <si>
    <t xml:space="preserve">ALUMINUM SHEET 1.5MM 1.5 X 3MTR </t>
  </si>
  <si>
    <t xml:space="preserve">NO'S </t>
  </si>
  <si>
    <t>*METAL - 166*</t>
  </si>
  <si>
    <t>METAL - 166</t>
  </si>
  <si>
    <t xml:space="preserve">MS SQUARE TUBE 1.5MM X 50 X 50 X 6MTR </t>
  </si>
  <si>
    <t>*METAL - 171*</t>
  </si>
  <si>
    <t>METAL - 171</t>
  </si>
  <si>
    <t>ALUMINUM SHEET 1.8MM 1220 X 2440</t>
  </si>
  <si>
    <t>*METAL - 172*</t>
  </si>
  <si>
    <t>METAL - 172</t>
  </si>
  <si>
    <t>ALUMINUM SHEET 1MM 1500 X 3000</t>
  </si>
  <si>
    <t>*METAL - 173*</t>
  </si>
  <si>
    <t>METAL - 173</t>
  </si>
  <si>
    <t xml:space="preserve">SS ROUND PIPE (304) 1.5MM X 20 DIA X 6MTR </t>
  </si>
  <si>
    <t>*METAL - 174*</t>
  </si>
  <si>
    <t>METAL - 174</t>
  </si>
  <si>
    <t xml:space="preserve">ALUMINUM SHEET 3.00MM 2 X 6MTR </t>
  </si>
  <si>
    <t>*METAL - 175*</t>
  </si>
  <si>
    <t>METAL - 175</t>
  </si>
  <si>
    <t xml:space="preserve">ALUMINUM SHEET 1.2MM 1220 X 3000 </t>
  </si>
  <si>
    <t>*METAL - 176*</t>
  </si>
  <si>
    <t>METAL - 176</t>
  </si>
  <si>
    <t xml:space="preserve">MS ROUND PIPE 2MM X 33.5MM OD X 6MTR </t>
  </si>
  <si>
    <t>*METAL - 177*</t>
  </si>
  <si>
    <t>METAL - 177</t>
  </si>
  <si>
    <t xml:space="preserve">SS (304) ROUND SOLID ROD 4.00MM DIA X 6MTR </t>
  </si>
  <si>
    <t>*METAL - 180*</t>
  </si>
  <si>
    <t>METAL - 180</t>
  </si>
  <si>
    <t xml:space="preserve">SS (304) SQUARE PIPE 1.5MM X 8 X 8 X 6MTR </t>
  </si>
  <si>
    <t>*METAL - 181*</t>
  </si>
  <si>
    <t>METAL - 181</t>
  </si>
  <si>
    <t xml:space="preserve">MS ROUND PIPE 2.00MM X 38MM DIA X 6MTR </t>
  </si>
  <si>
    <t>*METAL - 182*</t>
  </si>
  <si>
    <t>METAL - 182</t>
  </si>
  <si>
    <t>ALUMINUM SHEET 2.00MM 1500 X 3000</t>
  </si>
  <si>
    <t>*METAL - 183*</t>
  </si>
  <si>
    <t>METAL - 183</t>
  </si>
  <si>
    <t xml:space="preserve">MS SQUARE TUBE 1.5MM X 16 X 16 X 6MTR </t>
  </si>
  <si>
    <t>*METAL - 184*</t>
  </si>
  <si>
    <t>METAL - 184</t>
  </si>
  <si>
    <t>MS RECT TUBE 2MM X 80 X 40 X 6MTR</t>
  </si>
  <si>
    <t>*METAL - 185*</t>
  </si>
  <si>
    <t>METAL - 185</t>
  </si>
  <si>
    <t xml:space="preserve">MS SQUARE TUBE 1.5MM X 10 X 10 X 6MTR </t>
  </si>
  <si>
    <t>*METAL - 186*</t>
  </si>
  <si>
    <t>METAL - 186</t>
  </si>
  <si>
    <t>SS (304) ROUND SOLID ROD 3MM DIA X 6MTR</t>
  </si>
  <si>
    <t>*METAL - 187*</t>
  </si>
  <si>
    <t>METAL - 187</t>
  </si>
  <si>
    <t xml:space="preserve">SS FLAT BAR 50 X 5 X 800MM LONG </t>
  </si>
  <si>
    <t>*METAL - 188*</t>
  </si>
  <si>
    <t>METAL - 188</t>
  </si>
  <si>
    <t xml:space="preserve">MS SQUARE TUBE 3MM X 100 X 100 X 6MTR </t>
  </si>
  <si>
    <t>*METAL - 189*</t>
  </si>
  <si>
    <t>METAL - 189</t>
  </si>
  <si>
    <t xml:space="preserve">MS SQUARE TUBE 2MM X 80 X 80 X 6MTR </t>
  </si>
  <si>
    <t>*METAL - 190*</t>
  </si>
  <si>
    <t>METAL - 190</t>
  </si>
  <si>
    <t>BRASS SHEET 0.5MM 1220 X 2440</t>
  </si>
  <si>
    <t>*METAL - 192*</t>
  </si>
  <si>
    <t>METAL - 192</t>
  </si>
  <si>
    <t xml:space="preserve">SS (304) RECT TUBE SATIN FINISH 30 X 15 X 6MTR </t>
  </si>
  <si>
    <t>*METAL - 193*</t>
  </si>
  <si>
    <t>METAL - 193</t>
  </si>
  <si>
    <t xml:space="preserve">SS SQUARE ROD 10 X 10 X 6MTR </t>
  </si>
  <si>
    <t>*METAL - 194*</t>
  </si>
  <si>
    <t>METAL - 194</t>
  </si>
  <si>
    <t>1.5MM SS ROUND PIPE 15.8 MM DIA X 6MTR</t>
  </si>
  <si>
    <t>*METAL - 195*</t>
  </si>
  <si>
    <t>METAL - 195</t>
  </si>
  <si>
    <t>*METAL - 196*</t>
  </si>
  <si>
    <t>METAL - 196</t>
  </si>
  <si>
    <t>MS SQUARE TUBE 2MM X 50 X 50 X 6MTR</t>
  </si>
  <si>
    <t>*METAL - 197*</t>
  </si>
  <si>
    <t>METAL - 197</t>
  </si>
  <si>
    <t xml:space="preserve">SS ROUND PIPE 2MM X 75MM DIA X 6MTR </t>
  </si>
  <si>
    <t>*METAL - 198*</t>
  </si>
  <si>
    <t>METAL - 198</t>
  </si>
  <si>
    <t>SS (304) ROUND SOLID ROD 5MM DIA X 6MTR</t>
  </si>
  <si>
    <t>*METAL - 199*</t>
  </si>
  <si>
    <t>METAL - 199</t>
  </si>
  <si>
    <t>SS TITANIUM 1.00MM MIRROR GOLD FINISH 1220 X 2440</t>
  </si>
  <si>
    <t>*METAL - 200*</t>
  </si>
  <si>
    <t>METAL - 200</t>
  </si>
  <si>
    <t>SS 4.00MM BRUSH FINISH 1220 X 2440</t>
  </si>
  <si>
    <t>*METAL - 201*</t>
  </si>
  <si>
    <t>METAL - 201</t>
  </si>
  <si>
    <t xml:space="preserve">SS (304) SQUARE TUBE 1.2MM X 15 X 15 X 6MTR  </t>
  </si>
  <si>
    <t>*METAL - 202*</t>
  </si>
  <si>
    <t>METAL - 202</t>
  </si>
  <si>
    <t>1MM BF SS SHEET 2440X1220</t>
  </si>
  <si>
    <t>*METAL - 203*</t>
  </si>
  <si>
    <t>METAL - 203</t>
  </si>
  <si>
    <t>4MM SS BF SHEET 1220 X2440</t>
  </si>
  <si>
    <t>*METAL - 204*</t>
  </si>
  <si>
    <t>METAL - 204</t>
  </si>
  <si>
    <t>2MM SS MF 316 GRADE 3000X1220</t>
  </si>
  <si>
    <t>*METAL - 205*</t>
  </si>
  <si>
    <t>METAL - 205</t>
  </si>
  <si>
    <t>2MM SS MF 316 GRADE 2440X1220</t>
  </si>
  <si>
    <t>*METAL - 206*</t>
  </si>
  <si>
    <t>METAL - 206</t>
  </si>
  <si>
    <t>1.5MM TITANIUM GOLD MIRROR SHEET</t>
  </si>
  <si>
    <t>*METAL - 208*</t>
  </si>
  <si>
    <t>METAL - 208</t>
  </si>
  <si>
    <t>2MM MS SQUARE TUBE 38 X 38 X 6MTR</t>
  </si>
  <si>
    <t>*METAL - 210*</t>
  </si>
  <si>
    <t>METAL - 210</t>
  </si>
  <si>
    <t>3X100X200X6000MM ALUMINIUM TUBE</t>
  </si>
  <si>
    <t>*METAL - 213*</t>
  </si>
  <si>
    <t>METAL - 213</t>
  </si>
  <si>
    <t>30X30X2MM SS BF TUBE SIZE-6MTR</t>
  </si>
  <si>
    <t>SHEET</t>
  </si>
  <si>
    <t>*METAL - 214*</t>
  </si>
  <si>
    <t>METAL - 214</t>
  </si>
  <si>
    <t>20X20X2 MM SS BF TUBE SIZE-6MTR</t>
  </si>
  <si>
    <t>*PAINT-7*</t>
  </si>
  <si>
    <t>PAINT-7</t>
  </si>
  <si>
    <t>1K WHITE BASE COAT (KAPCI)</t>
  </si>
  <si>
    <t>Liter</t>
  </si>
  <si>
    <t>*PAINT-8*</t>
  </si>
  <si>
    <t>PAINT-8</t>
  </si>
  <si>
    <t>2K  High glossy off white  +hardener</t>
  </si>
  <si>
    <t>*PAINT-9*</t>
  </si>
  <si>
    <t>PAINT-9</t>
  </si>
  <si>
    <t>2K WHITE GLOSSY + HARDENER (KAPCI)</t>
  </si>
  <si>
    <t>*PAINT-10*</t>
  </si>
  <si>
    <t>PAINT-10</t>
  </si>
  <si>
    <t>2K White glossy 9016 + hardener</t>
  </si>
  <si>
    <t>*PAINT-11*</t>
  </si>
  <si>
    <t>PAINT-11</t>
  </si>
  <si>
    <t>PU Clear 20% glossy + hardener (KAPCI)</t>
  </si>
  <si>
    <t>*PAINT-12*</t>
  </si>
  <si>
    <t>PAINT-12</t>
  </si>
  <si>
    <t>2K CLEAR GLOSSY + HARDENER</t>
  </si>
  <si>
    <t>*PAINT-13*</t>
  </si>
  <si>
    <t>PAINT-13</t>
  </si>
  <si>
    <t>2K THINNER</t>
  </si>
  <si>
    <t>*PAINT-19*</t>
  </si>
  <si>
    <t>PAINT-19</t>
  </si>
  <si>
    <t>*PAINT-20*</t>
  </si>
  <si>
    <t>PAINT-20</t>
  </si>
  <si>
    <t>*PAINT-21*</t>
  </si>
  <si>
    <t>PAINT-21</t>
  </si>
  <si>
    <t>2K  White glossy 9003 +hardener</t>
  </si>
  <si>
    <t>*PAINT-22*</t>
  </si>
  <si>
    <t>PAINT-22</t>
  </si>
  <si>
    <t>PU Black MATT RAL:-7021 + hardener</t>
  </si>
  <si>
    <t>*PAINT-26*</t>
  </si>
  <si>
    <t>PAINT-26</t>
  </si>
  <si>
    <t>VISPROX TCI 8749 CLEAR</t>
  </si>
  <si>
    <t>*PAINT-28*</t>
  </si>
  <si>
    <t>PAINT-28</t>
  </si>
  <si>
    <t>A110- Accelerator PE @ 2%</t>
  </si>
  <si>
    <t>*PAINT-29*</t>
  </si>
  <si>
    <t>PAINT-29</t>
  </si>
  <si>
    <t>Acetone for cleaning</t>
  </si>
  <si>
    <t>*PAINT-254*</t>
  </si>
  <si>
    <t>PAINT-254</t>
  </si>
  <si>
    <t xml:space="preserve">AN 23155 PL SILVER GOLD MET </t>
  </si>
  <si>
    <t>*PAINT-255*</t>
  </si>
  <si>
    <t>PAINT-255</t>
  </si>
  <si>
    <t>2K Red glossy RAL:- 0304060/paintone 200c + hardener</t>
  </si>
  <si>
    <t>*PAINT-257*</t>
  </si>
  <si>
    <t>PAINT-257</t>
  </si>
  <si>
    <t>Vilot blue candy - AB 57917 2K C</t>
  </si>
  <si>
    <t>*PAINT-258*</t>
  </si>
  <si>
    <t>PAINT-258</t>
  </si>
  <si>
    <t>1K Royal Gold - 3141 ASP</t>
  </si>
  <si>
    <t>*PAINT-259*</t>
  </si>
  <si>
    <t>PAINT-259</t>
  </si>
  <si>
    <t>PU Muted green 25% glossy + hardener ASP (LM2)</t>
  </si>
  <si>
    <t>*PAINT-260*</t>
  </si>
  <si>
    <t>PAINT-260</t>
  </si>
  <si>
    <t>PU Verona green 25% glossy + hardener ASP ( P01 )</t>
  </si>
  <si>
    <t>*PAINT-261*</t>
  </si>
  <si>
    <t>PAINT-261</t>
  </si>
  <si>
    <t>Water based flooring clear + hardener ( VPA208G10 )</t>
  </si>
  <si>
    <t>*PAINT-262*</t>
  </si>
  <si>
    <t>PAINT-262</t>
  </si>
  <si>
    <t>1K Copper ASP</t>
  </si>
  <si>
    <t>*PAINT-263*</t>
  </si>
  <si>
    <t>PAINT-263</t>
  </si>
  <si>
    <t>*PACKING-5*</t>
  </si>
  <si>
    <t>PACKING-5</t>
  </si>
  <si>
    <t>KG</t>
  </si>
  <si>
    <t>*PACKING-8*</t>
  </si>
  <si>
    <t>PACKING-8</t>
  </si>
  <si>
    <t>Roll</t>
  </si>
  <si>
    <t>*PACKING-9*</t>
  </si>
  <si>
    <t>PACKING-9</t>
  </si>
  <si>
    <t>*PACKING-16*</t>
  </si>
  <si>
    <t>PACKING-16</t>
  </si>
  <si>
    <t>*PACKING-21*</t>
  </si>
  <si>
    <t>PACKING-21</t>
  </si>
  <si>
    <t>*PACKING-22*</t>
  </si>
  <si>
    <t>PACKING-22</t>
  </si>
  <si>
    <t>40 Kg</t>
  </si>
  <si>
    <t>12 40 Kg</t>
  </si>
  <si>
    <t>34 40 Kg</t>
  </si>
  <si>
    <r>
      <t>WHITE WOOD</t>
    </r>
    <r>
      <rPr>
        <sz val="10"/>
        <color rgb="FFFF0000"/>
        <rFont val="Calibri"/>
        <family val="2"/>
        <scheme val="minor"/>
      </rPr>
      <t xml:space="preserve"> 2 X 3 1</t>
    </r>
    <r>
      <rPr>
        <sz val="10"/>
        <color theme="1"/>
        <rFont val="Calibri"/>
        <family val="2"/>
        <scheme val="minor"/>
      </rPr>
      <t>/4 X 13</t>
    </r>
  </si>
  <si>
    <r>
      <t>WHITE WOOD 2 X 3 1</t>
    </r>
    <r>
      <rPr>
        <sz val="10"/>
        <color rgb="FFFF0000"/>
        <rFont val="Calibri"/>
        <family val="2"/>
        <scheme val="minor"/>
      </rPr>
      <t>/4 X 13</t>
    </r>
  </si>
  <si>
    <t>Opal</t>
  </si>
  <si>
    <t>M3/unit</t>
  </si>
  <si>
    <t>Total units to be in the tool</t>
  </si>
  <si>
    <t xml:space="preserve">Packing Material Consumption </t>
  </si>
  <si>
    <t xml:space="preserve">Paint Consumption </t>
  </si>
  <si>
    <t xml:space="preserve">Metals and Acrylic Material Consumption </t>
  </si>
  <si>
    <t xml:space="preserve">Wood and Plywood Consumption </t>
  </si>
  <si>
    <t>Other metals</t>
  </si>
  <si>
    <t>https://www.nature.com/articles/d42473-021-00166-8</t>
  </si>
  <si>
    <t>a tonne of titanium can emit around 10 tonnes of carbon dioxide gas in the current routes,” says Fujii</t>
  </si>
  <si>
    <t>GHG Emission</t>
  </si>
  <si>
    <t>Material Search Sheet</t>
  </si>
  <si>
    <t xml:space="preserve">Plywood and MDF </t>
  </si>
  <si>
    <t>Hardwood/ Solid wood</t>
  </si>
  <si>
    <t>FR Mediate MDF</t>
  </si>
  <si>
    <t xml:space="preserve"> FR Mediate MDF</t>
  </si>
  <si>
    <t xml:space="preserve"> 18mm fr mediate mdf 4' x 8' </t>
  </si>
  <si>
    <t>Mediate MR MDF</t>
  </si>
  <si>
    <t>Oak/ Beech/ Walnut/ Wood/ Red Meranti/ Merandy</t>
  </si>
  <si>
    <t>Sabin</t>
  </si>
  <si>
    <t>PU metallic/ Gold</t>
  </si>
  <si>
    <t>PU Top coat Paint Metallic) for wood, veneer, plywood and MDF</t>
  </si>
  <si>
    <t>Metallic paint ASP</t>
  </si>
  <si>
    <t>Metal(Aluminium)</t>
  </si>
  <si>
    <t>veneer</t>
  </si>
  <si>
    <t>Melamine sealer</t>
  </si>
  <si>
    <t>Melamine wood keeper</t>
  </si>
  <si>
    <t>Berger Wood keeper</t>
  </si>
  <si>
    <t>Glossy Primer</t>
  </si>
  <si>
    <t>Melamine Finisher</t>
  </si>
  <si>
    <t>Anodised Aluminium Sheet Brush Gold 1mmx1219mmx2444</t>
  </si>
  <si>
    <t>3 x 100 x 150 x 6000 Aluminium tube</t>
  </si>
  <si>
    <t>Density</t>
  </si>
  <si>
    <t>Particle Board</t>
  </si>
  <si>
    <t>14.97 kg</t>
  </si>
  <si>
    <t>19.5 kg</t>
  </si>
  <si>
    <t>27.67 kg</t>
  </si>
  <si>
    <t>32.66 kg</t>
  </si>
  <si>
    <t>41.28 kg</t>
  </si>
  <si>
    <t>57.61 kg</t>
  </si>
  <si>
    <t>MDF</t>
  </si>
  <si>
    <t>16.33 kg</t>
  </si>
  <si>
    <t>21.09 kg</t>
  </si>
  <si>
    <t>30.25 kg</t>
  </si>
  <si>
    <t>35.61 kg</t>
  </si>
  <si>
    <t>45.13 kg</t>
  </si>
  <si>
    <t>62.82 kg</t>
  </si>
  <si>
    <t>6mm</t>
  </si>
  <si>
    <t>9.5mm</t>
  </si>
  <si>
    <t>12.5mm</t>
  </si>
  <si>
    <t>15.5mm</t>
  </si>
  <si>
    <t>18.5mm</t>
  </si>
  <si>
    <t>28.5mm</t>
  </si>
  <si>
    <t>1220mm x 2440mm</t>
  </si>
  <si>
    <t>m2</t>
  </si>
  <si>
    <t>M3</t>
  </si>
  <si>
    <t>Average</t>
  </si>
  <si>
    <t>Plywood Type</t>
  </si>
  <si>
    <t>Plywood Thickness</t>
  </si>
  <si>
    <t>Softwood Plywood</t>
  </si>
  <si>
    <t>9.98 kg</t>
  </si>
  <si>
    <t>12.93 kg</t>
  </si>
  <si>
    <t>18.37 kg</t>
  </si>
  <si>
    <t>21.77 kg</t>
  </si>
  <si>
    <t>38.33 kg</t>
  </si>
  <si>
    <t>Hardwood Plywood</t>
  </si>
  <si>
    <t>11.11 kg</t>
  </si>
  <si>
    <t>14.29 kg</t>
  </si>
  <si>
    <t>20.41 kg</t>
  </si>
  <si>
    <t>24.04 kg</t>
  </si>
  <si>
    <t>30.62 kg</t>
  </si>
  <si>
    <t>42.64 kg</t>
  </si>
  <si>
    <t>Marine Plywood</t>
  </si>
  <si>
    <t>12.25 kg</t>
  </si>
  <si>
    <t>15.88 kg</t>
  </si>
  <si>
    <t>22.68 kg</t>
  </si>
  <si>
    <t>26.76 kg</t>
  </si>
  <si>
    <t>34.02 kg</t>
  </si>
  <si>
    <t>47.17 kg</t>
  </si>
  <si>
    <t>Baltic Birch</t>
  </si>
  <si>
    <t>11.79 kg</t>
  </si>
  <si>
    <t>15.2 kg</t>
  </si>
  <si>
    <t>25.63 kg</t>
  </si>
  <si>
    <t>32.43 kg</t>
  </si>
  <si>
    <t>MDO</t>
  </si>
  <si>
    <t>9.07 kg</t>
  </si>
  <si>
    <t>17.01 kg</t>
  </si>
  <si>
    <t>19.96 kg</t>
  </si>
  <si>
    <t>25.4 kg</t>
  </si>
  <si>
    <t>35.15 kg</t>
  </si>
  <si>
    <t>OSB</t>
  </si>
  <si>
    <t>11.57 kg</t>
  </si>
  <si>
    <t>21.32 kg</t>
  </si>
  <si>
    <t>25.17 kg</t>
  </si>
  <si>
    <t>31.98 kg</t>
  </si>
  <si>
    <t>44.45 kg</t>
  </si>
  <si>
    <t>Referrence</t>
  </si>
  <si>
    <t>6 and below</t>
  </si>
  <si>
    <t>https://www.inchcalculator.com/how-much-does-plywood-weigh/</t>
  </si>
  <si>
    <t>Weight</t>
  </si>
  <si>
    <t xml:space="preserve"> Length</t>
  </si>
  <si>
    <t>1 1/2"</t>
  </si>
  <si>
    <t>1 1/4"</t>
  </si>
  <si>
    <t>1 1/8"</t>
  </si>
  <si>
    <t>1"</t>
  </si>
  <si>
    <t>3/4"</t>
  </si>
  <si>
    <t>5/8"</t>
  </si>
  <si>
    <t>1/2"</t>
  </si>
  <si>
    <t>3/8"</t>
  </si>
  <si>
    <t>1/4"</t>
  </si>
  <si>
    <t>1/8"-1/16"</t>
  </si>
  <si>
    <t>4 x 8</t>
  </si>
  <si>
    <t>LBS</t>
  </si>
  <si>
    <t>Light weight MDF</t>
  </si>
  <si>
    <t>1-1/4"</t>
  </si>
  <si>
    <t>1-1/2"</t>
  </si>
  <si>
    <t>1-3/4"</t>
  </si>
  <si>
    <t>2"</t>
  </si>
  <si>
    <t>exterior mdf)</t>
  </si>
  <si>
    <t>Water resistant mdf</t>
  </si>
  <si>
    <t>7/8"</t>
  </si>
  <si>
    <t>Melamine face - 4 x 8 x 3/4"</t>
  </si>
  <si>
    <t>LBS to Kg</t>
  </si>
  <si>
    <t>Size in m</t>
  </si>
  <si>
    <t>DENSITY</t>
  </si>
  <si>
    <t>Volume in M3</t>
  </si>
  <si>
    <t>m2/mm</t>
  </si>
  <si>
    <t>Density in Kg/m3</t>
  </si>
  <si>
    <t xml:space="preserve">Ply Wood </t>
  </si>
  <si>
    <r>
      <t>kg/m</t>
    </r>
    <r>
      <rPr>
        <b/>
        <sz val="8"/>
        <color rgb="FF3A4056"/>
        <rFont val="Open Sans"/>
        <family val="2"/>
      </rPr>
      <t>3</t>
    </r>
  </si>
  <si>
    <r>
      <t>g/cm</t>
    </r>
    <r>
      <rPr>
        <b/>
        <sz val="8"/>
        <color rgb="FF3A4056"/>
        <rFont val="Open Sans"/>
        <family val="2"/>
      </rPr>
      <t>3</t>
    </r>
  </si>
  <si>
    <r>
      <t>lb/ft</t>
    </r>
    <r>
      <rPr>
        <b/>
        <sz val="8"/>
        <color rgb="FF3A4056"/>
        <rFont val="Open Sans"/>
        <family val="2"/>
      </rPr>
      <t>3</t>
    </r>
  </si>
  <si>
    <t>Walnut</t>
  </si>
  <si>
    <t>641-689</t>
  </si>
  <si>
    <t>0.64-0.69</t>
  </si>
  <si>
    <t>40-43</t>
  </si>
  <si>
    <t>Walnut wood has high density, consistent texture, and high resistance to shrinkage and bending. It is hard and long lasting but not very heavy. It can be given a better finish because it is non-resinous. Best used for furniture, cabinets and wall panelling.</t>
  </si>
  <si>
    <t>Mahogany</t>
  </si>
  <si>
    <t>497-849</t>
  </si>
  <si>
    <t>0.50-0.85</t>
  </si>
  <si>
    <t>31–53</t>
  </si>
  <si>
    <t>Mahogany wood exists in a range of densities but is still considered a high density wood. It has a reddish brown shade with fine grains. Best used for constructing boats and cabinets.</t>
  </si>
  <si>
    <t>Maple</t>
  </si>
  <si>
    <t>625-753</t>
  </si>
  <si>
    <t>0.63-0.75</t>
  </si>
  <si>
    <t>39–47</t>
  </si>
  <si>
    <t>Maple is a hard, strong and finely textured wood with a high density. It is suitable for smoothly carved furniture and floor surfaces.</t>
  </si>
  <si>
    <t>Oak</t>
  </si>
  <si>
    <t>593-897</t>
  </si>
  <si>
    <t>0.59-0.90</t>
  </si>
  <si>
    <t>37–56</t>
  </si>
  <si>
    <t>Oak wood is medium to high density, and can stay moisture free. This wood is very strong but it can still be bent. It is best used for tool grips, furniture, floor surfaces, tables, boat structures, and coatings.</t>
  </si>
  <si>
    <t>Rosewood</t>
  </si>
  <si>
    <t>800-880</t>
  </si>
  <si>
    <t>0.80-0.88</t>
  </si>
  <si>
    <t>50–55</t>
  </si>
  <si>
    <t>Rosewood has a high density. It has a brown and reddish shade with grains close together making it difficult to work with. It is commonly used for musical instruments.</t>
  </si>
  <si>
    <t>Cherry</t>
  </si>
  <si>
    <t>689-897</t>
  </si>
  <si>
    <t>0.70-0.90</t>
  </si>
  <si>
    <t>43–56</t>
  </si>
  <si>
    <t>Cherry wood has a high density with close grains therefore it does not shrink or bend. It gets better with time and is best used for boats, furniture, and cabinets.</t>
  </si>
  <si>
    <t>Balsa</t>
  </si>
  <si>
    <t>112-144</t>
  </si>
  <si>
    <t>0.11-0.14</t>
  </si>
  <si>
    <t>7–9</t>
  </si>
  <si>
    <t>This is a very soft, low density wood with high strength. It is creamy white and can be used for making models and other woodworking activities.</t>
  </si>
  <si>
    <t>Type of wood: Hard</t>
  </si>
  <si>
    <t>368-577</t>
  </si>
  <si>
    <t>0.37-0.58</t>
  </si>
  <si>
    <t>23–36</t>
  </si>
  <si>
    <t>Cedar wood has a low density. It is easy to work on its uniform texture. This wood is most suitable for cabinet construction, chests of drawers, roof coverings, cabinets, decks and poles.</t>
  </si>
  <si>
    <t>Pine</t>
  </si>
  <si>
    <t>352-849</t>
  </si>
  <si>
    <t>0.35-0.85</t>
  </si>
  <si>
    <t>22–53</t>
  </si>
  <si>
    <t>Pine is light weight but the density ranges from low to high depending on the tree. It has a uniform surface and straight grains with a pale yellowish or white colour. It does not bend or twist easily. It is suitable for using in house construction, making furniture, boxes and wall decorations.</t>
  </si>
  <si>
    <t>Fir</t>
  </si>
  <si>
    <t>529-737</t>
  </si>
  <si>
    <t>0.53-0.74</t>
  </si>
  <si>
    <t>33–46</t>
  </si>
  <si>
    <t>Fir wood has a medium density and consistent texture. It can be used for doors, windows, furniture, frames, surfaces, plywood, and decorations.</t>
  </si>
  <si>
    <t>Hemlock</t>
  </si>
  <si>
    <t>657-800</t>
  </si>
  <si>
    <t>0.60-0.80</t>
  </si>
  <si>
    <t>41–50</t>
  </si>
  <si>
    <t>Hemlock has a high density and is light weight with uniform grains, making it best used for sheets, frames, boards, beams and construction material. It can be machined easily but needs protection from decay.</t>
  </si>
  <si>
    <t>Spruce</t>
  </si>
  <si>
    <t>400-705</t>
  </si>
  <si>
    <t>0.40-0.71</t>
  </si>
  <si>
    <t>25–44</t>
  </si>
  <si>
    <t>Spruce wood has a large density range. It is one of the softwoods which can easily decay if left untreated. The wood is light in weight, high strength and very hard. It is suitable for ships poles, stools, millwork, ladders, boxes, crates and also containers.</t>
  </si>
  <si>
    <t>Cedar</t>
  </si>
  <si>
    <t>PlyWood</t>
  </si>
  <si>
    <t>Oak/ Beech/ Walnut/ Wood/ Red Merranti/ Merandy</t>
  </si>
  <si>
    <t>Kg/M3</t>
  </si>
  <si>
    <t>Density Reference.</t>
  </si>
  <si>
    <t xml:space="preserve">CEF Reference </t>
  </si>
  <si>
    <t>KgCO2/m3</t>
  </si>
  <si>
    <t>Total material  in Kg</t>
  </si>
  <si>
    <t>WHITE WOOD 2 X 3 1/4 X 13 (12 Kg Weight)</t>
  </si>
  <si>
    <t xml:space="preserve">MDF Waterproof </t>
  </si>
  <si>
    <t>Wood</t>
  </si>
  <si>
    <t>MDF Melamine</t>
  </si>
  <si>
    <t>Volume</t>
  </si>
  <si>
    <t>1m2 of 9 mm</t>
  </si>
  <si>
    <t>Other Paints</t>
  </si>
  <si>
    <t>Treated Veneer</t>
  </si>
  <si>
    <t>Un treated Veneer</t>
  </si>
  <si>
    <t>Paint LP</t>
  </si>
  <si>
    <t>Paint High performance</t>
  </si>
  <si>
    <r>
      <t>1 kg of paint = 0.769 liters (for density of paint = 1300 kg/m</t>
    </r>
    <r>
      <rPr>
        <vertAlign val="superscript"/>
        <sz val="11"/>
        <color rgb="FF444444"/>
        <rFont val="Arial"/>
        <family val="2"/>
      </rPr>
      <t>3</t>
    </r>
    <r>
      <rPr>
        <sz val="10"/>
        <color rgb="FF444444"/>
        <rFont val="Arial"/>
        <family val="2"/>
      </rPr>
      <t>)</t>
    </r>
  </si>
  <si>
    <r>
      <t>1 liter of paint = 1.3 kg (for density of paint = 1300 kg/m</t>
    </r>
    <r>
      <rPr>
        <vertAlign val="superscript"/>
        <sz val="10"/>
        <color rgb="FF444444"/>
        <rFont val="Arial"/>
        <family val="2"/>
      </rPr>
      <t>3</t>
    </r>
    <r>
      <rPr>
        <sz val="10"/>
        <color rgb="FF444444"/>
        <rFont val="Arial"/>
        <family val="2"/>
      </rPr>
      <t>)</t>
    </r>
  </si>
  <si>
    <t>900  to 1600 kg/m3</t>
  </si>
  <si>
    <t>https://www.renewablematter.eu/articles/article/the-unsustainable-prevalence-of-plexiglass</t>
  </si>
  <si>
    <t xml:space="preserve">Other Acrylic </t>
  </si>
  <si>
    <t>Poly Carbonate</t>
  </si>
  <si>
    <t>kg /m3</t>
  </si>
  <si>
    <t>Laminates Density</t>
  </si>
  <si>
    <t>1.45 Kg</t>
  </si>
  <si>
    <t>m2 for 1 mm thickness</t>
  </si>
  <si>
    <t>inch</t>
  </si>
  <si>
    <t>kg/m3</t>
  </si>
  <si>
    <t>Silver-Acrylic</t>
  </si>
  <si>
    <t>Red-Acrylic</t>
  </si>
  <si>
    <t>Clear-Acrylic</t>
  </si>
  <si>
    <t>Opaq-Acrylic</t>
  </si>
  <si>
    <t>Frosted-Acrylic</t>
  </si>
  <si>
    <t>Black-Acrylic</t>
  </si>
  <si>
    <t>Plexiglass-</t>
  </si>
  <si>
    <t>1.18 g/CM3</t>
  </si>
  <si>
    <t>Weight in Kg</t>
  </si>
  <si>
    <t>Other acrylic</t>
  </si>
  <si>
    <t>Normal</t>
  </si>
  <si>
    <t>Type of Acrylic Sheet</t>
  </si>
  <si>
    <t xml:space="preserve">GHG Emissions </t>
  </si>
  <si>
    <t xml:space="preserve">Walnut veneer leaf </t>
  </si>
  <si>
    <t>ACP sheet</t>
  </si>
  <si>
    <t>ACP Sheet</t>
  </si>
  <si>
    <t>Kg/m3</t>
  </si>
  <si>
    <t>Kg for 1m2 4 mm sheet</t>
  </si>
  <si>
    <t>CO2 emission in Kg for 1 m2</t>
  </si>
  <si>
    <t>For 1 Kg ACP</t>
  </si>
  <si>
    <t>Saray</t>
  </si>
  <si>
    <t>GDA</t>
  </si>
  <si>
    <t>Refrigerant</t>
  </si>
  <si>
    <t>PU Paint</t>
  </si>
  <si>
    <t xml:space="preserve">Other Paint </t>
  </si>
  <si>
    <t>POLARSHINE 10 (MIRKA)</t>
  </si>
  <si>
    <t>POLARSHINE 45 (MIRKA)</t>
  </si>
  <si>
    <t>*PAINT-30*</t>
  </si>
  <si>
    <t>PAINT-30</t>
  </si>
  <si>
    <t>BUFFING COMPOUND - AB45-10</t>
  </si>
  <si>
    <t>*PAINT-31*</t>
  </si>
  <si>
    <t>PAINT-31</t>
  </si>
  <si>
    <t>Glass paint 9005 black + hardener</t>
  </si>
  <si>
    <t>*PAINT-32*</t>
  </si>
  <si>
    <t>PAINT-32</t>
  </si>
  <si>
    <t xml:space="preserve">Glass sealer + hardener </t>
  </si>
  <si>
    <t>*PAINT-33*</t>
  </si>
  <si>
    <t>PAINT-33</t>
  </si>
  <si>
    <t>Pe clear + hardener POL12-25</t>
  </si>
  <si>
    <t>*PAINT-34*</t>
  </si>
  <si>
    <t>PAINT-34</t>
  </si>
  <si>
    <t>Pe thinner 1016</t>
  </si>
  <si>
    <t>*PAINT-35*</t>
  </si>
  <si>
    <t>PAINT-35</t>
  </si>
  <si>
    <t>PU Green paint + hardener 60% glossy( OP550G60- AP</t>
  </si>
  <si>
    <t>*PAINT-36*</t>
  </si>
  <si>
    <t>PAINT-36</t>
  </si>
  <si>
    <t>PU WHITE MATT 9003 + HARDENER</t>
  </si>
  <si>
    <t>*PAINT-37*</t>
  </si>
  <si>
    <t>PAINT-37</t>
  </si>
  <si>
    <t>W/B Dead matt 0% (Multicoat )APS 1332 A</t>
  </si>
  <si>
    <t>*PAINT-38*</t>
  </si>
  <si>
    <t>PAINT-38</t>
  </si>
  <si>
    <t>W/B Primer white ( mono ) FAB770</t>
  </si>
  <si>
    <t>*PAINT-40*</t>
  </si>
  <si>
    <t>PAINT-40</t>
  </si>
  <si>
    <t>hardener</t>
  </si>
  <si>
    <t>*PAINT-41*</t>
  </si>
  <si>
    <t>PAINT-41</t>
  </si>
  <si>
    <t>MAS PVA Wall filler</t>
  </si>
  <si>
    <t>*PAINT-42*</t>
  </si>
  <si>
    <t>PAINT-42</t>
  </si>
  <si>
    <t>NC Thinner 115</t>
  </si>
  <si>
    <t>*PAINT-43*</t>
  </si>
  <si>
    <t>PAINT-43</t>
  </si>
  <si>
    <t>PAINT REMOVER 4LTR/GAL</t>
  </si>
  <si>
    <t>*PAINT-44*</t>
  </si>
  <si>
    <t>PAINT-44</t>
  </si>
  <si>
    <t>PU Acrylic clear 30 %  glossy+ hardener</t>
  </si>
  <si>
    <t>*PAINT-45*</t>
  </si>
  <si>
    <t>PAINT-45</t>
  </si>
  <si>
    <t xml:space="preserve">PU Anti scratch clear + hardener </t>
  </si>
  <si>
    <t>*PAINT-46*</t>
  </si>
  <si>
    <t>PAINT-46</t>
  </si>
  <si>
    <t>PU BLACK MATT + HARDENER</t>
  </si>
  <si>
    <t>*PAINT-47*</t>
  </si>
  <si>
    <t>PAINT-47</t>
  </si>
  <si>
    <t>PU hardener  04</t>
  </si>
  <si>
    <t>*PAINT-48*</t>
  </si>
  <si>
    <t>PAINT-48</t>
  </si>
  <si>
    <t>PU PRIMER BLACK + HARDENER</t>
  </si>
  <si>
    <t>*PAINT-49*</t>
  </si>
  <si>
    <t>PAINT-49</t>
  </si>
  <si>
    <t xml:space="preserve">PU PRIMER WHITE + HARDENER </t>
  </si>
  <si>
    <t>*PAINT-50*</t>
  </si>
  <si>
    <t>PAINT-50</t>
  </si>
  <si>
    <t xml:space="preserve">PU SANDING SEALER </t>
  </si>
  <si>
    <t>*PAINT-51*</t>
  </si>
  <si>
    <t>PAINT-51</t>
  </si>
  <si>
    <t>PU Sanding sealer acrylic + hardener26</t>
  </si>
  <si>
    <t>*PAINT-52*</t>
  </si>
  <si>
    <t>PAINT-52</t>
  </si>
  <si>
    <t>PU THINNER 105</t>
  </si>
  <si>
    <t>*PAINT-53*</t>
  </si>
  <si>
    <t>PAINT-53</t>
  </si>
  <si>
    <t xml:space="preserve">PU WHITE MATT + HARDENER </t>
  </si>
  <si>
    <t>*PAINT-54*</t>
  </si>
  <si>
    <t>PAINT-54</t>
  </si>
  <si>
    <t xml:space="preserve">PUTTY FILLER NATURAL </t>
  </si>
  <si>
    <t>*PAINT-55*</t>
  </si>
  <si>
    <t>PAINT-55</t>
  </si>
  <si>
    <t>Retarder thinner # 345</t>
  </si>
  <si>
    <t>*PAINT-56*</t>
  </si>
  <si>
    <t>PAINT-56</t>
  </si>
  <si>
    <t>STUCCO PUTTY FILLER WHITE</t>
  </si>
  <si>
    <t>*PAINT-57*</t>
  </si>
  <si>
    <t>PAINT-57</t>
  </si>
  <si>
    <t>TURPENTINE 4 LTR/GAL</t>
  </si>
  <si>
    <t>*PAINT-58*</t>
  </si>
  <si>
    <t>PAINT-58</t>
  </si>
  <si>
    <t>WOOD STAINER (GOLD &amp; YELLOW)</t>
  </si>
  <si>
    <t>*PAINT-59*</t>
  </si>
  <si>
    <t>PAINT-59</t>
  </si>
  <si>
    <t xml:space="preserve">WOOD STAINER (YELLOW)  </t>
  </si>
  <si>
    <t>*PAINT-60*</t>
  </si>
  <si>
    <t>PAINT-60</t>
  </si>
  <si>
    <t>WOOD STAINER (MAHOGANY)</t>
  </si>
  <si>
    <t>*PAINT-61*</t>
  </si>
  <si>
    <t>PAINT-61</t>
  </si>
  <si>
    <t>WOOD STAINER (RED)</t>
  </si>
  <si>
    <t>*PAINT-62*</t>
  </si>
  <si>
    <t>PAINT-62</t>
  </si>
  <si>
    <t>WOOD STAINER (TEAK)</t>
  </si>
  <si>
    <t>*PAINT-63*</t>
  </si>
  <si>
    <t>PAINT-63</t>
  </si>
  <si>
    <t>WOOD STAINER (WALLNUT)</t>
  </si>
  <si>
    <t>*PAINT-64*</t>
  </si>
  <si>
    <t>PAINT-64</t>
  </si>
  <si>
    <t>WOOD STAINER (WHITE)</t>
  </si>
  <si>
    <t>*PAINT-65*</t>
  </si>
  <si>
    <t>PAINT-65</t>
  </si>
  <si>
    <t xml:space="preserve">WOOD STAINER (BLACK) </t>
  </si>
  <si>
    <t>*PAINT-66*</t>
  </si>
  <si>
    <t>PAINT-66</t>
  </si>
  <si>
    <t>WOOD STAINER (BROWN)</t>
  </si>
  <si>
    <t>*PAINT-67*</t>
  </si>
  <si>
    <t>PAINT-67</t>
  </si>
  <si>
    <t>WOOD STAINER (LEMON YELLOW)</t>
  </si>
  <si>
    <t>*PAINT-68*</t>
  </si>
  <si>
    <t>PAINT-68</t>
  </si>
  <si>
    <t xml:space="preserve">1K  Gold paint for glass  </t>
  </si>
  <si>
    <t>*PAINT-69*</t>
  </si>
  <si>
    <t>PAINT-69</t>
  </si>
  <si>
    <t>1K HAFTPROMOTER FARBLOS</t>
  </si>
  <si>
    <t>*PAINT-70*</t>
  </si>
  <si>
    <t>PAINT-70</t>
  </si>
  <si>
    <t xml:space="preserve">2K CLEAR 10% GLOSSY </t>
  </si>
  <si>
    <t>*PAINT-72*</t>
  </si>
  <si>
    <t>PAINT-72</t>
  </si>
  <si>
    <t>2K WHITE BASE COAT AN 49237BC</t>
  </si>
  <si>
    <t>*PAINT-73*</t>
  </si>
  <si>
    <t>PAINT-73</t>
  </si>
  <si>
    <t>2K WHITE XIRALLIC AN49238XL</t>
  </si>
  <si>
    <t>*PAINT-74*</t>
  </si>
  <si>
    <t>PAINT-74</t>
  </si>
  <si>
    <t>Cotton cloth white ( mulmul )</t>
  </si>
  <si>
    <t>*PAINT-75*</t>
  </si>
  <si>
    <t>PAINT-75</t>
  </si>
  <si>
    <t>*PAINT-76*</t>
  </si>
  <si>
    <t>PAINT-76</t>
  </si>
  <si>
    <t>GLASS PRIMER</t>
  </si>
  <si>
    <t>*PAINT-77*</t>
  </si>
  <si>
    <t>PAINT-77</t>
  </si>
  <si>
    <t>HARDENER for 2k clear 10% glossy - apply on SS</t>
  </si>
  <si>
    <t>*PAINT-78*</t>
  </si>
  <si>
    <t>PAINT-78</t>
  </si>
  <si>
    <t>Silikonentferner</t>
  </si>
  <si>
    <t>*PAINT-79*</t>
  </si>
  <si>
    <t>PAINT-79</t>
  </si>
  <si>
    <t>1K Fine beige effect APS AB-H22</t>
  </si>
  <si>
    <t>*PAINT-80*</t>
  </si>
  <si>
    <t>PAINT-80</t>
  </si>
  <si>
    <t>1K GOLD PAINT</t>
  </si>
  <si>
    <t>*PAINT-81*</t>
  </si>
  <si>
    <t>PAINT-81</t>
  </si>
  <si>
    <t>1K Pink champagne ( asp )  rose gold AB-D147</t>
  </si>
  <si>
    <t>*PAINT-82*</t>
  </si>
  <si>
    <t>PAINT-82</t>
  </si>
  <si>
    <t>1k silver paint (AM-960 ABT - 9719 base coat)</t>
  </si>
  <si>
    <t>*PAINT-83*</t>
  </si>
  <si>
    <t>PAINT-83</t>
  </si>
  <si>
    <t>2K  glossy paint + hardener  (ASP )              (</t>
  </si>
  <si>
    <t>*PAINT-84*</t>
  </si>
  <si>
    <t>PAINT-84</t>
  </si>
  <si>
    <t>*PAINT-85*</t>
  </si>
  <si>
    <t>PAINT-85</t>
  </si>
  <si>
    <t>*PAINT-86*</t>
  </si>
  <si>
    <t>PAINT-86</t>
  </si>
  <si>
    <t>2K  glossy paint + hardener  (ASP )             (</t>
  </si>
  <si>
    <t>*PAINT-87*</t>
  </si>
  <si>
    <t>PAINT-87</t>
  </si>
  <si>
    <t>2K BLACK GLOSSY + SLOW HARDENER</t>
  </si>
  <si>
    <t>*PAINT-88*</t>
  </si>
  <si>
    <t>PAINT-88</t>
  </si>
  <si>
    <t>2K CLEAR GLOSSY + SLOW HARDENER</t>
  </si>
  <si>
    <t>*PAINT-89*</t>
  </si>
  <si>
    <t>PAINT-89</t>
  </si>
  <si>
    <t>2K Red glossy 3001/P05 + hardener</t>
  </si>
  <si>
    <t>*PAINT-95*</t>
  </si>
  <si>
    <t>PAINT-95</t>
  </si>
  <si>
    <t xml:space="preserve">Glass fiber  reinforced putty  hardener TUBE </t>
  </si>
  <si>
    <t>*PAINT-96*</t>
  </si>
  <si>
    <t>PAINT-96</t>
  </si>
  <si>
    <t>Gunmetal ( APS - 10051 - 1K METALLIC )</t>
  </si>
  <si>
    <t>*PAINT-98*</t>
  </si>
  <si>
    <t>PAINT-98</t>
  </si>
  <si>
    <t xml:space="preserve">PU Acrylic  Clear20% matt + hardener </t>
  </si>
  <si>
    <t>*PAINT-99*</t>
  </si>
  <si>
    <t>PAINT-99</t>
  </si>
  <si>
    <t xml:space="preserve">PU Acrylic clear 20 %  glossy+ hardener </t>
  </si>
  <si>
    <t>*PAINT-100*</t>
  </si>
  <si>
    <t>PAINT-100</t>
  </si>
  <si>
    <t>PU Anti scratch clear + hardener</t>
  </si>
  <si>
    <t>*PAINT-101*</t>
  </si>
  <si>
    <t>PAINT-101</t>
  </si>
  <si>
    <t>PU Black  matt + hardener</t>
  </si>
  <si>
    <t>*PAINT-102*</t>
  </si>
  <si>
    <t>PAINT-102</t>
  </si>
  <si>
    <t>PU Black  satin + hardener 9005</t>
  </si>
  <si>
    <t>*PAINT-103*</t>
  </si>
  <si>
    <t>PAINT-103</t>
  </si>
  <si>
    <t>PU Black Dead matt + hardener  (ASP ) MPE  (A/N-MT</t>
  </si>
  <si>
    <t>*PAINT-104*</t>
  </si>
  <si>
    <t>PAINT-104</t>
  </si>
  <si>
    <t>PU Black glossy+ hardener</t>
  </si>
  <si>
    <t>*PAINT-105*</t>
  </si>
  <si>
    <t>PAINT-105</t>
  </si>
  <si>
    <t>PU Black satin + hardener</t>
  </si>
  <si>
    <t>*PAINT-106*</t>
  </si>
  <si>
    <t>PAINT-106</t>
  </si>
  <si>
    <t>PU CLEAR + HARDENER 20% GLOSSY</t>
  </si>
  <si>
    <t>*PAINT-107*</t>
  </si>
  <si>
    <t>PAINT-107</t>
  </si>
  <si>
    <t>PU CLEAR 10% GLOSSY + HARDENER</t>
  </si>
  <si>
    <t>*PAINT-108*</t>
  </si>
  <si>
    <t>PAINT-108</t>
  </si>
  <si>
    <t>PU CLEAR 20% GLOSSY + HARDENER</t>
  </si>
  <si>
    <t>*PAINT-109*</t>
  </si>
  <si>
    <t>PAINT-109</t>
  </si>
  <si>
    <t>PU CLEAR 50% GLOSSY + HARDENER</t>
  </si>
  <si>
    <t>*PAINT-110*</t>
  </si>
  <si>
    <t>PAINT-110</t>
  </si>
  <si>
    <t>PU CLEAR DEAD MATT + HARDENER</t>
  </si>
  <si>
    <t>*PAINT-111*</t>
  </si>
  <si>
    <t>PAINT-111</t>
  </si>
  <si>
    <t>PU Clear matt + hardener</t>
  </si>
  <si>
    <t>*PAINT-112*</t>
  </si>
  <si>
    <t>PAINT-112</t>
  </si>
  <si>
    <t xml:space="preserve">PU Grey satin 7016 + hardener </t>
  </si>
  <si>
    <t>*PAINT-113*</t>
  </si>
  <si>
    <t>PAINT-113</t>
  </si>
  <si>
    <t>PU Highlight color -RAL- 5005 semi glossy +hardene</t>
  </si>
  <si>
    <t>*PAINT-114*</t>
  </si>
  <si>
    <t>PAINT-114</t>
  </si>
  <si>
    <t>PU Light grey 64YY 39/108 60% glossy -hardener</t>
  </si>
  <si>
    <t>*PAINT-115*</t>
  </si>
  <si>
    <t>PAINT-115</t>
  </si>
  <si>
    <t xml:space="preserve">PU Light grey 64YY 39/109 60% glossy -hardener </t>
  </si>
  <si>
    <t>*PAINT-116*</t>
  </si>
  <si>
    <t>PAINT-116</t>
  </si>
  <si>
    <t>PU Off white 9010 satin + hardener   (A/N-P-5 )</t>
  </si>
  <si>
    <t>*PAINT-117*</t>
  </si>
  <si>
    <t>PAINT-117</t>
  </si>
  <si>
    <t>PU paint matt RAL:- 1013 +hardener</t>
  </si>
  <si>
    <t>*PAINT-118*</t>
  </si>
  <si>
    <t>PAINT-118</t>
  </si>
  <si>
    <t>PU purple 1612 aps +hardener</t>
  </si>
  <si>
    <t>*PAINT-119*</t>
  </si>
  <si>
    <t>PAINT-119</t>
  </si>
  <si>
    <t>PU Red matt ( pantone- 199C )+ hardener</t>
  </si>
  <si>
    <t>*PAINT-120*</t>
  </si>
  <si>
    <t>PAINT-120</t>
  </si>
  <si>
    <t xml:space="preserve">PU Red matt ( pantone- 199u )+ hardener </t>
  </si>
  <si>
    <t>*PAINT-121*</t>
  </si>
  <si>
    <t>PAINT-121</t>
  </si>
  <si>
    <t>PU White  matt + hardner 9003</t>
  </si>
  <si>
    <t>*PAINT-122*</t>
  </si>
  <si>
    <t>PAINT-122</t>
  </si>
  <si>
    <t>PU White 9003 satin + hardener</t>
  </si>
  <si>
    <t>*PAINT-123*</t>
  </si>
  <si>
    <t>PAINT-123</t>
  </si>
  <si>
    <t xml:space="preserve">PU White 9010 matt + hardener </t>
  </si>
  <si>
    <t>*PAINT-124*</t>
  </si>
  <si>
    <t>PAINT-124</t>
  </si>
  <si>
    <t>PU White 9010 satin + hardener</t>
  </si>
  <si>
    <t>*PAINT-125*</t>
  </si>
  <si>
    <t>PAINT-125</t>
  </si>
  <si>
    <t>PU White matt  9003 +hardener</t>
  </si>
  <si>
    <t>*PAINT-126*</t>
  </si>
  <si>
    <t>PAINT-126</t>
  </si>
  <si>
    <t>PU White matt 3404 +hardener</t>
  </si>
  <si>
    <t>*PAINT-127*</t>
  </si>
  <si>
    <t>PAINT-127</t>
  </si>
  <si>
    <t>PU White matt 9016 + hardener</t>
  </si>
  <si>
    <t>*PAINT-128*</t>
  </si>
  <si>
    <t>PAINT-128</t>
  </si>
  <si>
    <t xml:space="preserve">PU White satin paint + hardener </t>
  </si>
  <si>
    <t>*PAINT-129*</t>
  </si>
  <si>
    <t>PAINT-129</t>
  </si>
  <si>
    <t>PU yellow paint NCS-S0580Y20R + hardener</t>
  </si>
  <si>
    <t>*PAINT-149*</t>
  </si>
  <si>
    <t>PAINT-149</t>
  </si>
  <si>
    <t>WASH PRIMER</t>
  </si>
  <si>
    <t>*PAINT-150*</t>
  </si>
  <si>
    <t>PAINT-150</t>
  </si>
  <si>
    <t>2K BLACK GLOSSY + HARDENER</t>
  </si>
  <si>
    <t>*PAINT-151*</t>
  </si>
  <si>
    <t>PAINT-151</t>
  </si>
  <si>
    <t xml:space="preserve">2K  White satin 9003 </t>
  </si>
  <si>
    <t>*PAINT-152*</t>
  </si>
  <si>
    <t>PAINT-152</t>
  </si>
  <si>
    <t xml:space="preserve">Glass paint black 9005 + hardener </t>
  </si>
  <si>
    <t>*PAINT-156*</t>
  </si>
  <si>
    <t>PAINT-156</t>
  </si>
  <si>
    <t>*PAINT-157*</t>
  </si>
  <si>
    <t>PAINT-157</t>
  </si>
  <si>
    <t>PU Blue  20% glossy + hardener SBR-010721</t>
  </si>
  <si>
    <t>*PAINT-160*</t>
  </si>
  <si>
    <t>PAINT-160</t>
  </si>
  <si>
    <t>PU WHITE 9003 10% GLOSSY + HARDENER</t>
  </si>
  <si>
    <t>*PAINT-161*</t>
  </si>
  <si>
    <t>PAINT-161</t>
  </si>
  <si>
    <t>PU White satin 9003 +hardener</t>
  </si>
  <si>
    <t>*PAINT-165*</t>
  </si>
  <si>
    <t>PAINT-165</t>
  </si>
  <si>
    <t>PE.Horizontal + hardener ( POL10SE )</t>
  </si>
  <si>
    <t>*PAINT -167*</t>
  </si>
  <si>
    <t>PAINT -167</t>
  </si>
  <si>
    <t>PU Green RAL- 6009 satin + hardener</t>
  </si>
  <si>
    <t>*PAINT-168*</t>
  </si>
  <si>
    <t>PAINT-168</t>
  </si>
  <si>
    <t>1K Gold paint AN 59468 VIC</t>
  </si>
  <si>
    <t>*PAINT-169*</t>
  </si>
  <si>
    <t>PAINT-169</t>
  </si>
  <si>
    <t>1K GOLD PAINT RAL-1036</t>
  </si>
  <si>
    <t>*PAINT-170*</t>
  </si>
  <si>
    <t>PAINT-170</t>
  </si>
  <si>
    <t>2k high glossy ATP 2125+hardener</t>
  </si>
  <si>
    <t>*PAINT-173*</t>
  </si>
  <si>
    <t>PAINT-173</t>
  </si>
  <si>
    <t>PU CLEAR 30% GLOSSY + HARDENER</t>
  </si>
  <si>
    <t>*PAINT-174*</t>
  </si>
  <si>
    <t>PAINT-174</t>
  </si>
  <si>
    <t>1K Gold Paint ATP-1435 Gold Metallic Pearl</t>
  </si>
  <si>
    <t>*PAINT-175*</t>
  </si>
  <si>
    <t>PAINT-175</t>
  </si>
  <si>
    <t>PU Black Matt Ral 9005 10% + Hardener</t>
  </si>
  <si>
    <t>*PAINT-176*</t>
  </si>
  <si>
    <t>PAINT-176</t>
  </si>
  <si>
    <t>PE Horizontal + Hardener (POL10SE)</t>
  </si>
  <si>
    <t>*PAINT-177*</t>
  </si>
  <si>
    <t>PAINT-177</t>
  </si>
  <si>
    <t>1K SILVER (as per sample)</t>
  </si>
  <si>
    <t>*PAINT-178*</t>
  </si>
  <si>
    <t>PAINT-178</t>
  </si>
  <si>
    <t>WOOD STAINER (GREEN)</t>
  </si>
  <si>
    <t>*PAINT-179*</t>
  </si>
  <si>
    <t>PAINT-179</t>
  </si>
  <si>
    <t>PU Primer Black Oxide + Hardener</t>
  </si>
  <si>
    <t>*PAINT-180*</t>
  </si>
  <si>
    <t>PAINT-180</t>
  </si>
  <si>
    <t>2K WHITE GLASS AN62441</t>
  </si>
  <si>
    <t>*PAINT-181*</t>
  </si>
  <si>
    <t>PAINT-181</t>
  </si>
  <si>
    <t>PU purple (pms 2627 c) + hardener</t>
  </si>
  <si>
    <t>*PAINT-182*</t>
  </si>
  <si>
    <t>PAINT-182</t>
  </si>
  <si>
    <t>2K Red glossy+hardener NCS-S-1580-R ( KAPCI )</t>
  </si>
  <si>
    <t>*PAINT-184*</t>
  </si>
  <si>
    <t>PAINT-184</t>
  </si>
  <si>
    <t>PU THINNER  D11 (200 LTRS)</t>
  </si>
  <si>
    <t>*PAINT-185*</t>
  </si>
  <si>
    <t>PAINT-185</t>
  </si>
  <si>
    <t>Brilliant design candy + hardener color code:-AN59 829 2K C</t>
  </si>
  <si>
    <t>*PAINT-186*</t>
  </si>
  <si>
    <t>PAINT-186</t>
  </si>
  <si>
    <t>2K BLACK GLOSSY + HARDENER (KAPCI)</t>
  </si>
  <si>
    <t>*PAINT-187*</t>
  </si>
  <si>
    <t>PAINT-187</t>
  </si>
  <si>
    <t>PU WHITE SUPER MATT 9003 + HARDENER ASP</t>
  </si>
  <si>
    <t>*PAINT-188*</t>
  </si>
  <si>
    <t>PAINT-188</t>
  </si>
  <si>
    <t>*PAINT-189*</t>
  </si>
  <si>
    <t>PAINT-189</t>
  </si>
  <si>
    <t>P.U Thinner Slow</t>
  </si>
  <si>
    <t>*PAINT-190*</t>
  </si>
  <si>
    <t>PAINT-190</t>
  </si>
  <si>
    <t>RETARDANT THINNER (D70) 200 LTR</t>
  </si>
  <si>
    <t>*PAINT-193*</t>
  </si>
  <si>
    <t>PAINT-193</t>
  </si>
  <si>
    <t>PU CLEAR MATT ANTI SCRATCH + HARDENER</t>
  </si>
  <si>
    <t>*PAINT-194*</t>
  </si>
  <si>
    <t>PAINT-194</t>
  </si>
  <si>
    <t>PU White Matt 5% glossy + harderner</t>
  </si>
  <si>
    <t>*PAINT-195*</t>
  </si>
  <si>
    <t>PAINT-195</t>
  </si>
  <si>
    <t xml:space="preserve">PU Black Matt 5% glossy + harderner </t>
  </si>
  <si>
    <t>*PAINT-196*</t>
  </si>
  <si>
    <t>PAINT-196</t>
  </si>
  <si>
    <t>NC THINNER D02</t>
  </si>
  <si>
    <t>*PAINT-204*</t>
  </si>
  <si>
    <t>PAINT-204</t>
  </si>
  <si>
    <t xml:space="preserve">PU SANDING SEALER + HARDENER </t>
  </si>
  <si>
    <t>*PAINT-205*</t>
  </si>
  <si>
    <t>PAINT-205</t>
  </si>
  <si>
    <t xml:space="preserve">2K CLEAR GLOSSY + HARDENER </t>
  </si>
  <si>
    <t>*PAINT-207*</t>
  </si>
  <si>
    <t>PAINT-207</t>
  </si>
  <si>
    <t xml:space="preserve">PU THINNER 105 </t>
  </si>
  <si>
    <t>*PAINT-208*</t>
  </si>
  <si>
    <t>PAINT-208</t>
  </si>
  <si>
    <t>*PAINT-209*</t>
  </si>
  <si>
    <t>PAINT-209</t>
  </si>
  <si>
    <t xml:space="preserve">PU THINNER D11 </t>
  </si>
  <si>
    <t>*PAINT-210*</t>
  </si>
  <si>
    <t>PAINT-210</t>
  </si>
  <si>
    <t>*PAINT-211*</t>
  </si>
  <si>
    <t>PAINT-211</t>
  </si>
  <si>
    <t>*PAINT-212*</t>
  </si>
  <si>
    <t>PAINT-212</t>
  </si>
  <si>
    <t xml:space="preserve">PU BLACK MATT + HARDENER </t>
  </si>
  <si>
    <t>*PAINT-213*</t>
  </si>
  <si>
    <t>PAINT-213</t>
  </si>
  <si>
    <t xml:space="preserve">WASH PRIMER </t>
  </si>
  <si>
    <t>*PAINT-214*</t>
  </si>
  <si>
    <t>PAINT-214</t>
  </si>
  <si>
    <t xml:space="preserve">TURPENTINE </t>
  </si>
  <si>
    <t>*PAINT-215*</t>
  </si>
  <si>
    <t>PAINT-215</t>
  </si>
  <si>
    <t>WHITE WASH PRIMER WATER BASED (18LTR)</t>
  </si>
  <si>
    <t>*PAINT-216*</t>
  </si>
  <si>
    <t>PAINT-216</t>
  </si>
  <si>
    <t>WHITE EMULSION WATER BASED (18LTR)</t>
  </si>
  <si>
    <t>*PAINT-217*</t>
  </si>
  <si>
    <t>PAINT-217</t>
  </si>
  <si>
    <t>PU THINNER D15</t>
  </si>
  <si>
    <t>*PAINT-218*</t>
  </si>
  <si>
    <t>PAINT-218</t>
  </si>
  <si>
    <t>*PAINT-219*</t>
  </si>
  <si>
    <t>PAINT-219</t>
  </si>
  <si>
    <t>*PAINT-221*</t>
  </si>
  <si>
    <t>PAINT-221</t>
  </si>
  <si>
    <t xml:space="preserve">DUXONE 1K WASH PRIMER DX1061 </t>
  </si>
  <si>
    <t>*PAINT-222*</t>
  </si>
  <si>
    <t>PAINT-222</t>
  </si>
  <si>
    <t xml:space="preserve">2K RED GLOSSY + HARDENER 200C (KAPCI) </t>
  </si>
  <si>
    <t>*PAINT-223*</t>
  </si>
  <si>
    <t>PAINT-223</t>
  </si>
  <si>
    <t xml:space="preserve">PU WHITE MATT 20% GLOSSY + HARDENER </t>
  </si>
  <si>
    <t>*PAINT-224*</t>
  </si>
  <si>
    <t>PAINT-224</t>
  </si>
  <si>
    <t xml:space="preserve">PU BLACK MATT 20% GLOSSY + HARDENER </t>
  </si>
  <si>
    <t>*PAINT-225*</t>
  </si>
  <si>
    <t>PAINT-225</t>
  </si>
  <si>
    <t xml:space="preserve">PU BLACK MATT 5% GLOSSY + HARDENER </t>
  </si>
  <si>
    <t>*PAINT-226*</t>
  </si>
  <si>
    <t>PAINT-226</t>
  </si>
  <si>
    <t>ROSNER TREPPENLACK DULL MATT AN 30684 WBS</t>
  </si>
  <si>
    <t>*PAINT-227*</t>
  </si>
  <si>
    <t>PAINT-227</t>
  </si>
  <si>
    <t>BODY FILLER YELLOW LIBERTY + HARDENER</t>
  </si>
  <si>
    <t>*PAINT-228*</t>
  </si>
  <si>
    <t>PAINT-228</t>
  </si>
  <si>
    <t>RETARDANT THINNER (D70) / 200 LTR</t>
  </si>
  <si>
    <t>*PAINT-233*</t>
  </si>
  <si>
    <t>PAINT-233</t>
  </si>
  <si>
    <t>GLASS PAINT BLACK + HARDENER WATER BASED</t>
  </si>
  <si>
    <t>*PAINT-235*</t>
  </si>
  <si>
    <t>PAINT-235</t>
  </si>
  <si>
    <t>WATER BASED FLOORING CLEAR + HARDENER VPA208G10</t>
  </si>
  <si>
    <t>*PAINT-236*</t>
  </si>
  <si>
    <t>PAINT-236</t>
  </si>
  <si>
    <t xml:space="preserve">WHITE 9010 AN54272 10% GLOSSY 2K PMI + HARDENER </t>
  </si>
  <si>
    <t>*PAINT-237*</t>
  </si>
  <si>
    <t>PAINT-237</t>
  </si>
  <si>
    <t xml:space="preserve">BLACK 9005 AN54271 10% GLOSSY 2K PMI + HARDENER </t>
  </si>
  <si>
    <t>*PAINT-238*</t>
  </si>
  <si>
    <t>PAINT-238</t>
  </si>
  <si>
    <t>1K PAINT ROYAL GOLD 3141 TOP COAT</t>
  </si>
  <si>
    <t>*PAINT-239*</t>
  </si>
  <si>
    <t>PAINT-239</t>
  </si>
  <si>
    <t xml:space="preserve">PU BLACK 9005 10% GLOSSY + HARDENER </t>
  </si>
  <si>
    <t>*PAINT-241*</t>
  </si>
  <si>
    <t>PAINT-241</t>
  </si>
  <si>
    <t xml:space="preserve">PU THINNER ROSNER UN 1263 </t>
  </si>
  <si>
    <t>*PAINT-242*</t>
  </si>
  <si>
    <t>PAINT-242</t>
  </si>
  <si>
    <t>PU PRIMER WHITE</t>
  </si>
  <si>
    <t>*PAINT-243*</t>
  </si>
  <si>
    <t>PAINT-243</t>
  </si>
  <si>
    <t xml:space="preserve">PU PRIMER BLACK </t>
  </si>
  <si>
    <t>*PAINT-245*</t>
  </si>
  <si>
    <t>PAINT-245</t>
  </si>
  <si>
    <t xml:space="preserve">2K CLEAR 30% GLOSSY + HARDENER FOR METAL  </t>
  </si>
  <si>
    <t>*PAINT-246*</t>
  </si>
  <si>
    <t>PAINT-246</t>
  </si>
  <si>
    <t xml:space="preserve">PU CLEAR MATT 5% + HARDENER </t>
  </si>
  <si>
    <t>*PAINT-247*</t>
  </si>
  <si>
    <t>PAINT-247</t>
  </si>
  <si>
    <t xml:space="preserve">2K RED 186C GLOSSY + HARDENER </t>
  </si>
  <si>
    <t>*PAINT-248*</t>
  </si>
  <si>
    <t>PAINT-248</t>
  </si>
  <si>
    <t>PU PAINT MATT 5% APS -4120 A + HARDENER ( OP550G5 )</t>
  </si>
  <si>
    <t>*PAINT-249*</t>
  </si>
  <si>
    <t>PAINT-249</t>
  </si>
  <si>
    <t xml:space="preserve">MIPA LULU MIX COLOR 1K SATIN BROWN 31411C ASP </t>
  </si>
  <si>
    <t>*PAINT-250*</t>
  </si>
  <si>
    <t>PAINT-250</t>
  </si>
  <si>
    <t>PU WHITE MATT + HARDENER 10% GLOSSY</t>
  </si>
  <si>
    <t>*PAINT-251*</t>
  </si>
  <si>
    <t>PAINT-251</t>
  </si>
  <si>
    <t>EM2-281FRMC/10-W EMC08 MULTICOAT WHT MATT 10% GLOSS CATALYST@20%</t>
  </si>
  <si>
    <t>*PAINT-252*</t>
  </si>
  <si>
    <t>PAINT-252</t>
  </si>
  <si>
    <t>PU White matt 9016 + hardener ASP</t>
  </si>
  <si>
    <t>*PAINT-253*</t>
  </si>
  <si>
    <t>PAINT-253</t>
  </si>
  <si>
    <t>PU Red 3003 matt + hardener ASP</t>
  </si>
  <si>
    <t>1K Metalic paint ASP</t>
  </si>
  <si>
    <t>ALL included</t>
  </si>
  <si>
    <t>No of days</t>
  </si>
  <si>
    <t xml:space="preserve"> 3 sheets and summary</t>
  </si>
  <si>
    <t>Frieght</t>
  </si>
  <si>
    <t>Project  Sl.Number</t>
  </si>
  <si>
    <t>Road Frieght</t>
  </si>
  <si>
    <t>Sea Frieght</t>
  </si>
  <si>
    <t>Weight of the Frieght in Tons</t>
  </si>
  <si>
    <t>Distance travelled in Km</t>
  </si>
  <si>
    <t>Total Emission</t>
  </si>
  <si>
    <t>Air Frieght</t>
  </si>
  <si>
    <t xml:space="preserve">Air Frieght </t>
  </si>
  <si>
    <t>tCO2e/tonne Kilometer</t>
  </si>
  <si>
    <t xml:space="preserve">Air Frieght for Global offices </t>
  </si>
  <si>
    <t xml:space="preserve">Sea Frieght </t>
  </si>
  <si>
    <t xml:space="preserve">Sea Frieght for Global offices </t>
  </si>
  <si>
    <t xml:space="preserve">Road Frieght </t>
  </si>
  <si>
    <t>Road Frieght for medium and heavy truck</t>
  </si>
  <si>
    <t>Frieght Emission</t>
  </si>
  <si>
    <t>Daily travelled Distance (Two-way) in KM</t>
  </si>
  <si>
    <t>Kg CO2e/</t>
  </si>
  <si>
    <t>No of Days per year</t>
  </si>
  <si>
    <t>Total Electrical Power rating  in Watts</t>
  </si>
  <si>
    <t>Product consumption emissions</t>
  </si>
  <si>
    <t>Added</t>
  </si>
  <si>
    <t xml:space="preserve"> Frieght Emissions ,Product  consumption</t>
  </si>
  <si>
    <t>Average Bulk Carriers</t>
  </si>
  <si>
    <t>EPA 2021-April Carbon Emission</t>
  </si>
  <si>
    <t xml:space="preserve">DEFRA_UK  </t>
  </si>
  <si>
    <t>No of Years</t>
  </si>
  <si>
    <t>Project/Product  Serial No</t>
  </si>
  <si>
    <t>Life Time  Energy Consumption</t>
  </si>
  <si>
    <t>Total Emissions</t>
  </si>
  <si>
    <t>Total Emission in tCO2</t>
  </si>
  <si>
    <t xml:space="preserve">
No of Working Hours per day</t>
  </si>
  <si>
    <t>A201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</si>
</sst>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43" formatCode="_ * #,##0.00_ ;_ * \-#,##0.00_ ;_ * &quot;-&quot;??_ ;_ @_ "/>
    <numFmt numFmtId="164" formatCode="_(* #,##0.00_);_(* \(#,##0.00\);_(* &quot;-&quot;??_);_(@_)"/>
    <numFmt numFmtId="165" formatCode="_-* #,##0.00_-;\-* #,##0.00_-;_-* &quot;-&quot;??_-;_-@_-"/>
    <numFmt numFmtId="166" formatCode="_(* #,##0_);_(* \(#,##0\);_(* &quot;-&quot;??_);_(@_)"/>
    <numFmt numFmtId="167" formatCode="[$-409]d\-mmm\-yy;@"/>
    <numFmt numFmtId="168" formatCode="_(* #,##0.0000_);_(* \(#,##0.0000\);_(* &quot;-&quot;??_);_(@_)"/>
    <numFmt numFmtId="169" formatCode="0.00000"/>
    <numFmt numFmtId="170" formatCode="0.000"/>
    <numFmt numFmtId="171" formatCode="??0.0?????"/>
    <numFmt numFmtId="172" formatCode="0.000000"/>
    <numFmt numFmtId="173" formatCode="_-* #,##0_-;\-* #,##0_-;_-* &quot;-&quot;??_-;_-@_-"/>
    <numFmt numFmtId="174" formatCode="#,##0.0"/>
    <numFmt numFmtId="175" formatCode="[$-14009]dd/mm/yyyy;@"/>
    <numFmt numFmtId="176" formatCode="#,##0.000"/>
    <numFmt numFmtId="177" formatCode="#,##0.0000"/>
    <numFmt numFmtId="178" formatCode="0.00000E+00"/>
    <numFmt numFmtId="179" formatCode="#,##0.000000"/>
    <numFmt numFmtId="180" formatCode="_(* #,##0.000_);_(* \(#,##0.000\);_(* &quot;-&quot;??_);_(@_)"/>
    <numFmt numFmtId="181" formatCode="#,##0;[Red]#,##0"/>
    <numFmt numFmtId="182" formatCode="[$-14009]dd/mm/yy;@"/>
    <numFmt numFmtId="183" formatCode="0.0000"/>
    <numFmt numFmtId="184" formatCode="_ * #,##0.00000_ ;_ * \-#,##0.00000_ ;_ * &quot;-&quot;??_ ;_ @_ "/>
    <numFmt numFmtId="185" formatCode="#,##0.00000000"/>
    <numFmt numFmtId="186" formatCode="0.0"/>
    <numFmt numFmtId="187" formatCode="#,##0.000;[Red]#,##0.000"/>
    <numFmt numFmtId="188" formatCode="#,##0.0000000"/>
    <numFmt numFmtId="189" formatCode="0.000000000"/>
  </numFmts>
  <fonts count="82"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0"/>
      <color theme="1"/>
      <name val="Century Gothic"/>
      <family val="2"/>
    </font>
    <font>
      <sz val="10"/>
      <name val="Arial"/>
      <family val="2"/>
    </font>
    <font>
      <sz val="11"/>
      <color rgb="FFFF00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color theme="1"/>
      <name val="Verdana"/>
      <family val="2"/>
    </font>
    <font>
      <sz val="11"/>
      <color rgb="FF9C6500"/>
      <name val="Calibri"/>
      <family val="2"/>
      <scheme val="minor"/>
    </font>
    <font>
      <sz val="10"/>
      <name val="Verdana"/>
      <family val="2"/>
    </font>
    <font>
      <sz val="10"/>
      <name val="Arial"/>
      <family val="2"/>
    </font>
    <font>
      <u/>
      <sz val="11"/>
      <color theme="10"/>
      <name val="Calibri"/>
      <family val="2"/>
      <scheme val="minor"/>
    </font>
    <font>
      <b/>
      <u/>
      <sz val="11"/>
      <color theme="1"/>
      <name val="Calibri"/>
      <family val="2"/>
      <scheme val="minor"/>
    </font>
    <font>
      <b/>
      <sz val="12"/>
      <color rgb="FFFFFFFF"/>
      <name val="Calibri"/>
      <family val="2"/>
      <scheme val="minor"/>
    </font>
    <font>
      <sz val="9"/>
      <color theme="1"/>
      <name val="Calibri"/>
      <family val="2"/>
      <scheme val="minor"/>
    </font>
    <font>
      <u/>
      <sz val="9"/>
      <color theme="10"/>
      <name val="Calibri"/>
      <family val="2"/>
      <scheme val="minor"/>
    </font>
    <font>
      <b/>
      <sz val="9"/>
      <color rgb="FFFFFFFF"/>
      <name val="Calibri"/>
      <family val="2"/>
      <scheme val="minor"/>
    </font>
    <font>
      <sz val="11"/>
      <color rgb="FF002060"/>
      <name val="Calibri"/>
      <family val="2"/>
      <scheme val="minor"/>
    </font>
    <font>
      <sz val="12"/>
      <color theme="1"/>
      <name val="Calibri"/>
      <family val="2"/>
      <scheme val="minor"/>
    </font>
    <font>
      <b/>
      <sz val="16"/>
      <color theme="1"/>
      <name val="Calibri"/>
      <family val="2"/>
      <scheme val="minor"/>
    </font>
    <font>
      <b/>
      <sz val="12"/>
      <color theme="1"/>
      <name val="Calibri"/>
      <family val="2"/>
      <scheme val="minor"/>
    </font>
    <font>
      <b/>
      <sz val="12"/>
      <color rgb="FFFF0000"/>
      <name val="Calibri"/>
      <family val="2"/>
      <scheme val="minor"/>
    </font>
    <font>
      <sz val="11"/>
      <color theme="1"/>
      <name val="Calibri"/>
      <family val="2"/>
    </font>
    <font>
      <sz val="8"/>
      <name val="Calibri"/>
      <family val="2"/>
      <scheme val="minor"/>
    </font>
    <font>
      <b/>
      <sz val="11"/>
      <name val="Calibri"/>
      <family val="2"/>
      <scheme val="minor"/>
    </font>
    <font>
      <b/>
      <sz val="12"/>
      <name val="Calibri"/>
      <family val="2"/>
      <scheme val="minor"/>
    </font>
    <font>
      <sz val="12"/>
      <name val="Calibri"/>
      <family val="2"/>
      <scheme val="minor"/>
    </font>
    <font>
      <b/>
      <sz val="14"/>
      <color theme="1"/>
      <name val="Calibri"/>
      <family val="2"/>
      <scheme val="minor"/>
    </font>
    <font>
      <b/>
      <sz val="18"/>
      <color theme="3" tint="0.59999389629810485"/>
      <name val="Calibri"/>
      <family val="2"/>
      <scheme val="minor"/>
    </font>
    <font>
      <sz val="10"/>
      <name val="Arial"/>
      <family val="2"/>
    </font>
    <font>
      <sz val="9"/>
      <name val="Book Antiqua"/>
      <family val="1"/>
    </font>
    <font>
      <sz val="10"/>
      <name val="Arial"/>
      <family val="2"/>
      <charset val="1"/>
    </font>
    <font>
      <sz val="11"/>
      <color indexed="8"/>
      <name val="Calibri"/>
      <family val="2"/>
      <charset val="1"/>
    </font>
    <font>
      <sz val="7"/>
      <color rgb="FF242424"/>
      <name val="Segoe UI"/>
      <family val="2"/>
    </font>
    <font>
      <sz val="6"/>
      <color rgb="FF242424"/>
      <name val="Segoe UI"/>
      <family val="2"/>
    </font>
    <font>
      <sz val="9"/>
      <name val="Calibri"/>
      <family val="2"/>
      <scheme val="minor"/>
    </font>
    <font>
      <sz val="24"/>
      <color theme="1"/>
      <name val="Calibri"/>
      <family val="2"/>
      <scheme val="minor"/>
    </font>
    <font>
      <b/>
      <sz val="14"/>
      <color rgb="FFFFFFFF"/>
      <name val="Calibri"/>
      <family val="2"/>
      <scheme val="minor"/>
    </font>
    <font>
      <b/>
      <sz val="12"/>
      <color theme="0"/>
      <name val="Calibri"/>
      <family val="2"/>
      <scheme val="minor"/>
    </font>
    <font>
      <b/>
      <sz val="11"/>
      <color rgb="FF000000"/>
      <name val="Calibri"/>
      <family val="2"/>
    </font>
    <font>
      <b/>
      <sz val="11"/>
      <color rgb="FF444444"/>
      <name val="Calibri"/>
      <family val="2"/>
      <charset val="1"/>
    </font>
    <font>
      <sz val="15"/>
      <color rgb="FF202124"/>
      <name val="Arial"/>
      <family val="2"/>
    </font>
    <font>
      <b/>
      <sz val="18"/>
      <color rgb="FFFFFF00"/>
      <name val="Calibri"/>
      <family val="2"/>
      <scheme val="minor"/>
    </font>
    <font>
      <sz val="10"/>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b/>
      <sz val="11"/>
      <color theme="0"/>
      <name val="Calibri"/>
      <family val="2"/>
    </font>
    <font>
      <b/>
      <sz val="12"/>
      <color theme="0"/>
      <name val="Calibri"/>
      <family val="2"/>
    </font>
    <font>
      <b/>
      <sz val="10"/>
      <color rgb="FF000000"/>
      <name val="Calibri"/>
      <family val="2"/>
      <scheme val="minor"/>
    </font>
    <font>
      <sz val="10"/>
      <color rgb="FF000000"/>
      <name val="Calibri"/>
      <family val="2"/>
      <scheme val="minor"/>
    </font>
    <font>
      <b/>
      <sz val="9"/>
      <color theme="0"/>
      <name val="Calibri"/>
      <family val="2"/>
      <scheme val="minor"/>
    </font>
    <font>
      <u/>
      <sz val="11"/>
      <color theme="1"/>
      <name val="Calibri"/>
      <family val="2"/>
      <scheme val="minor"/>
    </font>
    <font>
      <sz val="10"/>
      <color rgb="FFFF0000"/>
      <name val="Calibri"/>
      <family val="2"/>
      <scheme val="minor"/>
    </font>
    <font>
      <b/>
      <sz val="9"/>
      <name val="Calibri"/>
      <family val="2"/>
      <scheme val="minor"/>
    </font>
    <font>
      <sz val="14"/>
      <color rgb="FF222222"/>
      <name val="Segoe UI"/>
      <family val="2"/>
    </font>
    <font>
      <sz val="13"/>
      <color rgb="FF444444"/>
      <name val="Segoe UI"/>
      <family val="2"/>
    </font>
    <font>
      <b/>
      <sz val="13"/>
      <color rgb="FF444444"/>
      <name val="Segoe UI"/>
      <family val="2"/>
    </font>
    <font>
      <sz val="12"/>
      <color theme="1"/>
      <name val="Arial"/>
      <family val="2"/>
    </font>
    <font>
      <sz val="12"/>
      <color rgb="FF000000"/>
      <name val="Arial"/>
      <family val="2"/>
    </font>
    <font>
      <b/>
      <sz val="11"/>
      <color rgb="FF3A4056"/>
      <name val="Open Sans"/>
      <family val="2"/>
    </font>
    <font>
      <b/>
      <sz val="8"/>
      <color rgb="FF3A4056"/>
      <name val="Open Sans"/>
      <family val="2"/>
    </font>
    <font>
      <sz val="11"/>
      <color rgb="FF3A4056"/>
      <name val="Open Sans"/>
      <family val="2"/>
    </font>
    <font>
      <sz val="10"/>
      <color rgb="FF444444"/>
      <name val="Arial"/>
      <family val="2"/>
    </font>
    <font>
      <vertAlign val="superscript"/>
      <sz val="11"/>
      <color rgb="FF444444"/>
      <name val="Arial"/>
      <family val="2"/>
    </font>
    <font>
      <vertAlign val="superscript"/>
      <sz val="10"/>
      <color rgb="FF444444"/>
      <name val="Arial"/>
      <family val="2"/>
    </font>
    <font>
      <sz val="14"/>
      <color theme="1"/>
      <name val="Calibri"/>
      <family val="2"/>
      <scheme val="minor"/>
    </font>
    <font>
      <sz val="10"/>
      <color rgb="FF1F497D"/>
      <name val="Calibri"/>
      <family val="2"/>
      <scheme val="minor"/>
    </font>
    <font>
      <b/>
      <sz val="8"/>
      <color theme="1"/>
      <name val="Calibri"/>
      <family val="2"/>
      <scheme val="minor"/>
    </font>
    <font>
      <b/>
      <sz val="10"/>
      <name val="Calibri"/>
      <family val="2"/>
      <scheme val="minor"/>
    </font>
  </fonts>
  <fills count="112">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theme="7"/>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0" tint="-0.34998626667073579"/>
        <bgColor indexed="64"/>
      </patternFill>
    </fill>
    <fill>
      <patternFill patternType="solid">
        <fgColor theme="2" tint="-0.74999237037263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505050"/>
        <bgColor indexed="64"/>
      </patternFill>
    </fill>
    <fill>
      <patternFill patternType="solid">
        <fgColor theme="1"/>
        <bgColor indexed="64"/>
      </patternFill>
    </fill>
    <fill>
      <patternFill patternType="solid">
        <fgColor rgb="FF325A5A"/>
        <bgColor indexed="64"/>
      </patternFill>
    </fill>
    <fill>
      <patternFill patternType="solid">
        <fgColor rgb="FF64B45A"/>
        <bgColor indexed="64"/>
      </patternFill>
    </fill>
    <fill>
      <patternFill patternType="solid">
        <fgColor rgb="FF325A82"/>
        <bgColor indexed="64"/>
      </patternFill>
    </fill>
    <fill>
      <patternFill patternType="solid">
        <fgColor rgb="FFFFFFFF"/>
        <bgColor rgb="FFFFFFFF"/>
      </patternFill>
    </fill>
    <fill>
      <patternFill patternType="solid">
        <fgColor rgb="FFFFFF00"/>
        <bgColor rgb="FFFFFFFF"/>
      </patternFill>
    </fill>
    <fill>
      <patternFill patternType="solid">
        <fgColor rgb="FF9FC5E8"/>
        <bgColor rgb="FF9FC5E8"/>
      </patternFill>
    </fill>
    <fill>
      <patternFill patternType="solid">
        <fgColor theme="6" tint="-0.499984740745262"/>
        <bgColor indexed="64"/>
      </patternFill>
    </fill>
    <fill>
      <patternFill patternType="solid">
        <fgColor theme="8" tint="-0.249977111117893"/>
        <bgColor indexed="64"/>
      </patternFill>
    </fill>
    <fill>
      <patternFill patternType="solid">
        <fgColor theme="3" tint="0.59999389629810485"/>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5"/>
        <bgColor indexed="64"/>
      </patternFill>
    </fill>
    <fill>
      <patternFill patternType="solid">
        <fgColor theme="9"/>
        <bgColor indexed="64"/>
      </patternFill>
    </fill>
    <fill>
      <patternFill patternType="solid">
        <fgColor theme="0"/>
        <bgColor rgb="FFFFFFFF"/>
      </patternFill>
    </fill>
    <fill>
      <patternFill patternType="solid">
        <fgColor theme="0"/>
        <bgColor rgb="FF9FC5E8"/>
      </patternFill>
    </fill>
    <fill>
      <patternFill patternType="solid">
        <fgColor rgb="FF783200"/>
        <bgColor indexed="64"/>
      </patternFill>
    </fill>
    <fill>
      <patternFill patternType="solid">
        <fgColor rgb="FF963200"/>
        <bgColor indexed="64"/>
      </patternFill>
    </fill>
    <fill>
      <patternFill patternType="solid">
        <fgColor rgb="FFAF3200"/>
        <bgColor indexed="64"/>
      </patternFill>
    </fill>
    <fill>
      <patternFill patternType="solid">
        <fgColor rgb="FFDC3200"/>
        <bgColor indexed="64"/>
      </patternFill>
    </fill>
    <fill>
      <patternFill patternType="solid">
        <fgColor rgb="FFFAC85A"/>
        <bgColor indexed="64"/>
      </patternFill>
    </fill>
    <fill>
      <patternFill patternType="solid">
        <fgColor theme="3" tint="0.39997558519241921"/>
        <bgColor indexed="64"/>
      </patternFill>
    </fill>
    <fill>
      <patternFill patternType="solid">
        <fgColor theme="6"/>
        <bgColor indexed="64"/>
      </patternFill>
    </fill>
    <fill>
      <patternFill patternType="solid">
        <fgColor theme="5" tint="-0.499984740745262"/>
        <bgColor indexed="64"/>
      </patternFill>
    </fill>
    <fill>
      <patternFill patternType="solid">
        <fgColor theme="1" tint="4.9989318521683403E-2"/>
        <bgColor indexed="64"/>
      </patternFill>
    </fill>
    <fill>
      <patternFill patternType="solid">
        <fgColor rgb="FF14141E"/>
        <bgColor indexed="64"/>
      </patternFill>
    </fill>
    <fill>
      <patternFill patternType="solid">
        <fgColor rgb="FF323C28"/>
        <bgColor indexed="64"/>
      </patternFill>
    </fill>
    <fill>
      <patternFill patternType="solid">
        <fgColor rgb="FF3C3228"/>
        <bgColor indexed="64"/>
      </patternFill>
    </fill>
    <fill>
      <patternFill patternType="solid">
        <fgColor rgb="FF503C28"/>
        <bgColor indexed="64"/>
      </patternFill>
    </fill>
    <fill>
      <patternFill patternType="solid">
        <fgColor rgb="FFDCDCDC"/>
        <bgColor indexed="64"/>
      </patternFill>
    </fill>
    <fill>
      <patternFill patternType="solid">
        <fgColor theme="6" tint="0.39994506668294322"/>
        <bgColor indexed="64"/>
      </patternFill>
    </fill>
    <fill>
      <patternFill patternType="solid">
        <fgColor rgb="FFF9F9F9"/>
        <bgColor indexed="64"/>
      </patternFill>
    </fill>
    <fill>
      <patternFill patternType="solid">
        <fgColor theme="5" tint="0.39997558519241921"/>
        <bgColor indexed="64"/>
      </patternFill>
    </fill>
    <fill>
      <patternFill patternType="solid">
        <fgColor rgb="FFA06464"/>
        <bgColor indexed="64"/>
      </patternFill>
    </fill>
    <fill>
      <patternFill patternType="solid">
        <fgColor rgb="FF825A5A"/>
        <bgColor indexed="64"/>
      </patternFill>
    </fill>
    <fill>
      <patternFill patternType="solid">
        <fgColor rgb="FFDC8C50"/>
        <bgColor indexed="64"/>
      </patternFill>
    </fill>
    <fill>
      <patternFill patternType="solid">
        <fgColor rgb="FFFFAA50"/>
        <bgColor indexed="64"/>
      </patternFill>
    </fill>
    <fill>
      <patternFill patternType="solid">
        <fgColor rgb="FFFAB428"/>
        <bgColor indexed="64"/>
      </patternFill>
    </fill>
    <fill>
      <patternFill patternType="solid">
        <fgColor rgb="FFB48C8C"/>
        <bgColor indexed="64"/>
      </patternFill>
    </fill>
    <fill>
      <patternFill patternType="solid">
        <fgColor rgb="FFC88C8C"/>
        <bgColor indexed="64"/>
      </patternFill>
    </fill>
    <fill>
      <patternFill patternType="solid">
        <fgColor rgb="FFD27832"/>
        <bgColor indexed="64"/>
      </patternFill>
    </fill>
    <fill>
      <patternFill patternType="solid">
        <fgColor theme="0" tint="-0.14999847407452621"/>
        <bgColor rgb="FFFFFFFF"/>
      </patternFill>
    </fill>
    <fill>
      <patternFill patternType="solid">
        <fgColor theme="2" tint="-0.24994659260841701"/>
        <bgColor indexed="64"/>
      </patternFill>
    </fill>
    <fill>
      <patternFill patternType="solid">
        <fgColor rgb="FF92D050"/>
        <bgColor rgb="FF92D050"/>
      </patternFill>
    </fill>
    <fill>
      <patternFill patternType="solid">
        <fgColor rgb="FFB4C6E7"/>
        <bgColor rgb="FFB4C6E7"/>
      </patternFill>
    </fill>
    <fill>
      <patternFill patternType="solid">
        <fgColor theme="7" tint="0.39997558519241921"/>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rgb="FF000000"/>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
      <left style="medium">
        <color rgb="FFDDDDDD"/>
      </left>
      <right style="medium">
        <color rgb="FFDDDDDD"/>
      </right>
      <top/>
      <bottom style="thick">
        <color rgb="FFDDDDDD"/>
      </bottom>
      <diagonal/>
    </border>
    <border>
      <left style="medium">
        <color rgb="FFDDDDDD"/>
      </left>
      <right style="medium">
        <color rgb="FFDDDDDD"/>
      </right>
      <top style="medium">
        <color rgb="FFDDDDDD"/>
      </top>
      <bottom/>
      <diagonal/>
    </border>
    <border>
      <left style="medium">
        <color rgb="FFDDDDDD"/>
      </left>
      <right/>
      <top style="medium">
        <color rgb="FFDDDDDD"/>
      </top>
      <bottom style="thick">
        <color rgb="FFDDDDDD"/>
      </bottom>
      <diagonal/>
    </border>
    <border>
      <left/>
      <right/>
      <top style="medium">
        <color rgb="FFDDDDDD"/>
      </top>
      <bottom style="thick">
        <color rgb="FFDDDDDD"/>
      </bottom>
      <diagonal/>
    </border>
    <border>
      <left/>
      <right style="medium">
        <color rgb="FFDDDDDD"/>
      </right>
      <top style="medium">
        <color rgb="FFDDDDDD"/>
      </top>
      <bottom style="thick">
        <color rgb="FFDDDDD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style="medium">
        <color rgb="FFCBCBCB"/>
      </left>
      <right/>
      <top/>
      <bottom style="medium">
        <color rgb="FFCBCBCB"/>
      </bottom>
      <diagonal/>
    </border>
    <border>
      <left style="medium">
        <color rgb="FFCBCBCB"/>
      </left>
      <right/>
      <top style="medium">
        <color rgb="FFCBCBCB"/>
      </top>
      <bottom/>
      <diagonal/>
    </border>
    <border>
      <left style="medium">
        <color rgb="FFCBCBCB"/>
      </left>
      <right/>
      <top style="medium">
        <color rgb="FFCBCBCB"/>
      </top>
      <bottom style="medium">
        <color rgb="FFCBCBCB"/>
      </bottom>
      <diagonal/>
    </border>
    <border>
      <left/>
      <right/>
      <top style="medium">
        <color rgb="FFCBCBCB"/>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152">
    <xf numFmtId="0" fontId="0" fillId="0" borderId="0"/>
    <xf numFmtId="164" fontId="1" fillId="0" borderId="0" applyFont="0" applyFill="0" applyBorder="0" applyAlignment="0" applyProtection="0"/>
    <xf numFmtId="0" fontId="5" fillId="0" borderId="0"/>
    <xf numFmtId="0" fontId="19" fillId="0" borderId="0"/>
    <xf numFmtId="0" fontId="19" fillId="0" borderId="0"/>
    <xf numFmtId="1" fontId="5" fillId="0" borderId="0"/>
    <xf numFmtId="9" fontId="19" fillId="0" borderId="0" applyFont="0" applyFill="0" applyBorder="0" applyAlignment="0" applyProtection="0"/>
    <xf numFmtId="167" fontId="1" fillId="0" borderId="0"/>
    <xf numFmtId="0" fontId="19" fillId="0" borderId="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9"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8" fillId="14" borderId="0" applyNumberFormat="0" applyBorder="0" applyAlignment="0" applyProtection="0"/>
    <xf numFmtId="0" fontId="18" fillId="14"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18"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4" fillId="8" borderId="9" applyNumberFormat="0" applyAlignment="0" applyProtection="0"/>
    <xf numFmtId="0" fontId="14" fillId="8" borderId="9" applyNumberFormat="0" applyAlignment="0" applyProtection="0"/>
    <xf numFmtId="0" fontId="14" fillId="8" borderId="9" applyNumberFormat="0" applyAlignment="0" applyProtection="0"/>
    <xf numFmtId="0" fontId="16" fillId="9" borderId="12" applyNumberFormat="0" applyAlignment="0" applyProtection="0"/>
    <xf numFmtId="0" fontId="16" fillId="9" borderId="12" applyNumberFormat="0" applyAlignment="0" applyProtection="0"/>
    <xf numFmtId="0" fontId="16" fillId="9" borderId="12" applyNumberFormat="0" applyAlignment="0" applyProtection="0"/>
    <xf numFmtId="164" fontId="4"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7" fillId="0" borderId="6" applyNumberFormat="0" applyFill="0" applyAlignment="0" applyProtection="0"/>
    <xf numFmtId="0" fontId="7" fillId="0" borderId="6" applyNumberFormat="0" applyFill="0" applyAlignment="0" applyProtection="0"/>
    <xf numFmtId="0" fontId="7" fillId="0" borderId="6" applyNumberFormat="0" applyFill="0" applyAlignment="0" applyProtection="0"/>
    <xf numFmtId="0" fontId="8" fillId="0" borderId="7" applyNumberFormat="0" applyFill="0" applyAlignment="0" applyProtection="0"/>
    <xf numFmtId="0" fontId="8" fillId="0" borderId="7" applyNumberFormat="0" applyFill="0" applyAlignment="0" applyProtection="0"/>
    <xf numFmtId="0" fontId="8" fillId="0" borderId="7" applyNumberFormat="0" applyFill="0" applyAlignment="0" applyProtection="0"/>
    <xf numFmtId="0" fontId="9" fillId="0" borderId="8" applyNumberFormat="0" applyFill="0" applyAlignment="0" applyProtection="0"/>
    <xf numFmtId="0" fontId="9" fillId="0" borderId="8" applyNumberFormat="0" applyFill="0" applyAlignment="0" applyProtection="0"/>
    <xf numFmtId="0" fontId="9" fillId="0" borderId="8"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2" fillId="7" borderId="9" applyNumberFormat="0" applyAlignment="0" applyProtection="0"/>
    <xf numFmtId="0" fontId="12" fillId="7" borderId="9" applyNumberFormat="0" applyAlignment="0" applyProtection="0"/>
    <xf numFmtId="0" fontId="12" fillId="7" borderId="9" applyNumberFormat="0" applyAlignment="0" applyProtection="0"/>
    <xf numFmtId="0" fontId="15" fillId="0" borderId="11" applyNumberFormat="0" applyFill="0" applyAlignment="0" applyProtection="0"/>
    <xf numFmtId="0" fontId="15" fillId="0" borderId="11" applyNumberFormat="0" applyFill="0" applyAlignment="0" applyProtection="0"/>
    <xf numFmtId="0" fontId="15" fillId="0" borderId="11" applyNumberFormat="0" applyFill="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1" fillId="0" borderId="0"/>
    <xf numFmtId="0" fontId="1" fillId="0" borderId="0"/>
    <xf numFmtId="0" fontId="1" fillId="0" borderId="0"/>
    <xf numFmtId="167" fontId="1" fillId="0" borderId="0"/>
    <xf numFmtId="0" fontId="1" fillId="0" borderId="0"/>
    <xf numFmtId="167" fontId="1" fillId="0" borderId="0"/>
    <xf numFmtId="0" fontId="1" fillId="0" borderId="0"/>
    <xf numFmtId="0" fontId="1" fillId="0" borderId="0"/>
    <xf numFmtId="0" fontId="1" fillId="0" borderId="0"/>
    <xf numFmtId="0" fontId="1" fillId="0" borderId="0"/>
    <xf numFmtId="167"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1" fillId="0" borderId="0"/>
    <xf numFmtId="0" fontId="21" fillId="0" borderId="0"/>
    <xf numFmtId="0" fontId="21"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9" fillId="0" borderId="0"/>
    <xf numFmtId="0" fontId="19" fillId="0" borderId="0"/>
    <xf numFmtId="0" fontId="19" fillId="0" borderId="0"/>
    <xf numFmtId="167"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167" fontId="19" fillId="0" borderId="0"/>
    <xf numFmtId="0" fontId="19" fillId="0" borderId="0"/>
    <xf numFmtId="0" fontId="4"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9" fillId="0" borderId="0"/>
    <xf numFmtId="0" fontId="19" fillId="0" borderId="0"/>
    <xf numFmtId="0" fontId="1" fillId="0" borderId="0"/>
    <xf numFmtId="0" fontId="1" fillId="0" borderId="0"/>
    <xf numFmtId="0" fontId="1" fillId="0" borderId="0"/>
    <xf numFmtId="0" fontId="19" fillId="0" borderId="0"/>
    <xf numFmtId="0" fontId="2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21" fillId="0" borderId="0"/>
    <xf numFmtId="167" fontId="4"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5" fillId="0" borderId="0"/>
    <xf numFmtId="0" fontId="1" fillId="0" borderId="0"/>
    <xf numFmtId="167" fontId="1" fillId="0" borderId="0"/>
    <xf numFmtId="167" fontId="1" fillId="0" borderId="0"/>
    <xf numFmtId="167" fontId="1" fillId="0" borderId="0"/>
    <xf numFmtId="167" fontId="1" fillId="0" borderId="0"/>
    <xf numFmtId="0" fontId="5" fillId="0" borderId="0"/>
    <xf numFmtId="0" fontId="1" fillId="0" borderId="0"/>
    <xf numFmtId="0" fontId="21" fillId="0" borderId="0"/>
    <xf numFmtId="0" fontId="21" fillId="0" borderId="0"/>
    <xf numFmtId="0" fontId="1" fillId="0" borderId="0"/>
    <xf numFmtId="0" fontId="1" fillId="0" borderId="0"/>
    <xf numFmtId="0" fontId="1" fillId="0" borderId="0"/>
    <xf numFmtId="0" fontId="21" fillId="0" borderId="0"/>
    <xf numFmtId="0" fontId="2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10" borderId="13" applyNumberFormat="0" applyFont="0" applyAlignment="0" applyProtection="0"/>
    <xf numFmtId="0" fontId="1" fillId="10" borderId="13" applyNumberFormat="0" applyFont="0" applyAlignment="0" applyProtection="0"/>
    <xf numFmtId="0" fontId="1" fillId="10" borderId="13" applyNumberFormat="0" applyFont="0" applyAlignment="0" applyProtection="0"/>
    <xf numFmtId="0" fontId="1" fillId="10" borderId="13" applyNumberFormat="0" applyFont="0" applyAlignment="0" applyProtection="0"/>
    <xf numFmtId="0" fontId="1" fillId="10" borderId="13" applyNumberFormat="0" applyFont="0" applyAlignment="0" applyProtection="0"/>
    <xf numFmtId="0" fontId="1" fillId="10" borderId="13" applyNumberFormat="0" applyFont="0" applyAlignment="0" applyProtection="0"/>
    <xf numFmtId="0" fontId="1" fillId="10" borderId="13" applyNumberFormat="0" applyFont="0" applyAlignment="0" applyProtection="0"/>
    <xf numFmtId="0" fontId="1" fillId="10" borderId="13" applyNumberFormat="0" applyFont="0" applyAlignment="0" applyProtection="0"/>
    <xf numFmtId="0" fontId="1" fillId="10" borderId="13" applyNumberFormat="0" applyFont="0" applyAlignment="0" applyProtection="0"/>
    <xf numFmtId="0" fontId="1" fillId="10" borderId="13" applyNumberFormat="0" applyFont="0" applyAlignment="0" applyProtection="0"/>
    <xf numFmtId="0" fontId="13" fillId="8" borderId="10" applyNumberFormat="0" applyAlignment="0" applyProtection="0"/>
    <xf numFmtId="0" fontId="13" fillId="8" borderId="10" applyNumberFormat="0" applyAlignment="0" applyProtection="0"/>
    <xf numFmtId="0" fontId="13" fillId="8" borderId="10" applyNumberForma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 fillId="0" borderId="14" applyNumberFormat="0" applyFill="0" applyAlignment="0" applyProtection="0"/>
    <xf numFmtId="0" fontId="2" fillId="0" borderId="14" applyNumberFormat="0" applyFill="0" applyAlignment="0" applyProtection="0"/>
    <xf numFmtId="0" fontId="2" fillId="0" borderId="14"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22" fillId="0" borderId="0"/>
    <xf numFmtId="164" fontId="5" fillId="0" borderId="0" applyFon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0" fontId="34" fillId="0" borderId="0"/>
    <xf numFmtId="0" fontId="41" fillId="0" borderId="0"/>
    <xf numFmtId="164" fontId="5" fillId="0" borderId="0" applyFont="0" applyFill="0" applyBorder="0" applyAlignment="0" applyProtection="0"/>
    <xf numFmtId="164"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42" fillId="0" borderId="0"/>
    <xf numFmtId="43" fontId="5" fillId="0" borderId="0" applyFont="0" applyFill="0" applyBorder="0" applyAlignment="0" applyProtection="0"/>
    <xf numFmtId="43" fontId="5" fillId="0" borderId="0" applyFont="0" applyFill="0" applyBorder="0" applyAlignment="0" applyProtection="0"/>
    <xf numFmtId="0" fontId="43" fillId="0" borderId="0"/>
    <xf numFmtId="43" fontId="5" fillId="0" borderId="0" applyFont="0" applyFill="0" applyBorder="0" applyAlignment="0" applyProtection="0"/>
    <xf numFmtId="0" fontId="44" fillId="0" borderId="0"/>
    <xf numFmtId="0" fontId="5" fillId="0" borderId="0"/>
    <xf numFmtId="0" fontId="1" fillId="0" borderId="0"/>
    <xf numFmtId="43" fontId="5" fillId="0" borderId="0" applyFont="0" applyFill="0" applyBorder="0" applyAlignment="0" applyProtection="0"/>
    <xf numFmtId="43" fontId="5" fillId="0" borderId="0" applyFont="0" applyFill="0" applyBorder="0" applyAlignment="0" applyProtection="0"/>
    <xf numFmtId="0" fontId="1"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 fillId="0" borderId="0"/>
    <xf numFmtId="0" fontId="5" fillId="0" borderId="0"/>
    <xf numFmtId="164" fontId="5"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48">
    <xf numFmtId="0" fontId="0" fillId="0" borderId="0" xfId="0"/>
    <xf numFmtId="0" fontId="0" fillId="2" borderId="0" xfId="0" applyFill="1"/>
    <xf numFmtId="0" fontId="0" fillId="2" borderId="0" xfId="0" applyFill="1" applyAlignment="1">
      <alignment horizontal="center"/>
    </xf>
    <xf numFmtId="0" fontId="25" fillId="3" borderId="1" xfId="0" applyFont="1" applyFill="1" applyBorder="1" applyAlignment="1">
      <alignment horizontal="center" vertical="center" wrapText="1"/>
    </xf>
    <xf numFmtId="0" fontId="25" fillId="3" borderId="1" xfId="0" applyFont="1" applyFill="1" applyBorder="1" applyAlignment="1">
      <alignment vertical="center" wrapText="1"/>
    </xf>
    <xf numFmtId="0" fontId="26" fillId="2" borderId="0" xfId="0" applyFont="1" applyFill="1"/>
    <xf numFmtId="0" fontId="26" fillId="2" borderId="1" xfId="0" applyFont="1" applyFill="1" applyBorder="1" applyAlignment="1">
      <alignment horizontal="center"/>
    </xf>
    <xf numFmtId="166" fontId="26" fillId="2" borderId="1" xfId="0" applyNumberFormat="1" applyFont="1" applyFill="1" applyBorder="1" applyAlignment="1">
      <alignment horizontal="left"/>
    </xf>
    <xf numFmtId="0" fontId="26" fillId="2" borderId="1" xfId="0" applyFont="1" applyFill="1" applyBorder="1"/>
    <xf numFmtId="169" fontId="26" fillId="2" borderId="1" xfId="0" applyNumberFormat="1" applyFont="1" applyFill="1" applyBorder="1"/>
    <xf numFmtId="168" fontId="26" fillId="2" borderId="1" xfId="0" applyNumberFormat="1" applyFont="1" applyFill="1" applyBorder="1" applyAlignment="1">
      <alignment horizontal="left"/>
    </xf>
    <xf numFmtId="0" fontId="6" fillId="2" borderId="0" xfId="0" applyFont="1" applyFill="1"/>
    <xf numFmtId="0" fontId="24" fillId="2" borderId="0" xfId="0" applyFont="1" applyFill="1" applyAlignment="1">
      <alignment horizontal="left"/>
    </xf>
    <xf numFmtId="166" fontId="0" fillId="2" borderId="0" xfId="127" applyNumberFormat="1" applyFont="1" applyFill="1"/>
    <xf numFmtId="0" fontId="28" fillId="3" borderId="1" xfId="0" applyFont="1" applyFill="1" applyBorder="1" applyAlignment="1">
      <alignment horizontal="center" vertical="center" wrapText="1"/>
    </xf>
    <xf numFmtId="0" fontId="28" fillId="3" borderId="1" xfId="0" applyFont="1" applyFill="1" applyBorder="1" applyAlignment="1">
      <alignment vertical="center" wrapText="1"/>
    </xf>
    <xf numFmtId="166" fontId="26" fillId="2" borderId="1" xfId="0" applyNumberFormat="1" applyFont="1" applyFill="1" applyBorder="1" applyAlignment="1">
      <alignment horizontal="center"/>
    </xf>
    <xf numFmtId="0" fontId="27" fillId="2" borderId="1" xfId="1026" applyFont="1" applyFill="1" applyBorder="1" applyAlignment="1">
      <alignment wrapText="1"/>
    </xf>
    <xf numFmtId="166" fontId="26" fillId="2" borderId="0" xfId="0" applyNumberFormat="1" applyFont="1" applyFill="1" applyAlignment="1">
      <alignment horizontal="center"/>
    </xf>
    <xf numFmtId="166" fontId="26" fillId="2" borderId="0" xfId="0" applyNumberFormat="1" applyFont="1" applyFill="1" applyAlignment="1">
      <alignment horizontal="left"/>
    </xf>
    <xf numFmtId="0" fontId="27" fillId="2" borderId="0" xfId="1026" applyFont="1" applyFill="1" applyBorder="1" applyAlignment="1">
      <alignment wrapText="1"/>
    </xf>
    <xf numFmtId="0" fontId="0" fillId="2" borderId="15" xfId="0" applyFill="1" applyBorder="1" applyAlignment="1">
      <alignment horizontal="center"/>
    </xf>
    <xf numFmtId="0" fontId="0" fillId="2" borderId="16" xfId="0" applyFill="1" applyBorder="1"/>
    <xf numFmtId="0" fontId="0" fillId="2" borderId="17" xfId="0" applyFill="1" applyBorder="1"/>
    <xf numFmtId="0" fontId="0" fillId="2" borderId="18" xfId="0" applyFill="1" applyBorder="1" applyAlignment="1">
      <alignment horizontal="center"/>
    </xf>
    <xf numFmtId="0" fontId="2" fillId="2" borderId="0" xfId="0" applyFont="1" applyFill="1"/>
    <xf numFmtId="0" fontId="0" fillId="2" borderId="0" xfId="0" applyFill="1" applyAlignment="1">
      <alignment wrapText="1"/>
    </xf>
    <xf numFmtId="0" fontId="0" fillId="2" borderId="0" xfId="0" applyFill="1" applyAlignment="1">
      <alignment horizontal="right" wrapText="1"/>
    </xf>
    <xf numFmtId="0" fontId="0" fillId="2" borderId="1" xfId="0" applyFill="1" applyBorder="1" applyAlignment="1">
      <alignment horizontal="right" wrapText="1"/>
    </xf>
    <xf numFmtId="170" fontId="0" fillId="2" borderId="1" xfId="0" applyNumberFormat="1" applyFill="1" applyBorder="1"/>
    <xf numFmtId="170" fontId="0" fillId="2" borderId="0" xfId="0" applyNumberFormat="1" applyFill="1"/>
    <xf numFmtId="0" fontId="0" fillId="0" borderId="1" xfId="0" applyBorder="1" applyAlignment="1">
      <alignment wrapText="1"/>
    </xf>
    <xf numFmtId="0" fontId="23" fillId="2" borderId="0" xfId="1026" applyFill="1" applyBorder="1" applyAlignment="1"/>
    <xf numFmtId="2" fontId="0" fillId="0" borderId="1" xfId="0" applyNumberFormat="1" applyBorder="1"/>
    <xf numFmtId="0" fontId="0" fillId="2" borderId="21" xfId="0" applyFill="1" applyBorder="1" applyAlignment="1">
      <alignment horizontal="center"/>
    </xf>
    <xf numFmtId="0" fontId="0" fillId="2" borderId="22" xfId="0" applyFill="1" applyBorder="1"/>
    <xf numFmtId="0" fontId="0" fillId="2" borderId="23" xfId="0" applyFill="1" applyBorder="1"/>
    <xf numFmtId="0" fontId="18" fillId="35" borderId="1" xfId="0" applyFont="1" applyFill="1" applyBorder="1"/>
    <xf numFmtId="171" fontId="3" fillId="0" borderId="4" xfId="0" applyNumberFormat="1" applyFont="1" applyBorder="1" applyAlignment="1">
      <alignment horizontal="center" wrapText="1"/>
    </xf>
    <xf numFmtId="171" fontId="29" fillId="0" borderId="0" xfId="0" applyNumberFormat="1" applyFont="1" applyAlignment="1">
      <alignment horizontal="left" wrapText="1"/>
    </xf>
    <xf numFmtId="0" fontId="3" fillId="2" borderId="1" xfId="0" applyFont="1" applyFill="1" applyBorder="1" applyAlignment="1">
      <alignment wrapText="1"/>
    </xf>
    <xf numFmtId="171" fontId="3" fillId="0" borderId="1" xfId="0" applyNumberFormat="1" applyFont="1" applyBorder="1" applyAlignment="1">
      <alignment horizontal="center" wrapText="1"/>
    </xf>
    <xf numFmtId="171" fontId="29" fillId="0" borderId="0" xfId="0" applyNumberFormat="1" applyFont="1" applyAlignment="1">
      <alignment horizontal="center" wrapText="1"/>
    </xf>
    <xf numFmtId="172" fontId="0" fillId="2" borderId="1" xfId="0" applyNumberFormat="1" applyFill="1" applyBorder="1" applyAlignment="1">
      <alignment horizontal="center"/>
    </xf>
    <xf numFmtId="0" fontId="0" fillId="2" borderId="1" xfId="0" applyFill="1" applyBorder="1" applyAlignment="1">
      <alignment horizontal="left" vertical="center"/>
    </xf>
    <xf numFmtId="172" fontId="0" fillId="2" borderId="1" xfId="0" applyNumberFormat="1" applyFill="1" applyBorder="1"/>
    <xf numFmtId="172" fontId="0" fillId="2" borderId="1" xfId="0" applyNumberFormat="1" applyFill="1" applyBorder="1" applyAlignment="1">
      <alignment horizontal="center" vertical="center"/>
    </xf>
    <xf numFmtId="0" fontId="0" fillId="2" borderId="0" xfId="0" applyFill="1" applyAlignment="1">
      <alignment horizontal="center" wrapText="1"/>
    </xf>
    <xf numFmtId="0" fontId="0" fillId="2" borderId="0" xfId="0" applyFill="1" applyAlignment="1">
      <alignment horizontal="left" wrapText="1"/>
    </xf>
    <xf numFmtId="0" fontId="0" fillId="2" borderId="1" xfId="0" applyFill="1" applyBorder="1" applyAlignment="1">
      <alignment horizontal="center" wrapText="1"/>
    </xf>
    <xf numFmtId="173" fontId="30" fillId="2" borderId="0" xfId="1" applyNumberFormat="1" applyFont="1" applyFill="1" applyBorder="1" applyAlignment="1">
      <alignment horizontal="center"/>
    </xf>
    <xf numFmtId="0" fontId="0" fillId="2" borderId="1" xfId="0" applyFill="1" applyBorder="1"/>
    <xf numFmtId="0" fontId="0" fillId="2" borderId="1" xfId="0" applyFill="1" applyBorder="1" applyAlignment="1">
      <alignment wrapText="1"/>
    </xf>
    <xf numFmtId="164" fontId="0" fillId="0" borderId="1" xfId="0" applyNumberFormat="1" applyBorder="1"/>
    <xf numFmtId="0" fontId="0" fillId="2" borderId="16" xfId="0" applyFill="1" applyBorder="1" applyAlignment="1">
      <alignment wrapText="1"/>
    </xf>
    <xf numFmtId="0" fontId="0" fillId="2" borderId="18" xfId="0" applyFill="1" applyBorder="1" applyAlignment="1">
      <alignment wrapText="1"/>
    </xf>
    <xf numFmtId="0" fontId="0" fillId="2" borderId="19" xfId="0" applyFill="1" applyBorder="1" applyAlignment="1">
      <alignment wrapText="1"/>
    </xf>
    <xf numFmtId="0" fontId="0" fillId="2" borderId="21" xfId="0" applyFill="1" applyBorder="1" applyAlignment="1">
      <alignment wrapText="1"/>
    </xf>
    <xf numFmtId="0" fontId="0" fillId="2" borderId="15" xfId="0" applyFill="1" applyBorder="1" applyAlignment="1">
      <alignment wrapText="1"/>
    </xf>
    <xf numFmtId="0" fontId="0" fillId="2" borderId="1" xfId="0" applyFill="1" applyBorder="1" applyAlignment="1">
      <alignment horizontal="left" wrapText="1"/>
    </xf>
    <xf numFmtId="0" fontId="0" fillId="2" borderId="17" xfId="0" applyFill="1" applyBorder="1" applyAlignment="1">
      <alignment wrapText="1"/>
    </xf>
    <xf numFmtId="0" fontId="0" fillId="2" borderId="23" xfId="0" applyFill="1" applyBorder="1" applyAlignment="1">
      <alignment wrapText="1"/>
    </xf>
    <xf numFmtId="0" fontId="0" fillId="2" borderId="19" xfId="0" applyFill="1" applyBorder="1"/>
    <xf numFmtId="0" fontId="3" fillId="2" borderId="0" xfId="0" applyFont="1" applyFill="1"/>
    <xf numFmtId="0" fontId="3" fillId="2" borderId="0" xfId="0" applyFont="1" applyFill="1" applyAlignment="1">
      <alignment horizontal="center" vertical="center"/>
    </xf>
    <xf numFmtId="0" fontId="36" fillId="2" borderId="0" xfId="0" applyFont="1" applyFill="1" applyAlignment="1">
      <alignment horizontal="center" vertical="center"/>
    </xf>
    <xf numFmtId="0" fontId="37" fillId="2" borderId="1" xfId="0" applyFont="1" applyFill="1" applyBorder="1" applyAlignment="1">
      <alignment vertical="center" wrapText="1"/>
    </xf>
    <xf numFmtId="0" fontId="3" fillId="2" borderId="0" xfId="0" applyFont="1" applyFill="1" applyAlignment="1">
      <alignment wrapText="1"/>
    </xf>
    <xf numFmtId="173" fontId="38" fillId="2" borderId="0" xfId="1" applyNumberFormat="1" applyFont="1" applyFill="1" applyBorder="1" applyAlignment="1">
      <alignment horizontal="center"/>
    </xf>
    <xf numFmtId="0" fontId="0" fillId="37" borderId="24" xfId="0" applyFill="1" applyBorder="1" applyAlignment="1">
      <alignment wrapText="1"/>
    </xf>
    <xf numFmtId="0" fontId="0" fillId="37" borderId="24" xfId="0" applyFill="1" applyBorder="1" applyAlignment="1">
      <alignment horizontal="right" wrapText="1"/>
    </xf>
    <xf numFmtId="0" fontId="0" fillId="37" borderId="24" xfId="0" applyFill="1" applyBorder="1" applyAlignment="1">
      <alignment horizontal="left" wrapText="1"/>
    </xf>
    <xf numFmtId="0" fontId="0" fillId="37" borderId="2" xfId="0" applyFill="1" applyBorder="1" applyAlignment="1">
      <alignment horizontal="left" wrapText="1"/>
    </xf>
    <xf numFmtId="0" fontId="0" fillId="2" borderId="34" xfId="0" applyFill="1" applyBorder="1" applyAlignment="1">
      <alignment wrapText="1"/>
    </xf>
    <xf numFmtId="0" fontId="0" fillId="2" borderId="36" xfId="0" applyFill="1" applyBorder="1" applyAlignment="1">
      <alignment horizontal="left" wrapText="1"/>
    </xf>
    <xf numFmtId="0" fontId="2" fillId="37" borderId="34" xfId="0" applyFont="1" applyFill="1" applyBorder="1" applyAlignment="1">
      <alignment wrapText="1"/>
    </xf>
    <xf numFmtId="0" fontId="0" fillId="37" borderId="0" xfId="0" applyFill="1" applyAlignment="1">
      <alignment horizontal="left" wrapText="1"/>
    </xf>
    <xf numFmtId="0" fontId="0" fillId="37" borderId="34" xfId="0" applyFill="1" applyBorder="1" applyAlignment="1">
      <alignment wrapText="1"/>
    </xf>
    <xf numFmtId="0" fontId="0" fillId="37" borderId="37" xfId="0" applyFill="1" applyBorder="1" applyAlignment="1">
      <alignment horizontal="left" wrapText="1"/>
    </xf>
    <xf numFmtId="166" fontId="0" fillId="37" borderId="37" xfId="1" applyNumberFormat="1" applyFont="1" applyFill="1" applyBorder="1" applyAlignment="1">
      <alignment horizontal="left" wrapText="1"/>
    </xf>
    <xf numFmtId="0" fontId="0" fillId="2" borderId="35" xfId="0" applyFill="1" applyBorder="1" applyAlignment="1">
      <alignment wrapText="1"/>
    </xf>
    <xf numFmtId="0" fontId="0" fillId="2" borderId="26" xfId="0" applyFill="1" applyBorder="1" applyAlignment="1">
      <alignment wrapText="1"/>
    </xf>
    <xf numFmtId="0" fontId="0" fillId="2" borderId="26" xfId="0" applyFill="1" applyBorder="1" applyAlignment="1">
      <alignment horizontal="center" wrapText="1"/>
    </xf>
    <xf numFmtId="0" fontId="0" fillId="2" borderId="26" xfId="0" applyFill="1" applyBorder="1" applyAlignment="1">
      <alignment horizontal="right" wrapText="1"/>
    </xf>
    <xf numFmtId="0" fontId="0" fillId="2" borderId="26" xfId="0" applyFill="1" applyBorder="1" applyAlignment="1">
      <alignment horizontal="left" wrapText="1"/>
    </xf>
    <xf numFmtId="0" fontId="0" fillId="2" borderId="38" xfId="0" applyFill="1" applyBorder="1" applyAlignment="1">
      <alignment horizontal="left" wrapText="1"/>
    </xf>
    <xf numFmtId="0" fontId="26" fillId="2" borderId="0" xfId="0" applyFont="1" applyFill="1" applyAlignment="1">
      <alignment horizontal="center"/>
    </xf>
    <xf numFmtId="0" fontId="40" fillId="2" borderId="0" xfId="0" applyFont="1" applyFill="1"/>
    <xf numFmtId="15" fontId="0" fillId="2" borderId="0" xfId="0" applyNumberFormat="1" applyFill="1" applyAlignment="1">
      <alignment horizontal="center"/>
    </xf>
    <xf numFmtId="0" fontId="0" fillId="2" borderId="0" xfId="0" applyFill="1" applyAlignment="1">
      <alignment horizontal="left"/>
    </xf>
    <xf numFmtId="0" fontId="6" fillId="2" borderId="0" xfId="0" applyFont="1" applyFill="1" applyAlignment="1">
      <alignment wrapText="1"/>
    </xf>
    <xf numFmtId="0" fontId="18" fillId="35" borderId="1" xfId="0" applyFont="1" applyFill="1" applyBorder="1" applyAlignment="1">
      <alignment horizontal="center"/>
    </xf>
    <xf numFmtId="171" fontId="23" fillId="0" borderId="0" xfId="1026" applyNumberFormat="1" applyAlignment="1">
      <alignment horizontal="left" wrapText="1"/>
    </xf>
    <xf numFmtId="0" fontId="2" fillId="2" borderId="34" xfId="0" applyFont="1" applyFill="1" applyBorder="1" applyAlignment="1">
      <alignment wrapText="1"/>
    </xf>
    <xf numFmtId="164" fontId="0" fillId="0" borderId="0" xfId="0" applyNumberFormat="1"/>
    <xf numFmtId="0" fontId="0" fillId="2" borderId="1" xfId="0" applyFill="1" applyBorder="1" applyAlignment="1">
      <alignment horizontal="center"/>
    </xf>
    <xf numFmtId="166" fontId="36" fillId="0" borderId="1" xfId="1" applyNumberFormat="1" applyFont="1" applyFill="1" applyBorder="1" applyAlignment="1">
      <alignment wrapText="1"/>
    </xf>
    <xf numFmtId="166" fontId="16" fillId="0" borderId="1" xfId="1" applyNumberFormat="1" applyFont="1" applyFill="1" applyBorder="1" applyAlignment="1">
      <alignment wrapText="1"/>
    </xf>
    <xf numFmtId="166" fontId="0" fillId="37" borderId="0" xfId="0" applyNumberFormat="1" applyFill="1" applyAlignment="1">
      <alignment horizontal="left" wrapText="1"/>
    </xf>
    <xf numFmtId="0" fontId="47" fillId="2" borderId="1" xfId="0" applyFont="1" applyFill="1" applyBorder="1"/>
    <xf numFmtId="168" fontId="47" fillId="2" borderId="1" xfId="0" applyNumberFormat="1" applyFont="1" applyFill="1" applyBorder="1" applyAlignment="1">
      <alignment horizontal="right"/>
    </xf>
    <xf numFmtId="169" fontId="47" fillId="2" borderId="1" xfId="0" applyNumberFormat="1" applyFont="1" applyFill="1" applyBorder="1"/>
    <xf numFmtId="0" fontId="47" fillId="0" borderId="1" xfId="0" applyFont="1" applyBorder="1"/>
    <xf numFmtId="0" fontId="47" fillId="2" borderId="1" xfId="0" applyFont="1" applyFill="1" applyBorder="1" applyAlignment="1">
      <alignment horizontal="center"/>
    </xf>
    <xf numFmtId="168" fontId="26" fillId="2" borderId="1" xfId="0" applyNumberFormat="1" applyFont="1" applyFill="1" applyBorder="1" applyAlignment="1">
      <alignment horizontal="right"/>
    </xf>
    <xf numFmtId="0" fontId="27" fillId="2" borderId="1" xfId="1026" applyFont="1" applyFill="1" applyBorder="1"/>
    <xf numFmtId="0" fontId="26" fillId="2" borderId="1" xfId="0" applyFont="1" applyFill="1" applyBorder="1" applyAlignment="1">
      <alignment wrapText="1"/>
    </xf>
    <xf numFmtId="0" fontId="26" fillId="0" borderId="1" xfId="0" applyFont="1" applyBorder="1" applyAlignment="1">
      <alignment wrapText="1"/>
    </xf>
    <xf numFmtId="10" fontId="26" fillId="2" borderId="0" xfId="0" applyNumberFormat="1" applyFont="1" applyFill="1"/>
    <xf numFmtId="0" fontId="27" fillId="2" borderId="0" xfId="1026" applyFont="1" applyFill="1" applyBorder="1"/>
    <xf numFmtId="2" fontId="3" fillId="2" borderId="0" xfId="0" applyNumberFormat="1" applyFont="1" applyFill="1" applyAlignment="1">
      <alignment horizontal="center" vertical="center"/>
    </xf>
    <xf numFmtId="0" fontId="0" fillId="39" borderId="0" xfId="0" applyFill="1" applyAlignment="1">
      <alignment vertical="center"/>
    </xf>
    <xf numFmtId="0" fontId="3" fillId="39" borderId="0" xfId="0" applyFont="1" applyFill="1" applyAlignment="1">
      <alignment vertical="center"/>
    </xf>
    <xf numFmtId="0" fontId="36" fillId="39" borderId="0" xfId="0" applyFont="1" applyFill="1" applyAlignment="1">
      <alignment horizontal="center" vertical="center"/>
    </xf>
    <xf numFmtId="0" fontId="0" fillId="39" borderId="0" xfId="0" applyFill="1" applyAlignment="1">
      <alignment vertical="center" wrapText="1"/>
    </xf>
    <xf numFmtId="0" fontId="3" fillId="2" borderId="0" xfId="0" applyFont="1" applyFill="1" applyAlignment="1">
      <alignment horizontal="left" wrapText="1"/>
    </xf>
    <xf numFmtId="14" fontId="0" fillId="39" borderId="0" xfId="0" applyNumberFormat="1" applyFill="1" applyAlignment="1">
      <alignment vertical="center"/>
    </xf>
    <xf numFmtId="3" fontId="0" fillId="39" borderId="0" xfId="0" applyNumberFormat="1" applyFill="1" applyAlignment="1">
      <alignment vertical="center"/>
    </xf>
    <xf numFmtId="0" fontId="2" fillId="39" borderId="1" xfId="0" applyFont="1" applyFill="1" applyBorder="1" applyAlignment="1">
      <alignment horizontal="center" vertical="center" wrapText="1"/>
    </xf>
    <xf numFmtId="2" fontId="36" fillId="2" borderId="0" xfId="0" applyNumberFormat="1" applyFont="1" applyFill="1" applyAlignment="1">
      <alignment horizontal="center" vertical="center"/>
    </xf>
    <xf numFmtId="3" fontId="36" fillId="2" borderId="0" xfId="0" applyNumberFormat="1" applyFont="1" applyFill="1" applyAlignment="1">
      <alignment horizontal="center" vertical="center"/>
    </xf>
    <xf numFmtId="0" fontId="2" fillId="2" borderId="0" xfId="0" applyFont="1" applyFill="1" applyAlignment="1">
      <alignment horizontal="center" vertical="center" wrapText="1"/>
    </xf>
    <xf numFmtId="0" fontId="53" fillId="0" borderId="0" xfId="0" applyFont="1"/>
    <xf numFmtId="3" fontId="3" fillId="2" borderId="0" xfId="0" applyNumberFormat="1" applyFont="1" applyFill="1" applyAlignment="1">
      <alignment wrapText="1"/>
    </xf>
    <xf numFmtId="180" fontId="0" fillId="2" borderId="1" xfId="1" applyNumberFormat="1" applyFont="1" applyFill="1" applyBorder="1" applyAlignment="1">
      <alignment horizontal="right" vertical="center" wrapText="1"/>
    </xf>
    <xf numFmtId="174" fontId="0" fillId="39" borderId="0" xfId="0" applyNumberFormat="1" applyFill="1" applyAlignment="1">
      <alignment vertical="center"/>
    </xf>
    <xf numFmtId="0" fontId="2" fillId="39" borderId="1" xfId="0" applyFont="1" applyFill="1" applyBorder="1" applyAlignment="1">
      <alignment horizontal="center" vertical="center"/>
    </xf>
    <xf numFmtId="3" fontId="3" fillId="43" borderId="1" xfId="0" applyNumberFormat="1" applyFont="1" applyFill="1" applyBorder="1" applyAlignment="1">
      <alignment horizontal="center" vertical="center"/>
    </xf>
    <xf numFmtId="14" fontId="0" fillId="39" borderId="1" xfId="0" applyNumberFormat="1" applyFill="1" applyBorder="1" applyAlignment="1">
      <alignment horizontal="right" vertical="center" indent="1"/>
    </xf>
    <xf numFmtId="179" fontId="0" fillId="39" borderId="1" xfId="0" applyNumberFormat="1" applyFill="1" applyBorder="1" applyAlignment="1">
      <alignment horizontal="right" vertical="center" indent="1"/>
    </xf>
    <xf numFmtId="177" fontId="0" fillId="39" borderId="1" xfId="0" applyNumberFormat="1" applyFill="1" applyBorder="1" applyAlignment="1">
      <alignment horizontal="right" vertical="center" indent="1"/>
    </xf>
    <xf numFmtId="0" fontId="36" fillId="2" borderId="0" xfId="0" applyFont="1" applyFill="1"/>
    <xf numFmtId="0" fontId="0" fillId="2" borderId="0" xfId="0" applyFill="1" applyAlignment="1">
      <alignment vertical="center"/>
    </xf>
    <xf numFmtId="175" fontId="35" fillId="43" borderId="3" xfId="0" applyNumberFormat="1" applyFont="1" applyFill="1" applyBorder="1" applyAlignment="1">
      <alignment horizontal="center" vertical="center"/>
    </xf>
    <xf numFmtId="179" fontId="36" fillId="37" borderId="1" xfId="0" applyNumberFormat="1" applyFont="1" applyFill="1" applyBorder="1" applyAlignment="1">
      <alignment horizontal="right" vertical="center" indent="1"/>
    </xf>
    <xf numFmtId="0" fontId="18" fillId="2" borderId="0" xfId="0" applyFont="1" applyFill="1"/>
    <xf numFmtId="0" fontId="36" fillId="2" borderId="0" xfId="0" applyFont="1" applyFill="1" applyAlignment="1">
      <alignment vertical="center"/>
    </xf>
    <xf numFmtId="0" fontId="16" fillId="2" borderId="0" xfId="0" applyFont="1" applyFill="1" applyAlignment="1">
      <alignment vertical="center"/>
    </xf>
    <xf numFmtId="0" fontId="31" fillId="2" borderId="0" xfId="0" applyFont="1" applyFill="1"/>
    <xf numFmtId="0" fontId="3" fillId="2" borderId="0" xfId="0" applyFont="1" applyFill="1" applyAlignment="1">
      <alignment horizontal="center"/>
    </xf>
    <xf numFmtId="0" fontId="32" fillId="2" borderId="0" xfId="0" applyFont="1" applyFill="1"/>
    <xf numFmtId="0" fontId="25" fillId="2" borderId="0" xfId="0" applyFont="1" applyFill="1" applyAlignment="1">
      <alignment horizontal="center" vertical="center" wrapText="1"/>
    </xf>
    <xf numFmtId="0" fontId="37" fillId="2" borderId="0" xfId="0" applyFont="1" applyFill="1" applyAlignment="1">
      <alignment horizontal="center" vertical="center" wrapText="1"/>
    </xf>
    <xf numFmtId="166" fontId="25" fillId="2" borderId="0" xfId="0" applyNumberFormat="1" applyFont="1" applyFill="1" applyAlignment="1">
      <alignment vertical="center" wrapText="1"/>
    </xf>
    <xf numFmtId="166" fontId="37" fillId="2" borderId="0" xfId="0" applyNumberFormat="1" applyFont="1" applyFill="1" applyAlignment="1">
      <alignment vertical="center" wrapText="1"/>
    </xf>
    <xf numFmtId="173" fontId="25" fillId="2" borderId="0" xfId="0" applyNumberFormat="1" applyFont="1" applyFill="1" applyAlignment="1">
      <alignment vertical="center" wrapText="1"/>
    </xf>
    <xf numFmtId="173" fontId="37" fillId="2" borderId="0" xfId="0" applyNumberFormat="1" applyFont="1" applyFill="1" applyAlignment="1">
      <alignment vertical="center" wrapText="1"/>
    </xf>
    <xf numFmtId="0" fontId="25" fillId="2" borderId="0" xfId="0" applyFont="1" applyFill="1" applyAlignment="1">
      <alignment vertical="center" wrapText="1"/>
    </xf>
    <xf numFmtId="0" fontId="33" fillId="2" borderId="0" xfId="0" applyFont="1" applyFill="1" applyAlignment="1">
      <alignment vertical="center" wrapText="1"/>
    </xf>
    <xf numFmtId="0" fontId="3" fillId="2" borderId="0" xfId="0" applyFont="1" applyFill="1" applyAlignment="1">
      <alignment horizontal="right" wrapText="1"/>
    </xf>
    <xf numFmtId="0" fontId="2" fillId="2" borderId="0" xfId="0" applyFont="1" applyFill="1" applyAlignment="1">
      <alignment wrapText="1"/>
    </xf>
    <xf numFmtId="0" fontId="3" fillId="2" borderId="0" xfId="0" applyFont="1" applyFill="1" applyAlignment="1">
      <alignment vertical="center"/>
    </xf>
    <xf numFmtId="180" fontId="0" fillId="2" borderId="1" xfId="0" applyNumberFormat="1" applyFill="1" applyBorder="1" applyAlignment="1">
      <alignment horizontal="right" vertical="center" wrapText="1"/>
    </xf>
    <xf numFmtId="0" fontId="18" fillId="2" borderId="0" xfId="0" applyFont="1" applyFill="1" applyProtection="1">
      <protection hidden="1"/>
    </xf>
    <xf numFmtId="0" fontId="0" fillId="2" borderId="0" xfId="0" applyFill="1" applyProtection="1">
      <protection hidden="1"/>
    </xf>
    <xf numFmtId="0" fontId="36" fillId="2" borderId="0" xfId="0" applyFont="1" applyFill="1" applyAlignment="1" applyProtection="1">
      <alignment vertical="center"/>
      <protection hidden="1"/>
    </xf>
    <xf numFmtId="0" fontId="16" fillId="2" borderId="0" xfId="0" applyFont="1" applyFill="1" applyAlignment="1" applyProtection="1">
      <alignment vertical="center"/>
      <protection hidden="1"/>
    </xf>
    <xf numFmtId="0" fontId="0" fillId="39" borderId="0" xfId="0" applyFill="1" applyAlignment="1" applyProtection="1">
      <alignment vertical="center"/>
      <protection hidden="1"/>
    </xf>
    <xf numFmtId="0" fontId="3" fillId="39" borderId="0" xfId="0" applyFont="1" applyFill="1" applyAlignment="1" applyProtection="1">
      <alignment horizontal="center" vertical="center"/>
      <protection hidden="1"/>
    </xf>
    <xf numFmtId="0" fontId="0" fillId="39" borderId="0" xfId="0" applyFill="1" applyAlignment="1" applyProtection="1">
      <alignment vertical="center" wrapText="1"/>
      <protection hidden="1"/>
    </xf>
    <xf numFmtId="3" fontId="3" fillId="43" borderId="1" xfId="0" applyNumberFormat="1" applyFont="1" applyFill="1" applyBorder="1" applyAlignment="1" applyProtection="1">
      <alignment horizontal="left" vertical="center" indent="1"/>
      <protection hidden="1"/>
    </xf>
    <xf numFmtId="170" fontId="3" fillId="2" borderId="1" xfId="0" applyNumberFormat="1" applyFont="1" applyFill="1" applyBorder="1" applyAlignment="1" applyProtection="1">
      <alignment horizontal="right" vertical="center" indent="1"/>
      <protection hidden="1"/>
    </xf>
    <xf numFmtId="1" fontId="3" fillId="2" borderId="1" xfId="0" applyNumberFormat="1" applyFont="1" applyFill="1" applyBorder="1" applyAlignment="1" applyProtection="1">
      <alignment horizontal="right" vertical="center" indent="1"/>
      <protection hidden="1"/>
    </xf>
    <xf numFmtId="0" fontId="3" fillId="39" borderId="1" xfId="0" applyFont="1" applyFill="1" applyBorder="1" applyAlignment="1" applyProtection="1">
      <alignment horizontal="left" vertical="center" indent="1"/>
      <protection hidden="1"/>
    </xf>
    <xf numFmtId="3" fontId="3" fillId="39" borderId="0" xfId="0" applyNumberFormat="1" applyFont="1" applyFill="1" applyAlignment="1" applyProtection="1">
      <alignment horizontal="center" vertical="center"/>
      <protection hidden="1"/>
    </xf>
    <xf numFmtId="0" fontId="3" fillId="39" borderId="0" xfId="0" applyFont="1" applyFill="1" applyAlignment="1" applyProtection="1">
      <alignment vertical="center"/>
      <protection hidden="1"/>
    </xf>
    <xf numFmtId="0" fontId="36" fillId="39" borderId="0" xfId="0" applyFont="1" applyFill="1" applyAlignment="1" applyProtection="1">
      <alignment horizontal="center" vertical="center"/>
      <protection hidden="1"/>
    </xf>
    <xf numFmtId="0" fontId="3" fillId="39" borderId="0" xfId="0" applyFont="1" applyFill="1" applyAlignment="1" applyProtection="1">
      <alignment horizontal="left" vertical="center" wrapText="1"/>
      <protection hidden="1"/>
    </xf>
    <xf numFmtId="3" fontId="3" fillId="43" borderId="1" xfId="0" applyNumberFormat="1" applyFont="1" applyFill="1" applyBorder="1" applyAlignment="1" applyProtection="1">
      <alignment horizontal="center" vertical="center"/>
      <protection hidden="1"/>
    </xf>
    <xf numFmtId="175" fontId="35" fillId="43" borderId="3" xfId="0" applyNumberFormat="1" applyFont="1" applyFill="1" applyBorder="1" applyAlignment="1" applyProtection="1">
      <alignment horizontal="center" vertical="center"/>
      <protection hidden="1"/>
    </xf>
    <xf numFmtId="176" fontId="36" fillId="41" borderId="1" xfId="0" applyNumberFormat="1" applyFont="1" applyFill="1" applyBorder="1" applyAlignment="1" applyProtection="1">
      <alignment horizontal="right" vertical="center" indent="1"/>
      <protection hidden="1"/>
    </xf>
    <xf numFmtId="175" fontId="35" fillId="39" borderId="3" xfId="0" applyNumberFormat="1" applyFont="1" applyFill="1" applyBorder="1" applyAlignment="1" applyProtection="1">
      <alignment horizontal="center" vertical="center"/>
      <protection hidden="1"/>
    </xf>
    <xf numFmtId="14" fontId="0" fillId="39" borderId="1" xfId="0" applyNumberFormat="1" applyFill="1" applyBorder="1" applyAlignment="1" applyProtection="1">
      <alignment horizontal="right" vertical="center" indent="1"/>
      <protection hidden="1"/>
    </xf>
    <xf numFmtId="179" fontId="0" fillId="39" borderId="1" xfId="0" applyNumberFormat="1" applyFill="1" applyBorder="1" applyAlignment="1" applyProtection="1">
      <alignment horizontal="right" vertical="center" indent="1"/>
      <protection hidden="1"/>
    </xf>
    <xf numFmtId="14" fontId="0" fillId="39" borderId="0" xfId="0" applyNumberFormat="1" applyFill="1" applyAlignment="1" applyProtection="1">
      <alignment vertical="center"/>
      <protection hidden="1"/>
    </xf>
    <xf numFmtId="0" fontId="0" fillId="2" borderId="0" xfId="0" applyFill="1" applyAlignment="1" applyProtection="1">
      <alignment vertical="center"/>
      <protection hidden="1"/>
    </xf>
    <xf numFmtId="175" fontId="35" fillId="43" borderId="3" xfId="0" applyNumberFormat="1" applyFont="1" applyFill="1" applyBorder="1" applyAlignment="1" applyProtection="1">
      <alignment horizontal="center" vertical="center"/>
      <protection locked="0"/>
    </xf>
    <xf numFmtId="175" fontId="35" fillId="39" borderId="3" xfId="0" applyNumberFormat="1" applyFont="1" applyFill="1" applyBorder="1" applyAlignment="1" applyProtection="1">
      <alignment horizontal="center" vertical="center"/>
      <protection locked="0"/>
    </xf>
    <xf numFmtId="0" fontId="0" fillId="39" borderId="0" xfId="0" applyFill="1" applyAlignment="1">
      <alignment horizontal="right" vertical="center"/>
    </xf>
    <xf numFmtId="0" fontId="2" fillId="40" borderId="1" xfId="0" applyFont="1" applyFill="1" applyBorder="1" applyAlignment="1">
      <alignment horizontal="center" vertical="center" wrapText="1"/>
    </xf>
    <xf numFmtId="3" fontId="3" fillId="43" borderId="1" xfId="0" applyNumberFormat="1" applyFont="1" applyFill="1" applyBorder="1" applyAlignment="1" applyProtection="1">
      <alignment horizontal="center" vertical="center"/>
      <protection locked="0"/>
    </xf>
    <xf numFmtId="0" fontId="3" fillId="39" borderId="1" xfId="0" applyFont="1" applyFill="1" applyBorder="1" applyAlignment="1" applyProtection="1">
      <alignment horizontal="center" vertical="center"/>
      <protection hidden="1"/>
    </xf>
    <xf numFmtId="0" fontId="0" fillId="39" borderId="1" xfId="0" applyFill="1" applyBorder="1" applyAlignment="1">
      <alignment vertical="center"/>
    </xf>
    <xf numFmtId="175" fontId="35" fillId="43" borderId="1" xfId="0" applyNumberFormat="1" applyFont="1" applyFill="1" applyBorder="1" applyAlignment="1" applyProtection="1">
      <alignment horizontal="center" vertical="center"/>
      <protection locked="0"/>
    </xf>
    <xf numFmtId="175" fontId="35" fillId="39" borderId="1" xfId="0" applyNumberFormat="1" applyFont="1" applyFill="1" applyBorder="1" applyAlignment="1" applyProtection="1">
      <alignment horizontal="center" vertical="center"/>
      <protection locked="0"/>
    </xf>
    <xf numFmtId="0" fontId="2" fillId="40" borderId="1" xfId="0" applyFont="1" applyFill="1" applyBorder="1" applyAlignment="1">
      <alignment vertical="center" wrapText="1"/>
    </xf>
    <xf numFmtId="175" fontId="35" fillId="39" borderId="0" xfId="0" applyNumberFormat="1" applyFont="1" applyFill="1" applyAlignment="1" applyProtection="1">
      <alignment horizontal="center" vertical="center"/>
      <protection locked="0"/>
    </xf>
    <xf numFmtId="0" fontId="2" fillId="2" borderId="0" xfId="0" applyFont="1" applyFill="1" applyAlignment="1">
      <alignment vertical="center" wrapText="1"/>
    </xf>
    <xf numFmtId="175" fontId="35" fillId="2" borderId="0" xfId="0" applyNumberFormat="1" applyFont="1" applyFill="1" applyAlignment="1" applyProtection="1">
      <alignment horizontal="center" vertical="center"/>
      <protection locked="0"/>
    </xf>
    <xf numFmtId="175" fontId="38" fillId="43" borderId="3" xfId="0" applyNumberFormat="1" applyFont="1" applyFill="1" applyBorder="1" applyAlignment="1" applyProtection="1">
      <alignment horizontal="center" vertical="center"/>
      <protection locked="0"/>
    </xf>
    <xf numFmtId="175" fontId="38" fillId="39" borderId="3" xfId="0" applyNumberFormat="1" applyFont="1" applyFill="1" applyBorder="1" applyAlignment="1" applyProtection="1">
      <alignment horizontal="center" vertical="center"/>
      <protection locked="0"/>
    </xf>
    <xf numFmtId="175" fontId="55" fillId="43" borderId="3" xfId="0" applyNumberFormat="1" applyFont="1" applyFill="1" applyBorder="1" applyAlignment="1" applyProtection="1">
      <alignment horizontal="center" vertical="center"/>
      <protection hidden="1"/>
    </xf>
    <xf numFmtId="176" fontId="36" fillId="2" borderId="0" xfId="0" applyNumberFormat="1" applyFont="1" applyFill="1" applyAlignment="1" applyProtection="1">
      <alignment vertical="center" wrapText="1"/>
      <protection hidden="1"/>
    </xf>
    <xf numFmtId="176" fontId="36" fillId="2" borderId="0" xfId="0" applyNumberFormat="1" applyFont="1" applyFill="1" applyAlignment="1" applyProtection="1">
      <alignment vertical="center"/>
      <protection hidden="1"/>
    </xf>
    <xf numFmtId="0" fontId="0" fillId="39" borderId="0" xfId="0" applyFill="1" applyAlignment="1" applyProtection="1">
      <alignment horizontal="right" vertical="center"/>
      <protection hidden="1"/>
    </xf>
    <xf numFmtId="182" fontId="3" fillId="43" borderId="1" xfId="0" applyNumberFormat="1" applyFont="1" applyFill="1" applyBorder="1" applyAlignment="1" applyProtection="1">
      <alignment horizontal="right" vertical="center" indent="1"/>
      <protection hidden="1"/>
    </xf>
    <xf numFmtId="182" fontId="3" fillId="0" borderId="1" xfId="0" applyNumberFormat="1" applyFont="1" applyBorder="1" applyAlignment="1" applyProtection="1">
      <alignment horizontal="right" vertical="center" indent="1"/>
      <protection hidden="1"/>
    </xf>
    <xf numFmtId="3" fontId="0" fillId="39" borderId="1" xfId="0" applyNumberFormat="1" applyFill="1" applyBorder="1" applyAlignment="1" applyProtection="1">
      <alignment vertical="center"/>
      <protection hidden="1"/>
    </xf>
    <xf numFmtId="166" fontId="3" fillId="51" borderId="1" xfId="1" applyNumberFormat="1" applyFont="1" applyFill="1" applyBorder="1" applyAlignment="1">
      <alignment wrapText="1"/>
    </xf>
    <xf numFmtId="166" fontId="3" fillId="36" borderId="1" xfId="1" applyNumberFormat="1" applyFont="1" applyFill="1" applyBorder="1" applyAlignment="1">
      <alignment wrapText="1"/>
    </xf>
    <xf numFmtId="0" fontId="32" fillId="36" borderId="0" xfId="0" applyFont="1" applyFill="1" applyAlignment="1">
      <alignment vertical="center" wrapText="1"/>
    </xf>
    <xf numFmtId="166" fontId="32" fillId="36" borderId="0" xfId="0" applyNumberFormat="1" applyFont="1" applyFill="1" applyAlignment="1">
      <alignment vertical="center" wrapText="1"/>
    </xf>
    <xf numFmtId="0" fontId="25" fillId="51" borderId="0" xfId="0" applyFont="1" applyFill="1" applyAlignment="1">
      <alignment vertical="center" wrapText="1"/>
    </xf>
    <xf numFmtId="166" fontId="25" fillId="51" borderId="0" xfId="0" applyNumberFormat="1" applyFont="1" applyFill="1" applyAlignment="1">
      <alignment vertical="center" wrapText="1"/>
    </xf>
    <xf numFmtId="0" fontId="36" fillId="2" borderId="0" xfId="0" applyFont="1" applyFill="1" applyAlignment="1" applyProtection="1">
      <alignment horizontal="center" vertical="center"/>
      <protection hidden="1"/>
    </xf>
    <xf numFmtId="0" fontId="16" fillId="2" borderId="0" xfId="0" applyFont="1" applyFill="1" applyAlignment="1" applyProtection="1">
      <alignment horizontal="center" vertical="center"/>
      <protection hidden="1"/>
    </xf>
    <xf numFmtId="0" fontId="18" fillId="2" borderId="0" xfId="0" applyFont="1" applyFill="1" applyAlignment="1" applyProtection="1">
      <alignment horizontal="center"/>
      <protection hidden="1"/>
    </xf>
    <xf numFmtId="3" fontId="3" fillId="0" borderId="1" xfId="0" applyNumberFormat="1" applyFont="1" applyBorder="1" applyAlignment="1" applyProtection="1">
      <alignment horizontal="center" vertical="center"/>
      <protection hidden="1"/>
    </xf>
    <xf numFmtId="0" fontId="3" fillId="0" borderId="1"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3" fillId="2" borderId="0" xfId="0" applyFont="1" applyFill="1" applyAlignment="1" applyProtection="1">
      <alignment vertical="center"/>
      <protection hidden="1"/>
    </xf>
    <xf numFmtId="0" fontId="16" fillId="2" borderId="26" xfId="0" applyFont="1" applyFill="1" applyBorder="1" applyAlignment="1" applyProtection="1">
      <alignment horizontal="center" vertical="center"/>
      <protection hidden="1"/>
    </xf>
    <xf numFmtId="0" fontId="2" fillId="52" borderId="1" xfId="0" applyFont="1" applyFill="1" applyBorder="1" applyAlignment="1" applyProtection="1">
      <alignment horizontal="center" vertical="center" wrapText="1"/>
      <protection hidden="1"/>
    </xf>
    <xf numFmtId="0" fontId="2" fillId="52" borderId="1" xfId="0" applyFont="1" applyFill="1" applyBorder="1" applyAlignment="1" applyProtection="1">
      <alignment horizontal="left" vertical="center" wrapText="1" indent="1"/>
      <protection hidden="1"/>
    </xf>
    <xf numFmtId="0" fontId="2" fillId="44" borderId="1" xfId="0" applyFont="1" applyFill="1" applyBorder="1" applyAlignment="1" applyProtection="1">
      <alignment horizontal="center" vertical="center" wrapText="1"/>
      <protection hidden="1"/>
    </xf>
    <xf numFmtId="0" fontId="2" fillId="44" borderId="1" xfId="0" applyFont="1" applyFill="1" applyBorder="1" applyAlignment="1" applyProtection="1">
      <alignment horizontal="center" vertical="center"/>
      <protection hidden="1"/>
    </xf>
    <xf numFmtId="2" fontId="0" fillId="44" borderId="1" xfId="0" applyNumberFormat="1" applyFill="1" applyBorder="1"/>
    <xf numFmtId="0" fontId="25" fillId="54" borderId="0" xfId="0" applyFont="1" applyFill="1" applyAlignment="1">
      <alignment horizontal="center" vertical="center" wrapText="1"/>
    </xf>
    <xf numFmtId="0" fontId="39" fillId="54" borderId="1" xfId="0" applyFont="1" applyFill="1" applyBorder="1" applyAlignment="1">
      <alignment wrapText="1"/>
    </xf>
    <xf numFmtId="166" fontId="39" fillId="54" borderId="1" xfId="0" applyNumberFormat="1" applyFont="1" applyFill="1" applyBorder="1" applyAlignment="1">
      <alignment horizontal="right" vertical="center" wrapText="1"/>
    </xf>
    <xf numFmtId="0" fontId="39" fillId="54" borderId="1" xfId="0" applyFont="1" applyFill="1" applyBorder="1" applyAlignment="1">
      <alignment horizontal="center" wrapText="1"/>
    </xf>
    <xf numFmtId="0" fontId="25" fillId="45" borderId="1" xfId="0" applyFont="1" applyFill="1" applyBorder="1" applyAlignment="1">
      <alignment vertical="center" wrapText="1"/>
    </xf>
    <xf numFmtId="0" fontId="49" fillId="45" borderId="0" xfId="0" applyFont="1" applyFill="1" applyAlignment="1">
      <alignment vertical="center" wrapText="1"/>
    </xf>
    <xf numFmtId="173" fontId="49" fillId="45" borderId="0" xfId="0" applyNumberFormat="1" applyFont="1" applyFill="1" applyAlignment="1">
      <alignment vertical="center" wrapText="1"/>
    </xf>
    <xf numFmtId="0" fontId="50" fillId="45" borderId="0" xfId="0" applyFont="1" applyFill="1" applyAlignment="1">
      <alignment vertical="center"/>
    </xf>
    <xf numFmtId="0" fontId="18" fillId="45" borderId="0" xfId="0" applyFont="1" applyFill="1" applyAlignment="1">
      <alignment horizontal="center" vertical="center"/>
    </xf>
    <xf numFmtId="0" fontId="16" fillId="45" borderId="0" xfId="0" applyFont="1" applyFill="1" applyAlignment="1">
      <alignment horizontal="left" vertical="center" wrapText="1"/>
    </xf>
    <xf numFmtId="166" fontId="3" fillId="55" borderId="1" xfId="1" applyNumberFormat="1" applyFont="1" applyFill="1" applyBorder="1" applyAlignment="1">
      <alignment wrapText="1"/>
    </xf>
    <xf numFmtId="0" fontId="18" fillId="39" borderId="0" xfId="0" applyFont="1" applyFill="1" applyAlignment="1" applyProtection="1">
      <alignment vertical="center"/>
      <protection hidden="1"/>
    </xf>
    <xf numFmtId="0" fontId="2" fillId="52" borderId="1" xfId="0" applyFont="1" applyFill="1" applyBorder="1" applyAlignment="1" applyProtection="1">
      <alignment horizontal="center" vertical="center"/>
      <protection hidden="1"/>
    </xf>
    <xf numFmtId="0" fontId="36" fillId="52" borderId="1" xfId="0" applyFont="1" applyFill="1" applyBorder="1" applyAlignment="1" applyProtection="1">
      <alignment horizontal="center" vertical="center" wrapText="1"/>
      <protection hidden="1"/>
    </xf>
    <xf numFmtId="0" fontId="36" fillId="52" borderId="1" xfId="0" applyFont="1" applyFill="1" applyBorder="1" applyAlignment="1" applyProtection="1">
      <alignment horizontal="left" vertical="center" wrapText="1" indent="1"/>
      <protection hidden="1"/>
    </xf>
    <xf numFmtId="0" fontId="2" fillId="52" borderId="1" xfId="0" applyFont="1" applyFill="1" applyBorder="1" applyAlignment="1">
      <alignment horizontal="center" vertical="center" wrapText="1"/>
    </xf>
    <xf numFmtId="0" fontId="57" fillId="52" borderId="1" xfId="0" applyFont="1" applyFill="1" applyBorder="1" applyAlignment="1">
      <alignment horizontal="center" vertical="center" wrapText="1"/>
    </xf>
    <xf numFmtId="0" fontId="57" fillId="52" borderId="1" xfId="0" applyFont="1" applyFill="1" applyBorder="1" applyAlignment="1">
      <alignment horizontal="left" vertical="center" wrapText="1" indent="1"/>
    </xf>
    <xf numFmtId="0" fontId="57" fillId="52" borderId="1" xfId="0" applyFont="1" applyFill="1" applyBorder="1" applyAlignment="1">
      <alignment horizontal="center" vertical="center"/>
    </xf>
    <xf numFmtId="3" fontId="0" fillId="53" borderId="1" xfId="0" applyNumberFormat="1" applyFill="1" applyBorder="1" applyAlignment="1" applyProtection="1">
      <alignment horizontal="right" vertical="center" indent="1"/>
      <protection locked="0"/>
    </xf>
    <xf numFmtId="181" fontId="3" fillId="53" borderId="1" xfId="0" applyNumberFormat="1" applyFont="1" applyFill="1" applyBorder="1" applyAlignment="1" applyProtection="1">
      <alignment horizontal="right" vertical="center" indent="1"/>
      <protection locked="0"/>
    </xf>
    <xf numFmtId="0" fontId="58" fillId="35" borderId="1" xfId="0" applyFont="1" applyFill="1" applyBorder="1" applyAlignment="1" applyProtection="1">
      <alignment horizontal="center" vertical="center"/>
      <protection hidden="1"/>
    </xf>
    <xf numFmtId="0" fontId="16" fillId="35" borderId="1" xfId="0" applyFont="1" applyFill="1" applyBorder="1" applyAlignment="1" applyProtection="1">
      <alignment horizontal="center" vertical="center"/>
      <protection hidden="1"/>
    </xf>
    <xf numFmtId="0" fontId="59" fillId="56" borderId="1" xfId="0" applyFont="1" applyFill="1" applyBorder="1" applyAlignment="1" applyProtection="1">
      <alignment horizontal="center" vertical="center" wrapText="1"/>
      <protection hidden="1"/>
    </xf>
    <xf numFmtId="3" fontId="3" fillId="53" borderId="1" xfId="0" applyNumberFormat="1" applyFont="1" applyFill="1" applyBorder="1" applyAlignment="1" applyProtection="1">
      <alignment horizontal="right" vertical="center" indent="1"/>
      <protection locked="0"/>
    </xf>
    <xf numFmtId="0" fontId="16" fillId="57" borderId="1" xfId="0" applyFont="1" applyFill="1" applyBorder="1" applyAlignment="1">
      <alignment horizontal="left" vertical="center" indent="1"/>
    </xf>
    <xf numFmtId="176" fontId="0" fillId="52" borderId="1" xfId="0" applyNumberFormat="1" applyFill="1" applyBorder="1" applyAlignment="1" applyProtection="1">
      <alignment horizontal="right" vertical="center" indent="1"/>
      <protection hidden="1"/>
    </xf>
    <xf numFmtId="3" fontId="36" fillId="53" borderId="1" xfId="0" applyNumberFormat="1" applyFont="1" applyFill="1" applyBorder="1" applyAlignment="1" applyProtection="1">
      <alignment horizontal="right" vertical="center" indent="1"/>
      <protection locked="0"/>
    </xf>
    <xf numFmtId="176" fontId="36" fillId="53" borderId="1" xfId="0" applyNumberFormat="1" applyFont="1" applyFill="1" applyBorder="1" applyAlignment="1" applyProtection="1">
      <alignment horizontal="right" vertical="center" indent="1"/>
      <protection locked="0"/>
    </xf>
    <xf numFmtId="0" fontId="16" fillId="35" borderId="4" xfId="0" applyFont="1" applyFill="1" applyBorder="1" applyAlignment="1" applyProtection="1">
      <alignment horizontal="center" vertical="center"/>
      <protection hidden="1"/>
    </xf>
    <xf numFmtId="0" fontId="16" fillId="35" borderId="4" xfId="0" applyFont="1" applyFill="1" applyBorder="1" applyAlignment="1" applyProtection="1">
      <alignment horizontal="center" vertical="center" wrapText="1"/>
      <protection hidden="1"/>
    </xf>
    <xf numFmtId="0" fontId="2" fillId="0" borderId="0" xfId="0" applyFont="1" applyAlignment="1">
      <alignment horizontal="center" vertical="center" wrapText="1"/>
    </xf>
    <xf numFmtId="1" fontId="3" fillId="2" borderId="0" xfId="0" applyNumberFormat="1" applyFont="1" applyFill="1" applyAlignment="1" applyProtection="1">
      <alignment horizontal="right" vertical="center" indent="1"/>
      <protection hidden="1"/>
    </xf>
    <xf numFmtId="170" fontId="3" fillId="2" borderId="0" xfId="0" applyNumberFormat="1" applyFont="1" applyFill="1" applyAlignment="1" applyProtection="1">
      <alignment horizontal="right" vertical="center" indent="1"/>
      <protection hidden="1"/>
    </xf>
    <xf numFmtId="0" fontId="36" fillId="52" borderId="1" xfId="0" applyFont="1" applyFill="1" applyBorder="1" applyAlignment="1">
      <alignment horizontal="center" vertical="center" wrapText="1"/>
    </xf>
    <xf numFmtId="0" fontId="30" fillId="2" borderId="0" xfId="0" applyFont="1" applyFill="1"/>
    <xf numFmtId="0" fontId="36" fillId="52" borderId="1" xfId="0" applyFont="1" applyFill="1" applyBorder="1" applyAlignment="1">
      <alignment horizontal="left" vertical="center" wrapText="1" indent="1"/>
    </xf>
    <xf numFmtId="0" fontId="16" fillId="35" borderId="1" xfId="0" applyFont="1" applyFill="1" applyBorder="1" applyAlignment="1" applyProtection="1">
      <alignment horizontal="center" vertical="center" wrapText="1"/>
      <protection hidden="1"/>
    </xf>
    <xf numFmtId="1" fontId="3" fillId="44" borderId="1" xfId="0" applyNumberFormat="1" applyFont="1" applyFill="1" applyBorder="1" applyAlignment="1">
      <alignment horizontal="center" vertical="center"/>
    </xf>
    <xf numFmtId="2" fontId="3" fillId="44" borderId="1" xfId="0" applyNumberFormat="1" applyFont="1" applyFill="1" applyBorder="1" applyAlignment="1">
      <alignment horizontal="center" vertical="center"/>
    </xf>
    <xf numFmtId="3" fontId="16" fillId="35" borderId="1" xfId="0" applyNumberFormat="1" applyFont="1" applyFill="1" applyBorder="1" applyAlignment="1">
      <alignment horizontal="right" indent="1"/>
    </xf>
    <xf numFmtId="0" fontId="16" fillId="2" borderId="0" xfId="0" applyFont="1" applyFill="1" applyAlignment="1">
      <alignment horizontal="center" vertical="center"/>
    </xf>
    <xf numFmtId="0" fontId="0" fillId="2" borderId="34" xfId="0" applyFill="1" applyBorder="1"/>
    <xf numFmtId="0" fontId="0" fillId="2" borderId="34" xfId="0" applyFill="1" applyBorder="1" applyAlignment="1">
      <alignment vertical="center"/>
    </xf>
    <xf numFmtId="0" fontId="3" fillId="39" borderId="0" xfId="0" applyFont="1" applyFill="1" applyAlignment="1">
      <alignment horizontal="left" vertical="center" wrapText="1"/>
    </xf>
    <xf numFmtId="3" fontId="16" fillId="58" borderId="26" xfId="0" applyNumberFormat="1" applyFont="1" applyFill="1" applyBorder="1"/>
    <xf numFmtId="0" fontId="50" fillId="56" borderId="1" xfId="0" applyFont="1" applyFill="1" applyBorder="1" applyAlignment="1" applyProtection="1">
      <alignment horizontal="center" vertical="center" wrapText="1"/>
      <protection hidden="1"/>
    </xf>
    <xf numFmtId="3" fontId="3" fillId="52" borderId="1" xfId="0" applyNumberFormat="1" applyFont="1" applyFill="1" applyBorder="1" applyAlignment="1" applyProtection="1">
      <alignment horizontal="center" vertical="center"/>
      <protection hidden="1"/>
    </xf>
    <xf numFmtId="0" fontId="54" fillId="2" borderId="0" xfId="0" applyFont="1" applyFill="1" applyAlignment="1" applyProtection="1">
      <alignment vertical="center"/>
      <protection hidden="1"/>
    </xf>
    <xf numFmtId="3" fontId="3" fillId="2" borderId="0" xfId="0" applyNumberFormat="1" applyFont="1" applyFill="1" applyAlignment="1" applyProtection="1">
      <alignment vertical="center"/>
      <protection hidden="1"/>
    </xf>
    <xf numFmtId="170" fontId="0" fillId="2" borderId="0" xfId="0" applyNumberFormat="1" applyFill="1" applyAlignment="1" applyProtection="1">
      <alignment horizontal="right" vertical="center" indent="1"/>
      <protection hidden="1"/>
    </xf>
    <xf numFmtId="3" fontId="0" fillId="53" borderId="1" xfId="0" applyNumberFormat="1" applyFill="1" applyBorder="1" applyAlignment="1" applyProtection="1">
      <alignment horizontal="left" vertical="center" indent="1"/>
      <protection locked="0"/>
    </xf>
    <xf numFmtId="0" fontId="0" fillId="46" borderId="1" xfId="0" applyFill="1" applyBorder="1" applyAlignment="1" applyProtection="1">
      <alignment vertical="center"/>
      <protection hidden="1"/>
    </xf>
    <xf numFmtId="43" fontId="0" fillId="2" borderId="0" xfId="0" applyNumberFormat="1" applyFill="1"/>
    <xf numFmtId="181" fontId="0" fillId="53" borderId="1" xfId="0" applyNumberFormat="1" applyFill="1" applyBorder="1" applyAlignment="1" applyProtection="1">
      <alignment horizontal="right" vertical="center" indent="1" shrinkToFit="1"/>
      <protection locked="0"/>
    </xf>
    <xf numFmtId="181" fontId="0" fillId="52" borderId="1" xfId="0" applyNumberFormat="1" applyFill="1" applyBorder="1" applyAlignment="1" applyProtection="1">
      <alignment horizontal="right" vertical="center" indent="1"/>
      <protection hidden="1"/>
    </xf>
    <xf numFmtId="1" fontId="0" fillId="52" borderId="1" xfId="0" applyNumberFormat="1" applyFill="1" applyBorder="1" applyAlignment="1" applyProtection="1">
      <alignment horizontal="right" vertical="center" indent="1"/>
      <protection hidden="1"/>
    </xf>
    <xf numFmtId="170" fontId="0" fillId="56" borderId="1" xfId="0" applyNumberFormat="1" applyFill="1" applyBorder="1" applyAlignment="1" applyProtection="1">
      <alignment horizontal="right" vertical="center" indent="1"/>
      <protection hidden="1"/>
    </xf>
    <xf numFmtId="1" fontId="0" fillId="56" borderId="1" xfId="0" applyNumberFormat="1" applyFill="1" applyBorder="1" applyAlignment="1" applyProtection="1">
      <alignment horizontal="right" vertical="center" indent="1"/>
      <protection hidden="1"/>
    </xf>
    <xf numFmtId="3" fontId="0" fillId="52" borderId="1" xfId="0" applyNumberFormat="1" applyFill="1" applyBorder="1" applyAlignment="1" applyProtection="1">
      <alignment horizontal="left" vertical="center" indent="1"/>
      <protection locked="0"/>
    </xf>
    <xf numFmtId="0" fontId="0" fillId="56" borderId="1" xfId="0" applyFill="1" applyBorder="1" applyAlignment="1" applyProtection="1">
      <alignment vertical="center"/>
      <protection hidden="1"/>
    </xf>
    <xf numFmtId="0" fontId="0" fillId="36" borderId="1" xfId="0" applyFill="1" applyBorder="1" applyAlignment="1" applyProtection="1">
      <alignment vertical="center"/>
      <protection hidden="1"/>
    </xf>
    <xf numFmtId="3" fontId="3" fillId="43" borderId="3" xfId="0" applyNumberFormat="1" applyFont="1" applyFill="1" applyBorder="1" applyAlignment="1">
      <alignment horizontal="center" vertical="center"/>
    </xf>
    <xf numFmtId="176" fontId="36" fillId="42" borderId="2" xfId="0" applyNumberFormat="1" applyFont="1" applyFill="1" applyBorder="1" applyAlignment="1">
      <alignment horizontal="right" vertical="center" indent="1"/>
    </xf>
    <xf numFmtId="0" fontId="36" fillId="52" borderId="4" xfId="0" applyFont="1" applyFill="1" applyBorder="1" applyAlignment="1">
      <alignment horizontal="center" vertical="center" wrapText="1"/>
    </xf>
    <xf numFmtId="175" fontId="35" fillId="39" borderId="0" xfId="0" applyNumberFormat="1" applyFont="1" applyFill="1" applyAlignment="1">
      <alignment horizontal="center" vertical="center"/>
    </xf>
    <xf numFmtId="175" fontId="35" fillId="43" borderId="39" xfId="0" applyNumberFormat="1" applyFont="1" applyFill="1" applyBorder="1" applyAlignment="1">
      <alignment horizontal="center" vertical="center"/>
    </xf>
    <xf numFmtId="175" fontId="35" fillId="43" borderId="40" xfId="0" applyNumberFormat="1" applyFont="1" applyFill="1" applyBorder="1" applyAlignment="1">
      <alignment horizontal="center" vertical="center"/>
    </xf>
    <xf numFmtId="175" fontId="35" fillId="39" borderId="34" xfId="0" applyNumberFormat="1" applyFont="1" applyFill="1" applyBorder="1" applyAlignment="1">
      <alignment horizontal="center" vertical="center"/>
    </xf>
    <xf numFmtId="175" fontId="35" fillId="39" borderId="36" xfId="0" applyNumberFormat="1" applyFont="1" applyFill="1" applyBorder="1" applyAlignment="1">
      <alignment horizontal="center" vertical="center"/>
    </xf>
    <xf numFmtId="175" fontId="35" fillId="43" borderId="34" xfId="0" applyNumberFormat="1" applyFont="1" applyFill="1" applyBorder="1" applyAlignment="1">
      <alignment horizontal="center" vertical="center"/>
    </xf>
    <xf numFmtId="175" fontId="35" fillId="43" borderId="36" xfId="0" applyNumberFormat="1" applyFont="1" applyFill="1" applyBorder="1" applyAlignment="1">
      <alignment horizontal="center" vertical="center"/>
    </xf>
    <xf numFmtId="175" fontId="35" fillId="39" borderId="35" xfId="0" applyNumberFormat="1" applyFont="1" applyFill="1" applyBorder="1" applyAlignment="1">
      <alignment horizontal="center" vertical="center"/>
    </xf>
    <xf numFmtId="175" fontId="35" fillId="39" borderId="38" xfId="0" applyNumberFormat="1" applyFont="1" applyFill="1" applyBorder="1" applyAlignment="1">
      <alignment horizontal="center" vertical="center"/>
    </xf>
    <xf numFmtId="3" fontId="3" fillId="53" borderId="1" xfId="0" applyNumberFormat="1" applyFont="1" applyFill="1" applyBorder="1" applyAlignment="1" applyProtection="1">
      <alignment horizontal="right" vertical="center" wrapText="1" indent="1"/>
      <protection locked="0"/>
    </xf>
    <xf numFmtId="172" fontId="3" fillId="2" borderId="0" xfId="0" applyNumberFormat="1" applyFont="1" applyFill="1" applyAlignment="1" applyProtection="1">
      <alignment horizontal="right" vertical="center" indent="1"/>
      <protection hidden="1"/>
    </xf>
    <xf numFmtId="3" fontId="3" fillId="2" borderId="0" xfId="0" applyNumberFormat="1" applyFont="1" applyFill="1" applyAlignment="1" applyProtection="1">
      <alignment horizontal="right" vertical="center" indent="1"/>
      <protection hidden="1"/>
    </xf>
    <xf numFmtId="0" fontId="36" fillId="52" borderId="39" xfId="0" applyFont="1" applyFill="1" applyBorder="1" applyAlignment="1">
      <alignment horizontal="center" vertical="center" wrapText="1"/>
    </xf>
    <xf numFmtId="0" fontId="36" fillId="52" borderId="37" xfId="0" applyFont="1" applyFill="1" applyBorder="1" applyAlignment="1">
      <alignment horizontal="center" vertical="center" wrapText="1"/>
    </xf>
    <xf numFmtId="0" fontId="36" fillId="52" borderId="40" xfId="0" applyFont="1" applyFill="1" applyBorder="1" applyAlignment="1">
      <alignment horizontal="center" vertical="center" wrapText="1"/>
    </xf>
    <xf numFmtId="0" fontId="3" fillId="39" borderId="34" xfId="0" applyFont="1" applyFill="1" applyBorder="1" applyAlignment="1">
      <alignment horizontal="left" vertical="center" indent="1"/>
    </xf>
    <xf numFmtId="1" fontId="3" fillId="2" borderId="36" xfId="0" applyNumberFormat="1" applyFont="1" applyFill="1" applyBorder="1" applyAlignment="1" applyProtection="1">
      <alignment horizontal="right" vertical="center" indent="1"/>
      <protection hidden="1"/>
    </xf>
    <xf numFmtId="3" fontId="3" fillId="56" borderId="34" xfId="0" applyNumberFormat="1" applyFont="1" applyFill="1" applyBorder="1" applyAlignment="1">
      <alignment horizontal="left" vertical="center" indent="1"/>
    </xf>
    <xf numFmtId="3" fontId="3" fillId="56" borderId="0" xfId="0" applyNumberFormat="1" applyFont="1" applyFill="1" applyAlignment="1" applyProtection="1">
      <alignment horizontal="right" vertical="center" indent="1"/>
      <protection hidden="1"/>
    </xf>
    <xf numFmtId="170" fontId="3" fillId="56" borderId="0" xfId="0" applyNumberFormat="1" applyFont="1" applyFill="1" applyAlignment="1" applyProtection="1">
      <alignment horizontal="right" vertical="center" indent="1"/>
      <protection hidden="1"/>
    </xf>
    <xf numFmtId="172" fontId="3" fillId="56" borderId="0" xfId="0" applyNumberFormat="1" applyFont="1" applyFill="1" applyAlignment="1" applyProtection="1">
      <alignment horizontal="right" vertical="center" indent="1"/>
      <protection hidden="1"/>
    </xf>
    <xf numFmtId="1" fontId="3" fillId="56" borderId="36" xfId="0" applyNumberFormat="1" applyFont="1" applyFill="1" applyBorder="1" applyAlignment="1" applyProtection="1">
      <alignment horizontal="right" vertical="center" indent="1"/>
      <protection hidden="1"/>
    </xf>
    <xf numFmtId="0" fontId="36" fillId="56" borderId="35" xfId="0" applyFont="1" applyFill="1" applyBorder="1"/>
    <xf numFmtId="3" fontId="3" fillId="56" borderId="26" xfId="0" applyNumberFormat="1" applyFont="1" applyFill="1" applyBorder="1" applyAlignment="1">
      <alignment horizontal="right" vertical="center" indent="1"/>
    </xf>
    <xf numFmtId="176" fontId="3" fillId="56" borderId="26" xfId="0" applyNumberFormat="1" applyFont="1" applyFill="1" applyBorder="1" applyAlignment="1" applyProtection="1">
      <alignment horizontal="right" vertical="center" indent="1"/>
      <protection hidden="1"/>
    </xf>
    <xf numFmtId="178" fontId="0" fillId="56" borderId="26" xfId="0" applyNumberFormat="1" applyFill="1" applyBorder="1" applyProtection="1">
      <protection hidden="1"/>
    </xf>
    <xf numFmtId="170" fontId="3" fillId="56" borderId="26" xfId="0" applyNumberFormat="1" applyFont="1" applyFill="1" applyBorder="1" applyAlignment="1" applyProtection="1">
      <alignment horizontal="right" vertical="center" indent="1"/>
      <protection hidden="1"/>
    </xf>
    <xf numFmtId="170" fontId="3" fillId="56" borderId="38" xfId="0" applyNumberFormat="1" applyFont="1" applyFill="1" applyBorder="1" applyAlignment="1" applyProtection="1">
      <alignment horizontal="right" vertical="center" indent="1"/>
      <protection hidden="1"/>
    </xf>
    <xf numFmtId="175" fontId="35" fillId="50" borderId="0" xfId="0" applyNumberFormat="1" applyFont="1" applyFill="1" applyAlignment="1">
      <alignment horizontal="center" vertical="center"/>
    </xf>
    <xf numFmtId="3" fontId="3" fillId="50" borderId="39" xfId="0" applyNumberFormat="1" applyFont="1" applyFill="1" applyBorder="1" applyAlignment="1">
      <alignment horizontal="center" vertical="center"/>
    </xf>
    <xf numFmtId="175" fontId="35" fillId="50" borderId="37" xfId="0" applyNumberFormat="1" applyFont="1" applyFill="1" applyBorder="1" applyAlignment="1">
      <alignment horizontal="center" vertical="center"/>
    </xf>
    <xf numFmtId="179" fontId="36" fillId="50" borderId="40" xfId="0" applyNumberFormat="1" applyFont="1" applyFill="1" applyBorder="1" applyAlignment="1">
      <alignment horizontal="right" vertical="center" indent="1"/>
    </xf>
    <xf numFmtId="3" fontId="3" fillId="0" borderId="34" xfId="0" applyNumberFormat="1" applyFont="1" applyBorder="1" applyAlignment="1">
      <alignment horizontal="center" vertical="center"/>
    </xf>
    <xf numFmtId="179" fontId="36" fillId="50" borderId="36" xfId="0" applyNumberFormat="1" applyFont="1" applyFill="1" applyBorder="1" applyAlignment="1">
      <alignment horizontal="right" vertical="center" indent="1"/>
    </xf>
    <xf numFmtId="3" fontId="3" fillId="50" borderId="34" xfId="0" applyNumberFormat="1" applyFont="1" applyFill="1" applyBorder="1" applyAlignment="1">
      <alignment horizontal="center" vertical="center"/>
    </xf>
    <xf numFmtId="179" fontId="36" fillId="50" borderId="38" xfId="0" applyNumberFormat="1" applyFont="1" applyFill="1" applyBorder="1" applyAlignment="1">
      <alignment horizontal="right" vertical="center" indent="1"/>
    </xf>
    <xf numFmtId="3" fontId="3" fillId="2" borderId="34" xfId="0" applyNumberFormat="1" applyFont="1" applyFill="1" applyBorder="1" applyAlignment="1">
      <alignment horizontal="center" vertical="center"/>
    </xf>
    <xf numFmtId="175" fontId="35" fillId="2" borderId="0" xfId="0" applyNumberFormat="1" applyFont="1" applyFill="1" applyAlignment="1">
      <alignment horizontal="center" vertical="center"/>
    </xf>
    <xf numFmtId="3" fontId="3" fillId="2" borderId="35" xfId="0" applyNumberFormat="1" applyFont="1" applyFill="1" applyBorder="1" applyAlignment="1">
      <alignment horizontal="center" vertical="center"/>
    </xf>
    <xf numFmtId="175" fontId="35" fillId="2" borderId="26" xfId="0" applyNumberFormat="1" applyFont="1" applyFill="1" applyBorder="1" applyAlignment="1">
      <alignment horizontal="center" vertical="center"/>
    </xf>
    <xf numFmtId="0" fontId="57" fillId="52" borderId="0" xfId="0" applyFont="1" applyFill="1" applyAlignment="1">
      <alignment horizontal="center" vertical="center" wrapText="1"/>
    </xf>
    <xf numFmtId="3" fontId="3" fillId="2" borderId="0" xfId="0" applyNumberFormat="1" applyFont="1" applyFill="1" applyAlignment="1">
      <alignment horizontal="left" vertical="center" indent="1"/>
    </xf>
    <xf numFmtId="181" fontId="3" fillId="2" borderId="0" xfId="0" applyNumberFormat="1" applyFont="1" applyFill="1" applyAlignment="1" applyProtection="1">
      <alignment horizontal="right" vertical="center" indent="1"/>
      <protection hidden="1"/>
    </xf>
    <xf numFmtId="170" fontId="3" fillId="2" borderId="0" xfId="0" applyNumberFormat="1" applyFont="1" applyFill="1" applyAlignment="1">
      <alignment horizontal="right" vertical="center" indent="1"/>
    </xf>
    <xf numFmtId="172" fontId="3" fillId="2" borderId="0" xfId="0" applyNumberFormat="1" applyFont="1" applyFill="1" applyAlignment="1">
      <alignment horizontal="right" vertical="center" indent="1"/>
    </xf>
    <xf numFmtId="1" fontId="3" fillId="2" borderId="0" xfId="0" applyNumberFormat="1" applyFont="1" applyFill="1" applyAlignment="1">
      <alignment horizontal="right" vertical="center" indent="1"/>
    </xf>
    <xf numFmtId="0" fontId="3" fillId="52" borderId="0" xfId="0" applyFont="1" applyFill="1" applyAlignment="1">
      <alignment horizontal="left" vertical="center" indent="1"/>
    </xf>
    <xf numFmtId="181" fontId="3" fillId="52" borderId="0" xfId="0" applyNumberFormat="1" applyFont="1" applyFill="1" applyAlignment="1" applyProtection="1">
      <alignment horizontal="right" vertical="center" indent="1"/>
      <protection hidden="1"/>
    </xf>
    <xf numFmtId="170" fontId="3" fillId="52" borderId="0" xfId="0" applyNumberFormat="1" applyFont="1" applyFill="1" applyAlignment="1">
      <alignment horizontal="right" vertical="center" indent="1"/>
    </xf>
    <xf numFmtId="172" fontId="3" fillId="52" borderId="0" xfId="0" applyNumberFormat="1" applyFont="1" applyFill="1" applyAlignment="1">
      <alignment horizontal="right" vertical="center" indent="1"/>
    </xf>
    <xf numFmtId="1" fontId="3" fillId="52" borderId="0" xfId="0" applyNumberFormat="1" applyFont="1" applyFill="1" applyAlignment="1">
      <alignment horizontal="right" vertical="center" indent="1"/>
    </xf>
    <xf numFmtId="0" fontId="36" fillId="56" borderId="0" xfId="0" applyFont="1" applyFill="1"/>
    <xf numFmtId="181" fontId="3" fillId="56" borderId="0" xfId="0" applyNumberFormat="1" applyFont="1" applyFill="1" applyAlignment="1" applyProtection="1">
      <alignment horizontal="right" vertical="center" indent="1"/>
      <protection hidden="1"/>
    </xf>
    <xf numFmtId="176" fontId="3" fillId="56" borderId="0" xfId="0" applyNumberFormat="1" applyFont="1" applyFill="1" applyAlignment="1">
      <alignment horizontal="right" vertical="center" indent="1"/>
    </xf>
    <xf numFmtId="178" fontId="0" fillId="56" borderId="0" xfId="0" applyNumberFormat="1" applyFill="1"/>
    <xf numFmtId="170" fontId="3" fillId="56" borderId="0" xfId="0" applyNumberFormat="1" applyFont="1" applyFill="1" applyAlignment="1">
      <alignment horizontal="right" vertical="center" indent="1"/>
    </xf>
    <xf numFmtId="0" fontId="2" fillId="52" borderId="0" xfId="0" applyFont="1" applyFill="1" applyAlignment="1" applyProtection="1">
      <alignment horizontal="center" vertical="center" wrapText="1"/>
      <protection hidden="1"/>
    </xf>
    <xf numFmtId="0" fontId="2" fillId="52" borderId="0" xfId="0" applyFont="1" applyFill="1" applyAlignment="1" applyProtection="1">
      <alignment horizontal="left" vertical="center" wrapText="1" indent="1"/>
      <protection hidden="1"/>
    </xf>
    <xf numFmtId="0" fontId="51" fillId="52" borderId="0" xfId="0" applyFont="1" applyFill="1" applyAlignment="1" applyProtection="1">
      <alignment horizontal="left" vertical="center" wrapText="1" indent="1"/>
      <protection hidden="1"/>
    </xf>
    <xf numFmtId="0" fontId="36" fillId="56" borderId="0" xfId="0" applyFont="1" applyFill="1" applyAlignment="1" applyProtection="1">
      <alignment horizontal="left" vertical="center" indent="1"/>
      <protection hidden="1"/>
    </xf>
    <xf numFmtId="176" fontId="36" fillId="56" borderId="0" xfId="0" applyNumberFormat="1" applyFont="1" applyFill="1" applyAlignment="1" applyProtection="1">
      <alignment vertical="center"/>
      <protection hidden="1"/>
    </xf>
    <xf numFmtId="3" fontId="36" fillId="56" borderId="0" xfId="0" applyNumberFormat="1" applyFont="1" applyFill="1" applyAlignment="1" applyProtection="1">
      <alignment vertical="center"/>
      <protection hidden="1"/>
    </xf>
    <xf numFmtId="3" fontId="52" fillId="56" borderId="0" xfId="0" quotePrefix="1" applyNumberFormat="1" applyFont="1" applyFill="1" applyAlignment="1" applyProtection="1">
      <alignment vertical="center"/>
      <protection hidden="1"/>
    </xf>
    <xf numFmtId="0" fontId="51" fillId="56" borderId="0" xfId="0" applyFont="1" applyFill="1" applyAlignment="1" applyProtection="1">
      <alignment horizontal="center" vertical="center" wrapText="1"/>
      <protection hidden="1"/>
    </xf>
    <xf numFmtId="3" fontId="3" fillId="2" borderId="0" xfId="0" applyNumberFormat="1" applyFont="1" applyFill="1" applyAlignment="1" applyProtection="1">
      <alignment horizontal="left" vertical="center" indent="1"/>
      <protection hidden="1"/>
    </xf>
    <xf numFmtId="0" fontId="3" fillId="52" borderId="0" xfId="0" applyFont="1" applyFill="1" applyAlignment="1" applyProtection="1">
      <alignment horizontal="left" vertical="center" indent="1"/>
      <protection hidden="1"/>
    </xf>
    <xf numFmtId="170" fontId="3" fillId="52" borderId="0" xfId="0" applyNumberFormat="1" applyFont="1" applyFill="1" applyAlignment="1" applyProtection="1">
      <alignment horizontal="right" vertical="center" indent="1"/>
      <protection hidden="1"/>
    </xf>
    <xf numFmtId="1" fontId="3" fillId="52" borderId="0" xfId="0" applyNumberFormat="1" applyFont="1" applyFill="1" applyAlignment="1" applyProtection="1">
      <alignment horizontal="right" vertical="center" indent="1"/>
      <protection hidden="1"/>
    </xf>
    <xf numFmtId="0" fontId="50" fillId="35" borderId="1" xfId="0" applyFont="1" applyFill="1" applyBorder="1" applyAlignment="1">
      <alignment horizontal="right" vertical="center" indent="1"/>
    </xf>
    <xf numFmtId="3" fontId="50" fillId="35" borderId="1" xfId="0" applyNumberFormat="1" applyFont="1" applyFill="1" applyBorder="1" applyAlignment="1">
      <alignment horizontal="right" vertical="center" indent="1"/>
    </xf>
    <xf numFmtId="1" fontId="50" fillId="35" borderId="5" xfId="0" applyNumberFormat="1" applyFont="1" applyFill="1" applyBorder="1" applyAlignment="1" applyProtection="1">
      <alignment horizontal="right" vertical="center" indent="1"/>
      <protection hidden="1"/>
    </xf>
    <xf numFmtId="3" fontId="50" fillId="35" borderId="5" xfId="0" applyNumberFormat="1" applyFont="1" applyFill="1" applyBorder="1" applyAlignment="1" applyProtection="1">
      <alignment horizontal="right" vertical="center" indent="1"/>
      <protection hidden="1"/>
    </xf>
    <xf numFmtId="3" fontId="50" fillId="35" borderId="3" xfId="0" applyNumberFormat="1" applyFont="1" applyFill="1" applyBorder="1" applyAlignment="1">
      <alignment horizontal="right" vertical="center" indent="1"/>
    </xf>
    <xf numFmtId="175" fontId="47" fillId="53" borderId="40" xfId="0" applyNumberFormat="1" applyFont="1" applyFill="1" applyBorder="1" applyAlignment="1" applyProtection="1">
      <alignment horizontal="center" vertical="center"/>
      <protection hidden="1"/>
    </xf>
    <xf numFmtId="175" fontId="47" fillId="0" borderId="36" xfId="0" applyNumberFormat="1" applyFont="1" applyBorder="1" applyAlignment="1" applyProtection="1">
      <alignment horizontal="center" vertical="center"/>
      <protection hidden="1"/>
    </xf>
    <xf numFmtId="175" fontId="47" fillId="53" borderId="36" xfId="0" applyNumberFormat="1" applyFont="1" applyFill="1" applyBorder="1" applyAlignment="1" applyProtection="1">
      <alignment horizontal="center" vertical="center"/>
      <protection hidden="1"/>
    </xf>
    <xf numFmtId="3" fontId="50" fillId="35" borderId="38" xfId="0" applyNumberFormat="1" applyFont="1" applyFill="1" applyBorder="1" applyAlignment="1" applyProtection="1">
      <alignment horizontal="right" vertical="center" indent="1"/>
      <protection hidden="1"/>
    </xf>
    <xf numFmtId="175" fontId="47" fillId="2" borderId="36" xfId="0" applyNumberFormat="1" applyFont="1" applyFill="1" applyBorder="1" applyAlignment="1" applyProtection="1">
      <alignment horizontal="center" vertical="center"/>
      <protection hidden="1"/>
    </xf>
    <xf numFmtId="175" fontId="47" fillId="53" borderId="4" xfId="0" applyNumberFormat="1" applyFont="1" applyFill="1" applyBorder="1" applyAlignment="1" applyProtection="1">
      <alignment horizontal="center" vertical="center"/>
      <protection hidden="1"/>
    </xf>
    <xf numFmtId="175" fontId="47" fillId="2" borderId="20" xfId="0" applyNumberFormat="1" applyFont="1" applyFill="1" applyBorder="1" applyAlignment="1" applyProtection="1">
      <alignment horizontal="center" vertical="center"/>
      <protection hidden="1"/>
    </xf>
    <xf numFmtId="175" fontId="47" fillId="53" borderId="20" xfId="0" applyNumberFormat="1" applyFont="1" applyFill="1" applyBorder="1" applyAlignment="1" applyProtection="1">
      <alignment horizontal="center" vertical="center"/>
      <protection hidden="1"/>
    </xf>
    <xf numFmtId="175" fontId="47" fillId="0" borderId="20" xfId="0" applyNumberFormat="1" applyFont="1" applyBorder="1" applyAlignment="1" applyProtection="1">
      <alignment horizontal="center" vertical="center"/>
      <protection hidden="1"/>
    </xf>
    <xf numFmtId="1" fontId="3" fillId="53" borderId="4" xfId="0" applyNumberFormat="1" applyFont="1" applyFill="1" applyBorder="1" applyAlignment="1" applyProtection="1">
      <alignment horizontal="right" vertical="center" indent="2"/>
      <protection hidden="1"/>
    </xf>
    <xf numFmtId="1" fontId="3" fillId="2" borderId="20" xfId="0" applyNumberFormat="1" applyFont="1" applyFill="1" applyBorder="1" applyAlignment="1" applyProtection="1">
      <alignment horizontal="right" vertical="center" indent="2"/>
      <protection hidden="1"/>
    </xf>
    <xf numFmtId="1" fontId="3" fillId="53" borderId="20" xfId="0" applyNumberFormat="1" applyFont="1" applyFill="1" applyBorder="1" applyAlignment="1" applyProtection="1">
      <alignment horizontal="right" vertical="center" indent="2"/>
      <protection hidden="1"/>
    </xf>
    <xf numFmtId="1" fontId="3" fillId="0" borderId="20" xfId="0" applyNumberFormat="1" applyFont="1" applyBorder="1" applyAlignment="1" applyProtection="1">
      <alignment horizontal="right" vertical="center" indent="2"/>
      <protection hidden="1"/>
    </xf>
    <xf numFmtId="0" fontId="47" fillId="38" borderId="1" xfId="0" applyFont="1" applyFill="1" applyBorder="1"/>
    <xf numFmtId="0" fontId="0" fillId="59" borderId="0" xfId="0" applyFill="1"/>
    <xf numFmtId="0" fontId="0" fillId="60" borderId="1" xfId="0" applyFill="1" applyBorder="1"/>
    <xf numFmtId="170" fontId="0" fillId="0" borderId="1" xfId="0" applyNumberFormat="1" applyBorder="1"/>
    <xf numFmtId="0" fontId="0" fillId="0" borderId="1" xfId="0" applyBorder="1"/>
    <xf numFmtId="0" fontId="0" fillId="0" borderId="0" xfId="0" applyAlignment="1">
      <alignment wrapText="1"/>
    </xf>
    <xf numFmtId="184" fontId="0" fillId="2" borderId="0" xfId="0" applyNumberFormat="1" applyFill="1"/>
    <xf numFmtId="0" fontId="18" fillId="61" borderId="0" xfId="0" applyFont="1" applyFill="1"/>
    <xf numFmtId="0" fontId="54" fillId="61" borderId="0" xfId="0" applyFont="1" applyFill="1" applyAlignment="1">
      <alignment vertical="center"/>
    </xf>
    <xf numFmtId="0" fontId="54" fillId="61" borderId="0" xfId="0" applyFont="1" applyFill="1"/>
    <xf numFmtId="0" fontId="18" fillId="61" borderId="0" xfId="0" applyFont="1" applyFill="1" applyProtection="1">
      <protection hidden="1"/>
    </xf>
    <xf numFmtId="0" fontId="54" fillId="61" borderId="0" xfId="0" applyFont="1" applyFill="1" applyAlignment="1" applyProtection="1">
      <alignment vertical="center"/>
      <protection hidden="1"/>
    </xf>
    <xf numFmtId="0" fontId="54" fillId="61" borderId="0" xfId="0" applyFont="1" applyFill="1" applyProtection="1">
      <protection hidden="1"/>
    </xf>
    <xf numFmtId="0" fontId="0" fillId="61" borderId="0" xfId="0" applyFill="1"/>
    <xf numFmtId="0" fontId="18" fillId="61" borderId="34" xfId="0" applyFont="1" applyFill="1" applyBorder="1"/>
    <xf numFmtId="4" fontId="16" fillId="56" borderId="0" xfId="0" applyNumberFormat="1" applyFont="1" applyFill="1" applyAlignment="1">
      <alignment horizontal="right" indent="1"/>
    </xf>
    <xf numFmtId="0" fontId="0" fillId="59" borderId="1" xfId="0" applyFill="1" applyBorder="1"/>
    <xf numFmtId="0" fontId="27" fillId="2" borderId="1" xfId="1026" applyFont="1" applyFill="1" applyBorder="1" applyAlignment="1"/>
    <xf numFmtId="0" fontId="18" fillId="35" borderId="0" xfId="0" applyFont="1" applyFill="1" applyAlignment="1">
      <alignment horizontal="center"/>
    </xf>
    <xf numFmtId="171" fontId="3" fillId="0" borderId="0" xfId="0" applyNumberFormat="1" applyFont="1" applyAlignment="1">
      <alignment horizontal="center" wrapText="1"/>
    </xf>
    <xf numFmtId="0" fontId="18" fillId="35" borderId="0" xfId="0" applyFont="1" applyFill="1"/>
    <xf numFmtId="172" fontId="0" fillId="2" borderId="0" xfId="0" applyNumberFormat="1" applyFill="1" applyAlignment="1">
      <alignment horizontal="center"/>
    </xf>
    <xf numFmtId="172" fontId="0" fillId="2" borderId="0" xfId="0" applyNumberFormat="1" applyFill="1"/>
    <xf numFmtId="172" fontId="0" fillId="2" borderId="0" xfId="0" applyNumberFormat="1" applyFill="1" applyAlignment="1">
      <alignment horizontal="center" vertical="center"/>
    </xf>
    <xf numFmtId="0" fontId="0" fillId="2" borderId="0" xfId="0" applyFill="1" applyAlignment="1">
      <alignment horizontal="center" vertical="center"/>
    </xf>
    <xf numFmtId="0" fontId="0" fillId="60" borderId="0" xfId="0" applyFill="1"/>
    <xf numFmtId="166" fontId="0" fillId="37" borderId="0" xfId="1" applyNumberFormat="1" applyFont="1" applyFill="1" applyBorder="1" applyAlignment="1">
      <alignment horizontal="left" wrapText="1"/>
    </xf>
    <xf numFmtId="0" fontId="23" fillId="2" borderId="1" xfId="1026" applyFill="1" applyBorder="1" applyAlignment="1"/>
    <xf numFmtId="0" fontId="0" fillId="0" borderId="19" xfId="0" applyBorder="1"/>
    <xf numFmtId="0" fontId="56" fillId="0" borderId="0" xfId="0" applyFont="1"/>
    <xf numFmtId="0" fontId="56" fillId="0" borderId="19" xfId="0" applyFont="1" applyBorder="1"/>
    <xf numFmtId="0" fontId="0" fillId="0" borderId="37" xfId="0" applyBorder="1"/>
    <xf numFmtId="0" fontId="0" fillId="0" borderId="40" xfId="0" applyBorder="1"/>
    <xf numFmtId="0" fontId="0" fillId="0" borderId="36" xfId="0" applyBorder="1"/>
    <xf numFmtId="0" fontId="0" fillId="0" borderId="26" xfId="0" applyBorder="1"/>
    <xf numFmtId="0" fontId="0" fillId="0" borderId="38" xfId="0" applyBorder="1"/>
    <xf numFmtId="0" fontId="62" fillId="0" borderId="1" xfId="0" applyFont="1" applyBorder="1"/>
    <xf numFmtId="0" fontId="62" fillId="43" borderId="1" xfId="0" applyFont="1" applyFill="1" applyBorder="1"/>
    <xf numFmtId="0" fontId="0" fillId="43" borderId="1" xfId="0" applyFill="1" applyBorder="1"/>
    <xf numFmtId="4" fontId="0" fillId="43" borderId="1" xfId="0" applyNumberFormat="1" applyFill="1" applyBorder="1"/>
    <xf numFmtId="0" fontId="62" fillId="62" borderId="1" xfId="0" applyFont="1" applyFill="1" applyBorder="1"/>
    <xf numFmtId="4" fontId="0" fillId="62" borderId="1" xfId="0" applyNumberFormat="1" applyFill="1" applyBorder="1"/>
    <xf numFmtId="0" fontId="62" fillId="63" borderId="1" xfId="0" applyFont="1" applyFill="1" applyBorder="1"/>
    <xf numFmtId="4" fontId="0" fillId="63" borderId="1" xfId="0" applyNumberFormat="1" applyFill="1" applyBorder="1"/>
    <xf numFmtId="4" fontId="0" fillId="0" borderId="1" xfId="0" applyNumberFormat="1" applyBorder="1"/>
    <xf numFmtId="0" fontId="62" fillId="42" borderId="1" xfId="0" applyFont="1" applyFill="1" applyBorder="1"/>
    <xf numFmtId="4" fontId="0" fillId="42" borderId="1" xfId="0" applyNumberFormat="1" applyFill="1" applyBorder="1"/>
    <xf numFmtId="0" fontId="62" fillId="0" borderId="1" xfId="0" applyFont="1" applyBorder="1" applyAlignment="1">
      <alignment horizontal="center" vertical="center"/>
    </xf>
    <xf numFmtId="170" fontId="56" fillId="0" borderId="1" xfId="0" applyNumberFormat="1" applyFont="1" applyBorder="1" applyAlignment="1">
      <alignment horizontal="right" vertical="center" indent="1"/>
    </xf>
    <xf numFmtId="0" fontId="56" fillId="0" borderId="1" xfId="0" applyFont="1" applyBorder="1"/>
    <xf numFmtId="170" fontId="62" fillId="0" borderId="1" xfId="0" applyNumberFormat="1" applyFont="1" applyBorder="1" applyAlignment="1">
      <alignment horizontal="right" vertical="center" indent="1"/>
    </xf>
    <xf numFmtId="170" fontId="62" fillId="0" borderId="1" xfId="0" applyNumberFormat="1" applyFont="1" applyBorder="1" applyAlignment="1">
      <alignment horizontal="right" indent="1"/>
    </xf>
    <xf numFmtId="0" fontId="62" fillId="0" borderId="1" xfId="0" applyFont="1" applyBorder="1" applyAlignment="1">
      <alignment wrapText="1"/>
    </xf>
    <xf numFmtId="0" fontId="62" fillId="0" borderId="1" xfId="0" applyFont="1" applyBorder="1" applyAlignment="1">
      <alignment vertical="center" wrapText="1"/>
    </xf>
    <xf numFmtId="0" fontId="30" fillId="0" borderId="1" xfId="0" applyFont="1" applyBorder="1" applyAlignment="1">
      <alignment vertical="center" wrapText="1"/>
    </xf>
    <xf numFmtId="0" fontId="30" fillId="0" borderId="1" xfId="0" applyFont="1" applyBorder="1"/>
    <xf numFmtId="0" fontId="6" fillId="2" borderId="1" xfId="0" applyFont="1" applyFill="1" applyBorder="1"/>
    <xf numFmtId="0" fontId="23" fillId="0" borderId="1" xfId="1026" applyBorder="1" applyAlignment="1"/>
    <xf numFmtId="0" fontId="23" fillId="0" borderId="1" xfId="1026" applyBorder="1"/>
    <xf numFmtId="0" fontId="62" fillId="0" borderId="1" xfId="0" applyFont="1" applyBorder="1" applyAlignment="1">
      <alignment horizontal="left" vertical="top"/>
    </xf>
    <xf numFmtId="0" fontId="61" fillId="0" borderId="1" xfId="0" applyFont="1" applyBorder="1"/>
    <xf numFmtId="0" fontId="62" fillId="0" borderId="1" xfId="0" applyFont="1" applyBorder="1" applyAlignment="1">
      <alignment vertical="center"/>
    </xf>
    <xf numFmtId="0" fontId="2" fillId="35" borderId="1" xfId="0" applyFont="1" applyFill="1" applyBorder="1" applyAlignment="1">
      <alignment horizontal="center" vertical="center"/>
    </xf>
    <xf numFmtId="0" fontId="2" fillId="35" borderId="1" xfId="0" applyFont="1" applyFill="1" applyBorder="1" applyAlignment="1">
      <alignment horizontal="center"/>
    </xf>
    <xf numFmtId="0" fontId="0" fillId="0" borderId="1" xfId="0" applyBorder="1" applyAlignment="1">
      <alignment horizontal="center"/>
    </xf>
    <xf numFmtId="3" fontId="3" fillId="56" borderId="1" xfId="0" applyNumberFormat="1" applyFont="1" applyFill="1" applyBorder="1" applyAlignment="1">
      <alignment vertical="center"/>
    </xf>
    <xf numFmtId="0" fontId="16" fillId="58" borderId="3" xfId="0" applyFont="1" applyFill="1" applyBorder="1"/>
    <xf numFmtId="3" fontId="16" fillId="35" borderId="3" xfId="0" applyNumberFormat="1" applyFont="1" applyFill="1" applyBorder="1" applyAlignment="1">
      <alignment vertical="center"/>
    </xf>
    <xf numFmtId="0" fontId="58" fillId="35" borderId="1" xfId="0" applyFont="1" applyFill="1" applyBorder="1" applyAlignment="1">
      <alignment vertical="center" wrapText="1"/>
    </xf>
    <xf numFmtId="3" fontId="3" fillId="43" borderId="0" xfId="0" applyNumberFormat="1" applyFont="1" applyFill="1" applyAlignment="1">
      <alignment horizontal="right" vertical="center" wrapText="1"/>
    </xf>
    <xf numFmtId="0" fontId="63" fillId="64" borderId="1" xfId="0" applyFont="1" applyFill="1" applyBorder="1" applyAlignment="1">
      <alignment vertical="center"/>
    </xf>
    <xf numFmtId="0" fontId="18" fillId="64" borderId="1" xfId="0" applyFont="1" applyFill="1" applyBorder="1"/>
    <xf numFmtId="0" fontId="58" fillId="56" borderId="2" xfId="0" applyFont="1" applyFill="1" applyBorder="1" applyAlignment="1">
      <alignment wrapText="1"/>
    </xf>
    <xf numFmtId="0" fontId="0" fillId="2" borderId="36" xfId="0" applyFill="1" applyBorder="1"/>
    <xf numFmtId="0" fontId="26" fillId="2" borderId="36" xfId="0" applyFont="1" applyFill="1" applyBorder="1" applyAlignment="1">
      <alignment wrapText="1"/>
    </xf>
    <xf numFmtId="0" fontId="18" fillId="61" borderId="0" xfId="0" applyFont="1" applyFill="1" applyAlignment="1">
      <alignment horizontal="center" vertical="center"/>
    </xf>
    <xf numFmtId="0" fontId="18" fillId="2" borderId="0" xfId="0" applyFont="1" applyFill="1" applyAlignment="1">
      <alignment horizontal="center" vertical="center"/>
    </xf>
    <xf numFmtId="3" fontId="0" fillId="44" borderId="1" xfId="0" applyNumberFormat="1" applyFill="1" applyBorder="1" applyAlignment="1">
      <alignment horizontal="center" vertical="center"/>
    </xf>
    <xf numFmtId="0" fontId="0" fillId="52" borderId="1" xfId="0" applyFill="1" applyBorder="1" applyAlignment="1">
      <alignment horizontal="center" vertical="center"/>
    </xf>
    <xf numFmtId="3" fontId="3" fillId="43" borderId="1" xfId="0" applyNumberFormat="1" applyFont="1" applyFill="1" applyBorder="1" applyAlignment="1">
      <alignment horizontal="right" vertical="center" wrapText="1"/>
    </xf>
    <xf numFmtId="1" fontId="0" fillId="52" borderId="1" xfId="0" applyNumberFormat="1" applyFill="1" applyBorder="1" applyAlignment="1">
      <alignment horizontal="right" vertical="center" wrapText="1"/>
    </xf>
    <xf numFmtId="3" fontId="16" fillId="65" borderId="1" xfId="0" applyNumberFormat="1" applyFont="1" applyFill="1" applyBorder="1" applyAlignment="1">
      <alignment horizontal="center" vertical="center"/>
    </xf>
    <xf numFmtId="4" fontId="16" fillId="56" borderId="0" xfId="0" applyNumberFormat="1" applyFont="1" applyFill="1" applyAlignment="1">
      <alignment horizontal="left" indent="1"/>
    </xf>
    <xf numFmtId="0" fontId="16" fillId="66" borderId="1" xfId="0" applyFont="1" applyFill="1" applyBorder="1" applyAlignment="1">
      <alignment vertical="center"/>
    </xf>
    <xf numFmtId="0" fontId="64" fillId="2" borderId="1" xfId="0" applyFont="1" applyFill="1" applyBorder="1"/>
    <xf numFmtId="0" fontId="16" fillId="2" borderId="0" xfId="0" applyFont="1" applyFill="1" applyAlignment="1">
      <alignment horizontal="left" vertical="center"/>
    </xf>
    <xf numFmtId="0" fontId="16" fillId="35" borderId="5" xfId="0" applyFont="1" applyFill="1" applyBorder="1" applyAlignment="1">
      <alignment horizontal="center" vertical="center" wrapText="1"/>
    </xf>
    <xf numFmtId="0" fontId="18" fillId="2" borderId="26" xfId="0" applyFont="1" applyFill="1" applyBorder="1" applyAlignment="1">
      <alignment horizontal="center"/>
    </xf>
    <xf numFmtId="0" fontId="16" fillId="35" borderId="3" xfId="0" applyFont="1" applyFill="1" applyBorder="1" applyAlignment="1">
      <alignment horizontal="center" vertical="center"/>
    </xf>
    <xf numFmtId="0" fontId="16" fillId="35" borderId="24" xfId="0" applyFont="1" applyFill="1" applyBorder="1" applyAlignment="1">
      <alignment horizontal="center" vertical="center"/>
    </xf>
    <xf numFmtId="0" fontId="16" fillId="66" borderId="1" xfId="0" applyFont="1" applyFill="1" applyBorder="1" applyAlignment="1">
      <alignment horizontal="center" vertical="center"/>
    </xf>
    <xf numFmtId="0" fontId="0" fillId="2" borderId="1" xfId="0" applyFill="1" applyBorder="1" applyAlignment="1" applyProtection="1">
      <alignment vertical="center"/>
      <protection locked="0"/>
    </xf>
    <xf numFmtId="0" fontId="0" fillId="2" borderId="1" xfId="0" applyFill="1" applyBorder="1" applyAlignment="1" applyProtection="1">
      <alignment horizontal="center" vertical="center"/>
      <protection locked="0"/>
    </xf>
    <xf numFmtId="3" fontId="58" fillId="35" borderId="1" xfId="0" applyNumberFormat="1" applyFont="1" applyFill="1" applyBorder="1" applyAlignment="1">
      <alignment vertical="center" wrapText="1"/>
    </xf>
    <xf numFmtId="0" fontId="16" fillId="35" borderId="4" xfId="0" applyFont="1" applyFill="1" applyBorder="1" applyAlignment="1">
      <alignment vertical="center" wrapText="1"/>
    </xf>
    <xf numFmtId="0" fontId="16" fillId="2" borderId="0" xfId="0" applyFont="1" applyFill="1" applyAlignment="1">
      <alignment vertical="center" wrapText="1"/>
    </xf>
    <xf numFmtId="0" fontId="63" fillId="2" borderId="0" xfId="0" applyFont="1" applyFill="1" applyAlignment="1">
      <alignment horizontal="center" vertical="center" wrapText="1"/>
    </xf>
    <xf numFmtId="185" fontId="16" fillId="2" borderId="0" xfId="0" applyNumberFormat="1" applyFont="1" applyFill="1" applyAlignment="1">
      <alignment horizontal="center" vertical="center" wrapText="1"/>
    </xf>
    <xf numFmtId="3" fontId="3" fillId="2" borderId="1" xfId="0" applyNumberFormat="1" applyFont="1" applyFill="1" applyBorder="1" applyAlignment="1" applyProtection="1">
      <alignment horizontal="right" vertical="center" indent="1"/>
      <protection locked="0"/>
    </xf>
    <xf numFmtId="3" fontId="0" fillId="44" borderId="5" xfId="0" applyNumberFormat="1" applyFill="1" applyBorder="1" applyAlignment="1">
      <alignment horizontal="center" vertical="center"/>
    </xf>
    <xf numFmtId="0" fontId="63" fillId="35" borderId="1" xfId="0" applyFont="1" applyFill="1" applyBorder="1" applyAlignment="1">
      <alignment horizontal="center" vertical="center" wrapText="1"/>
    </xf>
    <xf numFmtId="0" fontId="63" fillId="35" borderId="4" xfId="0" applyFont="1" applyFill="1" applyBorder="1" applyAlignment="1">
      <alignment horizontal="center" vertical="center" wrapText="1"/>
    </xf>
    <xf numFmtId="0" fontId="63" fillId="35" borderId="5" xfId="0" applyFont="1" applyFill="1" applyBorder="1" applyAlignment="1">
      <alignment horizontal="center" vertical="center" wrapText="1"/>
    </xf>
    <xf numFmtId="0" fontId="18" fillId="2" borderId="0" xfId="0" applyFont="1" applyFill="1" applyAlignment="1">
      <alignment horizontal="center"/>
    </xf>
    <xf numFmtId="0" fontId="63" fillId="35" borderId="1" xfId="0" applyFont="1" applyFill="1" applyBorder="1" applyAlignment="1" applyProtection="1">
      <alignment horizontal="center" vertical="center" wrapText="1"/>
      <protection hidden="1"/>
    </xf>
    <xf numFmtId="176" fontId="3" fillId="53" borderId="1" xfId="0" applyNumberFormat="1" applyFont="1" applyFill="1" applyBorder="1" applyAlignment="1">
      <alignment horizontal="right" vertical="center" indent="1"/>
    </xf>
    <xf numFmtId="0" fontId="0" fillId="2" borderId="0" xfId="0" applyFill="1" applyAlignment="1" applyProtection="1">
      <alignment vertical="center"/>
      <protection locked="0"/>
    </xf>
    <xf numFmtId="0" fontId="57" fillId="0" borderId="0" xfId="0" applyFont="1"/>
    <xf numFmtId="0" fontId="56" fillId="0" borderId="0" xfId="0" applyFont="1" applyAlignment="1">
      <alignment horizontal="right"/>
    </xf>
    <xf numFmtId="0" fontId="56" fillId="0" borderId="15" xfId="0" applyFont="1" applyBorder="1"/>
    <xf numFmtId="0" fontId="56" fillId="0" borderId="16" xfId="0" applyFont="1" applyBorder="1"/>
    <xf numFmtId="0" fontId="56" fillId="0" borderId="17" xfId="0" applyFont="1" applyBorder="1"/>
    <xf numFmtId="0" fontId="57" fillId="0" borderId="18" xfId="0" applyFont="1" applyBorder="1"/>
    <xf numFmtId="0" fontId="56" fillId="0" borderId="41" xfId="0" applyFont="1" applyBorder="1"/>
    <xf numFmtId="0" fontId="57" fillId="0" borderId="37" xfId="0" applyFont="1" applyBorder="1"/>
    <xf numFmtId="0" fontId="56" fillId="0" borderId="37" xfId="0" applyFont="1" applyBorder="1"/>
    <xf numFmtId="0" fontId="56" fillId="0" borderId="42" xfId="0" applyFont="1" applyBorder="1"/>
    <xf numFmtId="0" fontId="0" fillId="0" borderId="18" xfId="0" applyBorder="1"/>
    <xf numFmtId="0" fontId="62" fillId="0" borderId="0" xfId="0" applyFont="1"/>
    <xf numFmtId="0" fontId="0" fillId="0" borderId="21" xfId="0" applyBorder="1"/>
    <xf numFmtId="0" fontId="0" fillId="0" borderId="22" xfId="0" applyBorder="1"/>
    <xf numFmtId="0" fontId="56" fillId="0" borderId="22" xfId="0" applyFont="1" applyBorder="1"/>
    <xf numFmtId="0" fontId="56" fillId="0" borderId="23" xfId="0" applyFont="1" applyBorder="1"/>
    <xf numFmtId="0" fontId="56" fillId="0" borderId="44" xfId="0" applyFont="1" applyBorder="1"/>
    <xf numFmtId="0" fontId="56" fillId="0" borderId="45" xfId="0" applyFont="1" applyBorder="1"/>
    <xf numFmtId="0" fontId="56" fillId="0" borderId="18" xfId="0" applyFont="1" applyBorder="1"/>
    <xf numFmtId="0" fontId="56" fillId="0" borderId="21" xfId="0" applyFont="1" applyBorder="1"/>
    <xf numFmtId="0" fontId="62" fillId="0" borderId="44" xfId="0" applyFont="1" applyBorder="1"/>
    <xf numFmtId="0" fontId="62" fillId="0" borderId="45" xfId="0" applyFont="1" applyBorder="1"/>
    <xf numFmtId="0" fontId="62" fillId="0" borderId="18" xfId="0" applyFont="1" applyBorder="1"/>
    <xf numFmtId="0" fontId="62" fillId="0" borderId="19" xfId="0" applyFont="1" applyBorder="1"/>
    <xf numFmtId="0" fontId="61" fillId="0" borderId="0" xfId="0" applyFont="1"/>
    <xf numFmtId="0" fontId="62" fillId="0" borderId="46" xfId="0" applyFont="1" applyBorder="1"/>
    <xf numFmtId="0" fontId="62" fillId="0" borderId="21" xfId="0" applyFont="1" applyBorder="1"/>
    <xf numFmtId="0" fontId="62" fillId="0" borderId="22" xfId="0" applyFont="1" applyBorder="1"/>
    <xf numFmtId="0" fontId="62" fillId="0" borderId="23" xfId="0" applyFont="1" applyBorder="1"/>
    <xf numFmtId="186" fontId="56" fillId="0" borderId="1" xfId="0" applyNumberFormat="1" applyFont="1" applyBorder="1"/>
    <xf numFmtId="0" fontId="56" fillId="0" borderId="1" xfId="0" applyFont="1" applyBorder="1" applyAlignment="1">
      <alignment horizontal="center"/>
    </xf>
    <xf numFmtId="0" fontId="0" fillId="0" borderId="0" xfId="0" applyAlignment="1">
      <alignment horizontal="center"/>
    </xf>
    <xf numFmtId="0" fontId="63" fillId="35" borderId="5" xfId="0" applyFont="1" applyFill="1" applyBorder="1" applyAlignment="1">
      <alignment horizontal="left" vertical="center" wrapText="1"/>
    </xf>
    <xf numFmtId="0" fontId="63" fillId="73" borderId="5" xfId="0" applyFont="1" applyFill="1" applyBorder="1" applyAlignment="1">
      <alignment horizontal="center" vertical="center" wrapText="1"/>
    </xf>
    <xf numFmtId="0" fontId="63" fillId="51" borderId="5" xfId="0" applyFont="1" applyFill="1" applyBorder="1" applyAlignment="1">
      <alignment horizontal="center" vertical="center" wrapText="1"/>
    </xf>
    <xf numFmtId="0" fontId="63" fillId="74" borderId="5" xfId="0" applyFont="1" applyFill="1" applyBorder="1" applyAlignment="1">
      <alignment horizontal="center" vertical="center" wrapText="1"/>
    </xf>
    <xf numFmtId="0" fontId="63" fillId="57" borderId="5" xfId="0" applyFont="1" applyFill="1" applyBorder="1" applyAlignment="1">
      <alignment horizontal="center" vertical="center" wrapText="1"/>
    </xf>
    <xf numFmtId="0" fontId="63" fillId="57" borderId="5" xfId="0" applyFont="1" applyFill="1" applyBorder="1" applyAlignment="1">
      <alignment horizontal="left" vertical="center" wrapText="1"/>
    </xf>
    <xf numFmtId="0" fontId="63" fillId="74" borderId="5" xfId="0" applyFont="1" applyFill="1" applyBorder="1" applyAlignment="1">
      <alignment horizontal="left" vertical="center" wrapText="1"/>
    </xf>
    <xf numFmtId="0" fontId="63" fillId="73" borderId="5" xfId="0" applyFont="1" applyFill="1" applyBorder="1" applyAlignment="1">
      <alignment horizontal="left" vertical="center" wrapText="1"/>
    </xf>
    <xf numFmtId="0" fontId="63" fillId="51" borderId="5" xfId="0" applyFont="1" applyFill="1" applyBorder="1" applyAlignment="1">
      <alignment horizontal="left" vertical="center" wrapText="1"/>
    </xf>
    <xf numFmtId="0" fontId="63" fillId="75" borderId="5" xfId="0" applyFont="1" applyFill="1" applyBorder="1" applyAlignment="1">
      <alignment horizontal="center" vertical="center" wrapText="1"/>
    </xf>
    <xf numFmtId="0" fontId="63" fillId="77" borderId="5" xfId="0" applyFont="1" applyFill="1" applyBorder="1" applyAlignment="1">
      <alignment horizontal="center" vertical="center" wrapText="1"/>
    </xf>
    <xf numFmtId="0" fontId="63" fillId="78" borderId="5" xfId="0" applyFont="1" applyFill="1" applyBorder="1" applyAlignment="1">
      <alignment horizontal="center" vertical="center" wrapText="1"/>
    </xf>
    <xf numFmtId="0" fontId="63" fillId="76" borderId="5" xfId="0" applyFont="1" applyFill="1" applyBorder="1" applyAlignment="1">
      <alignment horizontal="left" vertical="center" wrapText="1"/>
    </xf>
    <xf numFmtId="0" fontId="66" fillId="36" borderId="5" xfId="0" applyFont="1" applyFill="1" applyBorder="1" applyAlignment="1">
      <alignment horizontal="left" vertical="center" wrapText="1"/>
    </xf>
    <xf numFmtId="0" fontId="63" fillId="78" borderId="5" xfId="0" applyFont="1" applyFill="1" applyBorder="1" applyAlignment="1">
      <alignment horizontal="left" vertical="center" wrapText="1"/>
    </xf>
    <xf numFmtId="0" fontId="63" fillId="77" borderId="5" xfId="0" applyFont="1" applyFill="1" applyBorder="1" applyAlignment="1">
      <alignment horizontal="left" vertical="center" wrapText="1"/>
    </xf>
    <xf numFmtId="0" fontId="63" fillId="79" borderId="5" xfId="0" applyFont="1" applyFill="1" applyBorder="1" applyAlignment="1">
      <alignment horizontal="left" vertical="center" wrapText="1"/>
    </xf>
    <xf numFmtId="0" fontId="63" fillId="75" borderId="5" xfId="0" applyFont="1" applyFill="1" applyBorder="1" applyAlignment="1">
      <alignment horizontal="left" vertical="center" wrapText="1"/>
    </xf>
    <xf numFmtId="0" fontId="63" fillId="2" borderId="0" xfId="0" applyFont="1" applyFill="1" applyAlignment="1">
      <alignment horizontal="left" vertical="center" wrapText="1"/>
    </xf>
    <xf numFmtId="0" fontId="66" fillId="2" borderId="0" xfId="0" applyFont="1" applyFill="1" applyAlignment="1">
      <alignment horizontal="left" vertical="center" wrapText="1"/>
    </xf>
    <xf numFmtId="0" fontId="63" fillId="76" borderId="1" xfId="0" applyFont="1" applyFill="1" applyBorder="1" applyAlignment="1">
      <alignment horizontal="left" vertical="center" wrapText="1"/>
    </xf>
    <xf numFmtId="0" fontId="63" fillId="75" borderId="1" xfId="0" applyFont="1" applyFill="1" applyBorder="1" applyAlignment="1">
      <alignment horizontal="left" vertical="center" wrapText="1"/>
    </xf>
    <xf numFmtId="0" fontId="56" fillId="69" borderId="1" xfId="0" applyFont="1" applyFill="1" applyBorder="1"/>
    <xf numFmtId="0" fontId="56" fillId="2" borderId="0" xfId="0" applyFont="1" applyFill="1"/>
    <xf numFmtId="0" fontId="56" fillId="2" borderId="1" xfId="0" applyFont="1" applyFill="1" applyBorder="1"/>
    <xf numFmtId="0" fontId="57" fillId="0" borderId="1" xfId="0" applyFont="1" applyBorder="1" applyAlignment="1">
      <alignment horizontal="center"/>
    </xf>
    <xf numFmtId="0" fontId="63" fillId="78" borderId="1" xfId="0" applyFont="1" applyFill="1" applyBorder="1" applyAlignment="1">
      <alignment horizontal="left" vertical="center" wrapText="1"/>
    </xf>
    <xf numFmtId="0" fontId="66" fillId="36" borderId="1" xfId="0" applyFont="1" applyFill="1" applyBorder="1" applyAlignment="1">
      <alignment horizontal="left" vertical="center" wrapText="1"/>
    </xf>
    <xf numFmtId="0" fontId="63" fillId="77" borderId="1" xfId="0" applyFont="1" applyFill="1" applyBorder="1" applyAlignment="1">
      <alignment horizontal="left" vertical="center" wrapText="1"/>
    </xf>
    <xf numFmtId="0" fontId="63" fillId="79" borderId="1" xfId="0" applyFont="1" applyFill="1" applyBorder="1" applyAlignment="1">
      <alignment horizontal="left" vertical="center" wrapText="1"/>
    </xf>
    <xf numFmtId="0" fontId="56" fillId="69" borderId="1" xfId="0" applyFont="1" applyFill="1" applyBorder="1" applyAlignment="1">
      <alignment horizontal="center"/>
    </xf>
    <xf numFmtId="0" fontId="16" fillId="82" borderId="5" xfId="0" applyFont="1" applyFill="1" applyBorder="1" applyAlignment="1">
      <alignment horizontal="center" vertical="center" wrapText="1"/>
    </xf>
    <xf numFmtId="0" fontId="16" fillId="83" borderId="5" xfId="0" applyFont="1" applyFill="1" applyBorder="1" applyAlignment="1">
      <alignment horizontal="center" vertical="center" wrapText="1"/>
    </xf>
    <xf numFmtId="0" fontId="16" fillId="84" borderId="5" xfId="0" applyFont="1" applyFill="1" applyBorder="1" applyAlignment="1">
      <alignment horizontal="center" vertical="center" wrapText="1"/>
    </xf>
    <xf numFmtId="0" fontId="16" fillId="79" borderId="5" xfId="0" applyFont="1" applyFill="1" applyBorder="1" applyAlignment="1">
      <alignment horizontal="center" vertical="center" wrapText="1"/>
    </xf>
    <xf numFmtId="0" fontId="16" fillId="85" borderId="5" xfId="0" applyFont="1" applyFill="1" applyBorder="1" applyAlignment="1">
      <alignment horizontal="center" vertical="center" wrapText="1"/>
    </xf>
    <xf numFmtId="0" fontId="16" fillId="86" borderId="5" xfId="0" applyFont="1" applyFill="1" applyBorder="1" applyAlignment="1">
      <alignment horizontal="center" vertical="center" wrapText="1"/>
    </xf>
    <xf numFmtId="0" fontId="66" fillId="86" borderId="5" xfId="0" applyFont="1" applyFill="1" applyBorder="1" applyAlignment="1">
      <alignment horizontal="center" vertical="center" wrapText="1"/>
    </xf>
    <xf numFmtId="0" fontId="66" fillId="59" borderId="1" xfId="0" applyFont="1" applyFill="1" applyBorder="1" applyAlignment="1">
      <alignment horizontal="center" vertical="center" wrapText="1"/>
    </xf>
    <xf numFmtId="0" fontId="66" fillId="87" borderId="1" xfId="0" applyFont="1" applyFill="1" applyBorder="1" applyAlignment="1">
      <alignment horizontal="center" vertical="center" wrapText="1"/>
    </xf>
    <xf numFmtId="0" fontId="63" fillId="72" borderId="1" xfId="0" applyFont="1" applyFill="1" applyBorder="1" applyAlignment="1">
      <alignment horizontal="center" vertical="center" wrapText="1"/>
    </xf>
    <xf numFmtId="0" fontId="63" fillId="88" borderId="1" xfId="0" applyFont="1" applyFill="1" applyBorder="1" applyAlignment="1">
      <alignment horizontal="center" vertical="center" wrapText="1"/>
    </xf>
    <xf numFmtId="0" fontId="63" fillId="54" borderId="1" xfId="0" applyFont="1" applyFill="1" applyBorder="1" applyAlignment="1">
      <alignment horizontal="center" vertical="center" wrapText="1"/>
    </xf>
    <xf numFmtId="0" fontId="63" fillId="75" borderId="1" xfId="0" applyFont="1" applyFill="1" applyBorder="1" applyAlignment="1">
      <alignment horizontal="center" vertical="center" wrapText="1"/>
    </xf>
    <xf numFmtId="0" fontId="63" fillId="76" borderId="1" xfId="0" applyFont="1" applyFill="1" applyBorder="1" applyAlignment="1">
      <alignment horizontal="center" vertical="center" wrapText="1"/>
    </xf>
    <xf numFmtId="0" fontId="63" fillId="79" borderId="1" xfId="0" applyFont="1" applyFill="1" applyBorder="1" applyAlignment="1">
      <alignment horizontal="center" vertical="center" wrapText="1"/>
    </xf>
    <xf numFmtId="0" fontId="63" fillId="89" borderId="1" xfId="0" applyFont="1" applyFill="1" applyBorder="1" applyAlignment="1">
      <alignment horizontal="center" vertical="center" wrapText="1"/>
    </xf>
    <xf numFmtId="0" fontId="63" fillId="77" borderId="1" xfId="0" applyFont="1" applyFill="1" applyBorder="1" applyAlignment="1">
      <alignment horizontal="center" vertical="center" wrapText="1"/>
    </xf>
    <xf numFmtId="0" fontId="63" fillId="78" borderId="1" xfId="0" applyFont="1" applyFill="1" applyBorder="1" applyAlignment="1">
      <alignment horizontal="center" vertical="center" wrapText="1"/>
    </xf>
    <xf numFmtId="0" fontId="63" fillId="84" borderId="1" xfId="0" applyFont="1" applyFill="1" applyBorder="1" applyAlignment="1">
      <alignment horizontal="center" vertical="center" wrapText="1"/>
    </xf>
    <xf numFmtId="0" fontId="66" fillId="40" borderId="1" xfId="0" applyFont="1" applyFill="1" applyBorder="1" applyAlignment="1">
      <alignment horizontal="center" vertical="center" wrapText="1"/>
    </xf>
    <xf numFmtId="0" fontId="66" fillId="47" borderId="1" xfId="0" applyFont="1" applyFill="1" applyBorder="1" applyAlignment="1">
      <alignment horizontal="center" vertical="center" wrapText="1"/>
    </xf>
    <xf numFmtId="0" fontId="66" fillId="57" borderId="1" xfId="0" applyFont="1" applyFill="1" applyBorder="1" applyAlignment="1">
      <alignment horizontal="center" vertical="center" wrapText="1"/>
    </xf>
    <xf numFmtId="0" fontId="63" fillId="58" borderId="1" xfId="0" applyFont="1" applyFill="1" applyBorder="1" applyAlignment="1">
      <alignment horizontal="center" vertical="center" wrapText="1"/>
    </xf>
    <xf numFmtId="0" fontId="63" fillId="56" borderId="1" xfId="0" applyFont="1" applyFill="1" applyBorder="1" applyAlignment="1">
      <alignment horizontal="center" vertical="center" wrapText="1"/>
    </xf>
    <xf numFmtId="0" fontId="63" fillId="90" borderId="1" xfId="0" applyFont="1" applyFill="1" applyBorder="1" applyAlignment="1">
      <alignment horizontal="center" vertical="center" wrapText="1"/>
    </xf>
    <xf numFmtId="0" fontId="63" fillId="91" borderId="1" xfId="0" applyFont="1" applyFill="1" applyBorder="1" applyAlignment="1">
      <alignment horizontal="center" vertical="center" wrapText="1"/>
    </xf>
    <xf numFmtId="0" fontId="63" fillId="92" borderId="1" xfId="0" applyFont="1" applyFill="1" applyBorder="1" applyAlignment="1">
      <alignment horizontal="center" vertical="center" wrapText="1"/>
    </xf>
    <xf numFmtId="0" fontId="63" fillId="93" borderId="1" xfId="0" applyFont="1" applyFill="1" applyBorder="1" applyAlignment="1">
      <alignment horizontal="center" vertical="center" wrapText="1"/>
    </xf>
    <xf numFmtId="0" fontId="63" fillId="94" borderId="1" xfId="0" applyFont="1" applyFill="1" applyBorder="1" applyAlignment="1">
      <alignment horizontal="center" vertical="center" wrapText="1"/>
    </xf>
    <xf numFmtId="3" fontId="16" fillId="35" borderId="1" xfId="0" applyNumberFormat="1" applyFont="1" applyFill="1" applyBorder="1" applyAlignment="1" applyProtection="1">
      <alignment horizontal="right" indent="1"/>
      <protection hidden="1"/>
    </xf>
    <xf numFmtId="0" fontId="67" fillId="0" borderId="0" xfId="0" applyFont="1"/>
    <xf numFmtId="0" fontId="62" fillId="38" borderId="1" xfId="0" applyFont="1" applyFill="1" applyBorder="1" applyAlignment="1">
      <alignment horizontal="center" vertical="center"/>
    </xf>
    <xf numFmtId="0" fontId="62" fillId="96" borderId="1" xfId="0" applyFont="1" applyFill="1" applyBorder="1" applyAlignment="1">
      <alignment horizontal="center" vertical="center"/>
    </xf>
    <xf numFmtId="0" fontId="62" fillId="96" borderId="1" xfId="0" applyFont="1" applyFill="1" applyBorder="1" applyAlignment="1">
      <alignment horizontal="left" vertical="center"/>
    </xf>
    <xf numFmtId="176" fontId="66" fillId="53" borderId="1" xfId="0" applyNumberFormat="1" applyFont="1" applyFill="1" applyBorder="1" applyAlignment="1" applyProtection="1">
      <alignment horizontal="right" vertical="center" indent="1"/>
      <protection hidden="1"/>
    </xf>
    <xf numFmtId="187" fontId="3" fillId="53" borderId="1" xfId="0" applyNumberFormat="1" applyFont="1" applyFill="1" applyBorder="1" applyAlignment="1" applyProtection="1">
      <alignment horizontal="right" vertical="center" indent="1"/>
      <protection hidden="1"/>
    </xf>
    <xf numFmtId="0" fontId="56" fillId="80" borderId="0" xfId="0" applyFont="1" applyFill="1"/>
    <xf numFmtId="0" fontId="56" fillId="2" borderId="0" xfId="0" applyFont="1" applyFill="1" applyAlignment="1">
      <alignment horizontal="center"/>
    </xf>
    <xf numFmtId="0" fontId="56" fillId="80" borderId="0" xfId="0" applyFont="1" applyFill="1" applyAlignment="1">
      <alignment horizontal="center"/>
    </xf>
    <xf numFmtId="0" fontId="0" fillId="0" borderId="1" xfId="0" applyBorder="1" applyAlignment="1">
      <alignment horizontal="right"/>
    </xf>
    <xf numFmtId="0" fontId="57" fillId="0" borderId="1" xfId="0" applyFont="1" applyBorder="1" applyAlignment="1">
      <alignment horizontal="right"/>
    </xf>
    <xf numFmtId="0" fontId="56" fillId="0" borderId="1" xfId="0" applyFont="1" applyBorder="1" applyAlignment="1">
      <alignment horizontal="right"/>
    </xf>
    <xf numFmtId="0" fontId="56" fillId="2" borderId="1" xfId="0" applyFont="1" applyFill="1" applyBorder="1" applyAlignment="1">
      <alignment horizontal="center"/>
    </xf>
    <xf numFmtId="0" fontId="56" fillId="2" borderId="1" xfId="0" applyFont="1" applyFill="1" applyBorder="1" applyAlignment="1">
      <alignment horizontal="right"/>
    </xf>
    <xf numFmtId="0" fontId="0" fillId="59" borderId="1" xfId="0" applyFill="1" applyBorder="1" applyAlignment="1">
      <alignment horizontal="left"/>
    </xf>
    <xf numFmtId="0" fontId="47" fillId="2" borderId="1" xfId="0" applyFont="1" applyFill="1" applyBorder="1" applyAlignment="1">
      <alignment horizontal="left"/>
    </xf>
    <xf numFmtId="0" fontId="62" fillId="0" borderId="1" xfId="0" applyFont="1" applyBorder="1" applyAlignment="1">
      <alignment horizontal="left"/>
    </xf>
    <xf numFmtId="0" fontId="62" fillId="38" borderId="1" xfId="0" applyFont="1" applyFill="1" applyBorder="1" applyAlignment="1">
      <alignment horizontal="left" vertical="center"/>
    </xf>
    <xf numFmtId="0" fontId="56" fillId="0" borderId="1" xfId="0" applyFont="1" applyBorder="1" applyAlignment="1">
      <alignment horizontal="left"/>
    </xf>
    <xf numFmtId="0" fontId="66" fillId="40" borderId="1" xfId="0" applyFont="1" applyFill="1" applyBorder="1" applyAlignment="1">
      <alignment horizontal="left" vertical="center" wrapText="1"/>
    </xf>
    <xf numFmtId="0" fontId="66" fillId="47" borderId="1" xfId="0" applyFont="1" applyFill="1" applyBorder="1" applyAlignment="1">
      <alignment horizontal="left" vertical="center" wrapText="1"/>
    </xf>
    <xf numFmtId="0" fontId="66" fillId="57" borderId="1" xfId="0" applyFont="1" applyFill="1" applyBorder="1" applyAlignment="1">
      <alignment horizontal="left" vertical="center" wrapText="1"/>
    </xf>
    <xf numFmtId="0" fontId="63" fillId="58" borderId="1" xfId="0" applyFont="1" applyFill="1" applyBorder="1" applyAlignment="1">
      <alignment horizontal="left" vertical="center" wrapText="1"/>
    </xf>
    <xf numFmtId="0" fontId="63" fillId="56" borderId="1" xfId="0" applyFont="1" applyFill="1" applyBorder="1" applyAlignment="1">
      <alignment horizontal="left" vertical="center" wrapText="1"/>
    </xf>
    <xf numFmtId="0" fontId="63" fillId="90" borderId="1" xfId="0" applyFont="1" applyFill="1" applyBorder="1" applyAlignment="1">
      <alignment horizontal="left" vertical="center" wrapText="1"/>
    </xf>
    <xf numFmtId="0" fontId="63" fillId="91" borderId="1" xfId="0" applyFont="1" applyFill="1" applyBorder="1" applyAlignment="1">
      <alignment horizontal="left" vertical="center" wrapText="1"/>
    </xf>
    <xf numFmtId="0" fontId="63" fillId="92" borderId="1" xfId="0" applyFont="1" applyFill="1" applyBorder="1" applyAlignment="1">
      <alignment horizontal="left" vertical="center" wrapText="1"/>
    </xf>
    <xf numFmtId="0" fontId="63" fillId="93" borderId="1" xfId="0" applyFont="1" applyFill="1" applyBorder="1" applyAlignment="1">
      <alignment horizontal="left" vertical="center" wrapText="1"/>
    </xf>
    <xf numFmtId="0" fontId="63" fillId="94" borderId="1" xfId="0" applyFont="1" applyFill="1" applyBorder="1" applyAlignment="1">
      <alignment horizontal="left" vertical="center" wrapText="1"/>
    </xf>
    <xf numFmtId="0" fontId="63" fillId="84" borderId="1" xfId="0" applyFont="1" applyFill="1" applyBorder="1" applyAlignment="1">
      <alignment horizontal="left" vertical="center" wrapText="1"/>
    </xf>
    <xf numFmtId="0" fontId="63" fillId="89" borderId="1" xfId="0" applyFont="1" applyFill="1" applyBorder="1" applyAlignment="1">
      <alignment horizontal="left" vertical="center" wrapText="1"/>
    </xf>
    <xf numFmtId="0" fontId="63" fillId="54" borderId="1" xfId="0" applyFont="1" applyFill="1" applyBorder="1" applyAlignment="1">
      <alignment horizontal="left" vertical="center" wrapText="1"/>
    </xf>
    <xf numFmtId="0" fontId="63" fillId="88" borderId="1" xfId="0" applyFont="1" applyFill="1" applyBorder="1" applyAlignment="1">
      <alignment horizontal="left" vertical="center" wrapText="1"/>
    </xf>
    <xf numFmtId="0" fontId="63" fillId="72" borderId="1" xfId="0" applyFont="1" applyFill="1" applyBorder="1" applyAlignment="1">
      <alignment horizontal="left" vertical="center" wrapText="1"/>
    </xf>
    <xf numFmtId="0" fontId="66" fillId="86" borderId="5" xfId="0" applyFont="1" applyFill="1" applyBorder="1" applyAlignment="1">
      <alignment horizontal="left" vertical="center" wrapText="1"/>
    </xf>
    <xf numFmtId="0" fontId="66" fillId="59" borderId="1" xfId="0" applyFont="1" applyFill="1" applyBorder="1" applyAlignment="1">
      <alignment horizontal="left" vertical="center" wrapText="1"/>
    </xf>
    <xf numFmtId="0" fontId="66" fillId="2" borderId="1" xfId="0" applyFont="1" applyFill="1" applyBorder="1" applyAlignment="1">
      <alignment horizontal="right" vertical="center" wrapText="1"/>
    </xf>
    <xf numFmtId="0" fontId="55" fillId="2" borderId="1" xfId="0" applyFont="1" applyFill="1" applyBorder="1" applyProtection="1">
      <protection locked="0"/>
    </xf>
    <xf numFmtId="0" fontId="66" fillId="2" borderId="1" xfId="0" applyFont="1" applyFill="1" applyBorder="1" applyAlignment="1" applyProtection="1">
      <alignment horizontal="left" vertical="center" wrapText="1"/>
      <protection locked="0"/>
    </xf>
    <xf numFmtId="0" fontId="55" fillId="80" borderId="1" xfId="0" applyFont="1" applyFill="1" applyBorder="1" applyProtection="1">
      <protection locked="0"/>
    </xf>
    <xf numFmtId="0" fontId="55" fillId="81" borderId="1" xfId="0" applyFont="1" applyFill="1" applyBorder="1" applyProtection="1">
      <protection locked="0"/>
    </xf>
    <xf numFmtId="0" fontId="68" fillId="97" borderId="47" xfId="0" applyFont="1" applyFill="1" applyBorder="1" applyAlignment="1">
      <alignment horizontal="center" vertical="top" wrapText="1"/>
    </xf>
    <xf numFmtId="0" fontId="68" fillId="39" borderId="47" xfId="0" applyFont="1" applyFill="1" applyBorder="1" applyAlignment="1">
      <alignment horizontal="center" vertical="top" wrapText="1"/>
    </xf>
    <xf numFmtId="0" fontId="69" fillId="39" borderId="48" xfId="0" applyFont="1" applyFill="1" applyBorder="1" applyAlignment="1">
      <alignment horizontal="center" wrapText="1"/>
    </xf>
    <xf numFmtId="0" fontId="69" fillId="39" borderId="47" xfId="0" applyFont="1" applyFill="1" applyBorder="1" applyAlignment="1">
      <alignment horizontal="center" wrapText="1"/>
    </xf>
    <xf numFmtId="0" fontId="68" fillId="0" borderId="0" xfId="0" applyFont="1"/>
    <xf numFmtId="0" fontId="69" fillId="39" borderId="50" xfId="0" applyFont="1" applyFill="1" applyBorder="1" applyAlignment="1">
      <alignment horizontal="center" wrapText="1"/>
    </xf>
    <xf numFmtId="0" fontId="71" fillId="0" borderId="54" xfId="0" applyFont="1" applyBorder="1" applyAlignment="1">
      <alignment vertical="center" wrapText="1"/>
    </xf>
    <xf numFmtId="0" fontId="70" fillId="0" borderId="54" xfId="0" applyFont="1" applyBorder="1" applyAlignment="1">
      <alignment vertical="center" wrapText="1"/>
    </xf>
    <xf numFmtId="0" fontId="71" fillId="39" borderId="54" xfId="0" applyFont="1" applyFill="1" applyBorder="1" applyAlignment="1">
      <alignment vertical="center" wrapText="1"/>
    </xf>
    <xf numFmtId="0" fontId="71" fillId="0" borderId="0" xfId="0" applyFont="1"/>
    <xf numFmtId="0" fontId="71" fillId="39" borderId="0" xfId="0" applyFont="1" applyFill="1" applyAlignment="1">
      <alignment vertical="center" wrapText="1"/>
    </xf>
    <xf numFmtId="0" fontId="71" fillId="0" borderId="0" xfId="0" applyFont="1" applyAlignment="1">
      <alignment vertical="center" wrapText="1"/>
    </xf>
    <xf numFmtId="0" fontId="70" fillId="0" borderId="0" xfId="0" applyFont="1" applyAlignment="1">
      <alignment vertical="center" wrapText="1"/>
    </xf>
    <xf numFmtId="0" fontId="71" fillId="38" borderId="0" xfId="0" applyFont="1" applyFill="1" applyAlignment="1">
      <alignment vertical="center" wrapText="1"/>
    </xf>
    <xf numFmtId="0" fontId="0" fillId="0" borderId="39" xfId="0" applyBorder="1"/>
    <xf numFmtId="0" fontId="71" fillId="38" borderId="55" xfId="0" applyFont="1" applyFill="1" applyBorder="1" applyAlignment="1">
      <alignment vertical="center" wrapText="1"/>
    </xf>
    <xf numFmtId="0" fontId="71" fillId="0" borderId="55" xfId="0" applyFont="1" applyBorder="1" applyAlignment="1">
      <alignment vertical="center" wrapText="1"/>
    </xf>
    <xf numFmtId="0" fontId="70" fillId="0" borderId="55" xfId="0" applyFont="1" applyBorder="1" applyAlignment="1">
      <alignment vertical="center" wrapText="1"/>
    </xf>
    <xf numFmtId="0" fontId="0" fillId="0" borderId="34" xfId="0" applyBorder="1"/>
    <xf numFmtId="0" fontId="0" fillId="0" borderId="35" xfId="0" applyBorder="1"/>
    <xf numFmtId="0" fontId="71" fillId="39" borderId="26" xfId="0" applyFont="1" applyFill="1" applyBorder="1" applyAlignment="1">
      <alignment vertical="center" wrapText="1"/>
    </xf>
    <xf numFmtId="0" fontId="70" fillId="0" borderId="26" xfId="0" applyFont="1" applyBorder="1" applyAlignment="1">
      <alignment vertical="center" wrapText="1"/>
    </xf>
    <xf numFmtId="0" fontId="71" fillId="0" borderId="34" xfId="0" applyFont="1" applyBorder="1"/>
    <xf numFmtId="0" fontId="71" fillId="0" borderId="35" xfId="0" applyFont="1" applyBorder="1"/>
    <xf numFmtId="0" fontId="71" fillId="0" borderId="39" xfId="0" applyFont="1" applyBorder="1"/>
    <xf numFmtId="0" fontId="56" fillId="0" borderId="5" xfId="0" applyFont="1" applyBorder="1"/>
    <xf numFmtId="0" fontId="74" fillId="39" borderId="56" xfId="0" applyFont="1" applyFill="1" applyBorder="1" applyAlignment="1">
      <alignment horizontal="left" vertical="center" wrapText="1" indent="1"/>
    </xf>
    <xf numFmtId="0" fontId="72" fillId="39" borderId="57" xfId="0" applyFont="1" applyFill="1" applyBorder="1" applyAlignment="1">
      <alignment horizontal="center" vertical="center" wrapText="1"/>
    </xf>
    <xf numFmtId="0" fontId="74" fillId="39" borderId="58" xfId="0" applyFont="1" applyFill="1" applyBorder="1" applyAlignment="1">
      <alignment horizontal="left" vertical="center" wrapText="1" indent="1"/>
    </xf>
    <xf numFmtId="0" fontId="72" fillId="39" borderId="1" xfId="0" applyFont="1" applyFill="1" applyBorder="1" applyAlignment="1">
      <alignment horizontal="center" vertical="center" wrapText="1"/>
    </xf>
    <xf numFmtId="0" fontId="72" fillId="39" borderId="24" xfId="0" applyFont="1" applyFill="1" applyBorder="1" applyAlignment="1">
      <alignment horizontal="center" vertical="center" wrapText="1"/>
    </xf>
    <xf numFmtId="0" fontId="72" fillId="39" borderId="2" xfId="0" applyFont="1" applyFill="1" applyBorder="1" applyAlignment="1">
      <alignment horizontal="center" vertical="center" wrapText="1"/>
    </xf>
    <xf numFmtId="0" fontId="72" fillId="39" borderId="59" xfId="0" applyFont="1" applyFill="1" applyBorder="1" applyAlignment="1">
      <alignment horizontal="center" vertical="center" wrapText="1"/>
    </xf>
    <xf numFmtId="0" fontId="62" fillId="38" borderId="1" xfId="0" applyFont="1" applyFill="1" applyBorder="1" applyAlignment="1">
      <alignment vertical="center"/>
    </xf>
    <xf numFmtId="0" fontId="62" fillId="0" borderId="1" xfId="0" applyFont="1" applyBorder="1" applyAlignment="1">
      <alignment horizontal="left" vertical="center"/>
    </xf>
    <xf numFmtId="170" fontId="56" fillId="0" borderId="1" xfId="0" applyNumberFormat="1" applyFont="1" applyBorder="1" applyAlignment="1">
      <alignment horizontal="right" vertical="center"/>
    </xf>
    <xf numFmtId="0" fontId="0" fillId="0" borderId="1" xfId="0" applyBorder="1" applyAlignment="1">
      <alignment horizontal="right" vertical="center"/>
    </xf>
    <xf numFmtId="170" fontId="62" fillId="0" borderId="1" xfId="0" applyNumberFormat="1" applyFont="1" applyBorder="1" applyAlignment="1">
      <alignment horizontal="right" vertical="center"/>
    </xf>
    <xf numFmtId="170" fontId="0" fillId="0" borderId="1" xfId="0" applyNumberFormat="1" applyBorder="1" applyAlignment="1">
      <alignment horizontal="right" vertical="center"/>
    </xf>
    <xf numFmtId="170" fontId="56" fillId="0" borderId="1" xfId="0" applyNumberFormat="1" applyFont="1" applyBorder="1" applyAlignment="1">
      <alignment horizontal="left" vertical="center" indent="11"/>
    </xf>
    <xf numFmtId="170" fontId="62" fillId="0" borderId="1" xfId="0" applyNumberFormat="1" applyFont="1" applyBorder="1" applyAlignment="1">
      <alignment horizontal="left" vertical="center" indent="11"/>
    </xf>
    <xf numFmtId="170" fontId="0" fillId="0" borderId="1" xfId="0" applyNumberFormat="1" applyBorder="1" applyAlignment="1">
      <alignment horizontal="left" indent="10"/>
    </xf>
    <xf numFmtId="0" fontId="66" fillId="52" borderId="1" xfId="0" applyFont="1" applyFill="1" applyBorder="1" applyAlignment="1">
      <alignment horizontal="center" vertical="center" wrapText="1"/>
    </xf>
    <xf numFmtId="0" fontId="66" fillId="52" borderId="1" xfId="0" applyFont="1" applyFill="1" applyBorder="1" applyAlignment="1">
      <alignment horizontal="left" vertical="center" wrapText="1"/>
    </xf>
    <xf numFmtId="3" fontId="58" fillId="35" borderId="4" xfId="0" applyNumberFormat="1" applyFont="1" applyFill="1" applyBorder="1" applyAlignment="1">
      <alignment vertical="center" wrapText="1"/>
    </xf>
    <xf numFmtId="3" fontId="3" fillId="56" borderId="1" xfId="0" applyNumberFormat="1" applyFont="1" applyFill="1" applyBorder="1" applyAlignment="1" applyProtection="1">
      <alignment horizontal="right" vertical="center" indent="1"/>
      <protection hidden="1"/>
    </xf>
    <xf numFmtId="0" fontId="0" fillId="2" borderId="20" xfId="0" applyFill="1" applyBorder="1"/>
    <xf numFmtId="0" fontId="63" fillId="2" borderId="0" xfId="0" applyFont="1" applyFill="1" applyAlignment="1">
      <alignment vertical="center" wrapText="1"/>
    </xf>
    <xf numFmtId="0" fontId="0" fillId="2" borderId="4" xfId="0" applyFill="1" applyBorder="1" applyAlignment="1" applyProtection="1">
      <alignment vertical="center"/>
      <protection locked="0"/>
    </xf>
    <xf numFmtId="0" fontId="56" fillId="0" borderId="1" xfId="0" applyFont="1" applyBorder="1" applyAlignment="1">
      <alignment horizontal="left" indent="6"/>
    </xf>
    <xf numFmtId="170" fontId="56" fillId="0" borderId="1" xfId="0" applyNumberFormat="1" applyFont="1" applyBorder="1" applyAlignment="1">
      <alignment horizontal="left" indent="6"/>
    </xf>
    <xf numFmtId="0" fontId="62" fillId="2" borderId="1" xfId="0" applyFont="1" applyFill="1" applyBorder="1" applyAlignment="1">
      <alignment horizontal="left"/>
    </xf>
    <xf numFmtId="0" fontId="56" fillId="0" borderId="1" xfId="0" applyFont="1" applyBorder="1" applyAlignment="1" applyProtection="1">
      <alignment horizontal="center"/>
      <protection hidden="1"/>
    </xf>
    <xf numFmtId="0" fontId="56" fillId="38" borderId="1" xfId="0" applyFont="1" applyFill="1" applyBorder="1" applyProtection="1">
      <protection hidden="1"/>
    </xf>
    <xf numFmtId="0" fontId="56" fillId="0" borderId="1" xfId="0" applyFont="1" applyBorder="1" applyProtection="1">
      <protection hidden="1"/>
    </xf>
    <xf numFmtId="0" fontId="56" fillId="69" borderId="1" xfId="0" applyFont="1" applyFill="1" applyBorder="1" applyProtection="1">
      <protection hidden="1"/>
    </xf>
    <xf numFmtId="0" fontId="56" fillId="69" borderId="1" xfId="0" applyFont="1" applyFill="1" applyBorder="1" applyAlignment="1" applyProtection="1">
      <alignment horizontal="center"/>
      <protection hidden="1"/>
    </xf>
    <xf numFmtId="0" fontId="56" fillId="70" borderId="1" xfId="0" applyFont="1" applyFill="1" applyBorder="1" applyProtection="1">
      <protection hidden="1"/>
    </xf>
    <xf numFmtId="0" fontId="56" fillId="71" borderId="1" xfId="0" applyFont="1" applyFill="1" applyBorder="1" applyProtection="1">
      <protection hidden="1"/>
    </xf>
    <xf numFmtId="0" fontId="62" fillId="96" borderId="1" xfId="0" applyFont="1" applyFill="1" applyBorder="1" applyAlignment="1" applyProtection="1">
      <alignment horizontal="left" vertical="center"/>
      <protection hidden="1"/>
    </xf>
    <xf numFmtId="0" fontId="56" fillId="53" borderId="1" xfId="0" applyFont="1" applyFill="1" applyBorder="1" applyProtection="1">
      <protection hidden="1"/>
    </xf>
    <xf numFmtId="0" fontId="66" fillId="49" borderId="5" xfId="0" applyFont="1" applyFill="1" applyBorder="1" applyAlignment="1">
      <alignment horizontal="center" vertical="center" wrapText="1"/>
    </xf>
    <xf numFmtId="0" fontId="66" fillId="98" borderId="5" xfId="0" applyFont="1" applyFill="1" applyBorder="1" applyAlignment="1">
      <alignment horizontal="center" vertical="center" wrapText="1"/>
    </xf>
    <xf numFmtId="0" fontId="63" fillId="89" borderId="5" xfId="0" applyFont="1" applyFill="1" applyBorder="1" applyAlignment="1">
      <alignment horizontal="center" vertical="center" wrapText="1"/>
    </xf>
    <xf numFmtId="0" fontId="63" fillId="99" borderId="5" xfId="0" applyFont="1" applyFill="1" applyBorder="1" applyAlignment="1">
      <alignment horizontal="center" vertical="center" wrapText="1"/>
    </xf>
    <xf numFmtId="0" fontId="63" fillId="100" borderId="5" xfId="0" applyFont="1" applyFill="1" applyBorder="1" applyAlignment="1">
      <alignment horizontal="center" vertical="center" wrapText="1"/>
    </xf>
    <xf numFmtId="0" fontId="66" fillId="87" borderId="1" xfId="0" applyFont="1" applyFill="1" applyBorder="1" applyAlignment="1">
      <alignment horizontal="left" vertical="center" wrapText="1"/>
    </xf>
    <xf numFmtId="0" fontId="66" fillId="35" borderId="1" xfId="0" applyFont="1" applyFill="1" applyBorder="1" applyAlignment="1" applyProtection="1">
      <alignment horizontal="center" vertical="center" wrapText="1"/>
      <protection hidden="1"/>
    </xf>
    <xf numFmtId="0" fontId="66" fillId="49" borderId="5" xfId="0" applyFont="1" applyFill="1" applyBorder="1" applyAlignment="1">
      <alignment horizontal="left" vertical="center" wrapText="1"/>
    </xf>
    <xf numFmtId="0" fontId="63" fillId="101" borderId="20" xfId="0" applyFont="1" applyFill="1" applyBorder="1" applyAlignment="1">
      <alignment horizontal="center" vertical="center" wrapText="1"/>
    </xf>
    <xf numFmtId="0" fontId="63" fillId="102" borderId="20" xfId="0" applyFont="1" applyFill="1" applyBorder="1" applyAlignment="1">
      <alignment horizontal="center" vertical="center" wrapText="1"/>
    </xf>
    <xf numFmtId="0" fontId="63" fillId="102" borderId="20" xfId="0" applyFont="1" applyFill="1" applyBorder="1" applyAlignment="1">
      <alignment horizontal="left" vertical="center" wrapText="1"/>
    </xf>
    <xf numFmtId="0" fontId="63" fillId="101" borderId="20" xfId="0" applyFont="1" applyFill="1" applyBorder="1" applyAlignment="1">
      <alignment horizontal="left" vertical="center" wrapText="1"/>
    </xf>
    <xf numFmtId="0" fontId="66" fillId="98" borderId="5" xfId="0" applyFont="1" applyFill="1" applyBorder="1" applyAlignment="1">
      <alignment horizontal="left" vertical="center" wrapText="1"/>
    </xf>
    <xf numFmtId="0" fontId="63" fillId="89" borderId="5" xfId="0" applyFont="1" applyFill="1" applyBorder="1" applyAlignment="1">
      <alignment horizontal="left" vertical="center" wrapText="1"/>
    </xf>
    <xf numFmtId="0" fontId="63" fillId="100" borderId="5" xfId="0" applyFont="1" applyFill="1" applyBorder="1" applyAlignment="1">
      <alignment horizontal="left" vertical="center" wrapText="1"/>
    </xf>
    <xf numFmtId="0" fontId="63" fillId="99" borderId="5" xfId="0" applyFont="1" applyFill="1" applyBorder="1" applyAlignment="1">
      <alignment horizontal="left" vertical="center" wrapText="1"/>
    </xf>
    <xf numFmtId="0" fontId="0" fillId="2" borderId="1" xfId="0" applyFill="1" applyBorder="1" applyAlignment="1">
      <alignment vertical="center"/>
    </xf>
    <xf numFmtId="0" fontId="64" fillId="2" borderId="1" xfId="0" applyFont="1" applyFill="1" applyBorder="1" applyAlignment="1">
      <alignment horizontal="left" vertical="center"/>
    </xf>
    <xf numFmtId="0" fontId="75" fillId="0" borderId="0" xfId="0" applyFont="1"/>
    <xf numFmtId="0" fontId="66" fillId="103" borderId="5" xfId="0" applyFont="1" applyFill="1" applyBorder="1" applyAlignment="1">
      <alignment horizontal="center" vertical="center" wrapText="1"/>
    </xf>
    <xf numFmtId="0" fontId="66" fillId="103" borderId="5" xfId="0" applyFont="1" applyFill="1" applyBorder="1" applyAlignment="1">
      <alignment horizontal="left" vertical="center" wrapText="1"/>
    </xf>
    <xf numFmtId="0" fontId="66" fillId="104" borderId="20" xfId="0" applyFont="1" applyFill="1" applyBorder="1" applyAlignment="1">
      <alignment horizontal="center" vertical="center" wrapText="1"/>
    </xf>
    <xf numFmtId="0" fontId="66" fillId="105" borderId="20" xfId="0" applyFont="1" applyFill="1" applyBorder="1" applyAlignment="1">
      <alignment horizontal="center" vertical="center" wrapText="1"/>
    </xf>
    <xf numFmtId="0" fontId="66" fillId="104" borderId="1" xfId="0" applyFont="1" applyFill="1" applyBorder="1" applyAlignment="1">
      <alignment horizontal="left" vertical="center" wrapText="1"/>
    </xf>
    <xf numFmtId="0" fontId="66" fillId="105" borderId="1" xfId="0" applyFont="1" applyFill="1" applyBorder="1" applyAlignment="1">
      <alignment horizontal="left" vertical="center" wrapText="1"/>
    </xf>
    <xf numFmtId="169" fontId="0" fillId="0" borderId="1" xfId="0" applyNumberFormat="1" applyBorder="1"/>
    <xf numFmtId="0" fontId="63" fillId="106" borderId="20" xfId="0" applyFont="1" applyFill="1" applyBorder="1" applyAlignment="1">
      <alignment horizontal="center" vertical="center" wrapText="1"/>
    </xf>
    <xf numFmtId="0" fontId="66" fillId="2" borderId="0" xfId="0" applyFont="1" applyFill="1" applyAlignment="1">
      <alignment horizontal="center" vertical="center" wrapText="1"/>
    </xf>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63" fillId="106" borderId="20" xfId="0" applyFont="1" applyFill="1" applyBorder="1" applyAlignment="1">
      <alignment horizontal="left" vertical="center" wrapText="1"/>
    </xf>
    <xf numFmtId="4" fontId="16" fillId="2" borderId="0" xfId="0" applyNumberFormat="1" applyFont="1" applyFill="1" applyAlignment="1">
      <alignment vertical="center" wrapText="1"/>
    </xf>
    <xf numFmtId="0" fontId="16" fillId="66" borderId="27" xfId="0" applyFont="1" applyFill="1" applyBorder="1" applyAlignment="1">
      <alignment vertical="center"/>
    </xf>
    <xf numFmtId="0" fontId="16" fillId="66" borderId="25" xfId="0" applyFont="1" applyFill="1" applyBorder="1" applyAlignment="1">
      <alignment horizontal="center" vertical="center"/>
    </xf>
    <xf numFmtId="0" fontId="0" fillId="2" borderId="4" xfId="0" applyFill="1" applyBorder="1" applyAlignment="1" applyProtection="1">
      <alignment horizontal="center" vertical="center"/>
      <protection locked="0"/>
    </xf>
    <xf numFmtId="0" fontId="16" fillId="66" borderId="65" xfId="0" applyFont="1" applyFill="1" applyBorder="1" applyAlignment="1">
      <alignment horizontal="center" vertical="center"/>
    </xf>
    <xf numFmtId="0" fontId="56" fillId="2" borderId="1" xfId="0" applyFont="1" applyFill="1" applyBorder="1" applyProtection="1">
      <protection hidden="1"/>
    </xf>
    <xf numFmtId="0" fontId="56" fillId="80" borderId="1" xfId="0" applyFont="1" applyFill="1" applyBorder="1" applyProtection="1">
      <protection hidden="1"/>
    </xf>
    <xf numFmtId="0" fontId="56" fillId="81" borderId="1" xfId="0" applyFont="1" applyFill="1" applyBorder="1" applyProtection="1">
      <protection hidden="1"/>
    </xf>
    <xf numFmtId="176" fontId="37" fillId="2" borderId="66" xfId="0" applyNumberFormat="1" applyFont="1" applyFill="1" applyBorder="1" applyAlignment="1">
      <alignment horizontal="right" vertical="center" wrapText="1" indent="1"/>
    </xf>
    <xf numFmtId="0" fontId="0" fillId="2" borderId="1" xfId="0" applyFill="1" applyBorder="1" applyProtection="1">
      <protection locked="0"/>
    </xf>
    <xf numFmtId="176" fontId="3" fillId="53" borderId="1" xfId="0" applyNumberFormat="1" applyFont="1" applyFill="1" applyBorder="1" applyAlignment="1" applyProtection="1">
      <alignment horizontal="right" vertical="center" indent="1"/>
      <protection hidden="1"/>
    </xf>
    <xf numFmtId="0" fontId="0" fillId="56" borderId="1" xfId="0" applyFill="1" applyBorder="1" applyProtection="1">
      <protection hidden="1"/>
    </xf>
    <xf numFmtId="176" fontId="16" fillId="68" borderId="61" xfId="0" applyNumberFormat="1" applyFont="1" applyFill="1" applyBorder="1" applyAlignment="1" applyProtection="1">
      <alignment horizontal="right" vertical="center" wrapText="1" indent="2"/>
      <protection hidden="1"/>
    </xf>
    <xf numFmtId="0" fontId="0" fillId="2" borderId="39" xfId="0" applyFill="1" applyBorder="1" applyAlignment="1" applyProtection="1">
      <alignment horizontal="center" vertical="center"/>
      <protection locked="0"/>
    </xf>
    <xf numFmtId="0" fontId="16" fillId="66" borderId="33" xfId="0" applyFont="1" applyFill="1" applyBorder="1" applyAlignment="1">
      <alignment vertical="center" wrapText="1"/>
    </xf>
    <xf numFmtId="0" fontId="36" fillId="47" borderId="4" xfId="0" applyFont="1" applyFill="1" applyBorder="1" applyAlignment="1">
      <alignment horizontal="center" vertical="center"/>
    </xf>
    <xf numFmtId="0" fontId="36" fillId="35" borderId="20" xfId="0" applyFont="1" applyFill="1" applyBorder="1" applyAlignment="1">
      <alignment horizontal="center" vertical="center"/>
    </xf>
    <xf numFmtId="0" fontId="56" fillId="0" borderId="0" xfId="0" applyFont="1" applyAlignment="1">
      <alignment wrapText="1"/>
    </xf>
    <xf numFmtId="183" fontId="0" fillId="0" borderId="0" xfId="0" applyNumberFormat="1"/>
    <xf numFmtId="0" fontId="63" fillId="108" borderId="1" xfId="0" applyFont="1" applyFill="1" applyBorder="1" applyAlignment="1">
      <alignment horizontal="center" vertical="center" wrapText="1"/>
    </xf>
    <xf numFmtId="0" fontId="63" fillId="108" borderId="1" xfId="0" applyFont="1" applyFill="1" applyBorder="1" applyAlignment="1">
      <alignment horizontal="left" vertical="center" wrapText="1"/>
    </xf>
    <xf numFmtId="0" fontId="16" fillId="82" borderId="5" xfId="0" applyFont="1" applyFill="1" applyBorder="1" applyAlignment="1">
      <alignment horizontal="left" vertical="center" wrapText="1"/>
    </xf>
    <xf numFmtId="0" fontId="16" fillId="83" borderId="5" xfId="0" applyFont="1" applyFill="1" applyBorder="1" applyAlignment="1">
      <alignment horizontal="left" vertical="center" wrapText="1"/>
    </xf>
    <xf numFmtId="0" fontId="16" fillId="84" borderId="5" xfId="0" applyFont="1" applyFill="1" applyBorder="1" applyAlignment="1">
      <alignment horizontal="left" vertical="center" wrapText="1"/>
    </xf>
    <xf numFmtId="0" fontId="16" fillId="79" borderId="5" xfId="0" applyFont="1" applyFill="1" applyBorder="1" applyAlignment="1">
      <alignment horizontal="left" vertical="center" wrapText="1"/>
    </xf>
    <xf numFmtId="0" fontId="16" fillId="85" borderId="5" xfId="0" applyFont="1" applyFill="1" applyBorder="1" applyAlignment="1">
      <alignment horizontal="left" vertical="center" wrapText="1"/>
    </xf>
    <xf numFmtId="0" fontId="16" fillId="86" borderId="5" xfId="0" applyFont="1" applyFill="1" applyBorder="1" applyAlignment="1">
      <alignment horizontal="left" vertical="center" wrapText="1"/>
    </xf>
    <xf numFmtId="0" fontId="16" fillId="66" borderId="43" xfId="0" applyFont="1" applyFill="1" applyBorder="1" applyAlignment="1">
      <alignment horizontal="center" vertical="center"/>
    </xf>
    <xf numFmtId="0" fontId="16" fillId="66" borderId="69" xfId="0" applyFont="1" applyFill="1" applyBorder="1" applyAlignment="1">
      <alignment horizontal="center" vertical="center"/>
    </xf>
    <xf numFmtId="0" fontId="16" fillId="66" borderId="25" xfId="0" applyFont="1" applyFill="1" applyBorder="1" applyAlignment="1">
      <alignment vertical="center"/>
    </xf>
    <xf numFmtId="0" fontId="0" fillId="57" borderId="1" xfId="0" applyFill="1" applyBorder="1" applyAlignment="1" applyProtection="1">
      <alignment horizontal="center" vertical="center"/>
      <protection locked="0"/>
    </xf>
    <xf numFmtId="0" fontId="16" fillId="66" borderId="28" xfId="0" applyFont="1" applyFill="1" applyBorder="1" applyAlignment="1">
      <alignment horizontal="center" vertical="center"/>
    </xf>
    <xf numFmtId="0" fontId="0" fillId="35" borderId="1" xfId="0" applyFill="1" applyBorder="1"/>
    <xf numFmtId="166" fontId="3" fillId="55" borderId="0" xfId="1" applyNumberFormat="1" applyFont="1" applyFill="1" applyBorder="1" applyAlignment="1">
      <alignment wrapText="1"/>
    </xf>
    <xf numFmtId="0" fontId="78" fillId="54" borderId="1" xfId="0" applyFont="1" applyFill="1" applyBorder="1" applyAlignment="1">
      <alignment wrapText="1"/>
    </xf>
    <xf numFmtId="0" fontId="0" fillId="2" borderId="0" xfId="0" applyFill="1" applyAlignment="1">
      <alignment horizontal="left" vertical="center"/>
    </xf>
    <xf numFmtId="0" fontId="63" fillId="76" borderId="1" xfId="0" applyFont="1" applyFill="1" applyBorder="1" applyAlignment="1" applyProtection="1">
      <alignment horizontal="left" vertical="center"/>
      <protection hidden="1"/>
    </xf>
    <xf numFmtId="0" fontId="63" fillId="78" borderId="1" xfId="0" applyFont="1" applyFill="1" applyBorder="1" applyAlignment="1" applyProtection="1">
      <alignment horizontal="left" vertical="center"/>
      <protection hidden="1"/>
    </xf>
    <xf numFmtId="0" fontId="66" fillId="36" borderId="1" xfId="0" applyFont="1" applyFill="1" applyBorder="1" applyAlignment="1" applyProtection="1">
      <alignment horizontal="left" vertical="center"/>
      <protection hidden="1"/>
    </xf>
    <xf numFmtId="0" fontId="63" fillId="75" borderId="1" xfId="0" applyFont="1" applyFill="1" applyBorder="1" applyAlignment="1" applyProtection="1">
      <alignment horizontal="left" vertical="center"/>
      <protection hidden="1"/>
    </xf>
    <xf numFmtId="0" fontId="63" fillId="77" borderId="1" xfId="0" applyFont="1" applyFill="1" applyBorder="1" applyAlignment="1" applyProtection="1">
      <alignment horizontal="left" vertical="center"/>
      <protection hidden="1"/>
    </xf>
    <xf numFmtId="0" fontId="63" fillId="79" borderId="1" xfId="0" applyFont="1" applyFill="1" applyBorder="1" applyAlignment="1" applyProtection="1">
      <alignment horizontal="left" vertical="center"/>
      <protection hidden="1"/>
    </xf>
    <xf numFmtId="0" fontId="63" fillId="74" borderId="1" xfId="0" applyFont="1" applyFill="1" applyBorder="1" applyAlignment="1" applyProtection="1">
      <alignment horizontal="left" vertical="center"/>
      <protection hidden="1"/>
    </xf>
    <xf numFmtId="0" fontId="63" fillId="57" borderId="1" xfId="0" applyFont="1" applyFill="1" applyBorder="1" applyAlignment="1" applyProtection="1">
      <alignment horizontal="left" vertical="center"/>
      <protection hidden="1"/>
    </xf>
    <xf numFmtId="0" fontId="63" fillId="73" borderId="1" xfId="0" applyFont="1" applyFill="1" applyBorder="1" applyAlignment="1" applyProtection="1">
      <alignment horizontal="left" vertical="center"/>
      <protection hidden="1"/>
    </xf>
    <xf numFmtId="0" fontId="63" fillId="51" borderId="1" xfId="0" applyFont="1" applyFill="1" applyBorder="1" applyAlignment="1" applyProtection="1">
      <alignment horizontal="left" vertical="center"/>
      <protection hidden="1"/>
    </xf>
    <xf numFmtId="0" fontId="63" fillId="35" borderId="1" xfId="0" applyFont="1" applyFill="1" applyBorder="1" applyAlignment="1" applyProtection="1">
      <alignment horizontal="left" vertical="center"/>
      <protection hidden="1"/>
    </xf>
    <xf numFmtId="0" fontId="66" fillId="38" borderId="1" xfId="0" applyFont="1" applyFill="1" applyBorder="1" applyAlignment="1" applyProtection="1">
      <alignment horizontal="left" vertical="center"/>
      <protection hidden="1"/>
    </xf>
    <xf numFmtId="0" fontId="56" fillId="2" borderId="0" xfId="0" applyFont="1" applyFill="1" applyAlignment="1">
      <alignment horizontal="left" vertical="center"/>
    </xf>
    <xf numFmtId="0" fontId="56" fillId="0" borderId="0" xfId="0" applyFont="1" applyAlignment="1">
      <alignment horizontal="left" vertical="center"/>
    </xf>
    <xf numFmtId="0" fontId="0" fillId="0" borderId="0" xfId="0" applyAlignment="1">
      <alignment horizontal="left" vertical="center"/>
    </xf>
    <xf numFmtId="0" fontId="66" fillId="95" borderId="1" xfId="0" applyFont="1" applyFill="1" applyBorder="1" applyAlignment="1" applyProtection="1">
      <alignment horizontal="left" vertical="center"/>
      <protection hidden="1"/>
    </xf>
    <xf numFmtId="0" fontId="63" fillId="82" borderId="1" xfId="0" applyFont="1" applyFill="1" applyBorder="1" applyAlignment="1" applyProtection="1">
      <alignment horizontal="left" vertical="center"/>
      <protection hidden="1"/>
    </xf>
    <xf numFmtId="0" fontId="63" fillId="83" borderId="1" xfId="0" applyFont="1" applyFill="1" applyBorder="1" applyAlignment="1" applyProtection="1">
      <alignment horizontal="left" vertical="center"/>
      <protection hidden="1"/>
    </xf>
    <xf numFmtId="0" fontId="63" fillId="84" borderId="1" xfId="0" applyFont="1" applyFill="1" applyBorder="1" applyAlignment="1" applyProtection="1">
      <alignment horizontal="left" vertical="center"/>
      <protection hidden="1"/>
    </xf>
    <xf numFmtId="0" fontId="63" fillId="84" borderId="1" xfId="0" applyFont="1" applyFill="1" applyBorder="1" applyAlignment="1" applyProtection="1">
      <alignment horizontal="left" vertical="center" wrapText="1"/>
      <protection hidden="1"/>
    </xf>
    <xf numFmtId="0" fontId="63" fillId="85" borderId="1" xfId="0" applyFont="1" applyFill="1" applyBorder="1" applyAlignment="1" applyProtection="1">
      <alignment horizontal="left" vertical="center"/>
      <protection hidden="1"/>
    </xf>
    <xf numFmtId="0" fontId="63" fillId="86" borderId="1" xfId="0" applyFont="1" applyFill="1" applyBorder="1" applyAlignment="1" applyProtection="1">
      <alignment horizontal="left" vertical="center"/>
      <protection hidden="1"/>
    </xf>
    <xf numFmtId="0" fontId="63" fillId="102" borderId="1" xfId="0" applyFont="1" applyFill="1" applyBorder="1" applyAlignment="1" applyProtection="1">
      <alignment horizontal="left" vertical="center"/>
      <protection hidden="1"/>
    </xf>
    <xf numFmtId="0" fontId="63" fillId="106" borderId="1" xfId="0" applyFont="1" applyFill="1" applyBorder="1" applyAlignment="1" applyProtection="1">
      <alignment horizontal="left" vertical="center"/>
      <protection hidden="1"/>
    </xf>
    <xf numFmtId="0" fontId="66" fillId="49" borderId="1" xfId="0" applyFont="1" applyFill="1" applyBorder="1" applyAlignment="1" applyProtection="1">
      <alignment horizontal="left" vertical="center"/>
      <protection hidden="1"/>
    </xf>
    <xf numFmtId="0" fontId="66" fillId="98" borderId="1" xfId="0" applyFont="1" applyFill="1" applyBorder="1" applyAlignment="1" applyProtection="1">
      <alignment horizontal="left" vertical="center"/>
      <protection hidden="1"/>
    </xf>
    <xf numFmtId="0" fontId="63" fillId="101" borderId="1" xfId="0" applyFont="1" applyFill="1" applyBorder="1" applyAlignment="1" applyProtection="1">
      <alignment horizontal="left" vertical="center"/>
      <protection hidden="1"/>
    </xf>
    <xf numFmtId="0" fontId="56" fillId="107" borderId="1" xfId="0" applyFont="1" applyFill="1" applyBorder="1" applyAlignment="1" applyProtection="1">
      <alignment horizontal="left" vertical="center"/>
      <protection hidden="1"/>
    </xf>
    <xf numFmtId="0" fontId="66" fillId="104" borderId="1" xfId="0" applyFont="1" applyFill="1" applyBorder="1" applyAlignment="1" applyProtection="1">
      <alignment horizontal="left" vertical="center"/>
      <protection hidden="1"/>
    </xf>
    <xf numFmtId="0" fontId="63" fillId="94" borderId="1" xfId="0" applyFont="1" applyFill="1" applyBorder="1" applyAlignment="1" applyProtection="1">
      <alignment horizontal="left" vertical="center" wrapText="1"/>
      <protection hidden="1"/>
    </xf>
    <xf numFmtId="0" fontId="66" fillId="87" borderId="1" xfId="0" applyFont="1" applyFill="1" applyBorder="1" applyAlignment="1" applyProtection="1">
      <alignment horizontal="left" vertical="center" wrapText="1"/>
      <protection hidden="1"/>
    </xf>
    <xf numFmtId="0" fontId="66" fillId="52" borderId="1" xfId="0" applyFont="1" applyFill="1" applyBorder="1" applyAlignment="1" applyProtection="1">
      <alignment horizontal="left" vertical="center" wrapText="1"/>
      <protection hidden="1"/>
    </xf>
    <xf numFmtId="0" fontId="66" fillId="103" borderId="1" xfId="0" applyFont="1" applyFill="1" applyBorder="1" applyAlignment="1" applyProtection="1">
      <alignment horizontal="left" vertical="center" wrapText="1"/>
      <protection hidden="1"/>
    </xf>
    <xf numFmtId="0" fontId="63" fillId="58" borderId="1" xfId="0" applyFont="1" applyFill="1" applyBorder="1" applyAlignment="1" applyProtection="1">
      <alignment horizontal="left" vertical="center" wrapText="1"/>
      <protection hidden="1"/>
    </xf>
    <xf numFmtId="0" fontId="63" fillId="56" borderId="1" xfId="0" applyFont="1" applyFill="1" applyBorder="1" applyAlignment="1" applyProtection="1">
      <alignment horizontal="left" vertical="center" wrapText="1"/>
      <protection hidden="1"/>
    </xf>
    <xf numFmtId="0" fontId="66" fillId="59" borderId="1" xfId="0" applyFont="1" applyFill="1" applyBorder="1" applyAlignment="1" applyProtection="1">
      <alignment horizontal="left" vertical="center" wrapText="1"/>
      <protection hidden="1"/>
    </xf>
    <xf numFmtId="0" fontId="66" fillId="40" borderId="1" xfId="0" applyFont="1" applyFill="1" applyBorder="1" applyAlignment="1" applyProtection="1">
      <alignment horizontal="left" vertical="center" wrapText="1"/>
      <protection hidden="1"/>
    </xf>
    <xf numFmtId="0" fontId="65" fillId="0" borderId="1" xfId="0" applyFont="1" applyBorder="1" applyAlignment="1" applyProtection="1">
      <alignment horizontal="center"/>
      <protection hidden="1"/>
    </xf>
    <xf numFmtId="0" fontId="65" fillId="0" borderId="1" xfId="0" applyFont="1" applyBorder="1" applyProtection="1">
      <protection hidden="1"/>
    </xf>
    <xf numFmtId="0" fontId="56" fillId="109" borderId="1" xfId="0" applyFont="1" applyFill="1" applyBorder="1" applyProtection="1">
      <protection hidden="1"/>
    </xf>
    <xf numFmtId="0" fontId="79" fillId="110" borderId="1" xfId="0" applyFont="1" applyFill="1" applyBorder="1" applyProtection="1">
      <protection hidden="1"/>
    </xf>
    <xf numFmtId="0" fontId="54" fillId="2" borderId="0" xfId="0" applyFont="1" applyFill="1" applyAlignment="1">
      <alignment horizontal="center" vertical="center"/>
    </xf>
    <xf numFmtId="0" fontId="54" fillId="2" borderId="0" xfId="0" applyFont="1" applyFill="1" applyAlignment="1">
      <alignment vertical="center"/>
    </xf>
    <xf numFmtId="0" fontId="56" fillId="38" borderId="1" xfId="0" applyFont="1" applyFill="1" applyBorder="1" applyAlignment="1" applyProtection="1">
      <alignment horizontal="right" indent="1"/>
      <protection hidden="1"/>
    </xf>
    <xf numFmtId="0" fontId="63" fillId="76" borderId="1" xfId="0" applyFont="1" applyFill="1" applyBorder="1" applyAlignment="1" applyProtection="1">
      <alignment horizontal="right" vertical="center" wrapText="1" indent="1"/>
      <protection hidden="1"/>
    </xf>
    <xf numFmtId="0" fontId="63" fillId="78" borderId="1" xfId="0" applyFont="1" applyFill="1" applyBorder="1" applyAlignment="1" applyProtection="1">
      <alignment horizontal="right" vertical="center" wrapText="1" indent="1"/>
      <protection hidden="1"/>
    </xf>
    <xf numFmtId="0" fontId="63" fillId="75" borderId="1" xfId="0" applyFont="1" applyFill="1" applyBorder="1" applyAlignment="1" applyProtection="1">
      <alignment horizontal="right" vertical="center" wrapText="1" indent="1"/>
      <protection hidden="1"/>
    </xf>
    <xf numFmtId="0" fontId="66" fillId="49" borderId="1" xfId="0" applyFont="1" applyFill="1" applyBorder="1" applyAlignment="1" applyProtection="1">
      <alignment horizontal="right" vertical="center" wrapText="1" indent="1"/>
      <protection hidden="1"/>
    </xf>
    <xf numFmtId="179" fontId="63" fillId="75" borderId="1" xfId="0" applyNumberFormat="1" applyFont="1" applyFill="1" applyBorder="1" applyAlignment="1" applyProtection="1">
      <alignment horizontal="right" vertical="center" wrapText="1" indent="1"/>
      <protection hidden="1"/>
    </xf>
    <xf numFmtId="169" fontId="66" fillId="104" borderId="1" xfId="0" applyNumberFormat="1" applyFont="1" applyFill="1" applyBorder="1" applyAlignment="1" applyProtection="1">
      <alignment horizontal="right" vertical="center" wrapText="1" indent="2"/>
      <protection hidden="1"/>
    </xf>
    <xf numFmtId="188" fontId="63" fillId="76" borderId="1" xfId="0" applyNumberFormat="1" applyFont="1" applyFill="1" applyBorder="1" applyAlignment="1" applyProtection="1">
      <alignment horizontal="right" vertical="center" wrapText="1" indent="1"/>
      <protection hidden="1"/>
    </xf>
    <xf numFmtId="0" fontId="56" fillId="70" borderId="1" xfId="0" applyFont="1" applyFill="1" applyBorder="1" applyAlignment="1" applyProtection="1">
      <alignment horizontal="right" indent="1"/>
      <protection hidden="1"/>
    </xf>
    <xf numFmtId="0" fontId="63" fillId="74" borderId="1" xfId="0" applyFont="1" applyFill="1" applyBorder="1" applyAlignment="1" applyProtection="1">
      <alignment horizontal="right" vertical="center" wrapText="1" indent="1"/>
      <protection hidden="1"/>
    </xf>
    <xf numFmtId="0" fontId="63" fillId="57" borderId="1" xfId="0" applyFont="1" applyFill="1" applyBorder="1" applyAlignment="1" applyProtection="1">
      <alignment horizontal="right" vertical="center" wrapText="1" indent="1"/>
      <protection hidden="1"/>
    </xf>
    <xf numFmtId="0" fontId="63" fillId="73" borderId="1" xfId="0" applyFont="1" applyFill="1" applyBorder="1" applyAlignment="1" applyProtection="1">
      <alignment horizontal="right" vertical="center" wrapText="1" indent="1"/>
      <protection hidden="1"/>
    </xf>
    <xf numFmtId="0" fontId="63" fillId="51" borderId="1" xfId="0" applyFont="1" applyFill="1" applyBorder="1" applyAlignment="1" applyProtection="1">
      <alignment horizontal="right" vertical="center" wrapText="1" indent="1"/>
      <protection hidden="1"/>
    </xf>
    <xf numFmtId="0" fontId="63" fillId="35" borderId="1" xfId="0" applyFont="1" applyFill="1" applyBorder="1" applyAlignment="1" applyProtection="1">
      <alignment horizontal="right" vertical="center" wrapText="1" indent="1"/>
      <protection hidden="1"/>
    </xf>
    <xf numFmtId="0" fontId="62" fillId="96" borderId="1" xfId="0" applyFont="1" applyFill="1" applyBorder="1" applyAlignment="1" applyProtection="1">
      <alignment horizontal="right" vertical="center" indent="1"/>
      <protection hidden="1"/>
    </xf>
    <xf numFmtId="0" fontId="63" fillId="84" borderId="1" xfId="0" applyFont="1" applyFill="1" applyBorder="1" applyAlignment="1" applyProtection="1">
      <alignment horizontal="right" vertical="center" wrapText="1" indent="1"/>
      <protection hidden="1"/>
    </xf>
    <xf numFmtId="0" fontId="63" fillId="94" borderId="1" xfId="0" applyFont="1" applyFill="1" applyBorder="1" applyAlignment="1" applyProtection="1">
      <alignment horizontal="right" vertical="center" wrapText="1" indent="1"/>
      <protection hidden="1"/>
    </xf>
    <xf numFmtId="0" fontId="66" fillId="87" borderId="1" xfId="0" applyFont="1" applyFill="1" applyBorder="1" applyAlignment="1" applyProtection="1">
      <alignment horizontal="right" vertical="center" wrapText="1" indent="1"/>
      <protection hidden="1"/>
    </xf>
    <xf numFmtId="0" fontId="66" fillId="52" borderId="1" xfId="0" applyFont="1" applyFill="1" applyBorder="1" applyAlignment="1" applyProtection="1">
      <alignment horizontal="right" vertical="center" wrapText="1" indent="1"/>
      <protection hidden="1"/>
    </xf>
    <xf numFmtId="0" fontId="66" fillId="103" borderId="1" xfId="0" applyFont="1" applyFill="1" applyBorder="1" applyAlignment="1" applyProtection="1">
      <alignment horizontal="right" vertical="center" wrapText="1" indent="1"/>
      <protection hidden="1"/>
    </xf>
    <xf numFmtId="0" fontId="63" fillId="58" borderId="1" xfId="0" applyFont="1" applyFill="1" applyBorder="1" applyAlignment="1" applyProtection="1">
      <alignment horizontal="right" vertical="center" wrapText="1" indent="1"/>
      <protection hidden="1"/>
    </xf>
    <xf numFmtId="0" fontId="63" fillId="56" borderId="1" xfId="0" applyFont="1" applyFill="1" applyBorder="1" applyAlignment="1" applyProtection="1">
      <alignment horizontal="right" vertical="center" wrapText="1" indent="1"/>
      <protection hidden="1"/>
    </xf>
    <xf numFmtId="0" fontId="66" fillId="59" borderId="1" xfId="0" applyFont="1" applyFill="1" applyBorder="1" applyAlignment="1" applyProtection="1">
      <alignment horizontal="right" vertical="center" wrapText="1" indent="1"/>
      <protection hidden="1"/>
    </xf>
    <xf numFmtId="0" fontId="66" fillId="40" borderId="1" xfId="0" applyFont="1" applyFill="1" applyBorder="1" applyAlignment="1" applyProtection="1">
      <alignment horizontal="right" vertical="center" wrapText="1" indent="1"/>
      <protection hidden="1"/>
    </xf>
    <xf numFmtId="0" fontId="63" fillId="82" borderId="1" xfId="0" applyFont="1" applyFill="1" applyBorder="1" applyAlignment="1" applyProtection="1">
      <alignment horizontal="right" vertical="center" wrapText="1" indent="1"/>
      <protection hidden="1"/>
    </xf>
    <xf numFmtId="0" fontId="63" fillId="83" borderId="1" xfId="0" applyFont="1" applyFill="1" applyBorder="1" applyAlignment="1" applyProtection="1">
      <alignment horizontal="right" vertical="center" wrapText="1" indent="1"/>
      <protection hidden="1"/>
    </xf>
    <xf numFmtId="0" fontId="63" fillId="79" borderId="1" xfId="0" applyFont="1" applyFill="1" applyBorder="1" applyAlignment="1" applyProtection="1">
      <alignment horizontal="right" vertical="center" wrapText="1" indent="1"/>
      <protection hidden="1"/>
    </xf>
    <xf numFmtId="0" fontId="63" fillId="85" borderId="1" xfId="0" applyFont="1" applyFill="1" applyBorder="1" applyAlignment="1" applyProtection="1">
      <alignment horizontal="right" vertical="center" wrapText="1" indent="1"/>
      <protection hidden="1"/>
    </xf>
    <xf numFmtId="0" fontId="63" fillId="86" borderId="1" xfId="0" applyFont="1" applyFill="1" applyBorder="1" applyAlignment="1" applyProtection="1">
      <alignment horizontal="right" vertical="center" wrapText="1" indent="1"/>
      <protection hidden="1"/>
    </xf>
    <xf numFmtId="0" fontId="57" fillId="52" borderId="1" xfId="0" applyFont="1" applyFill="1" applyBorder="1" applyAlignment="1" applyProtection="1">
      <alignment horizontal="center" vertical="center"/>
      <protection hidden="1"/>
    </xf>
    <xf numFmtId="0" fontId="58" fillId="35" borderId="1" xfId="0" applyFont="1" applyFill="1" applyBorder="1" applyAlignment="1" applyProtection="1">
      <alignment horizontal="center" vertical="center" wrapText="1"/>
      <protection hidden="1"/>
    </xf>
    <xf numFmtId="0" fontId="16" fillId="56" borderId="1" xfId="0" applyFont="1" applyFill="1" applyBorder="1" applyAlignment="1" applyProtection="1">
      <alignment horizontal="center" vertical="center" wrapText="1"/>
      <protection hidden="1"/>
    </xf>
    <xf numFmtId="3" fontId="35" fillId="43" borderId="1" xfId="0" applyNumberFormat="1" applyFont="1" applyFill="1" applyBorder="1" applyAlignment="1" applyProtection="1">
      <alignment horizontal="center" vertical="center"/>
      <protection hidden="1"/>
    </xf>
    <xf numFmtId="2" fontId="3" fillId="44" borderId="1" xfId="0" applyNumberFormat="1" applyFont="1" applyFill="1" applyBorder="1" applyAlignment="1">
      <alignment horizontal="right" vertical="center" indent="1"/>
    </xf>
    <xf numFmtId="0" fontId="16" fillId="35" borderId="1" xfId="0" applyFont="1" applyFill="1" applyBorder="1"/>
    <xf numFmtId="185" fontId="0" fillId="2" borderId="1" xfId="0" applyNumberFormat="1" applyFill="1" applyBorder="1" applyAlignment="1">
      <alignment horizontal="center"/>
    </xf>
    <xf numFmtId="0" fontId="0" fillId="2" borderId="0" xfId="0" applyFill="1" applyAlignment="1">
      <alignment horizontal="right" vertical="center"/>
    </xf>
    <xf numFmtId="189" fontId="0" fillId="0" borderId="1" xfId="0" applyNumberFormat="1" applyBorder="1"/>
    <xf numFmtId="189" fontId="0" fillId="60" borderId="1" xfId="0" applyNumberFormat="1" applyFill="1" applyBorder="1"/>
    <xf numFmtId="170" fontId="2" fillId="52" borderId="1" xfId="0" applyNumberFormat="1" applyFont="1" applyFill="1" applyBorder="1" applyAlignment="1">
      <alignment horizontal="right" vertical="center" wrapText="1" indent="1"/>
    </xf>
    <xf numFmtId="176" fontId="63" fillId="2" borderId="0" xfId="0" applyNumberFormat="1" applyFont="1" applyFill="1" applyAlignment="1" applyProtection="1">
      <alignment vertical="center"/>
      <protection hidden="1"/>
    </xf>
    <xf numFmtId="176" fontId="16" fillId="56" borderId="1" xfId="0" applyNumberFormat="1" applyFont="1" applyFill="1" applyBorder="1" applyAlignment="1" applyProtection="1">
      <alignment horizontal="center" vertical="center" wrapText="1"/>
      <protection hidden="1"/>
    </xf>
    <xf numFmtId="181" fontId="0" fillId="53" borderId="1" xfId="0" applyNumberFormat="1" applyFill="1" applyBorder="1" applyAlignment="1" applyProtection="1">
      <alignment horizontal="left" vertical="center" indent="2"/>
      <protection locked="0"/>
    </xf>
    <xf numFmtId="181" fontId="3" fillId="53" borderId="1" xfId="0" applyNumberFormat="1" applyFont="1" applyFill="1" applyBorder="1" applyAlignment="1" applyProtection="1">
      <alignment horizontal="left" vertical="center" indent="2"/>
      <protection locked="0"/>
    </xf>
    <xf numFmtId="181" fontId="36" fillId="53" borderId="1" xfId="0" applyNumberFormat="1" applyFont="1" applyFill="1" applyBorder="1" applyAlignment="1" applyProtection="1">
      <alignment horizontal="left" vertical="center" indent="2"/>
      <protection locked="0"/>
    </xf>
    <xf numFmtId="181" fontId="3" fillId="53" borderId="1" xfId="0" applyNumberFormat="1" applyFont="1" applyFill="1" applyBorder="1" applyAlignment="1" applyProtection="1">
      <alignment horizontal="left" vertical="center" wrapText="1" indent="2"/>
      <protection locked="0"/>
    </xf>
    <xf numFmtId="0" fontId="25" fillId="3" borderId="28" xfId="0" applyFont="1" applyFill="1" applyBorder="1" applyAlignment="1">
      <alignment vertical="center" wrapText="1"/>
    </xf>
    <xf numFmtId="0" fontId="0" fillId="2" borderId="32" xfId="0" applyFill="1" applyBorder="1"/>
    <xf numFmtId="189" fontId="0" fillId="2" borderId="0" xfId="0" applyNumberFormat="1" applyFill="1"/>
    <xf numFmtId="4" fontId="36" fillId="57" borderId="1" xfId="0" applyNumberFormat="1" applyFont="1" applyFill="1" applyBorder="1" applyAlignment="1" applyProtection="1">
      <alignment horizontal="center" vertical="center" wrapText="1"/>
      <protection hidden="1"/>
    </xf>
    <xf numFmtId="4" fontId="36" fillId="57" borderId="3" xfId="0" applyNumberFormat="1" applyFont="1" applyFill="1" applyBorder="1" applyAlignment="1" applyProtection="1">
      <alignment vertical="center"/>
      <protection locked="0"/>
    </xf>
    <xf numFmtId="176" fontId="36" fillId="53" borderId="1" xfId="0" applyNumberFormat="1" applyFont="1" applyFill="1" applyBorder="1" applyAlignment="1" applyProtection="1">
      <alignment horizontal="center" vertical="center" wrapText="1"/>
      <protection hidden="1"/>
    </xf>
    <xf numFmtId="4" fontId="36" fillId="53" borderId="3" xfId="0" applyNumberFormat="1" applyFont="1" applyFill="1" applyBorder="1" applyAlignment="1" applyProtection="1">
      <alignment vertical="center"/>
      <protection locked="0"/>
    </xf>
    <xf numFmtId="176" fontId="36" fillId="44" borderId="1" xfId="0" applyNumberFormat="1" applyFont="1" applyFill="1" applyBorder="1" applyAlignment="1" applyProtection="1">
      <alignment horizontal="center" vertical="center" wrapText="1"/>
      <protection hidden="1"/>
    </xf>
    <xf numFmtId="4" fontId="36" fillId="44" borderId="3" xfId="0" applyNumberFormat="1" applyFont="1" applyFill="1" applyBorder="1" applyAlignment="1" applyProtection="1">
      <alignment vertical="center"/>
      <protection locked="0"/>
    </xf>
    <xf numFmtId="4" fontId="36" fillId="43" borderId="1" xfId="0" applyNumberFormat="1" applyFont="1" applyFill="1" applyBorder="1" applyAlignment="1" applyProtection="1">
      <alignment horizontal="center" vertical="center" wrapText="1"/>
      <protection hidden="1"/>
    </xf>
    <xf numFmtId="4" fontId="36" fillId="43" borderId="3" xfId="0" applyNumberFormat="1" applyFont="1" applyFill="1" applyBorder="1" applyAlignment="1" applyProtection="1">
      <alignment vertical="center"/>
      <protection locked="0"/>
    </xf>
    <xf numFmtId="0" fontId="80" fillId="52" borderId="1" xfId="0" applyFont="1" applyFill="1" applyBorder="1" applyAlignment="1" applyProtection="1">
      <alignment horizontal="center" vertical="center"/>
      <protection hidden="1"/>
    </xf>
    <xf numFmtId="0" fontId="80" fillId="39" borderId="1" xfId="0" applyFont="1" applyFill="1" applyBorder="1" applyAlignment="1" applyProtection="1">
      <alignment horizontal="center" vertical="center"/>
      <protection hidden="1"/>
    </xf>
    <xf numFmtId="176" fontId="58" fillId="111" borderId="1" xfId="0" applyNumberFormat="1" applyFont="1" applyFill="1" applyBorder="1" applyAlignment="1" applyProtection="1">
      <alignment horizontal="center" vertical="center" wrapText="1"/>
      <protection hidden="1"/>
    </xf>
    <xf numFmtId="4" fontId="63" fillId="111" borderId="3" xfId="0" applyNumberFormat="1" applyFont="1" applyFill="1" applyBorder="1" applyAlignment="1" applyProtection="1">
      <alignment vertical="center"/>
      <protection hidden="1"/>
    </xf>
    <xf numFmtId="176" fontId="16" fillId="56" borderId="3" xfId="0" applyNumberFormat="1" applyFont="1" applyFill="1" applyBorder="1" applyAlignment="1" applyProtection="1">
      <alignment vertical="center"/>
      <protection hidden="1"/>
    </xf>
    <xf numFmtId="0" fontId="48" fillId="2" borderId="0" xfId="0" applyFont="1" applyFill="1" applyAlignment="1">
      <alignment horizontal="center" wrapText="1"/>
    </xf>
    <xf numFmtId="0" fontId="0" fillId="2" borderId="25" xfId="0" applyFill="1"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left" indent="1"/>
    </xf>
    <xf numFmtId="15" fontId="0" fillId="2" borderId="1" xfId="0" applyNumberFormat="1" applyFill="1" applyBorder="1" applyAlignment="1">
      <alignment horizontal="left" indent="2"/>
    </xf>
    <xf numFmtId="15" fontId="0" fillId="2" borderId="30" xfId="0" applyNumberFormat="1" applyFill="1" applyBorder="1" applyAlignment="1">
      <alignment horizontal="left" indent="2"/>
    </xf>
    <xf numFmtId="0" fontId="25" fillId="3" borderId="27"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0" fillId="2" borderId="1" xfId="0" applyFill="1" applyBorder="1" applyAlignment="1">
      <alignment horizontal="left"/>
    </xf>
    <xf numFmtId="0" fontId="0" fillId="2" borderId="31" xfId="0" applyFill="1" applyBorder="1" applyAlignment="1">
      <alignment horizontal="center"/>
    </xf>
    <xf numFmtId="0" fontId="0" fillId="2" borderId="32" xfId="0" applyFill="1" applyBorder="1" applyAlignment="1">
      <alignment horizontal="center"/>
    </xf>
    <xf numFmtId="0" fontId="0" fillId="2" borderId="32" xfId="0" applyFill="1" applyBorder="1" applyAlignment="1">
      <alignment horizontal="left"/>
    </xf>
    <xf numFmtId="15" fontId="0" fillId="2" borderId="32" xfId="0" applyNumberFormat="1" applyFill="1" applyBorder="1" applyAlignment="1">
      <alignment horizontal="left" indent="2"/>
    </xf>
    <xf numFmtId="15" fontId="0" fillId="2" borderId="33" xfId="0" applyNumberFormat="1" applyFill="1" applyBorder="1" applyAlignment="1">
      <alignment horizontal="left" indent="2"/>
    </xf>
    <xf numFmtId="0" fontId="54" fillId="61" borderId="0" xfId="0" applyFont="1" applyFill="1" applyAlignment="1">
      <alignment horizontal="center" vertical="center"/>
    </xf>
    <xf numFmtId="4" fontId="36" fillId="41" borderId="3" xfId="0" applyNumberFormat="1" applyFont="1" applyFill="1" applyBorder="1" applyAlignment="1" applyProtection="1">
      <alignment horizontal="right" vertical="center" indent="1"/>
      <protection hidden="1"/>
    </xf>
    <xf numFmtId="4" fontId="36" fillId="41" borderId="24" xfId="0" applyNumberFormat="1" applyFont="1" applyFill="1" applyBorder="1" applyAlignment="1" applyProtection="1">
      <alignment horizontal="right" vertical="center" indent="1"/>
      <protection hidden="1"/>
    </xf>
    <xf numFmtId="4" fontId="36" fillId="41" borderId="2" xfId="0" applyNumberFormat="1" applyFont="1" applyFill="1" applyBorder="1" applyAlignment="1" applyProtection="1">
      <alignment horizontal="right" vertical="center" indent="1"/>
      <protection hidden="1"/>
    </xf>
    <xf numFmtId="4" fontId="36" fillId="50" borderId="3" xfId="0" applyNumberFormat="1" applyFont="1" applyFill="1" applyBorder="1" applyAlignment="1" applyProtection="1">
      <alignment horizontal="right" vertical="center" indent="1"/>
      <protection hidden="1"/>
    </xf>
    <xf numFmtId="4" fontId="36" fillId="50" borderId="24" xfId="0" applyNumberFormat="1" applyFont="1" applyFill="1" applyBorder="1" applyAlignment="1" applyProtection="1">
      <alignment horizontal="right" vertical="center" indent="1"/>
      <protection hidden="1"/>
    </xf>
    <xf numFmtId="4" fontId="36" fillId="50" borderId="2" xfId="0" applyNumberFormat="1" applyFont="1" applyFill="1" applyBorder="1" applyAlignment="1" applyProtection="1">
      <alignment horizontal="right" vertical="center" indent="1"/>
      <protection hidden="1"/>
    </xf>
    <xf numFmtId="4" fontId="36" fillId="36" borderId="3" xfId="0" applyNumberFormat="1" applyFont="1" applyFill="1" applyBorder="1" applyAlignment="1" applyProtection="1">
      <alignment horizontal="right" vertical="center" indent="1"/>
      <protection hidden="1"/>
    </xf>
    <xf numFmtId="4" fontId="36" fillId="36" borderId="24" xfId="0" applyNumberFormat="1" applyFont="1" applyFill="1" applyBorder="1" applyAlignment="1" applyProtection="1">
      <alignment horizontal="right" vertical="center" indent="1"/>
      <protection hidden="1"/>
    </xf>
    <xf numFmtId="4" fontId="36" fillId="36" borderId="2" xfId="0" applyNumberFormat="1" applyFont="1" applyFill="1" applyBorder="1" applyAlignment="1" applyProtection="1">
      <alignment horizontal="right" vertical="center" indent="1"/>
      <protection hidden="1"/>
    </xf>
    <xf numFmtId="4" fontId="36" fillId="48" borderId="3" xfId="0" applyNumberFormat="1" applyFont="1" applyFill="1" applyBorder="1" applyAlignment="1" applyProtection="1">
      <alignment horizontal="right" vertical="center" indent="1"/>
      <protection hidden="1"/>
    </xf>
    <xf numFmtId="4" fontId="36" fillId="48" borderId="24" xfId="0" applyNumberFormat="1" applyFont="1" applyFill="1" applyBorder="1" applyAlignment="1" applyProtection="1">
      <alignment horizontal="right" vertical="center" indent="1"/>
      <protection hidden="1"/>
    </xf>
    <xf numFmtId="4" fontId="36" fillId="48" borderId="2" xfId="0" applyNumberFormat="1" applyFont="1" applyFill="1" applyBorder="1" applyAlignment="1" applyProtection="1">
      <alignment horizontal="right" vertical="center" indent="1"/>
      <protection hidden="1"/>
    </xf>
    <xf numFmtId="4" fontId="36" fillId="47" borderId="3" xfId="0" applyNumberFormat="1" applyFont="1" applyFill="1" applyBorder="1" applyAlignment="1" applyProtection="1">
      <alignment horizontal="right" vertical="center" indent="1"/>
      <protection hidden="1"/>
    </xf>
    <xf numFmtId="4" fontId="36" fillId="47" borderId="24" xfId="0" applyNumberFormat="1" applyFont="1" applyFill="1" applyBorder="1" applyAlignment="1" applyProtection="1">
      <alignment horizontal="right" vertical="center" indent="1"/>
      <protection hidden="1"/>
    </xf>
    <xf numFmtId="4" fontId="36" fillId="47" borderId="2" xfId="0" applyNumberFormat="1" applyFont="1" applyFill="1" applyBorder="1" applyAlignment="1" applyProtection="1">
      <alignment horizontal="right" vertical="center" indent="1"/>
      <protection hidden="1"/>
    </xf>
    <xf numFmtId="4" fontId="36" fillId="3" borderId="3" xfId="0" applyNumberFormat="1" applyFont="1" applyFill="1" applyBorder="1" applyAlignment="1" applyProtection="1">
      <alignment horizontal="right" vertical="center" indent="1"/>
      <protection hidden="1"/>
    </xf>
    <xf numFmtId="4" fontId="36" fillId="3" borderId="24" xfId="0" applyNumberFormat="1" applyFont="1" applyFill="1" applyBorder="1" applyAlignment="1" applyProtection="1">
      <alignment horizontal="right" vertical="center" indent="1"/>
      <protection hidden="1"/>
    </xf>
    <xf numFmtId="4" fontId="36" fillId="3" borderId="2" xfId="0" applyNumberFormat="1" applyFont="1" applyFill="1" applyBorder="1" applyAlignment="1" applyProtection="1">
      <alignment horizontal="right" vertical="center" indent="1"/>
      <protection hidden="1"/>
    </xf>
    <xf numFmtId="4" fontId="36" fillId="49" borderId="3" xfId="0" applyNumberFormat="1" applyFont="1" applyFill="1" applyBorder="1" applyAlignment="1" applyProtection="1">
      <alignment horizontal="right" vertical="center" indent="1"/>
      <protection hidden="1"/>
    </xf>
    <xf numFmtId="4" fontId="36" fillId="49" borderId="24" xfId="0" applyNumberFormat="1" applyFont="1" applyFill="1" applyBorder="1" applyAlignment="1" applyProtection="1">
      <alignment horizontal="right" vertical="center" indent="1"/>
      <protection hidden="1"/>
    </xf>
    <xf numFmtId="4" fontId="36" fillId="49" borderId="2" xfId="0" applyNumberFormat="1" applyFont="1" applyFill="1" applyBorder="1" applyAlignment="1" applyProtection="1">
      <alignment horizontal="right" vertical="center" indent="1"/>
      <protection hidden="1"/>
    </xf>
    <xf numFmtId="4" fontId="63" fillId="45" borderId="3" xfId="0" applyNumberFormat="1" applyFont="1" applyFill="1" applyBorder="1" applyAlignment="1" applyProtection="1">
      <alignment horizontal="right" vertical="center" indent="1"/>
      <protection hidden="1"/>
    </xf>
    <xf numFmtId="4" fontId="63" fillId="45" borderId="24" xfId="0" applyNumberFormat="1" applyFont="1" applyFill="1" applyBorder="1" applyAlignment="1" applyProtection="1">
      <alignment horizontal="right" vertical="center" indent="1"/>
      <protection hidden="1"/>
    </xf>
    <xf numFmtId="4" fontId="63" fillId="45" borderId="2" xfId="0" applyNumberFormat="1" applyFont="1" applyFill="1" applyBorder="1" applyAlignment="1" applyProtection="1">
      <alignment horizontal="right" vertical="center" indent="1"/>
      <protection hidden="1"/>
    </xf>
    <xf numFmtId="4" fontId="36" fillId="49" borderId="3" xfId="0" applyNumberFormat="1" applyFont="1" applyFill="1" applyBorder="1" applyAlignment="1" applyProtection="1">
      <alignment horizontal="center" vertical="center"/>
      <protection hidden="1"/>
    </xf>
    <xf numFmtId="4" fontId="36" fillId="49" borderId="24" xfId="0" applyNumberFormat="1" applyFont="1" applyFill="1" applyBorder="1" applyAlignment="1" applyProtection="1">
      <alignment horizontal="center" vertical="center"/>
      <protection hidden="1"/>
    </xf>
    <xf numFmtId="4" fontId="36" fillId="49" borderId="2" xfId="0" applyNumberFormat="1" applyFont="1" applyFill="1" applyBorder="1" applyAlignment="1" applyProtection="1">
      <alignment horizontal="center" vertical="center"/>
      <protection hidden="1"/>
    </xf>
    <xf numFmtId="0" fontId="60" fillId="56" borderId="1" xfId="0" applyFont="1" applyFill="1" applyBorder="1" applyAlignment="1" applyProtection="1">
      <alignment horizontal="center" vertical="center" wrapText="1"/>
      <protection hidden="1"/>
    </xf>
    <xf numFmtId="0" fontId="58" fillId="56" borderId="20" xfId="0" applyFont="1" applyFill="1" applyBorder="1" applyAlignment="1" applyProtection="1">
      <alignment horizontal="center" vertical="center" wrapText="1"/>
      <protection hidden="1"/>
    </xf>
    <xf numFmtId="0" fontId="58" fillId="56" borderId="5" xfId="0" applyFont="1" applyFill="1" applyBorder="1" applyAlignment="1" applyProtection="1">
      <alignment horizontal="center" vertical="center" wrapText="1"/>
      <protection hidden="1"/>
    </xf>
    <xf numFmtId="0" fontId="58" fillId="56" borderId="1" xfId="0" applyFont="1" applyFill="1" applyBorder="1" applyAlignment="1" applyProtection="1">
      <alignment horizontal="center" vertical="center" wrapText="1"/>
      <protection hidden="1"/>
    </xf>
    <xf numFmtId="176" fontId="81" fillId="41" borderId="3" xfId="0" applyNumberFormat="1" applyFont="1" applyFill="1" applyBorder="1" applyAlignment="1" applyProtection="1">
      <alignment horizontal="center" vertical="center" wrapText="1"/>
      <protection hidden="1"/>
    </xf>
    <xf numFmtId="176" fontId="81" fillId="41" borderId="24" xfId="0" applyNumberFormat="1" applyFont="1" applyFill="1" applyBorder="1" applyAlignment="1" applyProtection="1">
      <alignment horizontal="center" vertical="center" wrapText="1"/>
      <protection hidden="1"/>
    </xf>
    <xf numFmtId="176" fontId="81" fillId="41" borderId="2" xfId="0" applyNumberFormat="1" applyFont="1" applyFill="1" applyBorder="1" applyAlignment="1" applyProtection="1">
      <alignment horizontal="center" vertical="center" wrapText="1"/>
      <protection hidden="1"/>
    </xf>
    <xf numFmtId="176" fontId="81" fillId="50" borderId="3" xfId="0" applyNumberFormat="1" applyFont="1" applyFill="1" applyBorder="1" applyAlignment="1" applyProtection="1">
      <alignment horizontal="center" vertical="center" wrapText="1"/>
      <protection hidden="1"/>
    </xf>
    <xf numFmtId="176" fontId="81" fillId="50" borderId="24" xfId="0" applyNumberFormat="1" applyFont="1" applyFill="1" applyBorder="1" applyAlignment="1" applyProtection="1">
      <alignment horizontal="center" vertical="center" wrapText="1"/>
      <protection hidden="1"/>
    </xf>
    <xf numFmtId="176" fontId="81" fillId="50" borderId="2" xfId="0" applyNumberFormat="1" applyFont="1" applyFill="1" applyBorder="1" applyAlignment="1" applyProtection="1">
      <alignment horizontal="center" vertical="center" wrapText="1"/>
      <protection hidden="1"/>
    </xf>
    <xf numFmtId="176" fontId="81" fillId="36" borderId="3" xfId="0" applyNumberFormat="1" applyFont="1" applyFill="1" applyBorder="1" applyAlignment="1" applyProtection="1">
      <alignment horizontal="center" vertical="center" wrapText="1"/>
      <protection hidden="1"/>
    </xf>
    <xf numFmtId="176" fontId="81" fillId="36" borderId="24" xfId="0" applyNumberFormat="1" applyFont="1" applyFill="1" applyBorder="1" applyAlignment="1" applyProtection="1">
      <alignment horizontal="center" vertical="center" wrapText="1"/>
      <protection hidden="1"/>
    </xf>
    <xf numFmtId="176" fontId="81" fillId="36" borderId="2" xfId="0" applyNumberFormat="1" applyFont="1" applyFill="1" applyBorder="1" applyAlignment="1" applyProtection="1">
      <alignment horizontal="center" vertical="center" wrapText="1"/>
      <protection hidden="1"/>
    </xf>
    <xf numFmtId="176" fontId="81" fillId="48" borderId="3" xfId="0" applyNumberFormat="1" applyFont="1" applyFill="1" applyBorder="1" applyAlignment="1" applyProtection="1">
      <alignment horizontal="center" vertical="center" wrapText="1"/>
      <protection hidden="1"/>
    </xf>
    <xf numFmtId="176" fontId="81" fillId="48" borderId="24" xfId="0" applyNumberFormat="1" applyFont="1" applyFill="1" applyBorder="1" applyAlignment="1" applyProtection="1">
      <alignment horizontal="center" vertical="center" wrapText="1"/>
      <protection hidden="1"/>
    </xf>
    <xf numFmtId="176" fontId="81" fillId="48" borderId="2" xfId="0" applyNumberFormat="1" applyFont="1" applyFill="1" applyBorder="1" applyAlignment="1" applyProtection="1">
      <alignment horizontal="center" vertical="center" wrapText="1"/>
      <protection hidden="1"/>
    </xf>
    <xf numFmtId="176" fontId="81" fillId="47" borderId="3" xfId="0" applyNumberFormat="1" applyFont="1" applyFill="1" applyBorder="1" applyAlignment="1" applyProtection="1">
      <alignment horizontal="center" vertical="center" wrapText="1"/>
      <protection hidden="1"/>
    </xf>
    <xf numFmtId="176" fontId="81" fillId="47" borderId="24" xfId="0" applyNumberFormat="1" applyFont="1" applyFill="1" applyBorder="1" applyAlignment="1" applyProtection="1">
      <alignment horizontal="center" vertical="center" wrapText="1"/>
      <protection hidden="1"/>
    </xf>
    <xf numFmtId="176" fontId="81" fillId="47" borderId="2" xfId="0" applyNumberFormat="1" applyFont="1" applyFill="1" applyBorder="1" applyAlignment="1" applyProtection="1">
      <alignment horizontal="center" vertical="center" wrapText="1"/>
      <protection hidden="1"/>
    </xf>
    <xf numFmtId="176" fontId="81" fillId="3" borderId="3" xfId="0" applyNumberFormat="1" applyFont="1" applyFill="1" applyBorder="1" applyAlignment="1" applyProtection="1">
      <alignment horizontal="center" vertical="center" wrapText="1"/>
      <protection hidden="1"/>
    </xf>
    <xf numFmtId="176" fontId="81" fillId="3" borderId="24" xfId="0" applyNumberFormat="1" applyFont="1" applyFill="1" applyBorder="1" applyAlignment="1" applyProtection="1">
      <alignment horizontal="center" vertical="center" wrapText="1"/>
      <protection hidden="1"/>
    </xf>
    <xf numFmtId="176" fontId="81" fillId="3" borderId="2" xfId="0" applyNumberFormat="1" applyFont="1" applyFill="1" applyBorder="1" applyAlignment="1" applyProtection="1">
      <alignment horizontal="center" vertical="center" wrapText="1"/>
      <protection hidden="1"/>
    </xf>
    <xf numFmtId="176" fontId="81" fillId="49" borderId="3" xfId="0" applyNumberFormat="1" applyFont="1" applyFill="1" applyBorder="1" applyAlignment="1" applyProtection="1">
      <alignment horizontal="center" vertical="center" wrapText="1"/>
      <protection hidden="1"/>
    </xf>
    <xf numFmtId="176" fontId="81" fillId="49" borderId="24" xfId="0" applyNumberFormat="1" applyFont="1" applyFill="1" applyBorder="1" applyAlignment="1" applyProtection="1">
      <alignment horizontal="center" vertical="center" wrapText="1"/>
      <protection hidden="1"/>
    </xf>
    <xf numFmtId="176" fontId="81" fillId="49" borderId="2" xfId="0" applyNumberFormat="1" applyFont="1" applyFill="1" applyBorder="1" applyAlignment="1" applyProtection="1">
      <alignment horizontal="center" vertical="center" wrapText="1"/>
      <protection hidden="1"/>
    </xf>
    <xf numFmtId="176" fontId="58" fillId="45" borderId="3" xfId="0" applyNumberFormat="1" applyFont="1" applyFill="1" applyBorder="1" applyAlignment="1" applyProtection="1">
      <alignment horizontal="center" vertical="center" wrapText="1"/>
      <protection hidden="1"/>
    </xf>
    <xf numFmtId="176" fontId="58" fillId="45" borderId="24" xfId="0" applyNumberFormat="1" applyFont="1" applyFill="1" applyBorder="1" applyAlignment="1" applyProtection="1">
      <alignment horizontal="center" vertical="center" wrapText="1"/>
      <protection hidden="1"/>
    </xf>
    <xf numFmtId="176" fontId="58" fillId="45" borderId="2" xfId="0" applyNumberFormat="1" applyFont="1" applyFill="1" applyBorder="1" applyAlignment="1" applyProtection="1">
      <alignment horizontal="center" vertical="center" wrapText="1"/>
      <protection hidden="1"/>
    </xf>
    <xf numFmtId="4" fontId="63" fillId="45" borderId="35" xfId="0" applyNumberFormat="1" applyFont="1" applyFill="1" applyBorder="1" applyAlignment="1" applyProtection="1">
      <alignment horizontal="right" vertical="center" indent="1"/>
      <protection hidden="1"/>
    </xf>
    <xf numFmtId="4" fontId="63" fillId="45" borderId="26" xfId="0" applyNumberFormat="1" applyFont="1" applyFill="1" applyBorder="1" applyAlignment="1" applyProtection="1">
      <alignment horizontal="right" vertical="center" indent="1"/>
      <protection hidden="1"/>
    </xf>
    <xf numFmtId="4" fontId="63" fillId="45" borderId="38" xfId="0" applyNumberFormat="1" applyFont="1" applyFill="1" applyBorder="1" applyAlignment="1" applyProtection="1">
      <alignment horizontal="right" vertical="center" indent="1"/>
      <protection hidden="1"/>
    </xf>
    <xf numFmtId="176" fontId="58" fillId="56" borderId="3" xfId="0" applyNumberFormat="1" applyFont="1" applyFill="1" applyBorder="1" applyAlignment="1" applyProtection="1">
      <alignment horizontal="center" vertical="center"/>
      <protection hidden="1"/>
    </xf>
    <xf numFmtId="176" fontId="58" fillId="56" borderId="24" xfId="0" applyNumberFormat="1" applyFont="1" applyFill="1" applyBorder="1" applyAlignment="1" applyProtection="1">
      <alignment horizontal="center" vertical="center"/>
      <protection hidden="1"/>
    </xf>
    <xf numFmtId="176" fontId="58" fillId="56" borderId="2" xfId="0" applyNumberFormat="1" applyFont="1" applyFill="1" applyBorder="1" applyAlignment="1" applyProtection="1">
      <alignment horizontal="center" vertical="center"/>
      <protection hidden="1"/>
    </xf>
    <xf numFmtId="0" fontId="16" fillId="35" borderId="3" xfId="0" applyFont="1" applyFill="1" applyBorder="1" applyAlignment="1" applyProtection="1">
      <alignment horizontal="center" vertical="center"/>
      <protection hidden="1"/>
    </xf>
    <xf numFmtId="0" fontId="16" fillId="35" borderId="24" xfId="0" applyFont="1" applyFill="1" applyBorder="1" applyAlignment="1" applyProtection="1">
      <alignment horizontal="center" vertical="center"/>
      <protection hidden="1"/>
    </xf>
    <xf numFmtId="0" fontId="16" fillId="35" borderId="2" xfId="0" applyFont="1" applyFill="1" applyBorder="1" applyAlignment="1" applyProtection="1">
      <alignment horizontal="center" vertical="center"/>
      <protection hidden="1"/>
    </xf>
    <xf numFmtId="0" fontId="58" fillId="35" borderId="3" xfId="0" applyFont="1" applyFill="1" applyBorder="1" applyAlignment="1" applyProtection="1">
      <alignment horizontal="center" vertical="center"/>
      <protection hidden="1"/>
    </xf>
    <xf numFmtId="0" fontId="58" fillId="35" borderId="2" xfId="0" applyFont="1" applyFill="1" applyBorder="1" applyAlignment="1" applyProtection="1">
      <alignment horizontal="center" vertical="center"/>
      <protection hidden="1"/>
    </xf>
    <xf numFmtId="0" fontId="16" fillId="35" borderId="1" xfId="0" applyFont="1" applyFill="1" applyBorder="1" applyAlignment="1" applyProtection="1">
      <alignment horizontal="center" vertical="center" wrapText="1"/>
      <protection hidden="1"/>
    </xf>
    <xf numFmtId="0" fontId="16" fillId="35" borderId="1" xfId="0" applyFont="1" applyFill="1" applyBorder="1" applyAlignment="1" applyProtection="1">
      <alignment horizontal="center" vertical="center"/>
      <protection hidden="1"/>
    </xf>
    <xf numFmtId="0" fontId="16" fillId="35" borderId="1" xfId="0" applyFont="1" applyFill="1" applyBorder="1" applyAlignment="1" applyProtection="1">
      <alignment horizontal="left" vertical="center" wrapText="1" indent="1"/>
      <protection hidden="1"/>
    </xf>
    <xf numFmtId="0" fontId="16" fillId="35" borderId="39" xfId="0" applyFont="1" applyFill="1" applyBorder="1" applyAlignment="1" applyProtection="1">
      <alignment horizontal="left" vertical="center" indent="1"/>
      <protection hidden="1"/>
    </xf>
    <xf numFmtId="0" fontId="16" fillId="35" borderId="40" xfId="0" applyFont="1" applyFill="1" applyBorder="1" applyAlignment="1" applyProtection="1">
      <alignment horizontal="left" vertical="center" indent="1"/>
      <protection hidden="1"/>
    </xf>
    <xf numFmtId="0" fontId="16" fillId="35" borderId="35" xfId="0" applyFont="1" applyFill="1" applyBorder="1" applyAlignment="1" applyProtection="1">
      <alignment horizontal="left" vertical="center" indent="1"/>
      <protection hidden="1"/>
    </xf>
    <xf numFmtId="0" fontId="16" fillId="35" borderId="38" xfId="0" applyFont="1" applyFill="1" applyBorder="1" applyAlignment="1" applyProtection="1">
      <alignment horizontal="left" vertical="center" indent="1"/>
      <protection hidden="1"/>
    </xf>
    <xf numFmtId="0" fontId="57" fillId="52" borderId="3" xfId="0" applyFont="1" applyFill="1" applyBorder="1" applyAlignment="1">
      <alignment horizontal="left" vertical="center" wrapText="1" indent="1"/>
    </xf>
    <xf numFmtId="0" fontId="57" fillId="52" borderId="2" xfId="0" applyFont="1" applyFill="1" applyBorder="1" applyAlignment="1">
      <alignment horizontal="left" vertical="center" wrapText="1" indent="1"/>
    </xf>
    <xf numFmtId="3" fontId="3" fillId="56" borderId="3" xfId="0" applyNumberFormat="1" applyFont="1" applyFill="1" applyBorder="1" applyAlignment="1" applyProtection="1">
      <alignment horizontal="left" vertical="center" indent="1"/>
      <protection hidden="1"/>
    </xf>
    <xf numFmtId="3" fontId="3" fillId="56" borderId="2" xfId="0" applyNumberFormat="1" applyFont="1" applyFill="1" applyBorder="1" applyAlignment="1" applyProtection="1">
      <alignment horizontal="left" vertical="center" indent="1"/>
      <protection hidden="1"/>
    </xf>
    <xf numFmtId="0" fontId="0" fillId="52" borderId="3" xfId="0" applyFill="1" applyBorder="1" applyAlignment="1" applyProtection="1">
      <alignment horizontal="left" vertical="center" indent="1"/>
      <protection hidden="1"/>
    </xf>
    <xf numFmtId="0" fontId="0" fillId="52" borderId="2" xfId="0" applyFill="1" applyBorder="1" applyAlignment="1" applyProtection="1">
      <alignment horizontal="left" vertical="center" indent="1"/>
      <protection hidden="1"/>
    </xf>
    <xf numFmtId="0" fontId="16" fillId="35" borderId="0" xfId="0" applyFont="1" applyFill="1" applyAlignment="1" applyProtection="1">
      <alignment horizontal="center" vertical="center"/>
      <protection hidden="1"/>
    </xf>
    <xf numFmtId="0" fontId="16" fillId="35" borderId="26" xfId="0" applyFont="1" applyFill="1" applyBorder="1" applyAlignment="1" applyProtection="1">
      <alignment horizontal="center" vertical="center"/>
      <protection hidden="1"/>
    </xf>
    <xf numFmtId="0" fontId="58" fillId="35" borderId="1" xfId="0" applyFont="1" applyFill="1" applyBorder="1" applyAlignment="1" applyProtection="1">
      <alignment horizontal="center" vertical="center" wrapText="1"/>
      <protection hidden="1"/>
    </xf>
    <xf numFmtId="0" fontId="16" fillId="35" borderId="35" xfId="0" applyFont="1" applyFill="1" applyBorder="1" applyAlignment="1" applyProtection="1">
      <alignment horizontal="center" vertical="center" wrapText="1"/>
      <protection hidden="1"/>
    </xf>
    <xf numFmtId="0" fontId="16" fillId="35" borderId="26" xfId="0" applyFont="1" applyFill="1" applyBorder="1" applyAlignment="1" applyProtection="1">
      <alignment horizontal="center" vertical="center" wrapText="1"/>
      <protection hidden="1"/>
    </xf>
    <xf numFmtId="0" fontId="3" fillId="2" borderId="0" xfId="0" applyFont="1" applyFill="1" applyAlignment="1">
      <alignment horizontal="left" wrapText="1"/>
    </xf>
    <xf numFmtId="0" fontId="58" fillId="35" borderId="3" xfId="0" applyFont="1" applyFill="1" applyBorder="1" applyAlignment="1" applyProtection="1">
      <alignment horizontal="center" vertical="center" wrapText="1"/>
      <protection hidden="1"/>
    </xf>
    <xf numFmtId="0" fontId="58" fillId="35" borderId="24" xfId="0" applyFont="1" applyFill="1" applyBorder="1" applyAlignment="1" applyProtection="1">
      <alignment horizontal="center" vertical="center" wrapText="1"/>
      <protection hidden="1"/>
    </xf>
    <xf numFmtId="0" fontId="58" fillId="35" borderId="2" xfId="0" applyFont="1" applyFill="1" applyBorder="1" applyAlignment="1" applyProtection="1">
      <alignment horizontal="center" vertical="center" wrapText="1"/>
      <protection hidden="1"/>
    </xf>
    <xf numFmtId="0" fontId="57" fillId="52" borderId="3" xfId="0" applyFont="1" applyFill="1" applyBorder="1" applyAlignment="1">
      <alignment horizontal="left" vertical="center" wrapText="1"/>
    </xf>
    <xf numFmtId="0" fontId="57" fillId="52" borderId="24" xfId="0" applyFont="1" applyFill="1" applyBorder="1" applyAlignment="1">
      <alignment horizontal="left" vertical="center" wrapText="1"/>
    </xf>
    <xf numFmtId="0" fontId="57" fillId="52" borderId="2" xfId="0" applyFont="1" applyFill="1" applyBorder="1" applyAlignment="1">
      <alignment horizontal="left" vertical="center" wrapText="1"/>
    </xf>
    <xf numFmtId="0" fontId="16" fillId="2" borderId="0" xfId="0" applyFont="1" applyFill="1" applyAlignment="1">
      <alignment horizontal="left" vertical="center"/>
    </xf>
    <xf numFmtId="1" fontId="16" fillId="35" borderId="3" xfId="0" applyNumberFormat="1" applyFont="1" applyFill="1" applyBorder="1" applyAlignment="1">
      <alignment horizontal="center" vertical="center" wrapText="1"/>
    </xf>
    <xf numFmtId="1" fontId="16" fillId="35" borderId="2" xfId="0" applyNumberFormat="1" applyFont="1" applyFill="1" applyBorder="1" applyAlignment="1">
      <alignment horizontal="center" vertical="center" wrapText="1"/>
    </xf>
    <xf numFmtId="0" fontId="16" fillId="35" borderId="4" xfId="0" applyFont="1" applyFill="1" applyBorder="1" applyAlignment="1">
      <alignment horizontal="center" vertical="center" wrapText="1"/>
    </xf>
    <xf numFmtId="0" fontId="16" fillId="35" borderId="5" xfId="0" applyFont="1" applyFill="1" applyBorder="1" applyAlignment="1">
      <alignment horizontal="center" vertical="center" wrapText="1"/>
    </xf>
    <xf numFmtId="1" fontId="16" fillId="35" borderId="4" xfId="0" applyNumberFormat="1" applyFont="1" applyFill="1" applyBorder="1" applyAlignment="1">
      <alignment horizontal="center" vertical="center" wrapText="1"/>
    </xf>
    <xf numFmtId="1" fontId="16" fillId="35" borderId="5" xfId="0" applyNumberFormat="1" applyFont="1" applyFill="1" applyBorder="1" applyAlignment="1">
      <alignment horizontal="center" vertical="center" wrapText="1"/>
    </xf>
    <xf numFmtId="0" fontId="16" fillId="67" borderId="0" xfId="0" applyFont="1" applyFill="1" applyAlignment="1">
      <alignment horizontal="left" vertical="center" wrapText="1"/>
    </xf>
    <xf numFmtId="0" fontId="16" fillId="67" borderId="0" xfId="0" applyFont="1" applyFill="1" applyAlignment="1">
      <alignment horizontal="left" vertical="center"/>
    </xf>
    <xf numFmtId="0" fontId="16" fillId="67" borderId="26" xfId="0" applyFont="1" applyFill="1" applyBorder="1" applyAlignment="1">
      <alignment horizontal="left" vertical="center"/>
    </xf>
    <xf numFmtId="0" fontId="18" fillId="2" borderId="26" xfId="0" applyFont="1" applyFill="1" applyBorder="1" applyAlignment="1">
      <alignment horizontal="center"/>
    </xf>
    <xf numFmtId="0" fontId="16" fillId="66" borderId="1" xfId="0" applyFont="1" applyFill="1" applyBorder="1" applyAlignment="1">
      <alignment horizontal="center" vertical="center" wrapText="1"/>
    </xf>
    <xf numFmtId="185" fontId="16" fillId="68" borderId="1" xfId="0" applyNumberFormat="1" applyFont="1" applyFill="1" applyBorder="1" applyAlignment="1">
      <alignment horizontal="center" vertical="center" wrapText="1"/>
    </xf>
    <xf numFmtId="0" fontId="63" fillId="66" borderId="1" xfId="0" applyFont="1" applyFill="1" applyBorder="1" applyAlignment="1">
      <alignment horizontal="center" vertical="center" wrapText="1"/>
    </xf>
    <xf numFmtId="0" fontId="36" fillId="52" borderId="4" xfId="0" applyFont="1" applyFill="1" applyBorder="1" applyAlignment="1">
      <alignment horizontal="center" vertical="center" wrapText="1"/>
    </xf>
    <xf numFmtId="0" fontId="36" fillId="52" borderId="5" xfId="0" applyFont="1" applyFill="1" applyBorder="1" applyAlignment="1">
      <alignment horizontal="center" vertical="center" wrapText="1"/>
    </xf>
    <xf numFmtId="0" fontId="16" fillId="35" borderId="3" xfId="0" applyFont="1" applyFill="1" applyBorder="1" applyAlignment="1">
      <alignment horizontal="center" vertical="center"/>
    </xf>
    <xf numFmtId="0" fontId="16" fillId="35" borderId="24" xfId="0" applyFont="1" applyFill="1" applyBorder="1" applyAlignment="1">
      <alignment horizontal="center" vertical="center"/>
    </xf>
    <xf numFmtId="0" fontId="16" fillId="35" borderId="2" xfId="0" applyFont="1" applyFill="1" applyBorder="1" applyAlignment="1">
      <alignment horizontal="center" vertical="center"/>
    </xf>
    <xf numFmtId="0" fontId="2" fillId="52" borderId="1" xfId="0" applyFont="1" applyFill="1" applyBorder="1" applyAlignment="1">
      <alignment horizontal="center" vertical="center"/>
    </xf>
    <xf numFmtId="0" fontId="2" fillId="52" borderId="1" xfId="0" applyFont="1" applyFill="1" applyBorder="1" applyAlignment="1">
      <alignment horizontal="center" vertical="center" wrapText="1"/>
    </xf>
    <xf numFmtId="1" fontId="16" fillId="35" borderId="24" xfId="0" applyNumberFormat="1" applyFont="1" applyFill="1" applyBorder="1" applyAlignment="1">
      <alignment horizontal="center" vertical="center" wrapText="1"/>
    </xf>
    <xf numFmtId="1" fontId="16" fillId="35" borderId="39" xfId="0" applyNumberFormat="1" applyFont="1" applyFill="1" applyBorder="1" applyAlignment="1">
      <alignment horizontal="center" vertical="center" wrapText="1"/>
    </xf>
    <xf numFmtId="1" fontId="16" fillId="35" borderId="37" xfId="0" applyNumberFormat="1" applyFont="1" applyFill="1" applyBorder="1" applyAlignment="1">
      <alignment horizontal="center" vertical="center" wrapText="1"/>
    </xf>
    <xf numFmtId="0" fontId="16" fillId="35" borderId="70" xfId="0" applyFont="1" applyFill="1" applyBorder="1" applyAlignment="1" applyProtection="1">
      <alignment horizontal="center" vertical="center" wrapText="1"/>
      <protection hidden="1"/>
    </xf>
    <xf numFmtId="0" fontId="16" fillId="35" borderId="44" xfId="0" applyFont="1" applyFill="1" applyBorder="1" applyAlignment="1" applyProtection="1">
      <alignment horizontal="center" vertical="center" wrapText="1"/>
      <protection hidden="1"/>
    </xf>
    <xf numFmtId="0" fontId="50" fillId="66" borderId="71" xfId="0" applyFont="1" applyFill="1" applyBorder="1" applyAlignment="1">
      <alignment horizontal="center" vertical="center" wrapText="1"/>
    </xf>
    <xf numFmtId="0" fontId="50" fillId="66" borderId="72" xfId="0" applyFont="1" applyFill="1" applyBorder="1" applyAlignment="1">
      <alignment horizontal="center" vertical="center" wrapText="1"/>
    </xf>
    <xf numFmtId="0" fontId="16" fillId="66" borderId="66" xfId="0" applyFont="1" applyFill="1" applyBorder="1" applyAlignment="1" applyProtection="1">
      <alignment horizontal="center" vertical="center" wrapText="1"/>
      <protection hidden="1"/>
    </xf>
    <xf numFmtId="0" fontId="16" fillId="66" borderId="73" xfId="0" applyFont="1" applyFill="1" applyBorder="1" applyAlignment="1" applyProtection="1">
      <alignment horizontal="center" vertical="center" wrapText="1"/>
      <protection hidden="1"/>
    </xf>
    <xf numFmtId="0" fontId="16" fillId="66" borderId="74" xfId="0" applyFont="1" applyFill="1" applyBorder="1" applyAlignment="1" applyProtection="1">
      <alignment horizontal="center" vertical="center" wrapText="1"/>
      <protection hidden="1"/>
    </xf>
    <xf numFmtId="176" fontId="16" fillId="68" borderId="60" xfId="0" applyNumberFormat="1" applyFont="1" applyFill="1" applyBorder="1" applyAlignment="1" applyProtection="1">
      <alignment horizontal="right" vertical="center" wrapText="1"/>
      <protection hidden="1"/>
    </xf>
    <xf numFmtId="176" fontId="16" fillId="68" borderId="61" xfId="0" applyNumberFormat="1" applyFont="1" applyFill="1" applyBorder="1" applyAlignment="1" applyProtection="1">
      <alignment horizontal="right" vertical="center" wrapText="1"/>
      <protection hidden="1"/>
    </xf>
    <xf numFmtId="0" fontId="16" fillId="35" borderId="20" xfId="0" applyFont="1" applyFill="1" applyBorder="1" applyAlignment="1">
      <alignment horizontal="center" vertical="center" wrapText="1"/>
    </xf>
    <xf numFmtId="0" fontId="36" fillId="47" borderId="1" xfId="0" applyFont="1" applyFill="1" applyBorder="1" applyAlignment="1">
      <alignment horizontal="center" vertical="center"/>
    </xf>
    <xf numFmtId="0" fontId="36" fillId="35" borderId="1" xfId="0" applyFont="1" applyFill="1" applyBorder="1" applyAlignment="1">
      <alignment horizontal="center" vertical="center"/>
    </xf>
    <xf numFmtId="0" fontId="63" fillId="35" borderId="4" xfId="0" applyFont="1" applyFill="1" applyBorder="1" applyAlignment="1">
      <alignment horizontal="center" vertical="center" wrapText="1"/>
    </xf>
    <xf numFmtId="0" fontId="63" fillId="35" borderId="20" xfId="0" applyFont="1" applyFill="1" applyBorder="1" applyAlignment="1">
      <alignment horizontal="center" vertical="center" wrapText="1"/>
    </xf>
    <xf numFmtId="0" fontId="63" fillId="35" borderId="5" xfId="0" applyFont="1" applyFill="1" applyBorder="1" applyAlignment="1">
      <alignment horizontal="center" vertical="center" wrapText="1"/>
    </xf>
    <xf numFmtId="0" fontId="18" fillId="2" borderId="0" xfId="0" applyFont="1" applyFill="1" applyAlignment="1">
      <alignment horizontal="center"/>
    </xf>
    <xf numFmtId="0" fontId="16" fillId="66" borderId="39" xfId="0" applyFont="1" applyFill="1" applyBorder="1" applyAlignment="1">
      <alignment horizontal="center" vertical="center" wrapText="1"/>
    </xf>
    <xf numFmtId="0" fontId="16" fillId="66" borderId="35" xfId="0" applyFont="1" applyFill="1" applyBorder="1" applyAlignment="1">
      <alignment horizontal="center" vertical="center" wrapText="1"/>
    </xf>
    <xf numFmtId="0" fontId="63" fillId="35" borderId="3" xfId="0" applyFont="1" applyFill="1" applyBorder="1" applyAlignment="1" applyProtection="1">
      <alignment horizontal="center" vertical="center" wrapText="1"/>
      <protection hidden="1"/>
    </xf>
    <xf numFmtId="0" fontId="63" fillId="35" borderId="24" xfId="0" applyFont="1" applyFill="1" applyBorder="1" applyAlignment="1" applyProtection="1">
      <alignment horizontal="center" vertical="center" wrapText="1"/>
      <protection hidden="1"/>
    </xf>
    <xf numFmtId="0" fontId="63" fillId="35" borderId="2" xfId="0" applyFont="1" applyFill="1" applyBorder="1" applyAlignment="1" applyProtection="1">
      <alignment horizontal="center" vertical="center" wrapText="1"/>
      <protection hidden="1"/>
    </xf>
    <xf numFmtId="0" fontId="63" fillId="35" borderId="3" xfId="0" applyFont="1" applyFill="1" applyBorder="1" applyAlignment="1">
      <alignment horizontal="center" vertical="center" wrapText="1"/>
    </xf>
    <xf numFmtId="0" fontId="63" fillId="35" borderId="2" xfId="0" applyFont="1" applyFill="1" applyBorder="1" applyAlignment="1">
      <alignment horizontal="center" vertical="center" wrapText="1"/>
    </xf>
    <xf numFmtId="0" fontId="16" fillId="66" borderId="63" xfId="0" applyFont="1" applyFill="1" applyBorder="1" applyAlignment="1">
      <alignment horizontal="center" vertical="center" wrapText="1"/>
    </xf>
    <xf numFmtId="0" fontId="16" fillId="66" borderId="64" xfId="0" applyFont="1" applyFill="1" applyBorder="1" applyAlignment="1">
      <alignment horizontal="center" vertical="center" wrapText="1"/>
    </xf>
    <xf numFmtId="0" fontId="16" fillId="66" borderId="62" xfId="0" applyFont="1" applyFill="1" applyBorder="1" applyAlignment="1">
      <alignment horizontal="center" vertical="center" wrapText="1"/>
    </xf>
    <xf numFmtId="0" fontId="16" fillId="66" borderId="5" xfId="0" applyFont="1" applyFill="1" applyBorder="1" applyAlignment="1">
      <alignment horizontal="center" vertical="center" wrapText="1"/>
    </xf>
    <xf numFmtId="0" fontId="16" fillId="66" borderId="43" xfId="0" applyFont="1" applyFill="1" applyBorder="1" applyAlignment="1">
      <alignment horizontal="center" vertical="center"/>
    </xf>
    <xf numFmtId="0" fontId="16" fillId="66" borderId="69" xfId="0" applyFont="1" applyFill="1" applyBorder="1" applyAlignment="1">
      <alignment horizontal="center" vertical="center"/>
    </xf>
    <xf numFmtId="0" fontId="2" fillId="2" borderId="67" xfId="0" applyFont="1" applyFill="1" applyBorder="1" applyAlignment="1" applyProtection="1">
      <alignment horizontal="center" vertical="center"/>
      <protection locked="0"/>
    </xf>
    <xf numFmtId="0" fontId="2" fillId="2" borderId="61" xfId="0" applyFont="1" applyFill="1" applyBorder="1" applyAlignment="1" applyProtection="1">
      <alignment horizontal="center" vertical="center"/>
      <protection locked="0"/>
    </xf>
    <xf numFmtId="0" fontId="2" fillId="2" borderId="68" xfId="0" applyFont="1" applyFill="1" applyBorder="1" applyAlignment="1" applyProtection="1">
      <alignment horizontal="center" vertical="center"/>
      <protection locked="0"/>
    </xf>
    <xf numFmtId="0" fontId="16" fillId="35" borderId="34" xfId="0" applyFont="1" applyFill="1" applyBorder="1" applyAlignment="1">
      <alignment horizontal="center" vertical="center" wrapText="1"/>
    </xf>
    <xf numFmtId="0" fontId="16" fillId="35" borderId="0" xfId="0" applyFont="1" applyFill="1" applyAlignment="1">
      <alignment horizontal="center" vertical="center" wrapText="1"/>
    </xf>
    <xf numFmtId="0" fontId="63" fillId="35" borderId="1" xfId="0" applyFont="1" applyFill="1" applyBorder="1" applyAlignment="1">
      <alignment horizontal="center" vertical="center" wrapText="1"/>
    </xf>
    <xf numFmtId="0" fontId="16" fillId="35" borderId="3" xfId="0" applyFont="1" applyFill="1" applyBorder="1" applyAlignment="1" applyProtection="1">
      <alignment horizontal="center" vertical="center" wrapText="1"/>
      <protection hidden="1"/>
    </xf>
    <xf numFmtId="0" fontId="16" fillId="35" borderId="24" xfId="0" applyFont="1" applyFill="1" applyBorder="1" applyAlignment="1" applyProtection="1">
      <alignment horizontal="center" vertical="center" wrapText="1"/>
      <protection hidden="1"/>
    </xf>
    <xf numFmtId="0" fontId="16" fillId="35" borderId="2" xfId="0" applyFont="1" applyFill="1" applyBorder="1" applyAlignment="1" applyProtection="1">
      <alignment horizontal="center" vertical="center" wrapText="1"/>
      <protection hidden="1"/>
    </xf>
    <xf numFmtId="0" fontId="61" fillId="0" borderId="43" xfId="0" applyFont="1" applyBorder="1" applyAlignment="1">
      <alignment horizontal="left"/>
    </xf>
    <xf numFmtId="0" fontId="61" fillId="0" borderId="44" xfId="0" applyFont="1" applyBorder="1" applyAlignment="1">
      <alignment horizontal="left"/>
    </xf>
    <xf numFmtId="0" fontId="57" fillId="0" borderId="43" xfId="0" applyFont="1" applyBorder="1" applyAlignment="1">
      <alignment horizontal="left"/>
    </xf>
    <xf numFmtId="0" fontId="57" fillId="0" borderId="44" xfId="0" applyFont="1" applyBorder="1" applyAlignment="1">
      <alignment horizontal="left"/>
    </xf>
    <xf numFmtId="0" fontId="57" fillId="0" borderId="0" xfId="0" applyFont="1" applyAlignment="1">
      <alignment horizontal="center" vertical="center"/>
    </xf>
    <xf numFmtId="0" fontId="62" fillId="0" borderId="1" xfId="0" applyFont="1" applyBorder="1" applyAlignment="1">
      <alignment horizontal="center" vertical="center"/>
    </xf>
    <xf numFmtId="0" fontId="39" fillId="37" borderId="3" xfId="0" applyFont="1" applyFill="1" applyBorder="1" applyAlignment="1">
      <alignment horizontal="center" wrapText="1"/>
    </xf>
    <xf numFmtId="0" fontId="39" fillId="37" borderId="24" xfId="0" applyFont="1" applyFill="1" applyBorder="1" applyAlignment="1">
      <alignment horizontal="center" wrapText="1"/>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4" xfId="0" applyFill="1" applyBorder="1" applyAlignment="1">
      <alignment horizontal="center" wrapText="1"/>
    </xf>
    <xf numFmtId="0" fontId="0" fillId="2" borderId="20" xfId="0" applyFill="1" applyBorder="1" applyAlignment="1">
      <alignment horizontal="center" wrapText="1"/>
    </xf>
    <xf numFmtId="0" fontId="0" fillId="2" borderId="5" xfId="0" applyFill="1" applyBorder="1" applyAlignment="1">
      <alignment horizontal="center" wrapText="1"/>
    </xf>
    <xf numFmtId="0" fontId="0" fillId="2" borderId="4" xfId="0" applyFill="1" applyBorder="1" applyAlignment="1">
      <alignment horizontal="center"/>
    </xf>
    <xf numFmtId="0" fontId="0" fillId="2" borderId="20" xfId="0" applyFill="1" applyBorder="1" applyAlignment="1">
      <alignment horizontal="center"/>
    </xf>
    <xf numFmtId="0" fontId="0" fillId="2" borderId="5" xfId="0" applyFill="1" applyBorder="1" applyAlignment="1">
      <alignment horizontal="center"/>
    </xf>
    <xf numFmtId="1" fontId="3" fillId="2" borderId="3" xfId="0" applyNumberFormat="1" applyFont="1" applyFill="1" applyBorder="1" applyAlignment="1">
      <alignment horizontal="left" wrapText="1"/>
    </xf>
    <xf numFmtId="1" fontId="3" fillId="2" borderId="2" xfId="0" applyNumberFormat="1" applyFont="1" applyFill="1" applyBorder="1" applyAlignment="1">
      <alignment horizontal="left" wrapText="1"/>
    </xf>
    <xf numFmtId="1" fontId="3" fillId="2" borderId="3" xfId="0" applyNumberFormat="1" applyFont="1" applyFill="1" applyBorder="1" applyAlignment="1">
      <alignment horizontal="left" vertical="center" wrapText="1"/>
    </xf>
    <xf numFmtId="1" fontId="3" fillId="2" borderId="2" xfId="0" applyNumberFormat="1" applyFont="1" applyFill="1" applyBorder="1" applyAlignment="1">
      <alignment horizontal="left" vertical="center" wrapText="1"/>
    </xf>
    <xf numFmtId="0" fontId="18" fillId="35" borderId="3" xfId="0" applyFont="1" applyFill="1" applyBorder="1" applyAlignment="1">
      <alignment horizontal="center"/>
    </xf>
    <xf numFmtId="0" fontId="18" fillId="35" borderId="2" xfId="0" applyFont="1" applyFill="1" applyBorder="1" applyAlignment="1">
      <alignment horizontal="center"/>
    </xf>
    <xf numFmtId="0" fontId="61" fillId="0" borderId="4" xfId="0" applyFont="1" applyBorder="1" applyAlignment="1">
      <alignment horizontal="center" vertical="center" wrapText="1"/>
    </xf>
    <xf numFmtId="0" fontId="61" fillId="0" borderId="20" xfId="0" applyFont="1" applyBorder="1" applyAlignment="1">
      <alignment horizontal="center" vertical="center" wrapText="1"/>
    </xf>
    <xf numFmtId="0" fontId="61" fillId="0" borderId="5" xfId="0" applyFont="1" applyBorder="1" applyAlignment="1">
      <alignment horizontal="center" vertical="center" wrapText="1"/>
    </xf>
    <xf numFmtId="0" fontId="23" fillId="0" borderId="1" xfId="1026" applyBorder="1" applyAlignment="1">
      <alignment vertical="center"/>
    </xf>
    <xf numFmtId="0" fontId="30" fillId="0" borderId="1" xfId="0" applyFont="1" applyBorder="1" applyAlignment="1">
      <alignment vertical="center" wrapText="1"/>
    </xf>
    <xf numFmtId="0" fontId="69" fillId="39" borderId="50" xfId="0" applyFont="1" applyFill="1" applyBorder="1" applyAlignment="1">
      <alignment horizontal="center" wrapText="1"/>
    </xf>
    <xf numFmtId="0" fontId="69" fillId="39" borderId="49" xfId="0" applyFont="1" applyFill="1" applyBorder="1" applyAlignment="1">
      <alignment horizontal="center" wrapText="1"/>
    </xf>
    <xf numFmtId="0" fontId="69" fillId="39" borderId="51" xfId="0" applyFont="1" applyFill="1" applyBorder="1" applyAlignment="1">
      <alignment horizontal="center" wrapText="1"/>
    </xf>
    <xf numFmtId="0" fontId="69" fillId="39" borderId="52" xfId="0" applyFont="1" applyFill="1" applyBorder="1" applyAlignment="1">
      <alignment horizontal="center" wrapText="1"/>
    </xf>
    <xf numFmtId="0" fontId="69" fillId="39" borderId="53" xfId="0" applyFont="1" applyFill="1" applyBorder="1" applyAlignment="1">
      <alignment horizontal="center" wrapText="1"/>
    </xf>
    <xf numFmtId="0" fontId="56" fillId="0" borderId="1" xfId="0" applyFont="1" applyBorder="1" applyAlignment="1">
      <alignment horizontal="center"/>
    </xf>
    <xf numFmtId="0" fontId="74" fillId="39" borderId="3" xfId="0" applyFont="1" applyFill="1" applyBorder="1" applyAlignment="1">
      <alignment horizontal="left" vertical="center" wrapText="1"/>
    </xf>
    <xf numFmtId="0" fontId="74" fillId="39" borderId="24" xfId="0" applyFont="1" applyFill="1" applyBorder="1" applyAlignment="1">
      <alignment horizontal="left" vertical="center" wrapText="1"/>
    </xf>
    <xf numFmtId="0" fontId="74" fillId="39" borderId="2" xfId="0" applyFont="1" applyFill="1" applyBorder="1" applyAlignment="1">
      <alignment horizontal="left" vertical="center" wrapText="1"/>
    </xf>
    <xf numFmtId="0" fontId="74" fillId="39" borderId="1" xfId="0" applyFont="1" applyFill="1" applyBorder="1" applyAlignment="1">
      <alignment horizontal="left" vertical="center" wrapText="1"/>
    </xf>
  </cellXfs>
  <cellStyles count="1152">
    <cellStyle name="20% - Accent1 2" xfId="9" xr:uid="{00000000-0005-0000-0000-000000000000}"/>
    <cellStyle name="20% - Accent1 2 2" xfId="10" xr:uid="{00000000-0005-0000-0000-000001000000}"/>
    <cellStyle name="20% - Accent1 2 3" xfId="11" xr:uid="{00000000-0005-0000-0000-000002000000}"/>
    <cellStyle name="20% - Accent1 3" xfId="12" xr:uid="{00000000-0005-0000-0000-000003000000}"/>
    <cellStyle name="20% - Accent1 3 2" xfId="13" xr:uid="{00000000-0005-0000-0000-000004000000}"/>
    <cellStyle name="20% - Accent1 4" xfId="14" xr:uid="{00000000-0005-0000-0000-000005000000}"/>
    <cellStyle name="20% - Accent2 2" xfId="15" xr:uid="{00000000-0005-0000-0000-000006000000}"/>
    <cellStyle name="20% - Accent2 2 2" xfId="16" xr:uid="{00000000-0005-0000-0000-000007000000}"/>
    <cellStyle name="20% - Accent2 2 3" xfId="17" xr:uid="{00000000-0005-0000-0000-000008000000}"/>
    <cellStyle name="20% - Accent2 3" xfId="18" xr:uid="{00000000-0005-0000-0000-000009000000}"/>
    <cellStyle name="20% - Accent2 3 2" xfId="19" xr:uid="{00000000-0005-0000-0000-00000A000000}"/>
    <cellStyle name="20% - Accent2 4" xfId="20" xr:uid="{00000000-0005-0000-0000-00000B000000}"/>
    <cellStyle name="20% - Accent3 2" xfId="21" xr:uid="{00000000-0005-0000-0000-00000C000000}"/>
    <cellStyle name="20% - Accent3 2 2" xfId="22" xr:uid="{00000000-0005-0000-0000-00000D000000}"/>
    <cellStyle name="20% - Accent3 2 3" xfId="23" xr:uid="{00000000-0005-0000-0000-00000E000000}"/>
    <cellStyle name="20% - Accent3 3" xfId="24" xr:uid="{00000000-0005-0000-0000-00000F000000}"/>
    <cellStyle name="20% - Accent3 3 2" xfId="25" xr:uid="{00000000-0005-0000-0000-000010000000}"/>
    <cellStyle name="20% - Accent3 4" xfId="26" xr:uid="{00000000-0005-0000-0000-000011000000}"/>
    <cellStyle name="20% - Accent4 2" xfId="27" xr:uid="{00000000-0005-0000-0000-000012000000}"/>
    <cellStyle name="20% - Accent4 2 2" xfId="28" xr:uid="{00000000-0005-0000-0000-000013000000}"/>
    <cellStyle name="20% - Accent4 2 3" xfId="29" xr:uid="{00000000-0005-0000-0000-000014000000}"/>
    <cellStyle name="20% - Accent4 3" xfId="30" xr:uid="{00000000-0005-0000-0000-000015000000}"/>
    <cellStyle name="20% - Accent4 3 2" xfId="31" xr:uid="{00000000-0005-0000-0000-000016000000}"/>
    <cellStyle name="20% - Accent4 4" xfId="32" xr:uid="{00000000-0005-0000-0000-000017000000}"/>
    <cellStyle name="20% - Accent5 2" xfId="33" xr:uid="{00000000-0005-0000-0000-000018000000}"/>
    <cellStyle name="20% - Accent5 2 2" xfId="34" xr:uid="{00000000-0005-0000-0000-000019000000}"/>
    <cellStyle name="20% - Accent5 2 3" xfId="35" xr:uid="{00000000-0005-0000-0000-00001A000000}"/>
    <cellStyle name="20% - Accent5 2 4" xfId="36" xr:uid="{00000000-0005-0000-0000-00001B000000}"/>
    <cellStyle name="20% - Accent5 3" xfId="37" xr:uid="{00000000-0005-0000-0000-00001C000000}"/>
    <cellStyle name="20% - Accent5 3 2" xfId="38" xr:uid="{00000000-0005-0000-0000-00001D000000}"/>
    <cellStyle name="20% - Accent5 4" xfId="39" xr:uid="{00000000-0005-0000-0000-00001E000000}"/>
    <cellStyle name="20% - Accent6 2" xfId="40" xr:uid="{00000000-0005-0000-0000-00001F000000}"/>
    <cellStyle name="20% - Accent6 2 2" xfId="41" xr:uid="{00000000-0005-0000-0000-000020000000}"/>
    <cellStyle name="20% - Accent6 2 3" xfId="42" xr:uid="{00000000-0005-0000-0000-000021000000}"/>
    <cellStyle name="20% - Accent6 3" xfId="43" xr:uid="{00000000-0005-0000-0000-000022000000}"/>
    <cellStyle name="20% - Accent6 3 2" xfId="44" xr:uid="{00000000-0005-0000-0000-000023000000}"/>
    <cellStyle name="20% - Accent6 4" xfId="45" xr:uid="{00000000-0005-0000-0000-000024000000}"/>
    <cellStyle name="40% - Accent1 2" xfId="46" xr:uid="{00000000-0005-0000-0000-000025000000}"/>
    <cellStyle name="40% - Accent1 2 2" xfId="47" xr:uid="{00000000-0005-0000-0000-000026000000}"/>
    <cellStyle name="40% - Accent1 2 3" xfId="48" xr:uid="{00000000-0005-0000-0000-000027000000}"/>
    <cellStyle name="40% - Accent1 3" xfId="49" xr:uid="{00000000-0005-0000-0000-000028000000}"/>
    <cellStyle name="40% - Accent1 3 2" xfId="50" xr:uid="{00000000-0005-0000-0000-000029000000}"/>
    <cellStyle name="40% - Accent1 4" xfId="51" xr:uid="{00000000-0005-0000-0000-00002A000000}"/>
    <cellStyle name="40% - Accent2 2" xfId="52" xr:uid="{00000000-0005-0000-0000-00002B000000}"/>
    <cellStyle name="40% - Accent2 2 2" xfId="53" xr:uid="{00000000-0005-0000-0000-00002C000000}"/>
    <cellStyle name="40% - Accent2 2 3" xfId="54" xr:uid="{00000000-0005-0000-0000-00002D000000}"/>
    <cellStyle name="40% - Accent2 3" xfId="55" xr:uid="{00000000-0005-0000-0000-00002E000000}"/>
    <cellStyle name="40% - Accent2 3 2" xfId="56" xr:uid="{00000000-0005-0000-0000-00002F000000}"/>
    <cellStyle name="40% - Accent2 4" xfId="57" xr:uid="{00000000-0005-0000-0000-000030000000}"/>
    <cellStyle name="40% - Accent3 2" xfId="58" xr:uid="{00000000-0005-0000-0000-000031000000}"/>
    <cellStyle name="40% - Accent3 2 2" xfId="59" xr:uid="{00000000-0005-0000-0000-000032000000}"/>
    <cellStyle name="40% - Accent3 2 3" xfId="60" xr:uid="{00000000-0005-0000-0000-000033000000}"/>
    <cellStyle name="40% - Accent3 3" xfId="61" xr:uid="{00000000-0005-0000-0000-000034000000}"/>
    <cellStyle name="40% - Accent3 3 2" xfId="62" xr:uid="{00000000-0005-0000-0000-000035000000}"/>
    <cellStyle name="40% - Accent3 4" xfId="63" xr:uid="{00000000-0005-0000-0000-000036000000}"/>
    <cellStyle name="40% - Accent4 2" xfId="64" xr:uid="{00000000-0005-0000-0000-000037000000}"/>
    <cellStyle name="40% - Accent4 2 2" xfId="65" xr:uid="{00000000-0005-0000-0000-000038000000}"/>
    <cellStyle name="40% - Accent4 2 3" xfId="66" xr:uid="{00000000-0005-0000-0000-000039000000}"/>
    <cellStyle name="40% - Accent4 3" xfId="67" xr:uid="{00000000-0005-0000-0000-00003A000000}"/>
    <cellStyle name="40% - Accent4 3 2" xfId="68" xr:uid="{00000000-0005-0000-0000-00003B000000}"/>
    <cellStyle name="40% - Accent4 4" xfId="69" xr:uid="{00000000-0005-0000-0000-00003C000000}"/>
    <cellStyle name="40% - Accent5 2" xfId="70" xr:uid="{00000000-0005-0000-0000-00003D000000}"/>
    <cellStyle name="40% - Accent5 2 2" xfId="71" xr:uid="{00000000-0005-0000-0000-00003E000000}"/>
    <cellStyle name="40% - Accent5 2 3" xfId="72" xr:uid="{00000000-0005-0000-0000-00003F000000}"/>
    <cellStyle name="40% - Accent5 3" xfId="73" xr:uid="{00000000-0005-0000-0000-000040000000}"/>
    <cellStyle name="40% - Accent5 3 2" xfId="74" xr:uid="{00000000-0005-0000-0000-000041000000}"/>
    <cellStyle name="40% - Accent5 4" xfId="75" xr:uid="{00000000-0005-0000-0000-000042000000}"/>
    <cellStyle name="40% - Accent6 2" xfId="76" xr:uid="{00000000-0005-0000-0000-000043000000}"/>
    <cellStyle name="40% - Accent6 2 2" xfId="77" xr:uid="{00000000-0005-0000-0000-000044000000}"/>
    <cellStyle name="40% - Accent6 2 3" xfId="78" xr:uid="{00000000-0005-0000-0000-000045000000}"/>
    <cellStyle name="40% - Accent6 3" xfId="79" xr:uid="{00000000-0005-0000-0000-000046000000}"/>
    <cellStyle name="40% - Accent6 3 2" xfId="80" xr:uid="{00000000-0005-0000-0000-000047000000}"/>
    <cellStyle name="40% - Accent6 4" xfId="81" xr:uid="{00000000-0005-0000-0000-000048000000}"/>
    <cellStyle name="60% - Accent1 2" xfId="82" xr:uid="{00000000-0005-0000-0000-000049000000}"/>
    <cellStyle name="60% - Accent1 3" xfId="83" xr:uid="{00000000-0005-0000-0000-00004A000000}"/>
    <cellStyle name="60% - Accent1 4" xfId="84" xr:uid="{00000000-0005-0000-0000-00004B000000}"/>
    <cellStyle name="60% - Accent2 2" xfId="85" xr:uid="{00000000-0005-0000-0000-00004C000000}"/>
    <cellStyle name="60% - Accent2 3" xfId="86" xr:uid="{00000000-0005-0000-0000-00004D000000}"/>
    <cellStyle name="60% - Accent2 4" xfId="87" xr:uid="{00000000-0005-0000-0000-00004E000000}"/>
    <cellStyle name="60% - Accent3 2" xfId="88" xr:uid="{00000000-0005-0000-0000-00004F000000}"/>
    <cellStyle name="60% - Accent3 3" xfId="89" xr:uid="{00000000-0005-0000-0000-000050000000}"/>
    <cellStyle name="60% - Accent3 4" xfId="90" xr:uid="{00000000-0005-0000-0000-000051000000}"/>
    <cellStyle name="60% - Accent4 2" xfId="91" xr:uid="{00000000-0005-0000-0000-000052000000}"/>
    <cellStyle name="60% - Accent4 3" xfId="92" xr:uid="{00000000-0005-0000-0000-000053000000}"/>
    <cellStyle name="60% - Accent4 4" xfId="93" xr:uid="{00000000-0005-0000-0000-000054000000}"/>
    <cellStyle name="60% - Accent5 2" xfId="94" xr:uid="{00000000-0005-0000-0000-000055000000}"/>
    <cellStyle name="60% - Accent5 3" xfId="95" xr:uid="{00000000-0005-0000-0000-000056000000}"/>
    <cellStyle name="60% - Accent5 4" xfId="96" xr:uid="{00000000-0005-0000-0000-000057000000}"/>
    <cellStyle name="60% - Accent6 2" xfId="97" xr:uid="{00000000-0005-0000-0000-000058000000}"/>
    <cellStyle name="60% - Accent6 3" xfId="98" xr:uid="{00000000-0005-0000-0000-000059000000}"/>
    <cellStyle name="60% - Accent6 4" xfId="99" xr:uid="{00000000-0005-0000-0000-00005A000000}"/>
    <cellStyle name="Accent1 2" xfId="100" xr:uid="{00000000-0005-0000-0000-00005B000000}"/>
    <cellStyle name="Accent1 3" xfId="101" xr:uid="{00000000-0005-0000-0000-00005C000000}"/>
    <cellStyle name="Accent1 4" xfId="102" xr:uid="{00000000-0005-0000-0000-00005D000000}"/>
    <cellStyle name="Accent2 2" xfId="103" xr:uid="{00000000-0005-0000-0000-00005E000000}"/>
    <cellStyle name="Accent2 3" xfId="104" xr:uid="{00000000-0005-0000-0000-00005F000000}"/>
    <cellStyle name="Accent2 4" xfId="105" xr:uid="{00000000-0005-0000-0000-000060000000}"/>
    <cellStyle name="Accent3 2" xfId="106" xr:uid="{00000000-0005-0000-0000-000061000000}"/>
    <cellStyle name="Accent3 3" xfId="107" xr:uid="{00000000-0005-0000-0000-000062000000}"/>
    <cellStyle name="Accent3 4" xfId="108" xr:uid="{00000000-0005-0000-0000-000063000000}"/>
    <cellStyle name="Accent4 2" xfId="109" xr:uid="{00000000-0005-0000-0000-000064000000}"/>
    <cellStyle name="Accent4 3" xfId="110" xr:uid="{00000000-0005-0000-0000-000065000000}"/>
    <cellStyle name="Accent4 4" xfId="111" xr:uid="{00000000-0005-0000-0000-000066000000}"/>
    <cellStyle name="Accent5 2" xfId="112" xr:uid="{00000000-0005-0000-0000-000067000000}"/>
    <cellStyle name="Accent5 3" xfId="113" xr:uid="{00000000-0005-0000-0000-000068000000}"/>
    <cellStyle name="Accent5 4" xfId="114" xr:uid="{00000000-0005-0000-0000-000069000000}"/>
    <cellStyle name="Accent6 2" xfId="115" xr:uid="{00000000-0005-0000-0000-00006A000000}"/>
    <cellStyle name="Accent6 3" xfId="116" xr:uid="{00000000-0005-0000-0000-00006B000000}"/>
    <cellStyle name="Accent6 4" xfId="117" xr:uid="{00000000-0005-0000-0000-00006C000000}"/>
    <cellStyle name="Bad 2" xfId="118" xr:uid="{00000000-0005-0000-0000-00006D000000}"/>
    <cellStyle name="Bad 3" xfId="119" xr:uid="{00000000-0005-0000-0000-00006E000000}"/>
    <cellStyle name="Bad 4" xfId="120" xr:uid="{00000000-0005-0000-0000-00006F000000}"/>
    <cellStyle name="Calculation 2" xfId="121" xr:uid="{00000000-0005-0000-0000-000070000000}"/>
    <cellStyle name="Calculation 3" xfId="122" xr:uid="{00000000-0005-0000-0000-000071000000}"/>
    <cellStyle name="Calculation 4" xfId="123" xr:uid="{00000000-0005-0000-0000-000072000000}"/>
    <cellStyle name="Check Cell 2" xfId="124" xr:uid="{00000000-0005-0000-0000-000073000000}"/>
    <cellStyle name="Check Cell 3" xfId="125" xr:uid="{00000000-0005-0000-0000-000074000000}"/>
    <cellStyle name="Check Cell 4" xfId="126" xr:uid="{00000000-0005-0000-0000-000075000000}"/>
    <cellStyle name="Comma" xfId="1" builtinId="3"/>
    <cellStyle name="Comma 2" xfId="127" xr:uid="{00000000-0005-0000-0000-000077000000}"/>
    <cellStyle name="Comma 2 2" xfId="1028" xr:uid="{00000000-0005-0000-0000-000078000000}"/>
    <cellStyle name="Comma 2 2 2" xfId="1034" xr:uid="{1FC2E792-B11E-4BD6-BA2B-63A3387C1DFA}"/>
    <cellStyle name="Comma 2 2 2 2" xfId="1047" xr:uid="{3F93A26D-FCE4-4E73-81C8-19CB04DC3838}"/>
    <cellStyle name="Comma 2 2 3" xfId="1045" xr:uid="{30E97B22-97A4-4CD7-A56F-28B2A3C77FAC}"/>
    <cellStyle name="Comma 2 2 4" xfId="1032" xr:uid="{FE90350C-810D-4570-81F6-4B54F604696C}"/>
    <cellStyle name="Comma 2 3" xfId="1044" xr:uid="{12012EF5-A0FC-43F3-8408-E866DA05478F}"/>
    <cellStyle name="Comma 2 4" xfId="1054" xr:uid="{F9012D72-F61F-43B5-9CB3-C6FC969A07DC}"/>
    <cellStyle name="Comma 2 4 2" xfId="1060" xr:uid="{A704B261-242F-47E1-9989-94BFC396CFEB}"/>
    <cellStyle name="Comma 2 5" xfId="1031" xr:uid="{012B2C85-56D5-4CAC-8554-3345D7925264}"/>
    <cellStyle name="Comma 3" xfId="1025" xr:uid="{00000000-0005-0000-0000-000079000000}"/>
    <cellStyle name="Comma 3 2" xfId="1038" xr:uid="{E61C3B54-2042-4DBC-B606-8FD5706871B5}"/>
    <cellStyle name="Comma 3 2 2" xfId="1049" xr:uid="{D9626EFD-602F-4072-8973-DEB29E7D4784}"/>
    <cellStyle name="Comma 4" xfId="1027" xr:uid="{00000000-0005-0000-0000-00007A000000}"/>
    <cellStyle name="Comma 4 2" xfId="1048" xr:uid="{5F2C7011-17A6-40D7-AA15-955E9215E96F}"/>
    <cellStyle name="Comma 4 3" xfId="1053" xr:uid="{4E306C21-DBF5-4291-A0CB-1CFEF31F89B7}"/>
    <cellStyle name="Comma 4 4" xfId="1037" xr:uid="{E4660F7A-218E-412A-847D-8B156C9A3AFD}"/>
    <cellStyle name="Comma 5" xfId="1040" xr:uid="{49024850-F1E1-4C64-88B6-FB3B716B7B18}"/>
    <cellStyle name="Comma 5 2" xfId="1050" xr:uid="{56D46E5A-C68B-4716-8393-3E7CC9E7EBAF}"/>
    <cellStyle name="Comma 6" xfId="1062" xr:uid="{48F15FE1-86F6-4539-B78A-157140D0BB73}"/>
    <cellStyle name="Excel Built-in Normal" xfId="1041" xr:uid="{711190F4-E9EF-40B3-BFAE-75CF1342F7AD}"/>
    <cellStyle name="Explanatory Text 2" xfId="128" xr:uid="{00000000-0005-0000-0000-00007B000000}"/>
    <cellStyle name="Explanatory Text 3" xfId="129" xr:uid="{00000000-0005-0000-0000-00007C000000}"/>
    <cellStyle name="Explanatory Text 4" xfId="130" xr:uid="{00000000-0005-0000-0000-00007D000000}"/>
    <cellStyle name="Good 2" xfId="131" xr:uid="{00000000-0005-0000-0000-00007E000000}"/>
    <cellStyle name="Good 3" xfId="132" xr:uid="{00000000-0005-0000-0000-00007F000000}"/>
    <cellStyle name="Good 4" xfId="133" xr:uid="{00000000-0005-0000-0000-000080000000}"/>
    <cellStyle name="Heading 1 2" xfId="134" xr:uid="{00000000-0005-0000-0000-000081000000}"/>
    <cellStyle name="Heading 1 3" xfId="135" xr:uid="{00000000-0005-0000-0000-000082000000}"/>
    <cellStyle name="Heading 1 4" xfId="136" xr:uid="{00000000-0005-0000-0000-000083000000}"/>
    <cellStyle name="Heading 2 2" xfId="137" xr:uid="{00000000-0005-0000-0000-000084000000}"/>
    <cellStyle name="Heading 2 3" xfId="138" xr:uid="{00000000-0005-0000-0000-000085000000}"/>
    <cellStyle name="Heading 2 4" xfId="139" xr:uid="{00000000-0005-0000-0000-000086000000}"/>
    <cellStyle name="Heading 3 2" xfId="140" xr:uid="{00000000-0005-0000-0000-000087000000}"/>
    <cellStyle name="Heading 3 3" xfId="141" xr:uid="{00000000-0005-0000-0000-000088000000}"/>
    <cellStyle name="Heading 3 4" xfId="142" xr:uid="{00000000-0005-0000-0000-000089000000}"/>
    <cellStyle name="Heading 4 2" xfId="143" xr:uid="{00000000-0005-0000-0000-00008A000000}"/>
    <cellStyle name="Heading 4 3" xfId="144" xr:uid="{00000000-0005-0000-0000-00008B000000}"/>
    <cellStyle name="Heading 4 4" xfId="145" xr:uid="{00000000-0005-0000-0000-00008C000000}"/>
    <cellStyle name="Hyperlink" xfId="1026" builtinId="8"/>
    <cellStyle name="Input 2" xfId="146" xr:uid="{00000000-0005-0000-0000-00008E000000}"/>
    <cellStyle name="Input 3" xfId="147" xr:uid="{00000000-0005-0000-0000-00008F000000}"/>
    <cellStyle name="Input 4" xfId="148" xr:uid="{00000000-0005-0000-0000-000090000000}"/>
    <cellStyle name="Linked Cell 2" xfId="149" xr:uid="{00000000-0005-0000-0000-000091000000}"/>
    <cellStyle name="Linked Cell 3" xfId="150" xr:uid="{00000000-0005-0000-0000-000092000000}"/>
    <cellStyle name="Linked Cell 4" xfId="151" xr:uid="{00000000-0005-0000-0000-000093000000}"/>
    <cellStyle name="Neutral 2" xfId="152" xr:uid="{00000000-0005-0000-0000-000094000000}"/>
    <cellStyle name="Neutral 3" xfId="153" xr:uid="{00000000-0005-0000-0000-000095000000}"/>
    <cellStyle name="Neutral 4" xfId="154" xr:uid="{00000000-0005-0000-0000-000096000000}"/>
    <cellStyle name="Normal" xfId="0" builtinId="0"/>
    <cellStyle name="Normal 10" xfId="155" xr:uid="{00000000-0005-0000-0000-000098000000}"/>
    <cellStyle name="Normal 10 2" xfId="1035" xr:uid="{426650D6-A717-4019-8F61-DCA0661C7F00}"/>
    <cellStyle name="Normal 10 28" xfId="1052" xr:uid="{7EFD4751-08FD-493B-899F-6F7355647C04}"/>
    <cellStyle name="Normal 100" xfId="1122" xr:uid="{B22E3731-ECF6-4CF3-A9C6-9CBFBB1BC9FD}"/>
    <cellStyle name="Normal 101" xfId="1125" xr:uid="{EEEC9A1E-A2CA-4305-BDE6-668430E1BD09}"/>
    <cellStyle name="Normal 102" xfId="1117" xr:uid="{EF018E54-8531-40AB-8B68-D2B6016AF526}"/>
    <cellStyle name="Normal 103" xfId="1119" xr:uid="{9B4E4652-D678-46D0-8EA6-322B36486287}"/>
    <cellStyle name="Normal 104" xfId="1121" xr:uid="{4F9A326A-6F1F-47AF-857D-E5F9832D7B26}"/>
    <cellStyle name="Normal 105" xfId="1123" xr:uid="{CC02A1F8-32C3-479C-B1B1-53B131967A87}"/>
    <cellStyle name="Normal 106" xfId="1124" xr:uid="{5841CB28-5104-4400-B9B0-0626C7E26614}"/>
    <cellStyle name="Normal 107" xfId="1131" xr:uid="{C53EB074-3884-42C8-ACE1-A2C1CD9DC539}"/>
    <cellStyle name="Normal 108" xfId="1139" xr:uid="{9611C713-8D2C-4E3B-A8A3-49261290681F}"/>
    <cellStyle name="Normal 109" xfId="1140" xr:uid="{041F6239-4CCA-4A46-8FE7-E16D5248EC2D}"/>
    <cellStyle name="Normal 11" xfId="156" xr:uid="{00000000-0005-0000-0000-000099000000}"/>
    <cellStyle name="Normal 11 2" xfId="157" xr:uid="{00000000-0005-0000-0000-00009A000000}"/>
    <cellStyle name="Normal 11 2 2" xfId="158" xr:uid="{00000000-0005-0000-0000-00009B000000}"/>
    <cellStyle name="Normal 11 2 2 2" xfId="159" xr:uid="{00000000-0005-0000-0000-00009C000000}"/>
    <cellStyle name="Normal 11 2 3" xfId="160" xr:uid="{00000000-0005-0000-0000-00009D000000}"/>
    <cellStyle name="Normal 11 2 3 2" xfId="161" xr:uid="{00000000-0005-0000-0000-00009E000000}"/>
    <cellStyle name="Normal 11 2 6" xfId="162" xr:uid="{00000000-0005-0000-0000-00009F000000}"/>
    <cellStyle name="Normal 11 3" xfId="163" xr:uid="{00000000-0005-0000-0000-0000A0000000}"/>
    <cellStyle name="Normal 11 4" xfId="164" xr:uid="{00000000-0005-0000-0000-0000A1000000}"/>
    <cellStyle name="Normal 110" xfId="1142" xr:uid="{916754B3-F60A-464F-9260-10E33F2811BA}"/>
    <cellStyle name="Normal 111" xfId="1144" xr:uid="{575119B5-86C6-49B3-A4A3-FF709B421563}"/>
    <cellStyle name="Normal 112" xfId="1138" xr:uid="{C3C80773-2F45-45E7-8E46-B0CE7E10ED38}"/>
    <cellStyle name="Normal 113" xfId="1136" xr:uid="{3DDC7095-35BD-4866-A407-035CF2FBA263}"/>
    <cellStyle name="Normal 114" xfId="1134" xr:uid="{90A64F3A-C015-4A12-9A6D-FE7B4783CA9B}"/>
    <cellStyle name="Normal 115" xfId="1145" xr:uid="{FB306D9D-F8E4-4A85-8035-1D424408BD10}"/>
    <cellStyle name="Normal 116" xfId="1146" xr:uid="{511B2B4D-F834-49DF-929C-7BE4C9E7C5C7}"/>
    <cellStyle name="Normal 117" xfId="1147" xr:uid="{52B015DF-12FC-4F42-AEBF-216B0A8A5B21}"/>
    <cellStyle name="Normal 118" xfId="1150" xr:uid="{C397FD9E-A358-409B-8A1E-164A6BBAA474}"/>
    <cellStyle name="Normal 119" xfId="1063" xr:uid="{56782630-28CB-45B6-906B-4E10A2A481EC}"/>
    <cellStyle name="Normal 12" xfId="165" xr:uid="{00000000-0005-0000-0000-0000A2000000}"/>
    <cellStyle name="Normal 12 2" xfId="8" xr:uid="{00000000-0005-0000-0000-0000A3000000}"/>
    <cellStyle name="Normal 12 2 2" xfId="166" xr:uid="{00000000-0005-0000-0000-0000A4000000}"/>
    <cellStyle name="Normal 12 2 2 2" xfId="167" xr:uid="{00000000-0005-0000-0000-0000A5000000}"/>
    <cellStyle name="Normal 12 2 3" xfId="168" xr:uid="{00000000-0005-0000-0000-0000A6000000}"/>
    <cellStyle name="Normal 12 3" xfId="169" xr:uid="{00000000-0005-0000-0000-0000A7000000}"/>
    <cellStyle name="Normal 12 3 2" xfId="170" xr:uid="{00000000-0005-0000-0000-0000A8000000}"/>
    <cellStyle name="Normal 12 4" xfId="171" xr:uid="{00000000-0005-0000-0000-0000A9000000}"/>
    <cellStyle name="Normal 120 2" xfId="1065" xr:uid="{8A0F0E2C-AAE6-405E-B886-839A92F46233}"/>
    <cellStyle name="Normal 120 3" xfId="1066" xr:uid="{C24EA4FF-CB91-45B7-BB7F-1B6496EEDC25}"/>
    <cellStyle name="Normal 121" xfId="1077" xr:uid="{87AC00A5-ED16-4EAE-B789-AA294C862EEE}"/>
    <cellStyle name="Normal 122" xfId="1067" xr:uid="{5AD5DA17-A5C9-4BBC-A0D6-AB322C58FF48}"/>
    <cellStyle name="Normal 122 2" xfId="1068" xr:uid="{5DEF0396-24C5-417A-B2B2-24FC35AED038}"/>
    <cellStyle name="Normal 122 3" xfId="1069" xr:uid="{0D549524-8437-43B9-8A87-BC3D90700462}"/>
    <cellStyle name="Normal 123" xfId="1064" xr:uid="{E33678C3-070D-4687-9B52-D965640E8483}"/>
    <cellStyle name="Normal 123 2" xfId="1074" xr:uid="{635A7154-1FD1-4BEC-A07E-25E1CF24623D}"/>
    <cellStyle name="Normal 123 3" xfId="1075" xr:uid="{B23022D7-6457-4E49-AA5B-BA84026EC998}"/>
    <cellStyle name="Normal 124 2" xfId="1072" xr:uid="{A8318430-7E4D-4668-937A-47C57D581B16}"/>
    <cellStyle name="Normal 124 3" xfId="1073" xr:uid="{57BB5BEE-9052-4B62-836F-DA5309CE622A}"/>
    <cellStyle name="Normal 125 2" xfId="1070" xr:uid="{98615068-FC1C-4BD1-AD4B-96CC1A500F54}"/>
    <cellStyle name="Normal 125 3" xfId="1071" xr:uid="{CB1C07D6-7C43-48B7-87CB-AA76C16758E0}"/>
    <cellStyle name="Normal 126" xfId="1080" xr:uid="{7A04242C-602E-45A6-B896-309C6F8C3FB9}"/>
    <cellStyle name="Normal 126 2" xfId="1081" xr:uid="{AF92C26B-81B6-4B25-AEAD-5BABEEC01EAD}"/>
    <cellStyle name="Normal 126 3" xfId="1082" xr:uid="{3811303B-D707-4FB9-8405-D2A0F0C5E4F3}"/>
    <cellStyle name="Normal 127" xfId="1076" xr:uid="{B9071D6E-263B-4347-86FC-418CFC6F696C}"/>
    <cellStyle name="Normal 127 2" xfId="1078" xr:uid="{9891BD47-7ACE-43B0-8750-F1A7F2B3EB01}"/>
    <cellStyle name="Normal 127 3" xfId="1079" xr:uid="{AC3713E3-02E3-4353-BE47-74C548C9A962}"/>
    <cellStyle name="Normal 128 2" xfId="1083" xr:uid="{12442525-52D0-42D7-985F-A19F5EB0A0CA}"/>
    <cellStyle name="Normal 129 2" xfId="1085" xr:uid="{ADDBEC2F-578F-4AFF-90E1-F9C563F6F93F}"/>
    <cellStyle name="Normal 13" xfId="172" xr:uid="{00000000-0005-0000-0000-0000AA000000}"/>
    <cellStyle name="Normal 130 2" xfId="1087" xr:uid="{89BD2E68-24A1-4949-9941-A279A46D629E}"/>
    <cellStyle name="Normal 131 2" xfId="1089" xr:uid="{C02BB3B4-257D-4D44-8EFC-7FD5445C2CE6}"/>
    <cellStyle name="Normal 132 2" xfId="1091" xr:uid="{4111D069-BD00-401D-8551-0D405FB5D89C}"/>
    <cellStyle name="Normal 133 2" xfId="1093" xr:uid="{7092BB7C-6388-4CE0-97E0-EBC4246DBC7B}"/>
    <cellStyle name="Normal 134 2" xfId="1095" xr:uid="{4BDBB2B8-C70F-4886-B980-6E849DAE15C6}"/>
    <cellStyle name="Normal 135 2" xfId="1097" xr:uid="{CE7854BD-C7A9-4E98-B535-ED73E74BF8C4}"/>
    <cellStyle name="Normal 136 2" xfId="1099" xr:uid="{FD9B0993-52A6-4DAE-A601-9000D611D84B}"/>
    <cellStyle name="Normal 137 2" xfId="1101" xr:uid="{8A949514-4231-4F8B-9096-5FF6040B5F2E}"/>
    <cellStyle name="Normal 138 2" xfId="1103" xr:uid="{84707CAD-8821-49F3-A960-B33C0989A6CE}"/>
    <cellStyle name="Normal 139 2" xfId="1105" xr:uid="{BA9315A6-7069-488B-B6EF-43A5E2469A53}"/>
    <cellStyle name="Normal 14" xfId="173" xr:uid="{00000000-0005-0000-0000-0000AB000000}"/>
    <cellStyle name="Normal 140 2" xfId="1108" xr:uid="{9B207262-820C-4BAC-90ED-2E64FE4940E3}"/>
    <cellStyle name="Normal 141 2" xfId="1110" xr:uid="{93004BD1-4B9D-4CFB-B2F1-D9110D5A6FAC}"/>
    <cellStyle name="Normal 142 2" xfId="1112" xr:uid="{7EC3A9AF-2EC9-47AD-A59B-7FBDE450D0AC}"/>
    <cellStyle name="Normal 15" xfId="174" xr:uid="{00000000-0005-0000-0000-0000AC000000}"/>
    <cellStyle name="Normal 15 2" xfId="175" xr:uid="{00000000-0005-0000-0000-0000AD000000}"/>
    <cellStyle name="Normal 15 2 2" xfId="176" xr:uid="{00000000-0005-0000-0000-0000AE000000}"/>
    <cellStyle name="Normal 157" xfId="1130" xr:uid="{7EF3B564-394D-4BD6-8B0F-564C56E10BE2}"/>
    <cellStyle name="Normal 158" xfId="1132" xr:uid="{DC0E853A-8BE4-41B0-A9C8-5EA5EFB0FC08}"/>
    <cellStyle name="Normal 159" xfId="1141" xr:uid="{AC88F18D-E855-48F3-BCCE-61134BD94975}"/>
    <cellStyle name="Normal 16" xfId="177" xr:uid="{00000000-0005-0000-0000-0000AF000000}"/>
    <cellStyle name="Normal 16 2" xfId="178" xr:uid="{00000000-0005-0000-0000-0000B0000000}"/>
    <cellStyle name="Normal 16 2 2" xfId="179" xr:uid="{00000000-0005-0000-0000-0000B1000000}"/>
    <cellStyle name="Normal 16 2 2 2" xfId="180" xr:uid="{00000000-0005-0000-0000-0000B2000000}"/>
    <cellStyle name="Normal 16 2 2 2 2" xfId="181" xr:uid="{00000000-0005-0000-0000-0000B3000000}"/>
    <cellStyle name="Normal 16 2 2 2 2 2" xfId="182" xr:uid="{00000000-0005-0000-0000-0000B4000000}"/>
    <cellStyle name="Normal 16 2 2 2 2 3" xfId="183" xr:uid="{00000000-0005-0000-0000-0000B5000000}"/>
    <cellStyle name="Normal 16 2 2 2 3" xfId="184" xr:uid="{00000000-0005-0000-0000-0000B6000000}"/>
    <cellStyle name="Normal 16 2 2 2 4" xfId="185" xr:uid="{00000000-0005-0000-0000-0000B7000000}"/>
    <cellStyle name="Normal 16 2 2 3" xfId="186" xr:uid="{00000000-0005-0000-0000-0000B8000000}"/>
    <cellStyle name="Normal 16 2 2 3 2" xfId="187" xr:uid="{00000000-0005-0000-0000-0000B9000000}"/>
    <cellStyle name="Normal 16 2 2 3 3" xfId="188" xr:uid="{00000000-0005-0000-0000-0000BA000000}"/>
    <cellStyle name="Normal 16 2 2 4" xfId="189" xr:uid="{00000000-0005-0000-0000-0000BB000000}"/>
    <cellStyle name="Normal 16 2 2 5" xfId="190" xr:uid="{00000000-0005-0000-0000-0000BC000000}"/>
    <cellStyle name="Normal 16 2 3" xfId="191" xr:uid="{00000000-0005-0000-0000-0000BD000000}"/>
    <cellStyle name="Normal 16 2 3 2" xfId="192" xr:uid="{00000000-0005-0000-0000-0000BE000000}"/>
    <cellStyle name="Normal 16 2 3 2 2" xfId="193" xr:uid="{00000000-0005-0000-0000-0000BF000000}"/>
    <cellStyle name="Normal 16 2 3 2 3" xfId="194" xr:uid="{00000000-0005-0000-0000-0000C0000000}"/>
    <cellStyle name="Normal 16 2 3 3" xfId="195" xr:uid="{00000000-0005-0000-0000-0000C1000000}"/>
    <cellStyle name="Normal 16 2 3 4" xfId="196" xr:uid="{00000000-0005-0000-0000-0000C2000000}"/>
    <cellStyle name="Normal 16 2 4" xfId="197" xr:uid="{00000000-0005-0000-0000-0000C3000000}"/>
    <cellStyle name="Normal 16 2 4 2" xfId="198" xr:uid="{00000000-0005-0000-0000-0000C4000000}"/>
    <cellStyle name="Normal 16 2 4 3" xfId="199" xr:uid="{00000000-0005-0000-0000-0000C5000000}"/>
    <cellStyle name="Normal 16 2 5" xfId="200" xr:uid="{00000000-0005-0000-0000-0000C6000000}"/>
    <cellStyle name="Normal 16 2 6" xfId="201" xr:uid="{00000000-0005-0000-0000-0000C7000000}"/>
    <cellStyle name="Normal 16 3" xfId="202" xr:uid="{00000000-0005-0000-0000-0000C8000000}"/>
    <cellStyle name="Normal 16 3 2" xfId="203" xr:uid="{00000000-0005-0000-0000-0000C9000000}"/>
    <cellStyle name="Normal 16 3 2 2" xfId="204" xr:uid="{00000000-0005-0000-0000-0000CA000000}"/>
    <cellStyle name="Normal 16 3 2 2 2" xfId="205" xr:uid="{00000000-0005-0000-0000-0000CB000000}"/>
    <cellStyle name="Normal 16 3 2 2 3" xfId="206" xr:uid="{00000000-0005-0000-0000-0000CC000000}"/>
    <cellStyle name="Normal 16 3 2 3" xfId="207" xr:uid="{00000000-0005-0000-0000-0000CD000000}"/>
    <cellStyle name="Normal 16 3 2 4" xfId="208" xr:uid="{00000000-0005-0000-0000-0000CE000000}"/>
    <cellStyle name="Normal 16 3 3" xfId="209" xr:uid="{00000000-0005-0000-0000-0000CF000000}"/>
    <cellStyle name="Normal 16 3 3 2" xfId="210" xr:uid="{00000000-0005-0000-0000-0000D0000000}"/>
    <cellStyle name="Normal 16 3 3 3" xfId="211" xr:uid="{00000000-0005-0000-0000-0000D1000000}"/>
    <cellStyle name="Normal 16 3 4" xfId="212" xr:uid="{00000000-0005-0000-0000-0000D2000000}"/>
    <cellStyle name="Normal 16 3 5" xfId="213" xr:uid="{00000000-0005-0000-0000-0000D3000000}"/>
    <cellStyle name="Normal 16 4" xfId="214" xr:uid="{00000000-0005-0000-0000-0000D4000000}"/>
    <cellStyle name="Normal 16 4 2" xfId="215" xr:uid="{00000000-0005-0000-0000-0000D5000000}"/>
    <cellStyle name="Normal 16 4 2 2" xfId="216" xr:uid="{00000000-0005-0000-0000-0000D6000000}"/>
    <cellStyle name="Normal 16 4 2 3" xfId="217" xr:uid="{00000000-0005-0000-0000-0000D7000000}"/>
    <cellStyle name="Normal 16 4 3" xfId="218" xr:uid="{00000000-0005-0000-0000-0000D8000000}"/>
    <cellStyle name="Normal 16 4 4" xfId="219" xr:uid="{00000000-0005-0000-0000-0000D9000000}"/>
    <cellStyle name="Normal 16 5" xfId="220" xr:uid="{00000000-0005-0000-0000-0000DA000000}"/>
    <cellStyle name="Normal 16 5 2" xfId="221" xr:uid="{00000000-0005-0000-0000-0000DB000000}"/>
    <cellStyle name="Normal 16 5 3" xfId="222" xr:uid="{00000000-0005-0000-0000-0000DC000000}"/>
    <cellStyle name="Normal 16 6" xfId="223" xr:uid="{00000000-0005-0000-0000-0000DD000000}"/>
    <cellStyle name="Normal 16 7" xfId="224" xr:uid="{00000000-0005-0000-0000-0000DE000000}"/>
    <cellStyle name="Normal 160" xfId="1143" xr:uid="{CB77605C-115D-405F-8135-3099D9A7051F}"/>
    <cellStyle name="Normal 161" xfId="1137" xr:uid="{EB4EEF79-6716-44CD-AF51-200BC2119A31}"/>
    <cellStyle name="Normal 162" xfId="1135" xr:uid="{1D205444-ECE5-428D-8E2E-15671D17C31F}"/>
    <cellStyle name="Normal 163" xfId="1133" xr:uid="{DA246970-30EA-4E42-BA99-086676498A56}"/>
    <cellStyle name="Normal 166 2" xfId="1149" xr:uid="{CB41B4BB-CFDE-4A7E-8AAC-DB431E7A580C}"/>
    <cellStyle name="Normal 166 3" xfId="1148" xr:uid="{190A20B0-377E-472D-AADE-A0F59FFD3E96}"/>
    <cellStyle name="Normal 17" xfId="225" xr:uid="{00000000-0005-0000-0000-0000DF000000}"/>
    <cellStyle name="Normal 17 2" xfId="226" xr:uid="{00000000-0005-0000-0000-0000E0000000}"/>
    <cellStyle name="Normal 17 2 2" xfId="227" xr:uid="{00000000-0005-0000-0000-0000E1000000}"/>
    <cellStyle name="Normal 17 2 2 2" xfId="228" xr:uid="{00000000-0005-0000-0000-0000E2000000}"/>
    <cellStyle name="Normal 17 2 2 2 2" xfId="229" xr:uid="{00000000-0005-0000-0000-0000E3000000}"/>
    <cellStyle name="Normal 17 2 2 2 2 2" xfId="230" xr:uid="{00000000-0005-0000-0000-0000E4000000}"/>
    <cellStyle name="Normal 17 2 2 2 2 3" xfId="231" xr:uid="{00000000-0005-0000-0000-0000E5000000}"/>
    <cellStyle name="Normal 17 2 2 2 3" xfId="232" xr:uid="{00000000-0005-0000-0000-0000E6000000}"/>
    <cellStyle name="Normal 17 2 2 2 4" xfId="233" xr:uid="{00000000-0005-0000-0000-0000E7000000}"/>
    <cellStyle name="Normal 17 2 2 3" xfId="234" xr:uid="{00000000-0005-0000-0000-0000E8000000}"/>
    <cellStyle name="Normal 17 2 2 3 2" xfId="235" xr:uid="{00000000-0005-0000-0000-0000E9000000}"/>
    <cellStyle name="Normal 17 2 2 3 3" xfId="236" xr:uid="{00000000-0005-0000-0000-0000EA000000}"/>
    <cellStyle name="Normal 17 2 2 4" xfId="237" xr:uid="{00000000-0005-0000-0000-0000EB000000}"/>
    <cellStyle name="Normal 17 2 2 5" xfId="238" xr:uid="{00000000-0005-0000-0000-0000EC000000}"/>
    <cellStyle name="Normal 17 2 3" xfId="239" xr:uid="{00000000-0005-0000-0000-0000ED000000}"/>
    <cellStyle name="Normal 17 2 3 2" xfId="240" xr:uid="{00000000-0005-0000-0000-0000EE000000}"/>
    <cellStyle name="Normal 17 2 3 2 2" xfId="241" xr:uid="{00000000-0005-0000-0000-0000EF000000}"/>
    <cellStyle name="Normal 17 2 3 2 3" xfId="242" xr:uid="{00000000-0005-0000-0000-0000F0000000}"/>
    <cellStyle name="Normal 17 2 3 3" xfId="243" xr:uid="{00000000-0005-0000-0000-0000F1000000}"/>
    <cellStyle name="Normal 17 2 3 4" xfId="244" xr:uid="{00000000-0005-0000-0000-0000F2000000}"/>
    <cellStyle name="Normal 17 2 4" xfId="245" xr:uid="{00000000-0005-0000-0000-0000F3000000}"/>
    <cellStyle name="Normal 17 2 4 2" xfId="246" xr:uid="{00000000-0005-0000-0000-0000F4000000}"/>
    <cellStyle name="Normal 17 2 4 3" xfId="247" xr:uid="{00000000-0005-0000-0000-0000F5000000}"/>
    <cellStyle name="Normal 17 2 5" xfId="248" xr:uid="{00000000-0005-0000-0000-0000F6000000}"/>
    <cellStyle name="Normal 17 2 6" xfId="249" xr:uid="{00000000-0005-0000-0000-0000F7000000}"/>
    <cellStyle name="Normal 17 3" xfId="250" xr:uid="{00000000-0005-0000-0000-0000F8000000}"/>
    <cellStyle name="Normal 17 3 2" xfId="251" xr:uid="{00000000-0005-0000-0000-0000F9000000}"/>
    <cellStyle name="Normal 17 3 2 2" xfId="252" xr:uid="{00000000-0005-0000-0000-0000FA000000}"/>
    <cellStyle name="Normal 17 3 2 2 2" xfId="253" xr:uid="{00000000-0005-0000-0000-0000FB000000}"/>
    <cellStyle name="Normal 17 3 2 2 3" xfId="254" xr:uid="{00000000-0005-0000-0000-0000FC000000}"/>
    <cellStyle name="Normal 17 3 2 3" xfId="255" xr:uid="{00000000-0005-0000-0000-0000FD000000}"/>
    <cellStyle name="Normal 17 3 2 4" xfId="256" xr:uid="{00000000-0005-0000-0000-0000FE000000}"/>
    <cellStyle name="Normal 17 3 3" xfId="257" xr:uid="{00000000-0005-0000-0000-0000FF000000}"/>
    <cellStyle name="Normal 17 3 3 2" xfId="258" xr:uid="{00000000-0005-0000-0000-000000010000}"/>
    <cellStyle name="Normal 17 3 3 3" xfId="259" xr:uid="{00000000-0005-0000-0000-000001010000}"/>
    <cellStyle name="Normal 17 3 4" xfId="260" xr:uid="{00000000-0005-0000-0000-000002010000}"/>
    <cellStyle name="Normal 17 3 5" xfId="261" xr:uid="{00000000-0005-0000-0000-000003010000}"/>
    <cellStyle name="Normal 17 4" xfId="262" xr:uid="{00000000-0005-0000-0000-000004010000}"/>
    <cellStyle name="Normal 17 4 2" xfId="263" xr:uid="{00000000-0005-0000-0000-000005010000}"/>
    <cellStyle name="Normal 17 4 2 2" xfId="264" xr:uid="{00000000-0005-0000-0000-000006010000}"/>
    <cellStyle name="Normal 17 4 2 3" xfId="265" xr:uid="{00000000-0005-0000-0000-000007010000}"/>
    <cellStyle name="Normal 17 4 3" xfId="266" xr:uid="{00000000-0005-0000-0000-000008010000}"/>
    <cellStyle name="Normal 17 4 4" xfId="267" xr:uid="{00000000-0005-0000-0000-000009010000}"/>
    <cellStyle name="Normal 17 5" xfId="268" xr:uid="{00000000-0005-0000-0000-00000A010000}"/>
    <cellStyle name="Normal 17 5 2" xfId="269" xr:uid="{00000000-0005-0000-0000-00000B010000}"/>
    <cellStyle name="Normal 17 5 3" xfId="270" xr:uid="{00000000-0005-0000-0000-00000C010000}"/>
    <cellStyle name="Normal 17 6" xfId="271" xr:uid="{00000000-0005-0000-0000-00000D010000}"/>
    <cellStyle name="Normal 17 7" xfId="272" xr:uid="{00000000-0005-0000-0000-00000E010000}"/>
    <cellStyle name="Normal 18" xfId="273" xr:uid="{00000000-0005-0000-0000-00000F010000}"/>
    <cellStyle name="Normal 18 2" xfId="274" xr:uid="{00000000-0005-0000-0000-000010010000}"/>
    <cellStyle name="Normal 18 2 2" xfId="275" xr:uid="{00000000-0005-0000-0000-000011010000}"/>
    <cellStyle name="Normal 18 2 2 2" xfId="276" xr:uid="{00000000-0005-0000-0000-000012010000}"/>
    <cellStyle name="Normal 18 2 2 3" xfId="277" xr:uid="{00000000-0005-0000-0000-000013010000}"/>
    <cellStyle name="Normal 18 2 3" xfId="278" xr:uid="{00000000-0005-0000-0000-000014010000}"/>
    <cellStyle name="Normal 18 2 4" xfId="279" xr:uid="{00000000-0005-0000-0000-000015010000}"/>
    <cellStyle name="Normal 18 3" xfId="280" xr:uid="{00000000-0005-0000-0000-000016010000}"/>
    <cellStyle name="Normal 18 3 2" xfId="281" xr:uid="{00000000-0005-0000-0000-000017010000}"/>
    <cellStyle name="Normal 18 3 2 2" xfId="282" xr:uid="{00000000-0005-0000-0000-000018010000}"/>
    <cellStyle name="Normal 18 3 2 3" xfId="283" xr:uid="{00000000-0005-0000-0000-000019010000}"/>
    <cellStyle name="Normal 18 3 3" xfId="284" xr:uid="{00000000-0005-0000-0000-00001A010000}"/>
    <cellStyle name="Normal 18 3 4" xfId="285" xr:uid="{00000000-0005-0000-0000-00001B010000}"/>
    <cellStyle name="Normal 18 4" xfId="286" xr:uid="{00000000-0005-0000-0000-00001C010000}"/>
    <cellStyle name="Normal 18 4 2" xfId="287" xr:uid="{00000000-0005-0000-0000-00001D010000}"/>
    <cellStyle name="Normal 18 4 3" xfId="288" xr:uid="{00000000-0005-0000-0000-00001E010000}"/>
    <cellStyle name="Normal 18 5" xfId="289" xr:uid="{00000000-0005-0000-0000-00001F010000}"/>
    <cellStyle name="Normal 18 6" xfId="290" xr:uid="{00000000-0005-0000-0000-000020010000}"/>
    <cellStyle name="Normal 19" xfId="291" xr:uid="{00000000-0005-0000-0000-000021010000}"/>
    <cellStyle name="Normal 19 2" xfId="292" xr:uid="{00000000-0005-0000-0000-000022010000}"/>
    <cellStyle name="Normal 19 2 2" xfId="293" xr:uid="{00000000-0005-0000-0000-000023010000}"/>
    <cellStyle name="Normal 19 3" xfId="294" xr:uid="{00000000-0005-0000-0000-000024010000}"/>
    <cellStyle name="Normal 2" xfId="2" xr:uid="{00000000-0005-0000-0000-000025010000}"/>
    <cellStyle name="Normal 2 2" xfId="296" xr:uid="{00000000-0005-0000-0000-000026010000}"/>
    <cellStyle name="Normal 2 2 2" xfId="297" xr:uid="{00000000-0005-0000-0000-000027010000}"/>
    <cellStyle name="Normal 2 2 2 2" xfId="298" xr:uid="{00000000-0005-0000-0000-000028010000}"/>
    <cellStyle name="Normal 2 2 2 2 2" xfId="299" xr:uid="{00000000-0005-0000-0000-000029010000}"/>
    <cellStyle name="Normal 2 2 2 2 2 2" xfId="300" xr:uid="{00000000-0005-0000-0000-00002A010000}"/>
    <cellStyle name="Normal 2 2 2 2 2 3" xfId="301" xr:uid="{00000000-0005-0000-0000-00002B010000}"/>
    <cellStyle name="Normal 2 2 2 2 3" xfId="302" xr:uid="{00000000-0005-0000-0000-00002C010000}"/>
    <cellStyle name="Normal 2 2 2 2 4" xfId="303" xr:uid="{00000000-0005-0000-0000-00002D010000}"/>
    <cellStyle name="Normal 2 2 2 3" xfId="304" xr:uid="{00000000-0005-0000-0000-00002E010000}"/>
    <cellStyle name="Normal 2 2 2 3 2" xfId="305" xr:uid="{00000000-0005-0000-0000-00002F010000}"/>
    <cellStyle name="Normal 2 2 2 3 3" xfId="306" xr:uid="{00000000-0005-0000-0000-000030010000}"/>
    <cellStyle name="Normal 2 2 2 4" xfId="307" xr:uid="{00000000-0005-0000-0000-000031010000}"/>
    <cellStyle name="Normal 2 2 2 5" xfId="308" xr:uid="{00000000-0005-0000-0000-000032010000}"/>
    <cellStyle name="Normal 2 2 3" xfId="309" xr:uid="{00000000-0005-0000-0000-000033010000}"/>
    <cellStyle name="Normal 2 2 3 2" xfId="310" xr:uid="{00000000-0005-0000-0000-000034010000}"/>
    <cellStyle name="Normal 2 2 3 2 2" xfId="311" xr:uid="{00000000-0005-0000-0000-000035010000}"/>
    <cellStyle name="Normal 2 2 3 2 3" xfId="312" xr:uid="{00000000-0005-0000-0000-000036010000}"/>
    <cellStyle name="Normal 2 2 3 3" xfId="313" xr:uid="{00000000-0005-0000-0000-000037010000}"/>
    <cellStyle name="Normal 2 2 3 4" xfId="314" xr:uid="{00000000-0005-0000-0000-000038010000}"/>
    <cellStyle name="Normal 2 2 4" xfId="315" xr:uid="{00000000-0005-0000-0000-000039010000}"/>
    <cellStyle name="Normal 2 2 4 2" xfId="316" xr:uid="{00000000-0005-0000-0000-00003A010000}"/>
    <cellStyle name="Normal 2 2 4 3" xfId="317" xr:uid="{00000000-0005-0000-0000-00003B010000}"/>
    <cellStyle name="Normal 2 2 5" xfId="318" xr:uid="{00000000-0005-0000-0000-00003C010000}"/>
    <cellStyle name="Normal 2 2 5 2" xfId="319" xr:uid="{00000000-0005-0000-0000-00003D010000}"/>
    <cellStyle name="Normal 2 2 5 3" xfId="320" xr:uid="{00000000-0005-0000-0000-00003E010000}"/>
    <cellStyle name="Normal 2 2 6" xfId="321" xr:uid="{00000000-0005-0000-0000-00003F010000}"/>
    <cellStyle name="Normal 2 2 7" xfId="322" xr:uid="{00000000-0005-0000-0000-000040010000}"/>
    <cellStyle name="Normal 2 3" xfId="323" xr:uid="{00000000-0005-0000-0000-000041010000}"/>
    <cellStyle name="Normal 2 3 2" xfId="324" xr:uid="{00000000-0005-0000-0000-000042010000}"/>
    <cellStyle name="Normal 2 3 2 2" xfId="325" xr:uid="{00000000-0005-0000-0000-000043010000}"/>
    <cellStyle name="Normal 2 3 2 2 2" xfId="326" xr:uid="{00000000-0005-0000-0000-000044010000}"/>
    <cellStyle name="Normal 2 3 2 2 3" xfId="327" xr:uid="{00000000-0005-0000-0000-000045010000}"/>
    <cellStyle name="Normal 2 3 2 3" xfId="328" xr:uid="{00000000-0005-0000-0000-000046010000}"/>
    <cellStyle name="Normal 2 3 2 4" xfId="329" xr:uid="{00000000-0005-0000-0000-000047010000}"/>
    <cellStyle name="Normal 2 3 3" xfId="330" xr:uid="{00000000-0005-0000-0000-000048010000}"/>
    <cellStyle name="Normal 2 3 3 2" xfId="331" xr:uid="{00000000-0005-0000-0000-000049010000}"/>
    <cellStyle name="Normal 2 3 3 3" xfId="332" xr:uid="{00000000-0005-0000-0000-00004A010000}"/>
    <cellStyle name="Normal 2 3 4" xfId="333" xr:uid="{00000000-0005-0000-0000-00004B010000}"/>
    <cellStyle name="Normal 2 3 4 2" xfId="334" xr:uid="{00000000-0005-0000-0000-00004C010000}"/>
    <cellStyle name="Normal 2 3 4 3" xfId="335" xr:uid="{00000000-0005-0000-0000-00004D010000}"/>
    <cellStyle name="Normal 2 3 5" xfId="336" xr:uid="{00000000-0005-0000-0000-00004E010000}"/>
    <cellStyle name="Normal 2 3 6" xfId="337" xr:uid="{00000000-0005-0000-0000-00004F010000}"/>
    <cellStyle name="Normal 2 4" xfId="338" xr:uid="{00000000-0005-0000-0000-000050010000}"/>
    <cellStyle name="Normal 2 4 2" xfId="339" xr:uid="{00000000-0005-0000-0000-000051010000}"/>
    <cellStyle name="Normal 2 4 2 2" xfId="340" xr:uid="{00000000-0005-0000-0000-000052010000}"/>
    <cellStyle name="Normal 2 4 3" xfId="341" xr:uid="{00000000-0005-0000-0000-000053010000}"/>
    <cellStyle name="Normal 2 4 4" xfId="1042" xr:uid="{236B063C-A16F-4FA7-B79E-51F4F3DAC767}"/>
    <cellStyle name="Normal 2 5" xfId="342" xr:uid="{00000000-0005-0000-0000-000054010000}"/>
    <cellStyle name="Normal 2 5 2" xfId="343" xr:uid="{00000000-0005-0000-0000-000055010000}"/>
    <cellStyle name="Normal 2 5 2 2" xfId="1058" xr:uid="{65CA0D37-39A4-4D11-82BC-72B1FE811160}"/>
    <cellStyle name="Normal 2 5 2 3" xfId="1051" xr:uid="{6EA60857-080E-40DD-A0BD-C1AF8376303E}"/>
    <cellStyle name="Normal 2 5 3" xfId="1056" xr:uid="{ED77BCD0-A986-46AE-930D-D8C6DFFFC355}"/>
    <cellStyle name="Normal 2 5 4" xfId="1043" xr:uid="{489C9C9E-148D-4968-98D2-4C66F32C776B}"/>
    <cellStyle name="Normal 2 6" xfId="344" xr:uid="{00000000-0005-0000-0000-000056010000}"/>
    <cellStyle name="Normal 2 6 2" xfId="345" xr:uid="{00000000-0005-0000-0000-000057010000}"/>
    <cellStyle name="Normal 2 6 2 2" xfId="1057" xr:uid="{AC40B50B-8BF8-4C47-8530-B0E3D83DE5A3}"/>
    <cellStyle name="Normal 2 6 3" xfId="1046" xr:uid="{7249D567-2521-4130-91F1-2786CA207658}"/>
    <cellStyle name="Normal 2 7" xfId="295" xr:uid="{00000000-0005-0000-0000-000058010000}"/>
    <cellStyle name="Normal 2 7 2" xfId="1055" xr:uid="{82E89E70-34AD-4B98-BFA1-447F45096B9F}"/>
    <cellStyle name="Normal 2 8" xfId="1029" xr:uid="{00000000-0005-0000-0000-000059010000}"/>
    <cellStyle name="Normal 2 8 2" xfId="1061" xr:uid="{1914FDA7-0909-42CE-AF08-6E048AC3121E}"/>
    <cellStyle name="Normal 20" xfId="346" xr:uid="{00000000-0005-0000-0000-00005A010000}"/>
    <cellStyle name="Normal 20 2" xfId="347" xr:uid="{00000000-0005-0000-0000-00005B010000}"/>
    <cellStyle name="Normal 20 2 2" xfId="348" xr:uid="{00000000-0005-0000-0000-00005C010000}"/>
    <cellStyle name="Normal 20 2 2 2" xfId="349" xr:uid="{00000000-0005-0000-0000-00005D010000}"/>
    <cellStyle name="Normal 20 2 2 2 2" xfId="350" xr:uid="{00000000-0005-0000-0000-00005E010000}"/>
    <cellStyle name="Normal 20 2 2 2 2 2" xfId="351" xr:uid="{00000000-0005-0000-0000-00005F010000}"/>
    <cellStyle name="Normal 20 2 2 2 2 3" xfId="352" xr:uid="{00000000-0005-0000-0000-000060010000}"/>
    <cellStyle name="Normal 20 2 2 2 3" xfId="353" xr:uid="{00000000-0005-0000-0000-000061010000}"/>
    <cellStyle name="Normal 20 2 2 2 4" xfId="354" xr:uid="{00000000-0005-0000-0000-000062010000}"/>
    <cellStyle name="Normal 20 2 2 3" xfId="355" xr:uid="{00000000-0005-0000-0000-000063010000}"/>
    <cellStyle name="Normal 20 2 2 3 2" xfId="356" xr:uid="{00000000-0005-0000-0000-000064010000}"/>
    <cellStyle name="Normal 20 2 2 3 3" xfId="357" xr:uid="{00000000-0005-0000-0000-000065010000}"/>
    <cellStyle name="Normal 20 2 2 4" xfId="358" xr:uid="{00000000-0005-0000-0000-000066010000}"/>
    <cellStyle name="Normal 20 2 2 5" xfId="359" xr:uid="{00000000-0005-0000-0000-000067010000}"/>
    <cellStyle name="Normal 20 2 3" xfId="360" xr:uid="{00000000-0005-0000-0000-000068010000}"/>
    <cellStyle name="Normal 20 2 3 2" xfId="361" xr:uid="{00000000-0005-0000-0000-000069010000}"/>
    <cellStyle name="Normal 20 2 3 2 2" xfId="362" xr:uid="{00000000-0005-0000-0000-00006A010000}"/>
    <cellStyle name="Normal 20 2 3 2 3" xfId="363" xr:uid="{00000000-0005-0000-0000-00006B010000}"/>
    <cellStyle name="Normal 20 2 3 3" xfId="364" xr:uid="{00000000-0005-0000-0000-00006C010000}"/>
    <cellStyle name="Normal 20 2 3 4" xfId="365" xr:uid="{00000000-0005-0000-0000-00006D010000}"/>
    <cellStyle name="Normal 20 2 4" xfId="366" xr:uid="{00000000-0005-0000-0000-00006E010000}"/>
    <cellStyle name="Normal 20 2 4 2" xfId="367" xr:uid="{00000000-0005-0000-0000-00006F010000}"/>
    <cellStyle name="Normal 20 2 4 3" xfId="368" xr:uid="{00000000-0005-0000-0000-000070010000}"/>
    <cellStyle name="Normal 20 2 5" xfId="369" xr:uid="{00000000-0005-0000-0000-000071010000}"/>
    <cellStyle name="Normal 20 2 6" xfId="370" xr:uid="{00000000-0005-0000-0000-000072010000}"/>
    <cellStyle name="Normal 20 3" xfId="371" xr:uid="{00000000-0005-0000-0000-000073010000}"/>
    <cellStyle name="Normal 20 3 2" xfId="372" xr:uid="{00000000-0005-0000-0000-000074010000}"/>
    <cellStyle name="Normal 20 3 2 2" xfId="373" xr:uid="{00000000-0005-0000-0000-000075010000}"/>
    <cellStyle name="Normal 20 3 2 2 2" xfId="374" xr:uid="{00000000-0005-0000-0000-000076010000}"/>
    <cellStyle name="Normal 20 3 2 2 3" xfId="375" xr:uid="{00000000-0005-0000-0000-000077010000}"/>
    <cellStyle name="Normal 20 3 2 3" xfId="376" xr:uid="{00000000-0005-0000-0000-000078010000}"/>
    <cellStyle name="Normal 20 3 2 4" xfId="377" xr:uid="{00000000-0005-0000-0000-000079010000}"/>
    <cellStyle name="Normal 20 3 3" xfId="378" xr:uid="{00000000-0005-0000-0000-00007A010000}"/>
    <cellStyle name="Normal 20 3 3 2" xfId="379" xr:uid="{00000000-0005-0000-0000-00007B010000}"/>
    <cellStyle name="Normal 20 3 3 3" xfId="380" xr:uid="{00000000-0005-0000-0000-00007C010000}"/>
    <cellStyle name="Normal 20 3 4" xfId="381" xr:uid="{00000000-0005-0000-0000-00007D010000}"/>
    <cellStyle name="Normal 20 3 5" xfId="382" xr:uid="{00000000-0005-0000-0000-00007E010000}"/>
    <cellStyle name="Normal 20 4" xfId="383" xr:uid="{00000000-0005-0000-0000-00007F010000}"/>
    <cellStyle name="Normal 20 4 2" xfId="384" xr:uid="{00000000-0005-0000-0000-000080010000}"/>
    <cellStyle name="Normal 20 4 2 2" xfId="385" xr:uid="{00000000-0005-0000-0000-000081010000}"/>
    <cellStyle name="Normal 20 4 2 3" xfId="386" xr:uid="{00000000-0005-0000-0000-000082010000}"/>
    <cellStyle name="Normal 20 4 3" xfId="387" xr:uid="{00000000-0005-0000-0000-000083010000}"/>
    <cellStyle name="Normal 20 4 4" xfId="388" xr:uid="{00000000-0005-0000-0000-000084010000}"/>
    <cellStyle name="Normal 20 5" xfId="389" xr:uid="{00000000-0005-0000-0000-000085010000}"/>
    <cellStyle name="Normal 20 5 2" xfId="390" xr:uid="{00000000-0005-0000-0000-000086010000}"/>
    <cellStyle name="Normal 20 5 3" xfId="391" xr:uid="{00000000-0005-0000-0000-000087010000}"/>
    <cellStyle name="Normal 20 6" xfId="392" xr:uid="{00000000-0005-0000-0000-000088010000}"/>
    <cellStyle name="Normal 20 7" xfId="393" xr:uid="{00000000-0005-0000-0000-000089010000}"/>
    <cellStyle name="Normal 21" xfId="394" xr:uid="{00000000-0005-0000-0000-00008A010000}"/>
    <cellStyle name="Normal 21 2" xfId="395" xr:uid="{00000000-0005-0000-0000-00008B010000}"/>
    <cellStyle name="Normal 21 2 2" xfId="396" xr:uid="{00000000-0005-0000-0000-00008C010000}"/>
    <cellStyle name="Normal 21 3" xfId="397" xr:uid="{00000000-0005-0000-0000-00008D010000}"/>
    <cellStyle name="Normal 22" xfId="398" xr:uid="{00000000-0005-0000-0000-00008E010000}"/>
    <cellStyle name="Normal 22 2" xfId="399" xr:uid="{00000000-0005-0000-0000-00008F010000}"/>
    <cellStyle name="Normal 22 2 2" xfId="400" xr:uid="{00000000-0005-0000-0000-000090010000}"/>
    <cellStyle name="Normal 22 2 2 2" xfId="401" xr:uid="{00000000-0005-0000-0000-000091010000}"/>
    <cellStyle name="Normal 22 2 2 2 2" xfId="402" xr:uid="{00000000-0005-0000-0000-000092010000}"/>
    <cellStyle name="Normal 22 2 2 2 2 2" xfId="403" xr:uid="{00000000-0005-0000-0000-000093010000}"/>
    <cellStyle name="Normal 22 2 2 2 2 3" xfId="404" xr:uid="{00000000-0005-0000-0000-000094010000}"/>
    <cellStyle name="Normal 22 2 2 2 3" xfId="405" xr:uid="{00000000-0005-0000-0000-000095010000}"/>
    <cellStyle name="Normal 22 2 2 2 4" xfId="406" xr:uid="{00000000-0005-0000-0000-000096010000}"/>
    <cellStyle name="Normal 22 2 2 3" xfId="407" xr:uid="{00000000-0005-0000-0000-000097010000}"/>
    <cellStyle name="Normal 22 2 2 3 2" xfId="408" xr:uid="{00000000-0005-0000-0000-000098010000}"/>
    <cellStyle name="Normal 22 2 2 3 3" xfId="409" xr:uid="{00000000-0005-0000-0000-000099010000}"/>
    <cellStyle name="Normal 22 2 2 4" xfId="410" xr:uid="{00000000-0005-0000-0000-00009A010000}"/>
    <cellStyle name="Normal 22 2 2 5" xfId="411" xr:uid="{00000000-0005-0000-0000-00009B010000}"/>
    <cellStyle name="Normal 22 2 3" xfId="412" xr:uid="{00000000-0005-0000-0000-00009C010000}"/>
    <cellStyle name="Normal 22 2 3 2" xfId="413" xr:uid="{00000000-0005-0000-0000-00009D010000}"/>
    <cellStyle name="Normal 22 2 3 2 2" xfId="414" xr:uid="{00000000-0005-0000-0000-00009E010000}"/>
    <cellStyle name="Normal 22 2 3 2 3" xfId="415" xr:uid="{00000000-0005-0000-0000-00009F010000}"/>
    <cellStyle name="Normal 22 2 3 3" xfId="416" xr:uid="{00000000-0005-0000-0000-0000A0010000}"/>
    <cellStyle name="Normal 22 2 3 4" xfId="417" xr:uid="{00000000-0005-0000-0000-0000A1010000}"/>
    <cellStyle name="Normal 22 2 4" xfId="418" xr:uid="{00000000-0005-0000-0000-0000A2010000}"/>
    <cellStyle name="Normal 22 2 4 2" xfId="419" xr:uid="{00000000-0005-0000-0000-0000A3010000}"/>
    <cellStyle name="Normal 22 2 4 3" xfId="420" xr:uid="{00000000-0005-0000-0000-0000A4010000}"/>
    <cellStyle name="Normal 22 2 5" xfId="421" xr:uid="{00000000-0005-0000-0000-0000A5010000}"/>
    <cellStyle name="Normal 22 2 6" xfId="422" xr:uid="{00000000-0005-0000-0000-0000A6010000}"/>
    <cellStyle name="Normal 22 3" xfId="423" xr:uid="{00000000-0005-0000-0000-0000A7010000}"/>
    <cellStyle name="Normal 22 3 2" xfId="424" xr:uid="{00000000-0005-0000-0000-0000A8010000}"/>
    <cellStyle name="Normal 22 3 2 2" xfId="425" xr:uid="{00000000-0005-0000-0000-0000A9010000}"/>
    <cellStyle name="Normal 22 3 2 2 2" xfId="426" xr:uid="{00000000-0005-0000-0000-0000AA010000}"/>
    <cellStyle name="Normal 22 3 2 2 3" xfId="427" xr:uid="{00000000-0005-0000-0000-0000AB010000}"/>
    <cellStyle name="Normal 22 3 2 3" xfId="428" xr:uid="{00000000-0005-0000-0000-0000AC010000}"/>
    <cellStyle name="Normal 22 3 2 4" xfId="429" xr:uid="{00000000-0005-0000-0000-0000AD010000}"/>
    <cellStyle name="Normal 22 3 3" xfId="430" xr:uid="{00000000-0005-0000-0000-0000AE010000}"/>
    <cellStyle name="Normal 22 3 3 2" xfId="431" xr:uid="{00000000-0005-0000-0000-0000AF010000}"/>
    <cellStyle name="Normal 22 3 3 3" xfId="432" xr:uid="{00000000-0005-0000-0000-0000B0010000}"/>
    <cellStyle name="Normal 22 3 4" xfId="433" xr:uid="{00000000-0005-0000-0000-0000B1010000}"/>
    <cellStyle name="Normal 22 3 5" xfId="434" xr:uid="{00000000-0005-0000-0000-0000B2010000}"/>
    <cellStyle name="Normal 22 4" xfId="435" xr:uid="{00000000-0005-0000-0000-0000B3010000}"/>
    <cellStyle name="Normal 22 4 2" xfId="436" xr:uid="{00000000-0005-0000-0000-0000B4010000}"/>
    <cellStyle name="Normal 22 4 2 2" xfId="437" xr:uid="{00000000-0005-0000-0000-0000B5010000}"/>
    <cellStyle name="Normal 22 4 2 3" xfId="438" xr:uid="{00000000-0005-0000-0000-0000B6010000}"/>
    <cellStyle name="Normal 22 4 3" xfId="439" xr:uid="{00000000-0005-0000-0000-0000B7010000}"/>
    <cellStyle name="Normal 22 4 4" xfId="440" xr:uid="{00000000-0005-0000-0000-0000B8010000}"/>
    <cellStyle name="Normal 22 5" xfId="441" xr:uid="{00000000-0005-0000-0000-0000B9010000}"/>
    <cellStyle name="Normal 22 5 2" xfId="442" xr:uid="{00000000-0005-0000-0000-0000BA010000}"/>
    <cellStyle name="Normal 22 5 3" xfId="443" xr:uid="{00000000-0005-0000-0000-0000BB010000}"/>
    <cellStyle name="Normal 22 6" xfId="444" xr:uid="{00000000-0005-0000-0000-0000BC010000}"/>
    <cellStyle name="Normal 22 7" xfId="445" xr:uid="{00000000-0005-0000-0000-0000BD010000}"/>
    <cellStyle name="Normal 23" xfId="446" xr:uid="{00000000-0005-0000-0000-0000BE010000}"/>
    <cellStyle name="Normal 23 2" xfId="447" xr:uid="{00000000-0005-0000-0000-0000BF010000}"/>
    <cellStyle name="Normal 23 3" xfId="448" xr:uid="{00000000-0005-0000-0000-0000C0010000}"/>
    <cellStyle name="Normal 24" xfId="449" xr:uid="{00000000-0005-0000-0000-0000C1010000}"/>
    <cellStyle name="Normal 24 2" xfId="450" xr:uid="{00000000-0005-0000-0000-0000C2010000}"/>
    <cellStyle name="Normal 24 2 2" xfId="451" xr:uid="{00000000-0005-0000-0000-0000C3010000}"/>
    <cellStyle name="Normal 24 2 2 2" xfId="452" xr:uid="{00000000-0005-0000-0000-0000C4010000}"/>
    <cellStyle name="Normal 24 2 2 2 2" xfId="453" xr:uid="{00000000-0005-0000-0000-0000C5010000}"/>
    <cellStyle name="Normal 24 2 2 2 2 2" xfId="454" xr:uid="{00000000-0005-0000-0000-0000C6010000}"/>
    <cellStyle name="Normal 24 2 2 2 2 3" xfId="455" xr:uid="{00000000-0005-0000-0000-0000C7010000}"/>
    <cellStyle name="Normal 24 2 2 2 3" xfId="456" xr:uid="{00000000-0005-0000-0000-0000C8010000}"/>
    <cellStyle name="Normal 24 2 2 2 4" xfId="457" xr:uid="{00000000-0005-0000-0000-0000C9010000}"/>
    <cellStyle name="Normal 24 2 2 3" xfId="458" xr:uid="{00000000-0005-0000-0000-0000CA010000}"/>
    <cellStyle name="Normal 24 2 2 3 2" xfId="459" xr:uid="{00000000-0005-0000-0000-0000CB010000}"/>
    <cellStyle name="Normal 24 2 2 3 3" xfId="460" xr:uid="{00000000-0005-0000-0000-0000CC010000}"/>
    <cellStyle name="Normal 24 2 2 4" xfId="461" xr:uid="{00000000-0005-0000-0000-0000CD010000}"/>
    <cellStyle name="Normal 24 2 2 5" xfId="462" xr:uid="{00000000-0005-0000-0000-0000CE010000}"/>
    <cellStyle name="Normal 24 2 3" xfId="463" xr:uid="{00000000-0005-0000-0000-0000CF010000}"/>
    <cellStyle name="Normal 24 2 3 2" xfId="464" xr:uid="{00000000-0005-0000-0000-0000D0010000}"/>
    <cellStyle name="Normal 24 2 3 2 2" xfId="465" xr:uid="{00000000-0005-0000-0000-0000D1010000}"/>
    <cellStyle name="Normal 24 2 3 2 3" xfId="466" xr:uid="{00000000-0005-0000-0000-0000D2010000}"/>
    <cellStyle name="Normal 24 2 3 3" xfId="467" xr:uid="{00000000-0005-0000-0000-0000D3010000}"/>
    <cellStyle name="Normal 24 2 3 4" xfId="468" xr:uid="{00000000-0005-0000-0000-0000D4010000}"/>
    <cellStyle name="Normal 24 2 4" xfId="469" xr:uid="{00000000-0005-0000-0000-0000D5010000}"/>
    <cellStyle name="Normal 24 2 4 2" xfId="470" xr:uid="{00000000-0005-0000-0000-0000D6010000}"/>
    <cellStyle name="Normal 24 2 4 3" xfId="471" xr:uid="{00000000-0005-0000-0000-0000D7010000}"/>
    <cellStyle name="Normal 24 2 5" xfId="472" xr:uid="{00000000-0005-0000-0000-0000D8010000}"/>
    <cellStyle name="Normal 24 2 6" xfId="473" xr:uid="{00000000-0005-0000-0000-0000D9010000}"/>
    <cellStyle name="Normal 24 3" xfId="474" xr:uid="{00000000-0005-0000-0000-0000DA010000}"/>
    <cellStyle name="Normal 24 3 2" xfId="475" xr:uid="{00000000-0005-0000-0000-0000DB010000}"/>
    <cellStyle name="Normal 24 3 2 2" xfId="476" xr:uid="{00000000-0005-0000-0000-0000DC010000}"/>
    <cellStyle name="Normal 24 3 2 2 2" xfId="477" xr:uid="{00000000-0005-0000-0000-0000DD010000}"/>
    <cellStyle name="Normal 24 3 2 2 3" xfId="478" xr:uid="{00000000-0005-0000-0000-0000DE010000}"/>
    <cellStyle name="Normal 24 3 2 3" xfId="479" xr:uid="{00000000-0005-0000-0000-0000DF010000}"/>
    <cellStyle name="Normal 24 3 2 4" xfId="480" xr:uid="{00000000-0005-0000-0000-0000E0010000}"/>
    <cellStyle name="Normal 24 3 3" xfId="481" xr:uid="{00000000-0005-0000-0000-0000E1010000}"/>
    <cellStyle name="Normal 24 3 3 2" xfId="482" xr:uid="{00000000-0005-0000-0000-0000E2010000}"/>
    <cellStyle name="Normal 24 3 3 3" xfId="483" xr:uid="{00000000-0005-0000-0000-0000E3010000}"/>
    <cellStyle name="Normal 24 3 4" xfId="484" xr:uid="{00000000-0005-0000-0000-0000E4010000}"/>
    <cellStyle name="Normal 24 3 5" xfId="485" xr:uid="{00000000-0005-0000-0000-0000E5010000}"/>
    <cellStyle name="Normal 24 4" xfId="486" xr:uid="{00000000-0005-0000-0000-0000E6010000}"/>
    <cellStyle name="Normal 24 4 2" xfId="487" xr:uid="{00000000-0005-0000-0000-0000E7010000}"/>
    <cellStyle name="Normal 24 4 2 2" xfId="488" xr:uid="{00000000-0005-0000-0000-0000E8010000}"/>
    <cellStyle name="Normal 24 4 2 3" xfId="489" xr:uid="{00000000-0005-0000-0000-0000E9010000}"/>
    <cellStyle name="Normal 24 4 3" xfId="490" xr:uid="{00000000-0005-0000-0000-0000EA010000}"/>
    <cellStyle name="Normal 24 4 4" xfId="491" xr:uid="{00000000-0005-0000-0000-0000EB010000}"/>
    <cellStyle name="Normal 24 5" xfId="492" xr:uid="{00000000-0005-0000-0000-0000EC010000}"/>
    <cellStyle name="Normal 24 5 2" xfId="493" xr:uid="{00000000-0005-0000-0000-0000ED010000}"/>
    <cellStyle name="Normal 24 5 3" xfId="494" xr:uid="{00000000-0005-0000-0000-0000EE010000}"/>
    <cellStyle name="Normal 24 6" xfId="495" xr:uid="{00000000-0005-0000-0000-0000EF010000}"/>
    <cellStyle name="Normal 24 7" xfId="496" xr:uid="{00000000-0005-0000-0000-0000F0010000}"/>
    <cellStyle name="Normal 25" xfId="497" xr:uid="{00000000-0005-0000-0000-0000F1010000}"/>
    <cellStyle name="Normal 25 2" xfId="498" xr:uid="{00000000-0005-0000-0000-0000F2010000}"/>
    <cellStyle name="Normal 25 2 2" xfId="499" xr:uid="{00000000-0005-0000-0000-0000F3010000}"/>
    <cellStyle name="Normal 25 2 2 2" xfId="500" xr:uid="{00000000-0005-0000-0000-0000F4010000}"/>
    <cellStyle name="Normal 25 2 2 2 2" xfId="501" xr:uid="{00000000-0005-0000-0000-0000F5010000}"/>
    <cellStyle name="Normal 25 2 2 2 2 2" xfId="502" xr:uid="{00000000-0005-0000-0000-0000F6010000}"/>
    <cellStyle name="Normal 25 2 2 2 2 3" xfId="503" xr:uid="{00000000-0005-0000-0000-0000F7010000}"/>
    <cellStyle name="Normal 25 2 2 2 3" xfId="504" xr:uid="{00000000-0005-0000-0000-0000F8010000}"/>
    <cellStyle name="Normal 25 2 2 2 4" xfId="505" xr:uid="{00000000-0005-0000-0000-0000F9010000}"/>
    <cellStyle name="Normal 25 2 2 3" xfId="506" xr:uid="{00000000-0005-0000-0000-0000FA010000}"/>
    <cellStyle name="Normal 25 2 2 3 2" xfId="507" xr:uid="{00000000-0005-0000-0000-0000FB010000}"/>
    <cellStyle name="Normal 25 2 2 3 3" xfId="508" xr:uid="{00000000-0005-0000-0000-0000FC010000}"/>
    <cellStyle name="Normal 25 2 2 4" xfId="509" xr:uid="{00000000-0005-0000-0000-0000FD010000}"/>
    <cellStyle name="Normal 25 2 2 5" xfId="510" xr:uid="{00000000-0005-0000-0000-0000FE010000}"/>
    <cellStyle name="Normal 25 2 3" xfId="511" xr:uid="{00000000-0005-0000-0000-0000FF010000}"/>
    <cellStyle name="Normal 25 2 3 2" xfId="512" xr:uid="{00000000-0005-0000-0000-000000020000}"/>
    <cellStyle name="Normal 25 2 3 2 2" xfId="513" xr:uid="{00000000-0005-0000-0000-000001020000}"/>
    <cellStyle name="Normal 25 2 3 2 3" xfId="514" xr:uid="{00000000-0005-0000-0000-000002020000}"/>
    <cellStyle name="Normal 25 2 3 3" xfId="515" xr:uid="{00000000-0005-0000-0000-000003020000}"/>
    <cellStyle name="Normal 25 2 3 4" xfId="516" xr:uid="{00000000-0005-0000-0000-000004020000}"/>
    <cellStyle name="Normal 25 2 4" xfId="517" xr:uid="{00000000-0005-0000-0000-000005020000}"/>
    <cellStyle name="Normal 25 2 4 2" xfId="518" xr:uid="{00000000-0005-0000-0000-000006020000}"/>
    <cellStyle name="Normal 25 2 4 3" xfId="519" xr:uid="{00000000-0005-0000-0000-000007020000}"/>
    <cellStyle name="Normal 25 2 5" xfId="520" xr:uid="{00000000-0005-0000-0000-000008020000}"/>
    <cellStyle name="Normal 25 2 6" xfId="521" xr:uid="{00000000-0005-0000-0000-000009020000}"/>
    <cellStyle name="Normal 25 3" xfId="522" xr:uid="{00000000-0005-0000-0000-00000A020000}"/>
    <cellStyle name="Normal 25 3 2" xfId="523" xr:uid="{00000000-0005-0000-0000-00000B020000}"/>
    <cellStyle name="Normal 25 3 2 2" xfId="524" xr:uid="{00000000-0005-0000-0000-00000C020000}"/>
    <cellStyle name="Normal 25 3 2 2 2" xfId="525" xr:uid="{00000000-0005-0000-0000-00000D020000}"/>
    <cellStyle name="Normal 25 3 2 2 3" xfId="526" xr:uid="{00000000-0005-0000-0000-00000E020000}"/>
    <cellStyle name="Normal 25 3 2 3" xfId="527" xr:uid="{00000000-0005-0000-0000-00000F020000}"/>
    <cellStyle name="Normal 25 3 2 4" xfId="528" xr:uid="{00000000-0005-0000-0000-000010020000}"/>
    <cellStyle name="Normal 25 3 3" xfId="529" xr:uid="{00000000-0005-0000-0000-000011020000}"/>
    <cellStyle name="Normal 25 3 3 2" xfId="530" xr:uid="{00000000-0005-0000-0000-000012020000}"/>
    <cellStyle name="Normal 25 3 3 3" xfId="531" xr:uid="{00000000-0005-0000-0000-000013020000}"/>
    <cellStyle name="Normal 25 3 4" xfId="532" xr:uid="{00000000-0005-0000-0000-000014020000}"/>
    <cellStyle name="Normal 25 3 5" xfId="533" xr:uid="{00000000-0005-0000-0000-000015020000}"/>
    <cellStyle name="Normal 25 4" xfId="534" xr:uid="{00000000-0005-0000-0000-000016020000}"/>
    <cellStyle name="Normal 25 4 2" xfId="535" xr:uid="{00000000-0005-0000-0000-000017020000}"/>
    <cellStyle name="Normal 25 4 2 2" xfId="536" xr:uid="{00000000-0005-0000-0000-000018020000}"/>
    <cellStyle name="Normal 25 4 2 3" xfId="537" xr:uid="{00000000-0005-0000-0000-000019020000}"/>
    <cellStyle name="Normal 25 4 3" xfId="538" xr:uid="{00000000-0005-0000-0000-00001A020000}"/>
    <cellStyle name="Normal 25 4 4" xfId="539" xr:uid="{00000000-0005-0000-0000-00001B020000}"/>
    <cellStyle name="Normal 25 5" xfId="540" xr:uid="{00000000-0005-0000-0000-00001C020000}"/>
    <cellStyle name="Normal 25 5 2" xfId="541" xr:uid="{00000000-0005-0000-0000-00001D020000}"/>
    <cellStyle name="Normal 25 5 3" xfId="542" xr:uid="{00000000-0005-0000-0000-00001E020000}"/>
    <cellStyle name="Normal 25 6" xfId="543" xr:uid="{00000000-0005-0000-0000-00001F020000}"/>
    <cellStyle name="Normal 25 7" xfId="544" xr:uid="{00000000-0005-0000-0000-000020020000}"/>
    <cellStyle name="Normal 26" xfId="545" xr:uid="{00000000-0005-0000-0000-000021020000}"/>
    <cellStyle name="Normal 26 2" xfId="546" xr:uid="{00000000-0005-0000-0000-000022020000}"/>
    <cellStyle name="Normal 27" xfId="547" xr:uid="{00000000-0005-0000-0000-000023020000}"/>
    <cellStyle name="Normal 27 2" xfId="548" xr:uid="{00000000-0005-0000-0000-000024020000}"/>
    <cellStyle name="Normal 27 2 2" xfId="549" xr:uid="{00000000-0005-0000-0000-000025020000}"/>
    <cellStyle name="Normal 27 2 2 2" xfId="550" xr:uid="{00000000-0005-0000-0000-000026020000}"/>
    <cellStyle name="Normal 27 2 2 2 2" xfId="551" xr:uid="{00000000-0005-0000-0000-000027020000}"/>
    <cellStyle name="Normal 27 2 2 2 2 2" xfId="552" xr:uid="{00000000-0005-0000-0000-000028020000}"/>
    <cellStyle name="Normal 27 2 2 2 2 3" xfId="553" xr:uid="{00000000-0005-0000-0000-000029020000}"/>
    <cellStyle name="Normal 27 2 2 2 3" xfId="554" xr:uid="{00000000-0005-0000-0000-00002A020000}"/>
    <cellStyle name="Normal 27 2 2 2 4" xfId="555" xr:uid="{00000000-0005-0000-0000-00002B020000}"/>
    <cellStyle name="Normal 27 2 2 3" xfId="556" xr:uid="{00000000-0005-0000-0000-00002C020000}"/>
    <cellStyle name="Normal 27 2 2 3 2" xfId="557" xr:uid="{00000000-0005-0000-0000-00002D020000}"/>
    <cellStyle name="Normal 27 2 2 3 3" xfId="558" xr:uid="{00000000-0005-0000-0000-00002E020000}"/>
    <cellStyle name="Normal 27 2 2 4" xfId="559" xr:uid="{00000000-0005-0000-0000-00002F020000}"/>
    <cellStyle name="Normal 27 2 2 5" xfId="560" xr:uid="{00000000-0005-0000-0000-000030020000}"/>
    <cellStyle name="Normal 27 2 3" xfId="561" xr:uid="{00000000-0005-0000-0000-000031020000}"/>
    <cellStyle name="Normal 27 2 3 2" xfId="562" xr:uid="{00000000-0005-0000-0000-000032020000}"/>
    <cellStyle name="Normal 27 2 3 2 2" xfId="563" xr:uid="{00000000-0005-0000-0000-000033020000}"/>
    <cellStyle name="Normal 27 2 3 2 3" xfId="564" xr:uid="{00000000-0005-0000-0000-000034020000}"/>
    <cellStyle name="Normal 27 2 3 3" xfId="565" xr:uid="{00000000-0005-0000-0000-000035020000}"/>
    <cellStyle name="Normal 27 2 3 4" xfId="566" xr:uid="{00000000-0005-0000-0000-000036020000}"/>
    <cellStyle name="Normal 27 2 4" xfId="567" xr:uid="{00000000-0005-0000-0000-000037020000}"/>
    <cellStyle name="Normal 27 2 4 2" xfId="568" xr:uid="{00000000-0005-0000-0000-000038020000}"/>
    <cellStyle name="Normal 27 2 4 3" xfId="569" xr:uid="{00000000-0005-0000-0000-000039020000}"/>
    <cellStyle name="Normal 27 2 5" xfId="570" xr:uid="{00000000-0005-0000-0000-00003A020000}"/>
    <cellStyle name="Normal 27 2 6" xfId="571" xr:uid="{00000000-0005-0000-0000-00003B020000}"/>
    <cellStyle name="Normal 27 3" xfId="572" xr:uid="{00000000-0005-0000-0000-00003C020000}"/>
    <cellStyle name="Normal 27 3 2" xfId="573" xr:uid="{00000000-0005-0000-0000-00003D020000}"/>
    <cellStyle name="Normal 27 3 2 2" xfId="574" xr:uid="{00000000-0005-0000-0000-00003E020000}"/>
    <cellStyle name="Normal 27 3 2 2 2" xfId="575" xr:uid="{00000000-0005-0000-0000-00003F020000}"/>
    <cellStyle name="Normal 27 3 2 2 3" xfId="576" xr:uid="{00000000-0005-0000-0000-000040020000}"/>
    <cellStyle name="Normal 27 3 2 3" xfId="577" xr:uid="{00000000-0005-0000-0000-000041020000}"/>
    <cellStyle name="Normal 27 3 2 4" xfId="578" xr:uid="{00000000-0005-0000-0000-000042020000}"/>
    <cellStyle name="Normal 27 3 3" xfId="579" xr:uid="{00000000-0005-0000-0000-000043020000}"/>
    <cellStyle name="Normal 27 3 3 2" xfId="580" xr:uid="{00000000-0005-0000-0000-000044020000}"/>
    <cellStyle name="Normal 27 3 3 3" xfId="581" xr:uid="{00000000-0005-0000-0000-000045020000}"/>
    <cellStyle name="Normal 27 3 4" xfId="582" xr:uid="{00000000-0005-0000-0000-000046020000}"/>
    <cellStyle name="Normal 27 3 5" xfId="583" xr:uid="{00000000-0005-0000-0000-000047020000}"/>
    <cellStyle name="Normal 27 4" xfId="584" xr:uid="{00000000-0005-0000-0000-000048020000}"/>
    <cellStyle name="Normal 27 4 2" xfId="585" xr:uid="{00000000-0005-0000-0000-000049020000}"/>
    <cellStyle name="Normal 27 4 2 2" xfId="586" xr:uid="{00000000-0005-0000-0000-00004A020000}"/>
    <cellStyle name="Normal 27 4 2 3" xfId="587" xr:uid="{00000000-0005-0000-0000-00004B020000}"/>
    <cellStyle name="Normal 27 4 3" xfId="588" xr:uid="{00000000-0005-0000-0000-00004C020000}"/>
    <cellStyle name="Normal 27 4 4" xfId="589" xr:uid="{00000000-0005-0000-0000-00004D020000}"/>
    <cellStyle name="Normal 27 5" xfId="590" xr:uid="{00000000-0005-0000-0000-00004E020000}"/>
    <cellStyle name="Normal 27 5 2" xfId="591" xr:uid="{00000000-0005-0000-0000-00004F020000}"/>
    <cellStyle name="Normal 27 5 3" xfId="592" xr:uid="{00000000-0005-0000-0000-000050020000}"/>
    <cellStyle name="Normal 27 6" xfId="593" xr:uid="{00000000-0005-0000-0000-000051020000}"/>
    <cellStyle name="Normal 27 7" xfId="594" xr:uid="{00000000-0005-0000-0000-000052020000}"/>
    <cellStyle name="Normal 28" xfId="595" xr:uid="{00000000-0005-0000-0000-000053020000}"/>
    <cellStyle name="Normal 28 2" xfId="596" xr:uid="{00000000-0005-0000-0000-000054020000}"/>
    <cellStyle name="Normal 28 2 2" xfId="597" xr:uid="{00000000-0005-0000-0000-000055020000}"/>
    <cellStyle name="Normal 28 2 2 2" xfId="598" xr:uid="{00000000-0005-0000-0000-000056020000}"/>
    <cellStyle name="Normal 28 2 2 2 2" xfId="599" xr:uid="{00000000-0005-0000-0000-000057020000}"/>
    <cellStyle name="Normal 28 2 2 2 2 2" xfId="600" xr:uid="{00000000-0005-0000-0000-000058020000}"/>
    <cellStyle name="Normal 28 2 2 2 2 3" xfId="601" xr:uid="{00000000-0005-0000-0000-000059020000}"/>
    <cellStyle name="Normal 28 2 2 2 3" xfId="602" xr:uid="{00000000-0005-0000-0000-00005A020000}"/>
    <cellStyle name="Normal 28 2 2 2 4" xfId="603" xr:uid="{00000000-0005-0000-0000-00005B020000}"/>
    <cellStyle name="Normal 28 2 2 3" xfId="604" xr:uid="{00000000-0005-0000-0000-00005C020000}"/>
    <cellStyle name="Normal 28 2 2 3 2" xfId="605" xr:uid="{00000000-0005-0000-0000-00005D020000}"/>
    <cellStyle name="Normal 28 2 2 3 3" xfId="606" xr:uid="{00000000-0005-0000-0000-00005E020000}"/>
    <cellStyle name="Normal 28 2 2 4" xfId="607" xr:uid="{00000000-0005-0000-0000-00005F020000}"/>
    <cellStyle name="Normal 28 2 2 5" xfId="608" xr:uid="{00000000-0005-0000-0000-000060020000}"/>
    <cellStyle name="Normal 28 2 3" xfId="609" xr:uid="{00000000-0005-0000-0000-000061020000}"/>
    <cellStyle name="Normal 28 2 3 2" xfId="610" xr:uid="{00000000-0005-0000-0000-000062020000}"/>
    <cellStyle name="Normal 28 2 3 2 2" xfId="611" xr:uid="{00000000-0005-0000-0000-000063020000}"/>
    <cellStyle name="Normal 28 2 3 2 3" xfId="612" xr:uid="{00000000-0005-0000-0000-000064020000}"/>
    <cellStyle name="Normal 28 2 3 3" xfId="613" xr:uid="{00000000-0005-0000-0000-000065020000}"/>
    <cellStyle name="Normal 28 2 3 4" xfId="614" xr:uid="{00000000-0005-0000-0000-000066020000}"/>
    <cellStyle name="Normal 28 2 4" xfId="615" xr:uid="{00000000-0005-0000-0000-000067020000}"/>
    <cellStyle name="Normal 28 2 4 2" xfId="616" xr:uid="{00000000-0005-0000-0000-000068020000}"/>
    <cellStyle name="Normal 28 2 4 3" xfId="617" xr:uid="{00000000-0005-0000-0000-000069020000}"/>
    <cellStyle name="Normal 28 2 5" xfId="618" xr:uid="{00000000-0005-0000-0000-00006A020000}"/>
    <cellStyle name="Normal 28 2 6" xfId="619" xr:uid="{00000000-0005-0000-0000-00006B020000}"/>
    <cellStyle name="Normal 28 3" xfId="620" xr:uid="{00000000-0005-0000-0000-00006C020000}"/>
    <cellStyle name="Normal 28 3 2" xfId="621" xr:uid="{00000000-0005-0000-0000-00006D020000}"/>
    <cellStyle name="Normal 28 3 2 2" xfId="622" xr:uid="{00000000-0005-0000-0000-00006E020000}"/>
    <cellStyle name="Normal 28 3 2 2 2" xfId="623" xr:uid="{00000000-0005-0000-0000-00006F020000}"/>
    <cellStyle name="Normal 28 3 2 2 3" xfId="624" xr:uid="{00000000-0005-0000-0000-000070020000}"/>
    <cellStyle name="Normal 28 3 2 3" xfId="625" xr:uid="{00000000-0005-0000-0000-000071020000}"/>
    <cellStyle name="Normal 28 3 2 4" xfId="626" xr:uid="{00000000-0005-0000-0000-000072020000}"/>
    <cellStyle name="Normal 28 3 3" xfId="627" xr:uid="{00000000-0005-0000-0000-000073020000}"/>
    <cellStyle name="Normal 28 3 3 2" xfId="628" xr:uid="{00000000-0005-0000-0000-000074020000}"/>
    <cellStyle name="Normal 28 3 3 3" xfId="629" xr:uid="{00000000-0005-0000-0000-000075020000}"/>
    <cellStyle name="Normal 28 3 4" xfId="630" xr:uid="{00000000-0005-0000-0000-000076020000}"/>
    <cellStyle name="Normal 28 3 5" xfId="631" xr:uid="{00000000-0005-0000-0000-000077020000}"/>
    <cellStyle name="Normal 28 4" xfId="632" xr:uid="{00000000-0005-0000-0000-000078020000}"/>
    <cellStyle name="Normal 28 4 2" xfId="633" xr:uid="{00000000-0005-0000-0000-000079020000}"/>
    <cellStyle name="Normal 28 4 2 2" xfId="634" xr:uid="{00000000-0005-0000-0000-00007A020000}"/>
    <cellStyle name="Normal 28 4 2 3" xfId="635" xr:uid="{00000000-0005-0000-0000-00007B020000}"/>
    <cellStyle name="Normal 28 4 3" xfId="636" xr:uid="{00000000-0005-0000-0000-00007C020000}"/>
    <cellStyle name="Normal 28 4 4" xfId="637" xr:uid="{00000000-0005-0000-0000-00007D020000}"/>
    <cellStyle name="Normal 28 5" xfId="638" xr:uid="{00000000-0005-0000-0000-00007E020000}"/>
    <cellStyle name="Normal 28 5 2" xfId="639" xr:uid="{00000000-0005-0000-0000-00007F020000}"/>
    <cellStyle name="Normal 28 5 3" xfId="640" xr:uid="{00000000-0005-0000-0000-000080020000}"/>
    <cellStyle name="Normal 28 6" xfId="641" xr:uid="{00000000-0005-0000-0000-000081020000}"/>
    <cellStyle name="Normal 28 7" xfId="642" xr:uid="{00000000-0005-0000-0000-000082020000}"/>
    <cellStyle name="Normal 29" xfId="643" xr:uid="{00000000-0005-0000-0000-000083020000}"/>
    <cellStyle name="Normal 29 2" xfId="644" xr:uid="{00000000-0005-0000-0000-000084020000}"/>
    <cellStyle name="Normal 29 2 2" xfId="645" xr:uid="{00000000-0005-0000-0000-000085020000}"/>
    <cellStyle name="Normal 29 2 2 2" xfId="646" xr:uid="{00000000-0005-0000-0000-000086020000}"/>
    <cellStyle name="Normal 29 2 2 2 2" xfId="647" xr:uid="{00000000-0005-0000-0000-000087020000}"/>
    <cellStyle name="Normal 29 2 2 2 2 2" xfId="648" xr:uid="{00000000-0005-0000-0000-000088020000}"/>
    <cellStyle name="Normal 29 2 2 2 2 3" xfId="649" xr:uid="{00000000-0005-0000-0000-000089020000}"/>
    <cellStyle name="Normal 29 2 2 2 3" xfId="650" xr:uid="{00000000-0005-0000-0000-00008A020000}"/>
    <cellStyle name="Normal 29 2 2 2 4" xfId="651" xr:uid="{00000000-0005-0000-0000-00008B020000}"/>
    <cellStyle name="Normal 29 2 2 3" xfId="652" xr:uid="{00000000-0005-0000-0000-00008C020000}"/>
    <cellStyle name="Normal 29 2 2 3 2" xfId="653" xr:uid="{00000000-0005-0000-0000-00008D020000}"/>
    <cellStyle name="Normal 29 2 2 3 3" xfId="654" xr:uid="{00000000-0005-0000-0000-00008E020000}"/>
    <cellStyle name="Normal 29 2 2 4" xfId="655" xr:uid="{00000000-0005-0000-0000-00008F020000}"/>
    <cellStyle name="Normal 29 2 2 5" xfId="656" xr:uid="{00000000-0005-0000-0000-000090020000}"/>
    <cellStyle name="Normal 29 2 3" xfId="657" xr:uid="{00000000-0005-0000-0000-000091020000}"/>
    <cellStyle name="Normal 29 2 3 2" xfId="658" xr:uid="{00000000-0005-0000-0000-000092020000}"/>
    <cellStyle name="Normal 29 2 3 2 2" xfId="659" xr:uid="{00000000-0005-0000-0000-000093020000}"/>
    <cellStyle name="Normal 29 2 3 2 3" xfId="660" xr:uid="{00000000-0005-0000-0000-000094020000}"/>
    <cellStyle name="Normal 29 2 3 3" xfId="661" xr:uid="{00000000-0005-0000-0000-000095020000}"/>
    <cellStyle name="Normal 29 2 3 4" xfId="662" xr:uid="{00000000-0005-0000-0000-000096020000}"/>
    <cellStyle name="Normal 29 2 4" xfId="663" xr:uid="{00000000-0005-0000-0000-000097020000}"/>
    <cellStyle name="Normal 29 2 4 2" xfId="664" xr:uid="{00000000-0005-0000-0000-000098020000}"/>
    <cellStyle name="Normal 29 2 4 3" xfId="665" xr:uid="{00000000-0005-0000-0000-000099020000}"/>
    <cellStyle name="Normal 29 2 5" xfId="666" xr:uid="{00000000-0005-0000-0000-00009A020000}"/>
    <cellStyle name="Normal 29 2 6" xfId="667" xr:uid="{00000000-0005-0000-0000-00009B020000}"/>
    <cellStyle name="Normal 29 3" xfId="668" xr:uid="{00000000-0005-0000-0000-00009C020000}"/>
    <cellStyle name="Normal 29 3 2" xfId="669" xr:uid="{00000000-0005-0000-0000-00009D020000}"/>
    <cellStyle name="Normal 29 3 2 2" xfId="670" xr:uid="{00000000-0005-0000-0000-00009E020000}"/>
    <cellStyle name="Normal 29 3 2 2 2" xfId="671" xr:uid="{00000000-0005-0000-0000-00009F020000}"/>
    <cellStyle name="Normal 29 3 2 2 3" xfId="672" xr:uid="{00000000-0005-0000-0000-0000A0020000}"/>
    <cellStyle name="Normal 29 3 2 3" xfId="673" xr:uid="{00000000-0005-0000-0000-0000A1020000}"/>
    <cellStyle name="Normal 29 3 2 4" xfId="674" xr:uid="{00000000-0005-0000-0000-0000A2020000}"/>
    <cellStyle name="Normal 29 3 3" xfId="675" xr:uid="{00000000-0005-0000-0000-0000A3020000}"/>
    <cellStyle name="Normal 29 3 3 2" xfId="676" xr:uid="{00000000-0005-0000-0000-0000A4020000}"/>
    <cellStyle name="Normal 29 3 3 3" xfId="677" xr:uid="{00000000-0005-0000-0000-0000A5020000}"/>
    <cellStyle name="Normal 29 3 4" xfId="678" xr:uid="{00000000-0005-0000-0000-0000A6020000}"/>
    <cellStyle name="Normal 29 3 5" xfId="679" xr:uid="{00000000-0005-0000-0000-0000A7020000}"/>
    <cellStyle name="Normal 29 4" xfId="680" xr:uid="{00000000-0005-0000-0000-0000A8020000}"/>
    <cellStyle name="Normal 29 4 2" xfId="681" xr:uid="{00000000-0005-0000-0000-0000A9020000}"/>
    <cellStyle name="Normal 29 4 2 2" xfId="682" xr:uid="{00000000-0005-0000-0000-0000AA020000}"/>
    <cellStyle name="Normal 29 4 2 3" xfId="683" xr:uid="{00000000-0005-0000-0000-0000AB020000}"/>
    <cellStyle name="Normal 29 4 3" xfId="684" xr:uid="{00000000-0005-0000-0000-0000AC020000}"/>
    <cellStyle name="Normal 29 4 4" xfId="685" xr:uid="{00000000-0005-0000-0000-0000AD020000}"/>
    <cellStyle name="Normal 29 5" xfId="686" xr:uid="{00000000-0005-0000-0000-0000AE020000}"/>
    <cellStyle name="Normal 29 5 2" xfId="687" xr:uid="{00000000-0005-0000-0000-0000AF020000}"/>
    <cellStyle name="Normal 29 5 3" xfId="688" xr:uid="{00000000-0005-0000-0000-0000B0020000}"/>
    <cellStyle name="Normal 29 6" xfId="689" xr:uid="{00000000-0005-0000-0000-0000B1020000}"/>
    <cellStyle name="Normal 29 7" xfId="690" xr:uid="{00000000-0005-0000-0000-0000B2020000}"/>
    <cellStyle name="Normal 3" xfId="4" xr:uid="{00000000-0005-0000-0000-0000B3020000}"/>
    <cellStyle name="Normal 3 2" xfId="691" xr:uid="{00000000-0005-0000-0000-0000B4020000}"/>
    <cellStyle name="Normal 3 2 2" xfId="692" xr:uid="{00000000-0005-0000-0000-0000B5020000}"/>
    <cellStyle name="Normal 3 2 2 2" xfId="693" xr:uid="{00000000-0005-0000-0000-0000B6020000}"/>
    <cellStyle name="Normal 3 2 2 2 2" xfId="694" xr:uid="{00000000-0005-0000-0000-0000B7020000}"/>
    <cellStyle name="Normal 3 2 2 2 2 2" xfId="695" xr:uid="{00000000-0005-0000-0000-0000B8020000}"/>
    <cellStyle name="Normal 3 2 2 2 2 3" xfId="696" xr:uid="{00000000-0005-0000-0000-0000B9020000}"/>
    <cellStyle name="Normal 3 2 2 2 3" xfId="697" xr:uid="{00000000-0005-0000-0000-0000BA020000}"/>
    <cellStyle name="Normal 3 2 2 2 4" xfId="698" xr:uid="{00000000-0005-0000-0000-0000BB020000}"/>
    <cellStyle name="Normal 3 2 2 3" xfId="699" xr:uid="{00000000-0005-0000-0000-0000BC020000}"/>
    <cellStyle name="Normal 3 2 2 3 2" xfId="700" xr:uid="{00000000-0005-0000-0000-0000BD020000}"/>
    <cellStyle name="Normal 3 2 2 3 3" xfId="701" xr:uid="{00000000-0005-0000-0000-0000BE020000}"/>
    <cellStyle name="Normal 3 2 2 4" xfId="702" xr:uid="{00000000-0005-0000-0000-0000BF020000}"/>
    <cellStyle name="Normal 3 2 2 5" xfId="703" xr:uid="{00000000-0005-0000-0000-0000C0020000}"/>
    <cellStyle name="Normal 3 2 3" xfId="704" xr:uid="{00000000-0005-0000-0000-0000C1020000}"/>
    <cellStyle name="Normal 3 2 3 2" xfId="705" xr:uid="{00000000-0005-0000-0000-0000C2020000}"/>
    <cellStyle name="Normal 3 2 3 2 2" xfId="706" xr:uid="{00000000-0005-0000-0000-0000C3020000}"/>
    <cellStyle name="Normal 3 2 3 2 3" xfId="707" xr:uid="{00000000-0005-0000-0000-0000C4020000}"/>
    <cellStyle name="Normal 3 2 3 3" xfId="708" xr:uid="{00000000-0005-0000-0000-0000C5020000}"/>
    <cellStyle name="Normal 3 2 3 4" xfId="709" xr:uid="{00000000-0005-0000-0000-0000C6020000}"/>
    <cellStyle name="Normal 3 2 4" xfId="710" xr:uid="{00000000-0005-0000-0000-0000C7020000}"/>
    <cellStyle name="Normal 3 2 4 2" xfId="711" xr:uid="{00000000-0005-0000-0000-0000C8020000}"/>
    <cellStyle name="Normal 3 2 4 3" xfId="712" xr:uid="{00000000-0005-0000-0000-0000C9020000}"/>
    <cellStyle name="Normal 3 2 5" xfId="713" xr:uid="{00000000-0005-0000-0000-0000CA020000}"/>
    <cellStyle name="Normal 3 2 5 2" xfId="714" xr:uid="{00000000-0005-0000-0000-0000CB020000}"/>
    <cellStyle name="Normal 3 2 5 3" xfId="715" xr:uid="{00000000-0005-0000-0000-0000CC020000}"/>
    <cellStyle name="Normal 3 2 6" xfId="716" xr:uid="{00000000-0005-0000-0000-0000CD020000}"/>
    <cellStyle name="Normal 3 2 7" xfId="717" xr:uid="{00000000-0005-0000-0000-0000CE020000}"/>
    <cellStyle name="Normal 3 2 8" xfId="1039" xr:uid="{7CF26AEB-35A0-46FC-AB6C-CD3A20B14AC0}"/>
    <cellStyle name="Normal 3 3" xfId="718" xr:uid="{00000000-0005-0000-0000-0000CF020000}"/>
    <cellStyle name="Normal 3 3 2" xfId="719" xr:uid="{00000000-0005-0000-0000-0000D0020000}"/>
    <cellStyle name="Normal 3 3 2 2" xfId="720" xr:uid="{00000000-0005-0000-0000-0000D1020000}"/>
    <cellStyle name="Normal 3 3 3" xfId="721" xr:uid="{00000000-0005-0000-0000-0000D2020000}"/>
    <cellStyle name="Normal 3 3 3 2" xfId="722" xr:uid="{00000000-0005-0000-0000-0000D3020000}"/>
    <cellStyle name="Normal 3 3 3 3" xfId="723" xr:uid="{00000000-0005-0000-0000-0000D4020000}"/>
    <cellStyle name="Normal 3 3 4" xfId="724" xr:uid="{00000000-0005-0000-0000-0000D5020000}"/>
    <cellStyle name="Normal 3 4" xfId="725" xr:uid="{00000000-0005-0000-0000-0000D6020000}"/>
    <cellStyle name="Normal 3 5" xfId="1033" xr:uid="{707303D0-2A4D-465F-9485-C1F95E359F7A}"/>
    <cellStyle name="Normal 30" xfId="726" xr:uid="{00000000-0005-0000-0000-0000D7020000}"/>
    <cellStyle name="Normal 30 2" xfId="727" xr:uid="{00000000-0005-0000-0000-0000D8020000}"/>
    <cellStyle name="Normal 31" xfId="728" xr:uid="{00000000-0005-0000-0000-0000D9020000}"/>
    <cellStyle name="Normal 31 2" xfId="729" xr:uid="{00000000-0005-0000-0000-0000DA020000}"/>
    <cellStyle name="Normal 31 2 2" xfId="730" xr:uid="{00000000-0005-0000-0000-0000DB020000}"/>
    <cellStyle name="Normal 31 2 2 2" xfId="731" xr:uid="{00000000-0005-0000-0000-0000DC020000}"/>
    <cellStyle name="Normal 31 2 2 2 2" xfId="732" xr:uid="{00000000-0005-0000-0000-0000DD020000}"/>
    <cellStyle name="Normal 31 2 2 2 2 2" xfId="733" xr:uid="{00000000-0005-0000-0000-0000DE020000}"/>
    <cellStyle name="Normal 31 2 2 2 2 3" xfId="734" xr:uid="{00000000-0005-0000-0000-0000DF020000}"/>
    <cellStyle name="Normal 31 2 2 2 3" xfId="735" xr:uid="{00000000-0005-0000-0000-0000E0020000}"/>
    <cellStyle name="Normal 31 2 2 2 4" xfId="736" xr:uid="{00000000-0005-0000-0000-0000E1020000}"/>
    <cellStyle name="Normal 31 2 2 3" xfId="737" xr:uid="{00000000-0005-0000-0000-0000E2020000}"/>
    <cellStyle name="Normal 31 2 2 3 2" xfId="738" xr:uid="{00000000-0005-0000-0000-0000E3020000}"/>
    <cellStyle name="Normal 31 2 2 3 3" xfId="739" xr:uid="{00000000-0005-0000-0000-0000E4020000}"/>
    <cellStyle name="Normal 31 2 2 4" xfId="740" xr:uid="{00000000-0005-0000-0000-0000E5020000}"/>
    <cellStyle name="Normal 31 2 2 5" xfId="741" xr:uid="{00000000-0005-0000-0000-0000E6020000}"/>
    <cellStyle name="Normal 31 2 3" xfId="742" xr:uid="{00000000-0005-0000-0000-0000E7020000}"/>
    <cellStyle name="Normal 31 2 3 2" xfId="743" xr:uid="{00000000-0005-0000-0000-0000E8020000}"/>
    <cellStyle name="Normal 31 2 3 2 2" xfId="744" xr:uid="{00000000-0005-0000-0000-0000E9020000}"/>
    <cellStyle name="Normal 31 2 3 2 3" xfId="745" xr:uid="{00000000-0005-0000-0000-0000EA020000}"/>
    <cellStyle name="Normal 31 2 3 3" xfId="746" xr:uid="{00000000-0005-0000-0000-0000EB020000}"/>
    <cellStyle name="Normal 31 2 3 4" xfId="747" xr:uid="{00000000-0005-0000-0000-0000EC020000}"/>
    <cellStyle name="Normal 31 2 4" xfId="748" xr:uid="{00000000-0005-0000-0000-0000ED020000}"/>
    <cellStyle name="Normal 31 2 4 2" xfId="749" xr:uid="{00000000-0005-0000-0000-0000EE020000}"/>
    <cellStyle name="Normal 31 2 4 3" xfId="750" xr:uid="{00000000-0005-0000-0000-0000EF020000}"/>
    <cellStyle name="Normal 31 2 5" xfId="751" xr:uid="{00000000-0005-0000-0000-0000F0020000}"/>
    <cellStyle name="Normal 31 2 6" xfId="752" xr:uid="{00000000-0005-0000-0000-0000F1020000}"/>
    <cellStyle name="Normal 31 3" xfId="753" xr:uid="{00000000-0005-0000-0000-0000F2020000}"/>
    <cellStyle name="Normal 31 3 2" xfId="754" xr:uid="{00000000-0005-0000-0000-0000F3020000}"/>
    <cellStyle name="Normal 31 3 2 2" xfId="755" xr:uid="{00000000-0005-0000-0000-0000F4020000}"/>
    <cellStyle name="Normal 31 3 2 2 2" xfId="756" xr:uid="{00000000-0005-0000-0000-0000F5020000}"/>
    <cellStyle name="Normal 31 3 2 2 3" xfId="757" xr:uid="{00000000-0005-0000-0000-0000F6020000}"/>
    <cellStyle name="Normal 31 3 2 3" xfId="758" xr:uid="{00000000-0005-0000-0000-0000F7020000}"/>
    <cellStyle name="Normal 31 3 2 4" xfId="759" xr:uid="{00000000-0005-0000-0000-0000F8020000}"/>
    <cellStyle name="Normal 31 3 3" xfId="760" xr:uid="{00000000-0005-0000-0000-0000F9020000}"/>
    <cellStyle name="Normal 31 3 3 2" xfId="761" xr:uid="{00000000-0005-0000-0000-0000FA020000}"/>
    <cellStyle name="Normal 31 3 3 3" xfId="762" xr:uid="{00000000-0005-0000-0000-0000FB020000}"/>
    <cellStyle name="Normal 31 3 4" xfId="763" xr:uid="{00000000-0005-0000-0000-0000FC020000}"/>
    <cellStyle name="Normal 31 3 5" xfId="764" xr:uid="{00000000-0005-0000-0000-0000FD020000}"/>
    <cellStyle name="Normal 31 4" xfId="765" xr:uid="{00000000-0005-0000-0000-0000FE020000}"/>
    <cellStyle name="Normal 31 4 2" xfId="766" xr:uid="{00000000-0005-0000-0000-0000FF020000}"/>
    <cellStyle name="Normal 31 4 2 2" xfId="767" xr:uid="{00000000-0005-0000-0000-000000030000}"/>
    <cellStyle name="Normal 31 4 2 3" xfId="768" xr:uid="{00000000-0005-0000-0000-000001030000}"/>
    <cellStyle name="Normal 31 4 3" xfId="769" xr:uid="{00000000-0005-0000-0000-000002030000}"/>
    <cellStyle name="Normal 31 4 4" xfId="770" xr:uid="{00000000-0005-0000-0000-000003030000}"/>
    <cellStyle name="Normal 31 5" xfId="771" xr:uid="{00000000-0005-0000-0000-000004030000}"/>
    <cellStyle name="Normal 31 5 2" xfId="772" xr:uid="{00000000-0005-0000-0000-000005030000}"/>
    <cellStyle name="Normal 31 5 3" xfId="773" xr:uid="{00000000-0005-0000-0000-000006030000}"/>
    <cellStyle name="Normal 31 6" xfId="774" xr:uid="{00000000-0005-0000-0000-000007030000}"/>
    <cellStyle name="Normal 31 7" xfId="775" xr:uid="{00000000-0005-0000-0000-000008030000}"/>
    <cellStyle name="Normal 32" xfId="776" xr:uid="{00000000-0005-0000-0000-000009030000}"/>
    <cellStyle name="Normal 32 2" xfId="777" xr:uid="{00000000-0005-0000-0000-00000A030000}"/>
    <cellStyle name="Normal 32 2 2" xfId="778" xr:uid="{00000000-0005-0000-0000-00000B030000}"/>
    <cellStyle name="Normal 32 2 2 2" xfId="779" xr:uid="{00000000-0005-0000-0000-00000C030000}"/>
    <cellStyle name="Normal 32 2 2 2 2" xfId="780" xr:uid="{00000000-0005-0000-0000-00000D030000}"/>
    <cellStyle name="Normal 32 2 2 2 2 2" xfId="781" xr:uid="{00000000-0005-0000-0000-00000E030000}"/>
    <cellStyle name="Normal 32 2 2 2 2 3" xfId="782" xr:uid="{00000000-0005-0000-0000-00000F030000}"/>
    <cellStyle name="Normal 32 2 2 2 3" xfId="783" xr:uid="{00000000-0005-0000-0000-000010030000}"/>
    <cellStyle name="Normal 32 2 2 2 4" xfId="784" xr:uid="{00000000-0005-0000-0000-000011030000}"/>
    <cellStyle name="Normal 32 2 2 3" xfId="785" xr:uid="{00000000-0005-0000-0000-000012030000}"/>
    <cellStyle name="Normal 32 2 2 3 2" xfId="786" xr:uid="{00000000-0005-0000-0000-000013030000}"/>
    <cellStyle name="Normal 32 2 2 3 3" xfId="787" xr:uid="{00000000-0005-0000-0000-000014030000}"/>
    <cellStyle name="Normal 32 2 2 4" xfId="788" xr:uid="{00000000-0005-0000-0000-000015030000}"/>
    <cellStyle name="Normal 32 2 2 5" xfId="789" xr:uid="{00000000-0005-0000-0000-000016030000}"/>
    <cellStyle name="Normal 32 2 3" xfId="790" xr:uid="{00000000-0005-0000-0000-000017030000}"/>
    <cellStyle name="Normal 32 2 3 2" xfId="791" xr:uid="{00000000-0005-0000-0000-000018030000}"/>
    <cellStyle name="Normal 32 2 3 2 2" xfId="792" xr:uid="{00000000-0005-0000-0000-000019030000}"/>
    <cellStyle name="Normal 32 2 3 2 3" xfId="793" xr:uid="{00000000-0005-0000-0000-00001A030000}"/>
    <cellStyle name="Normal 32 2 3 3" xfId="794" xr:uid="{00000000-0005-0000-0000-00001B030000}"/>
    <cellStyle name="Normal 32 2 3 4" xfId="795" xr:uid="{00000000-0005-0000-0000-00001C030000}"/>
    <cellStyle name="Normal 32 2 4" xfId="796" xr:uid="{00000000-0005-0000-0000-00001D030000}"/>
    <cellStyle name="Normal 32 2 4 2" xfId="797" xr:uid="{00000000-0005-0000-0000-00001E030000}"/>
    <cellStyle name="Normal 32 2 4 3" xfId="798" xr:uid="{00000000-0005-0000-0000-00001F030000}"/>
    <cellStyle name="Normal 32 2 5" xfId="799" xr:uid="{00000000-0005-0000-0000-000020030000}"/>
    <cellStyle name="Normal 32 2 6" xfId="800" xr:uid="{00000000-0005-0000-0000-000021030000}"/>
    <cellStyle name="Normal 32 3" xfId="801" xr:uid="{00000000-0005-0000-0000-000022030000}"/>
    <cellStyle name="Normal 32 3 2" xfId="802" xr:uid="{00000000-0005-0000-0000-000023030000}"/>
    <cellStyle name="Normal 32 3 2 2" xfId="803" xr:uid="{00000000-0005-0000-0000-000024030000}"/>
    <cellStyle name="Normal 32 3 2 2 2" xfId="804" xr:uid="{00000000-0005-0000-0000-000025030000}"/>
    <cellStyle name="Normal 32 3 2 2 3" xfId="805" xr:uid="{00000000-0005-0000-0000-000026030000}"/>
    <cellStyle name="Normal 32 3 2 3" xfId="806" xr:uid="{00000000-0005-0000-0000-000027030000}"/>
    <cellStyle name="Normal 32 3 2 4" xfId="807" xr:uid="{00000000-0005-0000-0000-000028030000}"/>
    <cellStyle name="Normal 32 3 3" xfId="808" xr:uid="{00000000-0005-0000-0000-000029030000}"/>
    <cellStyle name="Normal 32 3 3 2" xfId="809" xr:uid="{00000000-0005-0000-0000-00002A030000}"/>
    <cellStyle name="Normal 32 3 3 3" xfId="810" xr:uid="{00000000-0005-0000-0000-00002B030000}"/>
    <cellStyle name="Normal 32 3 4" xfId="811" xr:uid="{00000000-0005-0000-0000-00002C030000}"/>
    <cellStyle name="Normal 32 3 5" xfId="812" xr:uid="{00000000-0005-0000-0000-00002D030000}"/>
    <cellStyle name="Normal 32 4" xfId="813" xr:uid="{00000000-0005-0000-0000-00002E030000}"/>
    <cellStyle name="Normal 32 4 2" xfId="814" xr:uid="{00000000-0005-0000-0000-00002F030000}"/>
    <cellStyle name="Normal 32 4 2 2" xfId="815" xr:uid="{00000000-0005-0000-0000-000030030000}"/>
    <cellStyle name="Normal 32 4 2 3" xfId="816" xr:uid="{00000000-0005-0000-0000-000031030000}"/>
    <cellStyle name="Normal 32 4 3" xfId="817" xr:uid="{00000000-0005-0000-0000-000032030000}"/>
    <cellStyle name="Normal 32 4 4" xfId="818" xr:uid="{00000000-0005-0000-0000-000033030000}"/>
    <cellStyle name="Normal 32 5" xfId="819" xr:uid="{00000000-0005-0000-0000-000034030000}"/>
    <cellStyle name="Normal 32 5 2" xfId="820" xr:uid="{00000000-0005-0000-0000-000035030000}"/>
    <cellStyle name="Normal 32 5 3" xfId="821" xr:uid="{00000000-0005-0000-0000-000036030000}"/>
    <cellStyle name="Normal 32 6" xfId="822" xr:uid="{00000000-0005-0000-0000-000037030000}"/>
    <cellStyle name="Normal 32 7" xfId="823" xr:uid="{00000000-0005-0000-0000-000038030000}"/>
    <cellStyle name="Normal 33" xfId="824" xr:uid="{00000000-0005-0000-0000-000039030000}"/>
    <cellStyle name="Normal 33 2" xfId="825" xr:uid="{00000000-0005-0000-0000-00003A030000}"/>
    <cellStyle name="Normal 34" xfId="826" xr:uid="{00000000-0005-0000-0000-00003B030000}"/>
    <cellStyle name="Normal 34 2" xfId="827" xr:uid="{00000000-0005-0000-0000-00003C030000}"/>
    <cellStyle name="Normal 35" xfId="828" xr:uid="{00000000-0005-0000-0000-00003D030000}"/>
    <cellStyle name="Normal 35 2" xfId="829" xr:uid="{00000000-0005-0000-0000-00003E030000}"/>
    <cellStyle name="Normal 35 2 2" xfId="830" xr:uid="{00000000-0005-0000-0000-00003F030000}"/>
    <cellStyle name="Normal 35 2 2 2" xfId="831" xr:uid="{00000000-0005-0000-0000-000040030000}"/>
    <cellStyle name="Normal 35 2 2 2 2" xfId="832" xr:uid="{00000000-0005-0000-0000-000041030000}"/>
    <cellStyle name="Normal 35 2 2 2 2 2" xfId="833" xr:uid="{00000000-0005-0000-0000-000042030000}"/>
    <cellStyle name="Normal 35 2 2 2 2 3" xfId="834" xr:uid="{00000000-0005-0000-0000-000043030000}"/>
    <cellStyle name="Normal 35 2 2 2 3" xfId="835" xr:uid="{00000000-0005-0000-0000-000044030000}"/>
    <cellStyle name="Normal 35 2 2 2 4" xfId="836" xr:uid="{00000000-0005-0000-0000-000045030000}"/>
    <cellStyle name="Normal 35 2 2 3" xfId="837" xr:uid="{00000000-0005-0000-0000-000046030000}"/>
    <cellStyle name="Normal 35 2 2 3 2" xfId="838" xr:uid="{00000000-0005-0000-0000-000047030000}"/>
    <cellStyle name="Normal 35 2 2 3 3" xfId="839" xr:uid="{00000000-0005-0000-0000-000048030000}"/>
    <cellStyle name="Normal 35 2 2 4" xfId="840" xr:uid="{00000000-0005-0000-0000-000049030000}"/>
    <cellStyle name="Normal 35 2 2 5" xfId="841" xr:uid="{00000000-0005-0000-0000-00004A030000}"/>
    <cellStyle name="Normal 35 2 3" xfId="842" xr:uid="{00000000-0005-0000-0000-00004B030000}"/>
    <cellStyle name="Normal 35 2 3 2" xfId="843" xr:uid="{00000000-0005-0000-0000-00004C030000}"/>
    <cellStyle name="Normal 35 2 3 2 2" xfId="844" xr:uid="{00000000-0005-0000-0000-00004D030000}"/>
    <cellStyle name="Normal 35 2 3 2 3" xfId="845" xr:uid="{00000000-0005-0000-0000-00004E030000}"/>
    <cellStyle name="Normal 35 2 3 3" xfId="846" xr:uid="{00000000-0005-0000-0000-00004F030000}"/>
    <cellStyle name="Normal 35 2 3 4" xfId="847" xr:uid="{00000000-0005-0000-0000-000050030000}"/>
    <cellStyle name="Normal 35 2 4" xfId="848" xr:uid="{00000000-0005-0000-0000-000051030000}"/>
    <cellStyle name="Normal 35 2 4 2" xfId="849" xr:uid="{00000000-0005-0000-0000-000052030000}"/>
    <cellStyle name="Normal 35 2 4 3" xfId="850" xr:uid="{00000000-0005-0000-0000-000053030000}"/>
    <cellStyle name="Normal 35 2 5" xfId="851" xr:uid="{00000000-0005-0000-0000-000054030000}"/>
    <cellStyle name="Normal 35 2 6" xfId="852" xr:uid="{00000000-0005-0000-0000-000055030000}"/>
    <cellStyle name="Normal 35 3" xfId="853" xr:uid="{00000000-0005-0000-0000-000056030000}"/>
    <cellStyle name="Normal 35 3 2" xfId="854" xr:uid="{00000000-0005-0000-0000-000057030000}"/>
    <cellStyle name="Normal 35 3 2 2" xfId="855" xr:uid="{00000000-0005-0000-0000-000058030000}"/>
    <cellStyle name="Normal 35 3 2 2 2" xfId="856" xr:uid="{00000000-0005-0000-0000-000059030000}"/>
    <cellStyle name="Normal 35 3 2 2 3" xfId="857" xr:uid="{00000000-0005-0000-0000-00005A030000}"/>
    <cellStyle name="Normal 35 3 2 3" xfId="858" xr:uid="{00000000-0005-0000-0000-00005B030000}"/>
    <cellStyle name="Normal 35 3 2 4" xfId="859" xr:uid="{00000000-0005-0000-0000-00005C030000}"/>
    <cellStyle name="Normal 35 3 3" xfId="860" xr:uid="{00000000-0005-0000-0000-00005D030000}"/>
    <cellStyle name="Normal 35 3 3 2" xfId="861" xr:uid="{00000000-0005-0000-0000-00005E030000}"/>
    <cellStyle name="Normal 35 3 3 3" xfId="862" xr:uid="{00000000-0005-0000-0000-00005F030000}"/>
    <cellStyle name="Normal 35 3 4" xfId="863" xr:uid="{00000000-0005-0000-0000-000060030000}"/>
    <cellStyle name="Normal 35 3 5" xfId="864" xr:uid="{00000000-0005-0000-0000-000061030000}"/>
    <cellStyle name="Normal 35 4" xfId="865" xr:uid="{00000000-0005-0000-0000-000062030000}"/>
    <cellStyle name="Normal 35 4 2" xfId="866" xr:uid="{00000000-0005-0000-0000-000063030000}"/>
    <cellStyle name="Normal 35 4 2 2" xfId="867" xr:uid="{00000000-0005-0000-0000-000064030000}"/>
    <cellStyle name="Normal 35 4 2 3" xfId="868" xr:uid="{00000000-0005-0000-0000-000065030000}"/>
    <cellStyle name="Normal 35 4 3" xfId="869" xr:uid="{00000000-0005-0000-0000-000066030000}"/>
    <cellStyle name="Normal 35 4 4" xfId="870" xr:uid="{00000000-0005-0000-0000-000067030000}"/>
    <cellStyle name="Normal 35 5" xfId="871" xr:uid="{00000000-0005-0000-0000-000068030000}"/>
    <cellStyle name="Normal 35 5 2" xfId="872" xr:uid="{00000000-0005-0000-0000-000069030000}"/>
    <cellStyle name="Normal 35 5 3" xfId="873" xr:uid="{00000000-0005-0000-0000-00006A030000}"/>
    <cellStyle name="Normal 35 6" xfId="874" xr:uid="{00000000-0005-0000-0000-00006B030000}"/>
    <cellStyle name="Normal 35 7" xfId="875" xr:uid="{00000000-0005-0000-0000-00006C030000}"/>
    <cellStyle name="Normal 36" xfId="876" xr:uid="{00000000-0005-0000-0000-00006D030000}"/>
    <cellStyle name="Normal 36 2" xfId="877" xr:uid="{00000000-0005-0000-0000-00006E030000}"/>
    <cellStyle name="Normal 36 2 2" xfId="878" xr:uid="{00000000-0005-0000-0000-00006F030000}"/>
    <cellStyle name="Normal 36 2 2 2" xfId="879" xr:uid="{00000000-0005-0000-0000-000070030000}"/>
    <cellStyle name="Normal 36 2 2 2 2" xfId="880" xr:uid="{00000000-0005-0000-0000-000071030000}"/>
    <cellStyle name="Normal 36 2 2 2 2 2" xfId="881" xr:uid="{00000000-0005-0000-0000-000072030000}"/>
    <cellStyle name="Normal 36 2 2 2 2 3" xfId="882" xr:uid="{00000000-0005-0000-0000-000073030000}"/>
    <cellStyle name="Normal 36 2 2 2 3" xfId="883" xr:uid="{00000000-0005-0000-0000-000074030000}"/>
    <cellStyle name="Normal 36 2 2 2 4" xfId="884" xr:uid="{00000000-0005-0000-0000-000075030000}"/>
    <cellStyle name="Normal 36 2 2 3" xfId="885" xr:uid="{00000000-0005-0000-0000-000076030000}"/>
    <cellStyle name="Normal 36 2 2 3 2" xfId="886" xr:uid="{00000000-0005-0000-0000-000077030000}"/>
    <cellStyle name="Normal 36 2 2 3 3" xfId="887" xr:uid="{00000000-0005-0000-0000-000078030000}"/>
    <cellStyle name="Normal 36 2 2 4" xfId="888" xr:uid="{00000000-0005-0000-0000-000079030000}"/>
    <cellStyle name="Normal 36 2 2 5" xfId="889" xr:uid="{00000000-0005-0000-0000-00007A030000}"/>
    <cellStyle name="Normal 36 2 3" xfId="890" xr:uid="{00000000-0005-0000-0000-00007B030000}"/>
    <cellStyle name="Normal 36 2 3 2" xfId="891" xr:uid="{00000000-0005-0000-0000-00007C030000}"/>
    <cellStyle name="Normal 36 2 3 2 2" xfId="892" xr:uid="{00000000-0005-0000-0000-00007D030000}"/>
    <cellStyle name="Normal 36 2 3 2 3" xfId="893" xr:uid="{00000000-0005-0000-0000-00007E030000}"/>
    <cellStyle name="Normal 36 2 3 3" xfId="894" xr:uid="{00000000-0005-0000-0000-00007F030000}"/>
    <cellStyle name="Normal 36 2 3 4" xfId="895" xr:uid="{00000000-0005-0000-0000-000080030000}"/>
    <cellStyle name="Normal 36 2 4" xfId="896" xr:uid="{00000000-0005-0000-0000-000081030000}"/>
    <cellStyle name="Normal 36 2 4 2" xfId="897" xr:uid="{00000000-0005-0000-0000-000082030000}"/>
    <cellStyle name="Normal 36 2 4 3" xfId="898" xr:uid="{00000000-0005-0000-0000-000083030000}"/>
    <cellStyle name="Normal 36 2 5" xfId="899" xr:uid="{00000000-0005-0000-0000-000084030000}"/>
    <cellStyle name="Normal 36 2 6" xfId="900" xr:uid="{00000000-0005-0000-0000-000085030000}"/>
    <cellStyle name="Normal 36 3" xfId="901" xr:uid="{00000000-0005-0000-0000-000086030000}"/>
    <cellStyle name="Normal 36 3 2" xfId="902" xr:uid="{00000000-0005-0000-0000-000087030000}"/>
    <cellStyle name="Normal 36 3 2 2" xfId="903" xr:uid="{00000000-0005-0000-0000-000088030000}"/>
    <cellStyle name="Normal 36 3 2 2 2" xfId="904" xr:uid="{00000000-0005-0000-0000-000089030000}"/>
    <cellStyle name="Normal 36 3 2 2 3" xfId="905" xr:uid="{00000000-0005-0000-0000-00008A030000}"/>
    <cellStyle name="Normal 36 3 2 3" xfId="906" xr:uid="{00000000-0005-0000-0000-00008B030000}"/>
    <cellStyle name="Normal 36 3 2 4" xfId="907" xr:uid="{00000000-0005-0000-0000-00008C030000}"/>
    <cellStyle name="Normal 36 3 3" xfId="908" xr:uid="{00000000-0005-0000-0000-00008D030000}"/>
    <cellStyle name="Normal 36 3 3 2" xfId="909" xr:uid="{00000000-0005-0000-0000-00008E030000}"/>
    <cellStyle name="Normal 36 3 3 3" xfId="910" xr:uid="{00000000-0005-0000-0000-00008F030000}"/>
    <cellStyle name="Normal 36 3 4" xfId="911" xr:uid="{00000000-0005-0000-0000-000090030000}"/>
    <cellStyle name="Normal 36 3 5" xfId="912" xr:uid="{00000000-0005-0000-0000-000091030000}"/>
    <cellStyle name="Normal 36 4" xfId="913" xr:uid="{00000000-0005-0000-0000-000092030000}"/>
    <cellStyle name="Normal 36 4 2" xfId="914" xr:uid="{00000000-0005-0000-0000-000093030000}"/>
    <cellStyle name="Normal 36 4 2 2" xfId="915" xr:uid="{00000000-0005-0000-0000-000094030000}"/>
    <cellStyle name="Normal 36 4 2 3" xfId="916" xr:uid="{00000000-0005-0000-0000-000095030000}"/>
    <cellStyle name="Normal 36 4 3" xfId="917" xr:uid="{00000000-0005-0000-0000-000096030000}"/>
    <cellStyle name="Normal 36 4 4" xfId="918" xr:uid="{00000000-0005-0000-0000-000097030000}"/>
    <cellStyle name="Normal 36 5" xfId="919" xr:uid="{00000000-0005-0000-0000-000098030000}"/>
    <cellStyle name="Normal 36 5 2" xfId="920" xr:uid="{00000000-0005-0000-0000-000099030000}"/>
    <cellStyle name="Normal 36 5 3" xfId="921" xr:uid="{00000000-0005-0000-0000-00009A030000}"/>
    <cellStyle name="Normal 36 6" xfId="922" xr:uid="{00000000-0005-0000-0000-00009B030000}"/>
    <cellStyle name="Normal 36 7" xfId="923" xr:uid="{00000000-0005-0000-0000-00009C030000}"/>
    <cellStyle name="Normal 37" xfId="924" xr:uid="{00000000-0005-0000-0000-00009D030000}"/>
    <cellStyle name="Normal 38" xfId="925" xr:uid="{00000000-0005-0000-0000-00009E030000}"/>
    <cellStyle name="Normal 39" xfId="926" xr:uid="{00000000-0005-0000-0000-00009F030000}"/>
    <cellStyle name="Normal 4" xfId="3" xr:uid="{00000000-0005-0000-0000-0000A0030000}"/>
    <cellStyle name="Normal 4 2" xfId="927" xr:uid="{00000000-0005-0000-0000-0000A1030000}"/>
    <cellStyle name="Normal 4 2 2" xfId="928" xr:uid="{00000000-0005-0000-0000-0000A2030000}"/>
    <cellStyle name="Normal 4 2 3" xfId="929" xr:uid="{00000000-0005-0000-0000-0000A3030000}"/>
    <cellStyle name="Normal 4 2 3 2" xfId="930" xr:uid="{00000000-0005-0000-0000-0000A4030000}"/>
    <cellStyle name="Normal 4 2 3 3" xfId="931" xr:uid="{00000000-0005-0000-0000-0000A5030000}"/>
    <cellStyle name="Normal 4 3" xfId="932" xr:uid="{00000000-0005-0000-0000-0000A6030000}"/>
    <cellStyle name="Normal 4 4" xfId="933" xr:uid="{00000000-0005-0000-0000-0000A7030000}"/>
    <cellStyle name="Normal 4 4 2" xfId="934" xr:uid="{00000000-0005-0000-0000-0000A8030000}"/>
    <cellStyle name="Normal 4 4 3" xfId="935" xr:uid="{00000000-0005-0000-0000-0000A9030000}"/>
    <cellStyle name="Normal 4 4 4" xfId="936" xr:uid="{00000000-0005-0000-0000-0000AA030000}"/>
    <cellStyle name="Normal 4 5" xfId="1036" xr:uid="{67B29BD2-7CB3-4B5E-9689-CFD1ED4DDA27}"/>
    <cellStyle name="Normal 40" xfId="937" xr:uid="{00000000-0005-0000-0000-0000AB030000}"/>
    <cellStyle name="Normal 40 2" xfId="938" xr:uid="{00000000-0005-0000-0000-0000AC030000}"/>
    <cellStyle name="Normal 40 2 2" xfId="939" xr:uid="{00000000-0005-0000-0000-0000AD030000}"/>
    <cellStyle name="Normal 40 3" xfId="940" xr:uid="{00000000-0005-0000-0000-0000AE030000}"/>
    <cellStyle name="Normal 41" xfId="941" xr:uid="{00000000-0005-0000-0000-0000AF030000}"/>
    <cellStyle name="Normal 41 2" xfId="1151" xr:uid="{66C1668D-1C7F-4D8E-A517-32AC9DCCF970}"/>
    <cellStyle name="Normal 42" xfId="942" xr:uid="{00000000-0005-0000-0000-0000B0030000}"/>
    <cellStyle name="Normal 43" xfId="943" xr:uid="{00000000-0005-0000-0000-0000B1030000}"/>
    <cellStyle name="Normal 44" xfId="944" xr:uid="{00000000-0005-0000-0000-0000B2030000}"/>
    <cellStyle name="Normal 45" xfId="945" xr:uid="{00000000-0005-0000-0000-0000B3030000}"/>
    <cellStyle name="Normal 46" xfId="946" xr:uid="{00000000-0005-0000-0000-0000B4030000}"/>
    <cellStyle name="Normal 47" xfId="947" xr:uid="{00000000-0005-0000-0000-0000B5030000}"/>
    <cellStyle name="Normal 48" xfId="948" xr:uid="{00000000-0005-0000-0000-0000B6030000}"/>
    <cellStyle name="Normal 49" xfId="7" xr:uid="{00000000-0005-0000-0000-0000B7030000}"/>
    <cellStyle name="Normal 5" xfId="949" xr:uid="{00000000-0005-0000-0000-0000B8030000}"/>
    <cellStyle name="Normal 5 2" xfId="950" xr:uid="{00000000-0005-0000-0000-0000B9030000}"/>
    <cellStyle name="Normal 5 2 2" xfId="1059" xr:uid="{D9D36A9C-C8CE-46B7-8926-5E7BB034917F}"/>
    <cellStyle name="Normal 5 3" xfId="951" xr:uid="{00000000-0005-0000-0000-0000BA030000}"/>
    <cellStyle name="Normal 5 3 2" xfId="952" xr:uid="{00000000-0005-0000-0000-0000BB030000}"/>
    <cellStyle name="Normal 5 3 3" xfId="953" xr:uid="{00000000-0005-0000-0000-0000BC030000}"/>
    <cellStyle name="Normal 50" xfId="1024" xr:uid="{00000000-0005-0000-0000-0000BD030000}"/>
    <cellStyle name="Normal 51" xfId="1030" xr:uid="{11F26F9D-52EA-4973-B4DA-AF27E3754EC1}"/>
    <cellStyle name="Normal 6" xfId="954" xr:uid="{00000000-0005-0000-0000-0000BE030000}"/>
    <cellStyle name="Normal 6 2" xfId="955" xr:uid="{00000000-0005-0000-0000-0000BF030000}"/>
    <cellStyle name="Normal 6 3" xfId="956" xr:uid="{00000000-0005-0000-0000-0000C0030000}"/>
    <cellStyle name="Normal 6 3 2" xfId="957" xr:uid="{00000000-0005-0000-0000-0000C1030000}"/>
    <cellStyle name="Normal 6 3 3" xfId="958" xr:uid="{00000000-0005-0000-0000-0000C2030000}"/>
    <cellStyle name="Normal 7" xfId="959" xr:uid="{00000000-0005-0000-0000-0000C3030000}"/>
    <cellStyle name="Normal 75" xfId="1084" xr:uid="{E6743179-2D56-410C-9B62-46C53CFA78EF}"/>
    <cellStyle name="Normal 76" xfId="1086" xr:uid="{D199DDDF-31B5-486F-BFC3-81E2EAE10B64}"/>
    <cellStyle name="Normal 77" xfId="1088" xr:uid="{41076BBC-40CE-48B6-8259-6114A3962F16}"/>
    <cellStyle name="Normal 776" xfId="5" xr:uid="{00000000-0005-0000-0000-0000C4030000}"/>
    <cellStyle name="Normal 78" xfId="1090" xr:uid="{E6041B02-DE8F-451C-A74B-403D41F408E4}"/>
    <cellStyle name="Normal 79" xfId="1092" xr:uid="{DAC68FD1-EDC8-4FAC-9132-9DF93809650F}"/>
    <cellStyle name="Normal 8" xfId="960" xr:uid="{00000000-0005-0000-0000-0000C5030000}"/>
    <cellStyle name="Normal 8 2" xfId="961" xr:uid="{00000000-0005-0000-0000-0000C6030000}"/>
    <cellStyle name="Normal 8 2 2" xfId="962" xr:uid="{00000000-0005-0000-0000-0000C7030000}"/>
    <cellStyle name="Normal 8 2 2 2" xfId="963" xr:uid="{00000000-0005-0000-0000-0000C8030000}"/>
    <cellStyle name="Normal 8 2 2 3" xfId="964" xr:uid="{00000000-0005-0000-0000-0000C9030000}"/>
    <cellStyle name="Normal 8 2 3" xfId="965" xr:uid="{00000000-0005-0000-0000-0000CA030000}"/>
    <cellStyle name="Normal 8 2 4" xfId="966" xr:uid="{00000000-0005-0000-0000-0000CB030000}"/>
    <cellStyle name="Normal 8 3" xfId="967" xr:uid="{00000000-0005-0000-0000-0000CC030000}"/>
    <cellStyle name="Normal 8 3 2" xfId="968" xr:uid="{00000000-0005-0000-0000-0000CD030000}"/>
    <cellStyle name="Normal 8 3 3" xfId="969" xr:uid="{00000000-0005-0000-0000-0000CE030000}"/>
    <cellStyle name="Normal 8 4" xfId="970" xr:uid="{00000000-0005-0000-0000-0000CF030000}"/>
    <cellStyle name="Normal 8 5" xfId="971" xr:uid="{00000000-0005-0000-0000-0000D0030000}"/>
    <cellStyle name="Normal 80" xfId="1094" xr:uid="{0FD60C38-DD2D-4A99-9E22-886CE6C70BC0}"/>
    <cellStyle name="Normal 81" xfId="1096" xr:uid="{541F0B6A-130F-448A-AD25-E09022FD645C}"/>
    <cellStyle name="Normal 82" xfId="1098" xr:uid="{37D63880-3A4D-4C40-884B-62A8E7182064}"/>
    <cellStyle name="Normal 83" xfId="1100" xr:uid="{01D4DE63-2BFE-4606-B8D0-10DB064C518E}"/>
    <cellStyle name="Normal 84" xfId="1102" xr:uid="{57945800-234D-4ED3-B12B-8370D9644ABA}"/>
    <cellStyle name="Normal 85" xfId="1104" xr:uid="{5FCA381C-086F-43DD-81E1-49B2B3424CFF}"/>
    <cellStyle name="Normal 86" xfId="1106" xr:uid="{6A56C766-D3AA-457E-90DA-B7FF3C408D7D}"/>
    <cellStyle name="Normal 87" xfId="1107" xr:uid="{67400F01-01AC-47B6-9CD3-B40647E35A0E}"/>
    <cellStyle name="Normal 88" xfId="1109" xr:uid="{E91DC83D-B5C0-49B9-B3F0-E7D9C973A3FD}"/>
    <cellStyle name="Normal 89" xfId="1111" xr:uid="{B1904B59-501A-4160-9981-A4BFB1716C3C}"/>
    <cellStyle name="Normal 9" xfId="972" xr:uid="{00000000-0005-0000-0000-0000D1030000}"/>
    <cellStyle name="Normal 9 2" xfId="973" xr:uid="{00000000-0005-0000-0000-0000D2030000}"/>
    <cellStyle name="Normal 9 2 2" xfId="974" xr:uid="{00000000-0005-0000-0000-0000D3030000}"/>
    <cellStyle name="Normal 9 2 2 2" xfId="975" xr:uid="{00000000-0005-0000-0000-0000D4030000}"/>
    <cellStyle name="Normal 9 2 3" xfId="976" xr:uid="{00000000-0005-0000-0000-0000D5030000}"/>
    <cellStyle name="Normal 9 3" xfId="977" xr:uid="{00000000-0005-0000-0000-0000D6030000}"/>
    <cellStyle name="Normal 9 3 2" xfId="978" xr:uid="{00000000-0005-0000-0000-0000D7030000}"/>
    <cellStyle name="Normal 9 4" xfId="979" xr:uid="{00000000-0005-0000-0000-0000D8030000}"/>
    <cellStyle name="Normal 90" xfId="1113" xr:uid="{F8159621-7D33-4D5F-966E-9D6BC57CD53C}"/>
    <cellStyle name="Normal 91" xfId="1114" xr:uid="{06A0DDFD-55B8-4803-915B-A2FAF19BEAF7}"/>
    <cellStyle name="Normal 92" xfId="1115" xr:uid="{6106EA64-1BE3-493B-A5D6-E9B103D17D90}"/>
    <cellStyle name="Normal 93" xfId="1128" xr:uid="{DDCD70E0-4964-442B-8BA5-68B358D9EBF5}"/>
    <cellStyle name="Normal 94" xfId="1129" xr:uid="{262EA446-9A3B-4BB0-A25A-063317887F5B}"/>
    <cellStyle name="Normal 95" xfId="1126" xr:uid="{8EB995C3-99A6-4AA0-9CF9-449052CF4DE0}"/>
    <cellStyle name="Normal 96" xfId="1127" xr:uid="{A3DCC90B-21D0-41C9-BBE7-92264A688538}"/>
    <cellStyle name="Normal 97" xfId="1116" xr:uid="{4B139D8A-1050-4840-8F2B-CF658D916BA3}"/>
    <cellStyle name="Normal 98" xfId="1118" xr:uid="{61F7445B-181A-43EE-AD78-3C259B912CEA}"/>
    <cellStyle name="Normal 99" xfId="1120" xr:uid="{F2D49147-32F5-45C6-979E-F2F019FF5CA1}"/>
    <cellStyle name="Note 2" xfId="980" xr:uid="{00000000-0005-0000-0000-0000D9030000}"/>
    <cellStyle name="Note 2 2" xfId="981" xr:uid="{00000000-0005-0000-0000-0000DA030000}"/>
    <cellStyle name="Note 2 3" xfId="982" xr:uid="{00000000-0005-0000-0000-0000DB030000}"/>
    <cellStyle name="Note 3" xfId="983" xr:uid="{00000000-0005-0000-0000-0000DC030000}"/>
    <cellStyle name="Note 3 2" xfId="984" xr:uid="{00000000-0005-0000-0000-0000DD030000}"/>
    <cellStyle name="Note 3 3" xfId="985" xr:uid="{00000000-0005-0000-0000-0000DE030000}"/>
    <cellStyle name="Note 4" xfId="986" xr:uid="{00000000-0005-0000-0000-0000DF030000}"/>
    <cellStyle name="Note 4 2" xfId="987" xr:uid="{00000000-0005-0000-0000-0000E0030000}"/>
    <cellStyle name="Note 5" xfId="988" xr:uid="{00000000-0005-0000-0000-0000E1030000}"/>
    <cellStyle name="Note 6" xfId="989" xr:uid="{00000000-0005-0000-0000-0000E2030000}"/>
    <cellStyle name="Output 2" xfId="990" xr:uid="{00000000-0005-0000-0000-0000E3030000}"/>
    <cellStyle name="Output 3" xfId="991" xr:uid="{00000000-0005-0000-0000-0000E4030000}"/>
    <cellStyle name="Output 4" xfId="992" xr:uid="{00000000-0005-0000-0000-0000E5030000}"/>
    <cellStyle name="Percent 2" xfId="6" xr:uid="{00000000-0005-0000-0000-0000E7030000}"/>
    <cellStyle name="Percent 2 2" xfId="993" xr:uid="{00000000-0005-0000-0000-0000E8030000}"/>
    <cellStyle name="Percent 2 2 2" xfId="994" xr:uid="{00000000-0005-0000-0000-0000E9030000}"/>
    <cellStyle name="Percent 2 2 2 2" xfId="995" xr:uid="{00000000-0005-0000-0000-0000EA030000}"/>
    <cellStyle name="Percent 2 2 3" xfId="996" xr:uid="{00000000-0005-0000-0000-0000EB030000}"/>
    <cellStyle name="Percent 2 3" xfId="997" xr:uid="{00000000-0005-0000-0000-0000EC030000}"/>
    <cellStyle name="Percent 2 3 2" xfId="998" xr:uid="{00000000-0005-0000-0000-0000ED030000}"/>
    <cellStyle name="Percent 2 4" xfId="999" xr:uid="{00000000-0005-0000-0000-0000EE030000}"/>
    <cellStyle name="Percent 3" xfId="1000" xr:uid="{00000000-0005-0000-0000-0000EF030000}"/>
    <cellStyle name="Percent 3 2" xfId="1001" xr:uid="{00000000-0005-0000-0000-0000F0030000}"/>
    <cellStyle name="Percent 3 2 2" xfId="1002" xr:uid="{00000000-0005-0000-0000-0000F1030000}"/>
    <cellStyle name="Percent 3 2 2 2" xfId="1003" xr:uid="{00000000-0005-0000-0000-0000F2030000}"/>
    <cellStyle name="Percent 3 2 3" xfId="1004" xr:uid="{00000000-0005-0000-0000-0000F3030000}"/>
    <cellStyle name="Percent 3 3" xfId="1005" xr:uid="{00000000-0005-0000-0000-0000F4030000}"/>
    <cellStyle name="Percent 3 3 2" xfId="1006" xr:uid="{00000000-0005-0000-0000-0000F5030000}"/>
    <cellStyle name="Percent 3 4" xfId="1007" xr:uid="{00000000-0005-0000-0000-0000F6030000}"/>
    <cellStyle name="Percent 4" xfId="1008" xr:uid="{00000000-0005-0000-0000-0000F7030000}"/>
    <cellStyle name="Percent 4 2" xfId="1009" xr:uid="{00000000-0005-0000-0000-0000F8030000}"/>
    <cellStyle name="Percent 4 3" xfId="1010" xr:uid="{00000000-0005-0000-0000-0000F9030000}"/>
    <cellStyle name="Percent 5" xfId="1011" xr:uid="{00000000-0005-0000-0000-0000FA030000}"/>
    <cellStyle name="Percent 5 2" xfId="1012" xr:uid="{00000000-0005-0000-0000-0000FB030000}"/>
    <cellStyle name="Percent 5 3" xfId="1013" xr:uid="{00000000-0005-0000-0000-0000FC030000}"/>
    <cellStyle name="Percent 6" xfId="1014" xr:uid="{00000000-0005-0000-0000-0000FD030000}"/>
    <cellStyle name="Percent 6 2" xfId="1015" xr:uid="{00000000-0005-0000-0000-0000FE030000}"/>
    <cellStyle name="Percent 7" xfId="1016" xr:uid="{00000000-0005-0000-0000-0000FF030000}"/>
    <cellStyle name="Percent 8" xfId="1017" xr:uid="{00000000-0005-0000-0000-000000040000}"/>
    <cellStyle name="Total 2" xfId="1018" xr:uid="{00000000-0005-0000-0000-000001040000}"/>
    <cellStyle name="Total 3" xfId="1019" xr:uid="{00000000-0005-0000-0000-000002040000}"/>
    <cellStyle name="Total 4" xfId="1020" xr:uid="{00000000-0005-0000-0000-000003040000}"/>
    <cellStyle name="Warning Text 2" xfId="1021" xr:uid="{00000000-0005-0000-0000-000004040000}"/>
    <cellStyle name="Warning Text 3" xfId="1022" xr:uid="{00000000-0005-0000-0000-000005040000}"/>
    <cellStyle name="Warning Text 4" xfId="1023" xr:uid="{00000000-0005-0000-0000-000006040000}"/>
  </cellStyles>
  <dxfs count="1">
    <dxf>
      <fill>
        <patternFill patternType="solid">
          <fgColor rgb="FFFFFFFF"/>
          <bgColor rgb="FF000000"/>
        </patternFill>
      </fill>
    </dxf>
  </dxfs>
  <tableStyles count="0" defaultTableStyle="TableStyleMedium2" defaultPivotStyle="PivotStyleLight16"/>
  <colors>
    <mruColors>
      <color rgb="FFD27832"/>
      <color rgb="FFC88C8C"/>
      <color rgb="FFB48C8C"/>
      <color rgb="FFFAB428"/>
      <color rgb="FFF7AD07"/>
      <color rgb="FFFFAA50"/>
      <color rgb="FFDC8C50"/>
      <color rgb="FF825A5A"/>
      <color rgb="FFC85050"/>
      <color rgb="FFA064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Carbon</a:t>
            </a:r>
            <a:r>
              <a:rPr lang="en-GB" baseline="0"/>
              <a:t> Footprint (tCO2e)</a:t>
            </a:r>
            <a:endParaRPr lang="en-GB"/>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336-49BD-BB2E-E1935C44AD9D}"/>
              </c:ext>
            </c:extLst>
          </c:dPt>
          <c:dPt>
            <c:idx val="1"/>
            <c:bubble3D val="0"/>
            <c:spPr>
              <a:solidFill>
                <a:schemeClr val="accent2">
                  <a:lumMod val="40000"/>
                  <a:lumOff val="6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336-49BD-BB2E-E1935C44AD9D}"/>
              </c:ext>
            </c:extLst>
          </c:dPt>
          <c:dPt>
            <c:idx val="2"/>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7336-49BD-BB2E-E1935C44AD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'Emission Summary -2021'!$E$9:$E$11</c:f>
              <c:strCache>
                <c:ptCount val="3"/>
                <c:pt idx="0">
                  <c:v>Scope 1</c:v>
                </c:pt>
                <c:pt idx="1">
                  <c:v> Scope 2 </c:v>
                </c:pt>
                <c:pt idx="2">
                  <c:v>Scope 3</c:v>
                </c:pt>
              </c:strCache>
            </c:strRef>
          </c:cat>
          <c:val>
            <c:numRef>
              <c:f>'Emission Summary -2021'!$F$9:$F$11</c:f>
              <c:numCache>
                <c:formatCode>_(* #,##0_);_(* \(#,##0\);_(* "-"??_);_(@_)</c:formatCode>
                <c:ptCount val="3"/>
                <c:pt idx="0">
                  <c:v>528.42591000000004</c:v>
                </c:pt>
                <c:pt idx="1">
                  <c:v>171.29925339999997</c:v>
                </c:pt>
                <c:pt idx="2">
                  <c:v>41.445637095526031</c:v>
                </c:pt>
              </c:numCache>
            </c:numRef>
          </c:val>
          <c:extLst>
            <c:ext xmlns:c16="http://schemas.microsoft.com/office/drawing/2014/chart" uri="{C3380CC4-5D6E-409C-BE32-E72D297353CC}">
              <c16:uniqueId val="{00000000-1573-F145-B1C9-4CFDA024C309}"/>
            </c:ext>
          </c:extLst>
        </c:ser>
        <c:dLbls>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hyperlink" Target="#'Material sheet- Search sheet'!A1"/></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hyperlink" Target="#'Material sheet- Search sheet'!A1"/></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hyperlink" Target="#'Material sheet- Search sheet'!A1"/></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hyperlink" Target="#'Material sheet- Search sheet'!A1"/></Relationships>
</file>

<file path=xl/drawings/_rels/drawing17.xml.rels><?xml version="1.0" encoding="UTF-8" standalone="yes"?>
<Relationships xmlns="http://schemas.openxmlformats.org/package/2006/relationships"><Relationship Id="rId3" Type="http://schemas.openxmlformats.org/officeDocument/2006/relationships/hyperlink" Target="#'Paint Consumption'!A1"/><Relationship Id="rId2" Type="http://schemas.openxmlformats.org/officeDocument/2006/relationships/hyperlink" Target="#'Metals &amp; Acrylic'!A1"/><Relationship Id="rId1" Type="http://schemas.openxmlformats.org/officeDocument/2006/relationships/hyperlink" Target="#'Wood &amp; Plywood '!A1"/><Relationship Id="rId6"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hyperlink" Target="#'Packing material'!A1"/></Relationships>
</file>

<file path=xl/drawings/_rels/drawing1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3</xdr:row>
      <xdr:rowOff>0</xdr:rowOff>
    </xdr:from>
    <xdr:to>
      <xdr:col>14</xdr:col>
      <xdr:colOff>304800</xdr:colOff>
      <xdr:row>4</xdr:row>
      <xdr:rowOff>16329</xdr:rowOff>
    </xdr:to>
    <xdr:sp macro="" textlink="">
      <xdr:nvSpPr>
        <xdr:cNvPr id="2" name="AutoShape 4" descr="Image result for ews-wwf logo">
          <a:extLst>
            <a:ext uri="{FF2B5EF4-FFF2-40B4-BE49-F238E27FC236}">
              <a16:creationId xmlns:a16="http://schemas.microsoft.com/office/drawing/2014/main" id="{E8E773B0-AA47-43D3-B945-ACC88FAB0114}"/>
            </a:ext>
          </a:extLst>
        </xdr:cNvPr>
        <xdr:cNvSpPr>
          <a:spLocks noChangeAspect="1" noChangeArrowheads="1"/>
        </xdr:cNvSpPr>
      </xdr:nvSpPr>
      <xdr:spPr bwMode="auto">
        <a:xfrm>
          <a:off x="11607800" y="742950"/>
          <a:ext cx="304800" cy="298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101600</xdr:colOff>
      <xdr:row>15</xdr:row>
      <xdr:rowOff>101600</xdr:rowOff>
    </xdr:from>
    <xdr:to>
      <xdr:col>3</xdr:col>
      <xdr:colOff>25400</xdr:colOff>
      <xdr:row>18</xdr:row>
      <xdr:rowOff>82549</xdr:rowOff>
    </xdr:to>
    <xdr:pic>
      <xdr:nvPicPr>
        <xdr:cNvPr id="4" name="Picture 3" descr="Agile Advisors | LinkedIn">
          <a:extLst>
            <a:ext uri="{FF2B5EF4-FFF2-40B4-BE49-F238E27FC236}">
              <a16:creationId xmlns:a16="http://schemas.microsoft.com/office/drawing/2014/main" id="{93964D66-5667-4B0D-A45B-95D89E9B40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9300" y="3486150"/>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97894</xdr:colOff>
      <xdr:row>3</xdr:row>
      <xdr:rowOff>0</xdr:rowOff>
    </xdr:from>
    <xdr:to>
      <xdr:col>3</xdr:col>
      <xdr:colOff>260527</xdr:colOff>
      <xdr:row>4</xdr:row>
      <xdr:rowOff>38099</xdr:rowOff>
    </xdr:to>
    <xdr:pic>
      <xdr:nvPicPr>
        <xdr:cNvPr id="3" name="Picture 2" descr="Alpha Nero | Ichanical - Web Development | Mobile Apps | Branding | Big  Data Company Dubai">
          <a:extLst>
            <a:ext uri="{FF2B5EF4-FFF2-40B4-BE49-F238E27FC236}">
              <a16:creationId xmlns:a16="http://schemas.microsoft.com/office/drawing/2014/main" id="{4D8D0F2D-DC5C-927F-2DB8-BA2A4A26BA8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1923" y="1028700"/>
          <a:ext cx="826661" cy="4299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265339</xdr:colOff>
      <xdr:row>3</xdr:row>
      <xdr:rowOff>127954</xdr:rowOff>
    </xdr:from>
    <xdr:to>
      <xdr:col>8</xdr:col>
      <xdr:colOff>1564821</xdr:colOff>
      <xdr:row>18</xdr:row>
      <xdr:rowOff>204108</xdr:rowOff>
    </xdr:to>
    <xdr:graphicFrame macro="">
      <xdr:nvGraphicFramePr>
        <xdr:cNvPr id="6" name="Chart 5">
          <a:extLst>
            <a:ext uri="{FF2B5EF4-FFF2-40B4-BE49-F238E27FC236}">
              <a16:creationId xmlns:a16="http://schemas.microsoft.com/office/drawing/2014/main" id="{53946349-B603-5D0B-E145-57FD5EAB66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571500</xdr:colOff>
      <xdr:row>2</xdr:row>
      <xdr:rowOff>1</xdr:rowOff>
    </xdr:from>
    <xdr:to>
      <xdr:col>10</xdr:col>
      <xdr:colOff>333375</xdr:colOff>
      <xdr:row>34</xdr:row>
      <xdr:rowOff>95249</xdr:rowOff>
    </xdr:to>
    <xdr:sp macro="" textlink="">
      <xdr:nvSpPr>
        <xdr:cNvPr id="2" name="Rectangle: Rounded Corners 1">
          <a:extLst>
            <a:ext uri="{FF2B5EF4-FFF2-40B4-BE49-F238E27FC236}">
              <a16:creationId xmlns:a16="http://schemas.microsoft.com/office/drawing/2014/main" id="{ECB04A26-791E-4302-BE7D-222CEEFA5C77}"/>
            </a:ext>
          </a:extLst>
        </xdr:cNvPr>
        <xdr:cNvSpPr/>
      </xdr:nvSpPr>
      <xdr:spPr>
        <a:xfrm>
          <a:off x="571500" y="190501"/>
          <a:ext cx="11953875" cy="7262811"/>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6</xdr:col>
      <xdr:colOff>304800</xdr:colOff>
      <xdr:row>3</xdr:row>
      <xdr:rowOff>228600</xdr:rowOff>
    </xdr:from>
    <xdr:to>
      <xdr:col>6</xdr:col>
      <xdr:colOff>1096083</xdr:colOff>
      <xdr:row>5</xdr:row>
      <xdr:rowOff>9524</xdr:rowOff>
    </xdr:to>
    <xdr:pic>
      <xdr:nvPicPr>
        <xdr:cNvPr id="3" name="Picture 2" descr="Alpha Nero | Ichanical - Web Development | Mobile Apps | Branding | Big  Data Company Dubai">
          <a:extLst>
            <a:ext uri="{FF2B5EF4-FFF2-40B4-BE49-F238E27FC236}">
              <a16:creationId xmlns:a16="http://schemas.microsoft.com/office/drawing/2014/main" id="{02F74F84-023A-497B-80E6-0504B596A5D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534150" y="914400"/>
          <a:ext cx="791283" cy="4381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0</xdr:row>
      <xdr:rowOff>2</xdr:rowOff>
    </xdr:from>
    <xdr:to>
      <xdr:col>1</xdr:col>
      <xdr:colOff>9525</xdr:colOff>
      <xdr:row>0</xdr:row>
      <xdr:rowOff>305904</xdr:rowOff>
    </xdr:to>
    <xdr:pic>
      <xdr:nvPicPr>
        <xdr:cNvPr id="4" name="Picture 3" descr="Alpha Nero | Ichanical - Web Development | Mobile Apps | Branding | Big  Data Company Dubai">
          <a:extLst>
            <a:ext uri="{FF2B5EF4-FFF2-40B4-BE49-F238E27FC236}">
              <a16:creationId xmlns:a16="http://schemas.microsoft.com/office/drawing/2014/main" id="{C382C460-BA6B-463C-9FCB-23DD0DFA100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 y="2"/>
          <a:ext cx="552449"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28575</xdr:colOff>
      <xdr:row>0</xdr:row>
      <xdr:rowOff>0</xdr:rowOff>
    </xdr:from>
    <xdr:to>
      <xdr:col>15</xdr:col>
      <xdr:colOff>0</xdr:colOff>
      <xdr:row>1</xdr:row>
      <xdr:rowOff>0</xdr:rowOff>
    </xdr:to>
    <xdr:pic>
      <xdr:nvPicPr>
        <xdr:cNvPr id="5" name="Picture 4">
          <a:extLst>
            <a:ext uri="{FF2B5EF4-FFF2-40B4-BE49-F238E27FC236}">
              <a16:creationId xmlns:a16="http://schemas.microsoft.com/office/drawing/2014/main" id="{E647489F-1483-772C-9C51-5DACBECDA02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44400" y="0"/>
          <a:ext cx="3143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19050</xdr:colOff>
      <xdr:row>1</xdr:row>
      <xdr:rowOff>180975</xdr:rowOff>
    </xdr:from>
    <xdr:to>
      <xdr:col>35</xdr:col>
      <xdr:colOff>0</xdr:colOff>
      <xdr:row>86</xdr:row>
      <xdr:rowOff>47625</xdr:rowOff>
    </xdr:to>
    <xdr:sp macro="" textlink="">
      <xdr:nvSpPr>
        <xdr:cNvPr id="3" name="Rectangle: Rounded Corners 2">
          <a:extLst>
            <a:ext uri="{FF2B5EF4-FFF2-40B4-BE49-F238E27FC236}">
              <a16:creationId xmlns:a16="http://schemas.microsoft.com/office/drawing/2014/main" id="{0C549965-7F38-47C1-B81E-50ADF7507911}"/>
            </a:ext>
          </a:extLst>
        </xdr:cNvPr>
        <xdr:cNvSpPr/>
      </xdr:nvSpPr>
      <xdr:spPr>
        <a:xfrm>
          <a:off x="400050" y="495300"/>
          <a:ext cx="12506325" cy="17754600"/>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19050</xdr:colOff>
      <xdr:row>3</xdr:row>
      <xdr:rowOff>171450</xdr:rowOff>
    </xdr:from>
    <xdr:to>
      <xdr:col>17</xdr:col>
      <xdr:colOff>152400</xdr:colOff>
      <xdr:row>5</xdr:row>
      <xdr:rowOff>76200</xdr:rowOff>
    </xdr:to>
    <xdr:sp macro="" textlink="">
      <xdr:nvSpPr>
        <xdr:cNvPr id="5" name="Rectangle: Rounded Corners 4">
          <a:extLst>
            <a:ext uri="{FF2B5EF4-FFF2-40B4-BE49-F238E27FC236}">
              <a16:creationId xmlns:a16="http://schemas.microsoft.com/office/drawing/2014/main" id="{EB0AD1E0-7A51-43F8-AEE5-E29B7C50FA0B}"/>
            </a:ext>
          </a:extLst>
        </xdr:cNvPr>
        <xdr:cNvSpPr/>
      </xdr:nvSpPr>
      <xdr:spPr>
        <a:xfrm>
          <a:off x="1400175" y="847725"/>
          <a:ext cx="5619750" cy="285750"/>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t>No need  to enter any data</a:t>
          </a:r>
          <a:r>
            <a:rPr lang="en-IN" sz="1100" b="1" baseline="0"/>
            <a:t> </a:t>
          </a:r>
          <a:r>
            <a:rPr lang="en-IN" sz="1100" b="1"/>
            <a:t>in the Sheet</a:t>
          </a:r>
        </a:p>
      </xdr:txBody>
    </xdr:sp>
    <xdr:clientData/>
  </xdr:twoCellAnchor>
  <xdr:twoCellAnchor editAs="oneCell">
    <xdr:from>
      <xdr:col>0</xdr:col>
      <xdr:colOff>0</xdr:colOff>
      <xdr:row>0</xdr:row>
      <xdr:rowOff>0</xdr:rowOff>
    </xdr:from>
    <xdr:to>
      <xdr:col>2</xdr:col>
      <xdr:colOff>123824</xdr:colOff>
      <xdr:row>0</xdr:row>
      <xdr:rowOff>305902</xdr:rowOff>
    </xdr:to>
    <xdr:pic>
      <xdr:nvPicPr>
        <xdr:cNvPr id="2" name="Picture 1" descr="Alpha Nero | Ichanical - Web Development | Mobile Apps | Branding | Big  Data Company Dubai">
          <a:extLst>
            <a:ext uri="{FF2B5EF4-FFF2-40B4-BE49-F238E27FC236}">
              <a16:creationId xmlns:a16="http://schemas.microsoft.com/office/drawing/2014/main" id="{5EFFDF08-C7D8-445F-A32B-356269FFF4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52449"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38099</xdr:colOff>
      <xdr:row>0</xdr:row>
      <xdr:rowOff>0</xdr:rowOff>
    </xdr:from>
    <xdr:to>
      <xdr:col>36</xdr:col>
      <xdr:colOff>9524</xdr:colOff>
      <xdr:row>1</xdr:row>
      <xdr:rowOff>0</xdr:rowOff>
    </xdr:to>
    <xdr:pic>
      <xdr:nvPicPr>
        <xdr:cNvPr id="4" name="Picture 3">
          <a:extLst>
            <a:ext uri="{FF2B5EF4-FFF2-40B4-BE49-F238E27FC236}">
              <a16:creationId xmlns:a16="http://schemas.microsoft.com/office/drawing/2014/main" id="{EB3E5C1D-79E2-46AE-A22C-FC1FF289A5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49149" y="0"/>
          <a:ext cx="3143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266700</xdr:colOff>
      <xdr:row>5</xdr:row>
      <xdr:rowOff>19050</xdr:rowOff>
    </xdr:from>
    <xdr:to>
      <xdr:col>8</xdr:col>
      <xdr:colOff>152400</xdr:colOff>
      <xdr:row>8</xdr:row>
      <xdr:rowOff>133350</xdr:rowOff>
    </xdr:to>
    <xdr:sp macro="" textlink="">
      <xdr:nvSpPr>
        <xdr:cNvPr id="3" name="Rectangle: Rounded Corners 2">
          <a:extLst>
            <a:ext uri="{FF2B5EF4-FFF2-40B4-BE49-F238E27FC236}">
              <a16:creationId xmlns:a16="http://schemas.microsoft.com/office/drawing/2014/main" id="{33FD6889-6AA5-F85C-31A0-90A5AEFC3DEC}"/>
            </a:ext>
          </a:extLst>
        </xdr:cNvPr>
        <xdr:cNvSpPr/>
      </xdr:nvSpPr>
      <xdr:spPr>
        <a:xfrm>
          <a:off x="647700" y="800100"/>
          <a:ext cx="5619750" cy="685800"/>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t>Enter the Project Serial Numbers in the Table 1 ( Column C )</a:t>
          </a:r>
        </a:p>
        <a:p>
          <a:pPr algn="l"/>
          <a:r>
            <a:rPr lang="en-IN" sz="1100" b="1"/>
            <a:t>Enter the start for Each Projects in Table 1 ( Column D )</a:t>
          </a:r>
        </a:p>
        <a:p>
          <a:pPr algn="l"/>
          <a:r>
            <a:rPr lang="en-IN" sz="1100" b="1"/>
            <a:t>Enter the End date for Each Projects in Table 2 ( Column E )</a:t>
          </a:r>
        </a:p>
      </xdr:txBody>
    </xdr:sp>
    <xdr:clientData/>
  </xdr:twoCellAnchor>
  <xdr:twoCellAnchor>
    <xdr:from>
      <xdr:col>1</xdr:col>
      <xdr:colOff>19050</xdr:colOff>
      <xdr:row>1</xdr:row>
      <xdr:rowOff>180975</xdr:rowOff>
    </xdr:from>
    <xdr:to>
      <xdr:col>21</xdr:col>
      <xdr:colOff>0</xdr:colOff>
      <xdr:row>74</xdr:row>
      <xdr:rowOff>47625</xdr:rowOff>
    </xdr:to>
    <xdr:sp macro="" textlink="">
      <xdr:nvSpPr>
        <xdr:cNvPr id="2" name="Rectangle: Rounded Corners 1">
          <a:extLst>
            <a:ext uri="{FF2B5EF4-FFF2-40B4-BE49-F238E27FC236}">
              <a16:creationId xmlns:a16="http://schemas.microsoft.com/office/drawing/2014/main" id="{157E9867-C1E4-4F72-AF73-AA3A9B197214}"/>
            </a:ext>
          </a:extLst>
        </xdr:cNvPr>
        <xdr:cNvSpPr/>
      </xdr:nvSpPr>
      <xdr:spPr>
        <a:xfrm>
          <a:off x="400050" y="428625"/>
          <a:ext cx="11830050" cy="13173075"/>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66677</xdr:colOff>
      <xdr:row>4</xdr:row>
      <xdr:rowOff>0</xdr:rowOff>
    </xdr:from>
    <xdr:to>
      <xdr:col>3</xdr:col>
      <xdr:colOff>666750</xdr:colOff>
      <xdr:row>5</xdr:row>
      <xdr:rowOff>9525</xdr:rowOff>
    </xdr:to>
    <xdr:sp macro="" textlink="">
      <xdr:nvSpPr>
        <xdr:cNvPr id="4" name="Rectangle: Rounded Corners 3">
          <a:extLst>
            <a:ext uri="{FF2B5EF4-FFF2-40B4-BE49-F238E27FC236}">
              <a16:creationId xmlns:a16="http://schemas.microsoft.com/office/drawing/2014/main" id="{FC84D8F9-93CD-463A-8069-AEAAE12D84E0}"/>
            </a:ext>
          </a:extLst>
        </xdr:cNvPr>
        <xdr:cNvSpPr/>
      </xdr:nvSpPr>
      <xdr:spPr>
        <a:xfrm>
          <a:off x="723902" y="590550"/>
          <a:ext cx="1562098" cy="200025"/>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ysClr val="windowText" lastClr="000000"/>
              </a:solidFill>
              <a:latin typeface="+mn-lt"/>
              <a:ea typeface="+mn-ea"/>
              <a:cs typeface="+mn-cs"/>
            </a:rPr>
            <a:t>Data Entry</a:t>
          </a:r>
        </a:p>
      </xdr:txBody>
    </xdr:sp>
    <xdr:clientData/>
  </xdr:twoCellAnchor>
  <xdr:twoCellAnchor>
    <xdr:from>
      <xdr:col>2</xdr:col>
      <xdr:colOff>9525</xdr:colOff>
      <xdr:row>9</xdr:row>
      <xdr:rowOff>161925</xdr:rowOff>
    </xdr:from>
    <xdr:to>
      <xdr:col>3</xdr:col>
      <xdr:colOff>802794</xdr:colOff>
      <xdr:row>10</xdr:row>
      <xdr:rowOff>171450</xdr:rowOff>
    </xdr:to>
    <xdr:sp macro="" textlink="">
      <xdr:nvSpPr>
        <xdr:cNvPr id="5" name="Rectangle: Rounded Corners 4">
          <a:extLst>
            <a:ext uri="{FF2B5EF4-FFF2-40B4-BE49-F238E27FC236}">
              <a16:creationId xmlns:a16="http://schemas.microsoft.com/office/drawing/2014/main" id="{F4B684A0-70F6-404F-AE9E-BAE6506FD90D}"/>
            </a:ext>
          </a:extLst>
        </xdr:cNvPr>
        <xdr:cNvSpPr/>
      </xdr:nvSpPr>
      <xdr:spPr>
        <a:xfrm>
          <a:off x="666750" y="1857375"/>
          <a:ext cx="1755294" cy="200025"/>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ysClr val="windowText" lastClr="000000"/>
              </a:solidFill>
              <a:latin typeface="+mn-lt"/>
              <a:ea typeface="+mn-ea"/>
              <a:cs typeface="+mn-cs"/>
            </a:rPr>
            <a:t>Table 1</a:t>
          </a:r>
        </a:p>
      </xdr:txBody>
    </xdr:sp>
    <xdr:clientData/>
  </xdr:twoCellAnchor>
  <xdr:twoCellAnchor editAs="oneCell">
    <xdr:from>
      <xdr:col>0</xdr:col>
      <xdr:colOff>0</xdr:colOff>
      <xdr:row>0</xdr:row>
      <xdr:rowOff>2</xdr:rowOff>
    </xdr:from>
    <xdr:to>
      <xdr:col>1</xdr:col>
      <xdr:colOff>171449</xdr:colOff>
      <xdr:row>0</xdr:row>
      <xdr:rowOff>305904</xdr:rowOff>
    </xdr:to>
    <xdr:pic>
      <xdr:nvPicPr>
        <xdr:cNvPr id="6" name="Picture 5" descr="Alpha Nero | Ichanical - Web Development | Mobile Apps | Branding | Big  Data Company Dubai">
          <a:extLst>
            <a:ext uri="{FF2B5EF4-FFF2-40B4-BE49-F238E27FC236}">
              <a16:creationId xmlns:a16="http://schemas.microsoft.com/office/drawing/2014/main" id="{EA274B02-9760-4A62-89F8-E21B4F226B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
          <a:ext cx="552449"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104774</xdr:colOff>
      <xdr:row>0</xdr:row>
      <xdr:rowOff>0</xdr:rowOff>
    </xdr:from>
    <xdr:to>
      <xdr:col>22</xdr:col>
      <xdr:colOff>57149</xdr:colOff>
      <xdr:row>1</xdr:row>
      <xdr:rowOff>0</xdr:rowOff>
    </xdr:to>
    <xdr:pic>
      <xdr:nvPicPr>
        <xdr:cNvPr id="7" name="Picture 6">
          <a:extLst>
            <a:ext uri="{FF2B5EF4-FFF2-40B4-BE49-F238E27FC236}">
              <a16:creationId xmlns:a16="http://schemas.microsoft.com/office/drawing/2014/main" id="{7EB66DCC-623A-4E41-B5BB-2ABC42FEAF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49149" y="0"/>
          <a:ext cx="3143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2</xdr:row>
      <xdr:rowOff>171451</xdr:rowOff>
    </xdr:from>
    <xdr:to>
      <xdr:col>16</xdr:col>
      <xdr:colOff>0</xdr:colOff>
      <xdr:row>94</xdr:row>
      <xdr:rowOff>161926</xdr:rowOff>
    </xdr:to>
    <xdr:sp macro="" textlink="">
      <xdr:nvSpPr>
        <xdr:cNvPr id="3" name="Rectangle: Rounded Corners 2">
          <a:extLst>
            <a:ext uri="{FF2B5EF4-FFF2-40B4-BE49-F238E27FC236}">
              <a16:creationId xmlns:a16="http://schemas.microsoft.com/office/drawing/2014/main" id="{001567A0-F031-0F92-EDFA-34AB4CE7F065}"/>
            </a:ext>
          </a:extLst>
        </xdr:cNvPr>
        <xdr:cNvSpPr/>
      </xdr:nvSpPr>
      <xdr:spPr>
        <a:xfrm>
          <a:off x="390525" y="419101"/>
          <a:ext cx="11163300" cy="18049875"/>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352425</xdr:colOff>
      <xdr:row>5</xdr:row>
      <xdr:rowOff>104775</xdr:rowOff>
    </xdr:from>
    <xdr:to>
      <xdr:col>8</xdr:col>
      <xdr:colOff>504825</xdr:colOff>
      <xdr:row>6</xdr:row>
      <xdr:rowOff>104775</xdr:rowOff>
    </xdr:to>
    <xdr:sp macro="" textlink="">
      <xdr:nvSpPr>
        <xdr:cNvPr id="2" name="Rectangle: Rounded Corners 1">
          <a:extLst>
            <a:ext uri="{FF2B5EF4-FFF2-40B4-BE49-F238E27FC236}">
              <a16:creationId xmlns:a16="http://schemas.microsoft.com/office/drawing/2014/main" id="{77374D4F-E428-4683-A707-CF61CC06DA3A}"/>
            </a:ext>
          </a:extLst>
        </xdr:cNvPr>
        <xdr:cNvSpPr/>
      </xdr:nvSpPr>
      <xdr:spPr>
        <a:xfrm>
          <a:off x="733425" y="923925"/>
          <a:ext cx="5715000" cy="295275"/>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Enter the Electrical Energy Consumed for Each Month in kWh in Table 1 ( ROW D</a:t>
          </a:r>
          <a:r>
            <a:rPr lang="en-IN" sz="1100" b="1" baseline="0">
              <a:solidFill>
                <a:schemeClr val="bg1"/>
              </a:solidFill>
            </a:rPr>
            <a:t> to E)</a:t>
          </a:r>
          <a:endParaRPr lang="en-IN" sz="1100" b="1">
            <a:solidFill>
              <a:schemeClr val="bg1"/>
            </a:solidFill>
          </a:endParaRPr>
        </a:p>
      </xdr:txBody>
    </xdr:sp>
    <xdr:clientData/>
  </xdr:twoCellAnchor>
  <xdr:twoCellAnchor>
    <xdr:from>
      <xdr:col>1</xdr:col>
      <xdr:colOff>361952</xdr:colOff>
      <xdr:row>4</xdr:row>
      <xdr:rowOff>76200</xdr:rowOff>
    </xdr:from>
    <xdr:to>
      <xdr:col>3</xdr:col>
      <xdr:colOff>485775</xdr:colOff>
      <xdr:row>5</xdr:row>
      <xdr:rowOff>85725</xdr:rowOff>
    </xdr:to>
    <xdr:sp macro="" textlink="">
      <xdr:nvSpPr>
        <xdr:cNvPr id="4" name="Rectangle: Rounded Corners 3">
          <a:extLst>
            <a:ext uri="{FF2B5EF4-FFF2-40B4-BE49-F238E27FC236}">
              <a16:creationId xmlns:a16="http://schemas.microsoft.com/office/drawing/2014/main" id="{B3724A1F-043B-43A2-8D7C-575F3892E73C}"/>
            </a:ext>
          </a:extLst>
        </xdr:cNvPr>
        <xdr:cNvSpPr/>
      </xdr:nvSpPr>
      <xdr:spPr>
        <a:xfrm>
          <a:off x="742952" y="704850"/>
          <a:ext cx="1762123" cy="200025"/>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Data Entry</a:t>
          </a:r>
        </a:p>
      </xdr:txBody>
    </xdr:sp>
    <xdr:clientData/>
  </xdr:twoCellAnchor>
  <xdr:twoCellAnchor>
    <xdr:from>
      <xdr:col>2</xdr:col>
      <xdr:colOff>0</xdr:colOff>
      <xdr:row>30</xdr:row>
      <xdr:rowOff>161925</xdr:rowOff>
    </xdr:from>
    <xdr:to>
      <xdr:col>3</xdr:col>
      <xdr:colOff>514348</xdr:colOff>
      <xdr:row>31</xdr:row>
      <xdr:rowOff>171450</xdr:rowOff>
    </xdr:to>
    <xdr:sp macro="" textlink="">
      <xdr:nvSpPr>
        <xdr:cNvPr id="7" name="Rectangle: Rounded Corners 6">
          <a:extLst>
            <a:ext uri="{FF2B5EF4-FFF2-40B4-BE49-F238E27FC236}">
              <a16:creationId xmlns:a16="http://schemas.microsoft.com/office/drawing/2014/main" id="{6B382BEC-9745-47E9-A2A0-A9500CC02489}"/>
            </a:ext>
          </a:extLst>
        </xdr:cNvPr>
        <xdr:cNvSpPr/>
      </xdr:nvSpPr>
      <xdr:spPr>
        <a:xfrm>
          <a:off x="771525" y="6772275"/>
          <a:ext cx="1762123" cy="200025"/>
        </a:xfrm>
        <a:prstGeom prst="round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ysClr val="windowText" lastClr="000000"/>
              </a:solidFill>
            </a:rPr>
            <a:t>Table 3</a:t>
          </a:r>
        </a:p>
      </xdr:txBody>
    </xdr:sp>
    <xdr:clientData/>
  </xdr:twoCellAnchor>
  <xdr:twoCellAnchor>
    <xdr:from>
      <xdr:col>1</xdr:col>
      <xdr:colOff>381000</xdr:colOff>
      <xdr:row>13</xdr:row>
      <xdr:rowOff>123825</xdr:rowOff>
    </xdr:from>
    <xdr:to>
      <xdr:col>3</xdr:col>
      <xdr:colOff>497994</xdr:colOff>
      <xdr:row>14</xdr:row>
      <xdr:rowOff>178459</xdr:rowOff>
    </xdr:to>
    <xdr:sp macro="" textlink="">
      <xdr:nvSpPr>
        <xdr:cNvPr id="8" name="Rectangle: Rounded Corners 7">
          <a:extLst>
            <a:ext uri="{FF2B5EF4-FFF2-40B4-BE49-F238E27FC236}">
              <a16:creationId xmlns:a16="http://schemas.microsoft.com/office/drawing/2014/main" id="{7785355E-348D-4360-9A18-FB60EE0AB9D3}"/>
            </a:ext>
          </a:extLst>
        </xdr:cNvPr>
        <xdr:cNvSpPr/>
      </xdr:nvSpPr>
      <xdr:spPr>
        <a:xfrm>
          <a:off x="762000" y="3000375"/>
          <a:ext cx="1755294" cy="197509"/>
        </a:xfrm>
        <a:prstGeom prst="round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Table 2</a:t>
          </a:r>
        </a:p>
      </xdr:txBody>
    </xdr:sp>
    <xdr:clientData/>
  </xdr:twoCellAnchor>
  <xdr:twoCellAnchor>
    <xdr:from>
      <xdr:col>2</xdr:col>
      <xdr:colOff>9525</xdr:colOff>
      <xdr:row>8</xdr:row>
      <xdr:rowOff>66675</xdr:rowOff>
    </xdr:from>
    <xdr:to>
      <xdr:col>3</xdr:col>
      <xdr:colOff>517044</xdr:colOff>
      <xdr:row>9</xdr:row>
      <xdr:rowOff>123825</xdr:rowOff>
    </xdr:to>
    <xdr:sp macro="" textlink="">
      <xdr:nvSpPr>
        <xdr:cNvPr id="9" name="Rectangle: Rounded Corners 8">
          <a:extLst>
            <a:ext uri="{FF2B5EF4-FFF2-40B4-BE49-F238E27FC236}">
              <a16:creationId xmlns:a16="http://schemas.microsoft.com/office/drawing/2014/main" id="{EADEBB26-D830-4774-978A-D940458AE213}"/>
            </a:ext>
          </a:extLst>
        </xdr:cNvPr>
        <xdr:cNvSpPr/>
      </xdr:nvSpPr>
      <xdr:spPr>
        <a:xfrm>
          <a:off x="781050" y="1466850"/>
          <a:ext cx="1755294" cy="200025"/>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ysClr val="windowText" lastClr="000000"/>
              </a:solidFill>
              <a:latin typeface="+mn-lt"/>
              <a:ea typeface="+mn-ea"/>
              <a:cs typeface="+mn-cs"/>
            </a:rPr>
            <a:t>Table 1</a:t>
          </a:r>
        </a:p>
      </xdr:txBody>
    </xdr:sp>
    <xdr:clientData/>
  </xdr:twoCellAnchor>
  <xdr:twoCellAnchor editAs="oneCell">
    <xdr:from>
      <xdr:col>0</xdr:col>
      <xdr:colOff>0</xdr:colOff>
      <xdr:row>0</xdr:row>
      <xdr:rowOff>2</xdr:rowOff>
    </xdr:from>
    <xdr:to>
      <xdr:col>1</xdr:col>
      <xdr:colOff>171449</xdr:colOff>
      <xdr:row>0</xdr:row>
      <xdr:rowOff>305904</xdr:rowOff>
    </xdr:to>
    <xdr:pic>
      <xdr:nvPicPr>
        <xdr:cNvPr id="5" name="Picture 4" descr="Alpha Nero | Ichanical - Web Development | Mobile Apps | Branding | Big  Data Company Dubai">
          <a:extLst>
            <a:ext uri="{FF2B5EF4-FFF2-40B4-BE49-F238E27FC236}">
              <a16:creationId xmlns:a16="http://schemas.microsoft.com/office/drawing/2014/main" id="{00F7F187-8F92-4E73-BBC0-A8AA386AB1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
          <a:ext cx="552449"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295274</xdr:colOff>
      <xdr:row>0</xdr:row>
      <xdr:rowOff>0</xdr:rowOff>
    </xdr:from>
    <xdr:to>
      <xdr:col>17</xdr:col>
      <xdr:colOff>9524</xdr:colOff>
      <xdr:row>1</xdr:row>
      <xdr:rowOff>0</xdr:rowOff>
    </xdr:to>
    <xdr:pic>
      <xdr:nvPicPr>
        <xdr:cNvPr id="6" name="Picture 5">
          <a:extLst>
            <a:ext uri="{FF2B5EF4-FFF2-40B4-BE49-F238E27FC236}">
              <a16:creationId xmlns:a16="http://schemas.microsoft.com/office/drawing/2014/main" id="{65D37B34-930C-4EB5-B400-7D74AF51B9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49149" y="0"/>
          <a:ext cx="3143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xdr:row>
      <xdr:rowOff>8985</xdr:rowOff>
    </xdr:from>
    <xdr:to>
      <xdr:col>17</xdr:col>
      <xdr:colOff>9525</xdr:colOff>
      <xdr:row>92</xdr:row>
      <xdr:rowOff>121024</xdr:rowOff>
    </xdr:to>
    <xdr:sp macro="" textlink="">
      <xdr:nvSpPr>
        <xdr:cNvPr id="4" name="Rectangle: Rounded Corners 3">
          <a:extLst>
            <a:ext uri="{FF2B5EF4-FFF2-40B4-BE49-F238E27FC236}">
              <a16:creationId xmlns:a16="http://schemas.microsoft.com/office/drawing/2014/main" id="{BD4CF935-5E37-4A4A-924E-994DA259F1A1}"/>
            </a:ext>
          </a:extLst>
        </xdr:cNvPr>
        <xdr:cNvSpPr/>
      </xdr:nvSpPr>
      <xdr:spPr>
        <a:xfrm>
          <a:off x="381000" y="513810"/>
          <a:ext cx="11610975" cy="19419214"/>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228240</xdr:colOff>
      <xdr:row>3</xdr:row>
      <xdr:rowOff>201104</xdr:rowOff>
    </xdr:from>
    <xdr:to>
      <xdr:col>9</xdr:col>
      <xdr:colOff>588213</xdr:colOff>
      <xdr:row>4</xdr:row>
      <xdr:rowOff>238126</xdr:rowOff>
    </xdr:to>
    <xdr:sp macro="" textlink="">
      <xdr:nvSpPr>
        <xdr:cNvPr id="2" name="Rectangle: Rounded Corners 1">
          <a:extLst>
            <a:ext uri="{FF2B5EF4-FFF2-40B4-BE49-F238E27FC236}">
              <a16:creationId xmlns:a16="http://schemas.microsoft.com/office/drawing/2014/main" id="{3A4C7FE5-EBC5-402B-928F-2CCA692C0E06}"/>
            </a:ext>
          </a:extLst>
        </xdr:cNvPr>
        <xdr:cNvSpPr/>
      </xdr:nvSpPr>
      <xdr:spPr>
        <a:xfrm>
          <a:off x="609240" y="829754"/>
          <a:ext cx="6570273" cy="303722"/>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Enter the Monthly Water Consumption in Imperial Gallons in Table 1 ( ROW D</a:t>
          </a:r>
          <a:r>
            <a:rPr lang="en-IN" sz="1100" b="1" baseline="0">
              <a:solidFill>
                <a:schemeClr val="bg1"/>
              </a:solidFill>
            </a:rPr>
            <a:t> to E)</a:t>
          </a:r>
          <a:endParaRPr lang="en-IN" sz="1100" b="1">
            <a:solidFill>
              <a:schemeClr val="bg1"/>
            </a:solidFill>
          </a:endParaRPr>
        </a:p>
      </xdr:txBody>
    </xdr:sp>
    <xdr:clientData/>
  </xdr:twoCellAnchor>
  <xdr:twoCellAnchor>
    <xdr:from>
      <xdr:col>1</xdr:col>
      <xdr:colOff>333017</xdr:colOff>
      <xdr:row>2</xdr:row>
      <xdr:rowOff>179716</xdr:rowOff>
    </xdr:from>
    <xdr:to>
      <xdr:col>3</xdr:col>
      <xdr:colOff>621461</xdr:colOff>
      <xdr:row>3</xdr:row>
      <xdr:rowOff>191039</xdr:rowOff>
    </xdr:to>
    <xdr:sp macro="" textlink="">
      <xdr:nvSpPr>
        <xdr:cNvPr id="3" name="Rectangle: Rounded Corners 2">
          <a:extLst>
            <a:ext uri="{FF2B5EF4-FFF2-40B4-BE49-F238E27FC236}">
              <a16:creationId xmlns:a16="http://schemas.microsoft.com/office/drawing/2014/main" id="{E75E14A5-44F9-4645-A289-B90AF49AA352}"/>
            </a:ext>
          </a:extLst>
        </xdr:cNvPr>
        <xdr:cNvSpPr/>
      </xdr:nvSpPr>
      <xdr:spPr>
        <a:xfrm>
          <a:off x="710423" y="620023"/>
          <a:ext cx="1762123" cy="200025"/>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Data Entry</a:t>
          </a:r>
        </a:p>
      </xdr:txBody>
    </xdr:sp>
    <xdr:clientData/>
  </xdr:twoCellAnchor>
  <xdr:twoCellAnchor>
    <xdr:from>
      <xdr:col>1</xdr:col>
      <xdr:colOff>343619</xdr:colOff>
      <xdr:row>6</xdr:row>
      <xdr:rowOff>59846</xdr:rowOff>
    </xdr:from>
    <xdr:to>
      <xdr:col>3</xdr:col>
      <xdr:colOff>632063</xdr:colOff>
      <xdr:row>6</xdr:row>
      <xdr:rowOff>259871</xdr:rowOff>
    </xdr:to>
    <xdr:sp macro="" textlink="">
      <xdr:nvSpPr>
        <xdr:cNvPr id="5" name="Rectangle: Rounded Corners 4">
          <a:extLst>
            <a:ext uri="{FF2B5EF4-FFF2-40B4-BE49-F238E27FC236}">
              <a16:creationId xmlns:a16="http://schemas.microsoft.com/office/drawing/2014/main" id="{F26B61ED-BF3F-4AAD-965E-CCF3B6824CE3}"/>
            </a:ext>
          </a:extLst>
        </xdr:cNvPr>
        <xdr:cNvSpPr/>
      </xdr:nvSpPr>
      <xdr:spPr>
        <a:xfrm>
          <a:off x="721025" y="1228006"/>
          <a:ext cx="1762123" cy="200025"/>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ysClr val="windowText" lastClr="000000"/>
              </a:solidFill>
              <a:latin typeface="+mn-lt"/>
              <a:ea typeface="+mn-ea"/>
              <a:cs typeface="+mn-cs"/>
            </a:rPr>
            <a:t>Table 1</a:t>
          </a:r>
        </a:p>
      </xdr:txBody>
    </xdr:sp>
    <xdr:clientData/>
  </xdr:twoCellAnchor>
  <xdr:twoCellAnchor>
    <xdr:from>
      <xdr:col>1</xdr:col>
      <xdr:colOff>341462</xdr:colOff>
      <xdr:row>10</xdr:row>
      <xdr:rowOff>80873</xdr:rowOff>
    </xdr:from>
    <xdr:to>
      <xdr:col>3</xdr:col>
      <xdr:colOff>629906</xdr:colOff>
      <xdr:row>11</xdr:row>
      <xdr:rowOff>164082</xdr:rowOff>
    </xdr:to>
    <xdr:sp macro="" textlink="">
      <xdr:nvSpPr>
        <xdr:cNvPr id="6" name="Rectangle: Rounded Corners 5">
          <a:extLst>
            <a:ext uri="{FF2B5EF4-FFF2-40B4-BE49-F238E27FC236}">
              <a16:creationId xmlns:a16="http://schemas.microsoft.com/office/drawing/2014/main" id="{76397802-624B-41B6-887D-9AC82E9C4F1C}"/>
            </a:ext>
          </a:extLst>
        </xdr:cNvPr>
        <xdr:cNvSpPr/>
      </xdr:nvSpPr>
      <xdr:spPr>
        <a:xfrm>
          <a:off x="718868" y="2956345"/>
          <a:ext cx="1762123" cy="200025"/>
        </a:xfrm>
        <a:prstGeom prst="round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Table 2</a:t>
          </a:r>
        </a:p>
      </xdr:txBody>
    </xdr:sp>
    <xdr:clientData/>
  </xdr:twoCellAnchor>
  <xdr:twoCellAnchor>
    <xdr:from>
      <xdr:col>2</xdr:col>
      <xdr:colOff>0</xdr:colOff>
      <xdr:row>27</xdr:row>
      <xdr:rowOff>152760</xdr:rowOff>
    </xdr:from>
    <xdr:to>
      <xdr:col>3</xdr:col>
      <xdr:colOff>627390</xdr:colOff>
      <xdr:row>28</xdr:row>
      <xdr:rowOff>164082</xdr:rowOff>
    </xdr:to>
    <xdr:sp macro="" textlink="">
      <xdr:nvSpPr>
        <xdr:cNvPr id="7" name="Rectangle: Rounded Corners 6">
          <a:extLst>
            <a:ext uri="{FF2B5EF4-FFF2-40B4-BE49-F238E27FC236}">
              <a16:creationId xmlns:a16="http://schemas.microsoft.com/office/drawing/2014/main" id="{F144F077-3AF7-4C6A-B98A-D4215BB02449}"/>
            </a:ext>
          </a:extLst>
        </xdr:cNvPr>
        <xdr:cNvSpPr/>
      </xdr:nvSpPr>
      <xdr:spPr>
        <a:xfrm>
          <a:off x="602052" y="6946062"/>
          <a:ext cx="1750621" cy="200025"/>
        </a:xfrm>
        <a:prstGeom prst="round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Table 3</a:t>
          </a:r>
        </a:p>
      </xdr:txBody>
    </xdr:sp>
    <xdr:clientData/>
  </xdr:twoCellAnchor>
  <xdr:twoCellAnchor editAs="oneCell">
    <xdr:from>
      <xdr:col>0</xdr:col>
      <xdr:colOff>0</xdr:colOff>
      <xdr:row>0</xdr:row>
      <xdr:rowOff>2</xdr:rowOff>
    </xdr:from>
    <xdr:to>
      <xdr:col>1</xdr:col>
      <xdr:colOff>171449</xdr:colOff>
      <xdr:row>0</xdr:row>
      <xdr:rowOff>305904</xdr:rowOff>
    </xdr:to>
    <xdr:pic>
      <xdr:nvPicPr>
        <xdr:cNvPr id="8" name="Picture 7" descr="Alpha Nero | Ichanical - Web Development | Mobile Apps | Branding | Big  Data Company Dubai">
          <a:extLst>
            <a:ext uri="{FF2B5EF4-FFF2-40B4-BE49-F238E27FC236}">
              <a16:creationId xmlns:a16="http://schemas.microsoft.com/office/drawing/2014/main" id="{C0146127-DBF9-436B-BA81-3C8D3A805E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
          <a:ext cx="552449"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295275</xdr:colOff>
      <xdr:row>0</xdr:row>
      <xdr:rowOff>0</xdr:rowOff>
    </xdr:from>
    <xdr:to>
      <xdr:col>18</xdr:col>
      <xdr:colOff>9525</xdr:colOff>
      <xdr:row>1</xdr:row>
      <xdr:rowOff>0</xdr:rowOff>
    </xdr:to>
    <xdr:pic>
      <xdr:nvPicPr>
        <xdr:cNvPr id="10" name="Picture 9">
          <a:extLst>
            <a:ext uri="{FF2B5EF4-FFF2-40B4-BE49-F238E27FC236}">
              <a16:creationId xmlns:a16="http://schemas.microsoft.com/office/drawing/2014/main" id="{48794A58-0CF6-41E2-8F01-BEC0FB3393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77725" y="0"/>
          <a:ext cx="3143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2</xdr:row>
      <xdr:rowOff>9526</xdr:rowOff>
    </xdr:from>
    <xdr:to>
      <xdr:col>18</xdr:col>
      <xdr:colOff>28575</xdr:colOff>
      <xdr:row>106</xdr:row>
      <xdr:rowOff>47625</xdr:rowOff>
    </xdr:to>
    <xdr:sp macro="" textlink="">
      <xdr:nvSpPr>
        <xdr:cNvPr id="2" name="Rectangle: Rounded Corners 1">
          <a:extLst>
            <a:ext uri="{FF2B5EF4-FFF2-40B4-BE49-F238E27FC236}">
              <a16:creationId xmlns:a16="http://schemas.microsoft.com/office/drawing/2014/main" id="{FFCCAAD1-FE7F-4A31-B327-B09C18279E3E}"/>
            </a:ext>
          </a:extLst>
        </xdr:cNvPr>
        <xdr:cNvSpPr/>
      </xdr:nvSpPr>
      <xdr:spPr>
        <a:xfrm>
          <a:off x="381000" y="447676"/>
          <a:ext cx="11982450" cy="22679024"/>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333377</xdr:colOff>
      <xdr:row>4</xdr:row>
      <xdr:rowOff>21387</xdr:rowOff>
    </xdr:from>
    <xdr:to>
      <xdr:col>10</xdr:col>
      <xdr:colOff>552451</xdr:colOff>
      <xdr:row>8</xdr:row>
      <xdr:rowOff>47624</xdr:rowOff>
    </xdr:to>
    <xdr:sp macro="" textlink="">
      <xdr:nvSpPr>
        <xdr:cNvPr id="3" name="Rectangle: Rounded Corners 2">
          <a:extLst>
            <a:ext uri="{FF2B5EF4-FFF2-40B4-BE49-F238E27FC236}">
              <a16:creationId xmlns:a16="http://schemas.microsoft.com/office/drawing/2014/main" id="{4D7E4EC3-E26A-4919-9906-86FCEC8E016D}"/>
            </a:ext>
          </a:extLst>
        </xdr:cNvPr>
        <xdr:cNvSpPr/>
      </xdr:nvSpPr>
      <xdr:spPr>
        <a:xfrm>
          <a:off x="590552" y="840537"/>
          <a:ext cx="6829424" cy="788237"/>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Select the Fuel Type</a:t>
          </a:r>
          <a:r>
            <a:rPr lang="en-IN" sz="1100" b="1" baseline="0">
              <a:solidFill>
                <a:schemeClr val="bg1"/>
              </a:solidFill>
            </a:rPr>
            <a:t> in  column C  in C13 to C24 of Table 1.</a:t>
          </a:r>
        </a:p>
        <a:p>
          <a:pPr algn="l"/>
          <a:r>
            <a:rPr lang="en-IN" sz="1100" b="1">
              <a:solidFill>
                <a:schemeClr val="bg1"/>
              </a:solidFill>
            </a:rPr>
            <a:t>Enter  Vehicle Model </a:t>
          </a:r>
          <a:r>
            <a:rPr lang="en-IN" sz="1100" b="1" baseline="0">
              <a:solidFill>
                <a:schemeClr val="lt1"/>
              </a:solidFill>
              <a:effectLst/>
              <a:latin typeface="+mn-lt"/>
              <a:ea typeface="+mn-ea"/>
              <a:cs typeface="+mn-cs"/>
            </a:rPr>
            <a:t>in  column D in D13 to D24 of Table 1.</a:t>
          </a:r>
          <a:endParaRPr lang="en-IN" sz="1100" b="1">
            <a:solidFill>
              <a:schemeClr val="bg1"/>
            </a:solidFill>
          </a:endParaRPr>
        </a:p>
        <a:p>
          <a:pPr algn="l"/>
          <a:r>
            <a:rPr lang="en-IN" sz="1100" b="1">
              <a:solidFill>
                <a:schemeClr val="bg1"/>
              </a:solidFill>
            </a:rPr>
            <a:t>Enter the total Monthly distance travelled in kilo meters in Table 1 ( Cells  E13 to P22 </a:t>
          </a:r>
          <a:r>
            <a:rPr lang="en-IN" sz="1100" b="1">
              <a:solidFill>
                <a:schemeClr val="lt1"/>
              </a:solidFill>
              <a:effectLst/>
              <a:latin typeface="+mn-lt"/>
              <a:ea typeface="+mn-ea"/>
              <a:cs typeface="+mn-cs"/>
            </a:rPr>
            <a:t>)</a:t>
          </a:r>
          <a:r>
            <a:rPr lang="en-IN" sz="1100" b="1">
              <a:solidFill>
                <a:schemeClr val="bg1"/>
              </a:solidFill>
            </a:rPr>
            <a:t> according to the</a:t>
          </a:r>
          <a:r>
            <a:rPr lang="en-IN" sz="1100" b="1" baseline="0">
              <a:solidFill>
                <a:schemeClr val="bg1"/>
              </a:solidFill>
            </a:rPr>
            <a:t> Fuel Type</a:t>
          </a:r>
          <a:endParaRPr lang="en-IN" sz="1100" b="1">
            <a:solidFill>
              <a:schemeClr val="bg1"/>
            </a:solidFill>
          </a:endParaRPr>
        </a:p>
      </xdr:txBody>
    </xdr:sp>
    <xdr:clientData/>
  </xdr:twoCellAnchor>
  <xdr:twoCellAnchor>
    <xdr:from>
      <xdr:col>2</xdr:col>
      <xdr:colOff>47627</xdr:colOff>
      <xdr:row>3</xdr:row>
      <xdr:rowOff>20241</xdr:rowOff>
    </xdr:from>
    <xdr:to>
      <xdr:col>3</xdr:col>
      <xdr:colOff>615658</xdr:colOff>
      <xdr:row>4</xdr:row>
      <xdr:rowOff>9741</xdr:rowOff>
    </xdr:to>
    <xdr:sp macro="" textlink="">
      <xdr:nvSpPr>
        <xdr:cNvPr id="4" name="Rectangle: Rounded Corners 3">
          <a:extLst>
            <a:ext uri="{FF2B5EF4-FFF2-40B4-BE49-F238E27FC236}">
              <a16:creationId xmlns:a16="http://schemas.microsoft.com/office/drawing/2014/main" id="{B56F459B-4C50-465B-9070-7750E2D9F84C}"/>
            </a:ext>
          </a:extLst>
        </xdr:cNvPr>
        <xdr:cNvSpPr/>
      </xdr:nvSpPr>
      <xdr:spPr>
        <a:xfrm>
          <a:off x="773908" y="651272"/>
          <a:ext cx="1080000" cy="180000"/>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Data Entry</a:t>
          </a:r>
        </a:p>
      </xdr:txBody>
    </xdr:sp>
    <xdr:clientData/>
  </xdr:twoCellAnchor>
  <xdr:twoCellAnchor>
    <xdr:from>
      <xdr:col>2</xdr:col>
      <xdr:colOff>1079</xdr:colOff>
      <xdr:row>8</xdr:row>
      <xdr:rowOff>165880</xdr:rowOff>
    </xdr:from>
    <xdr:to>
      <xdr:col>4</xdr:col>
      <xdr:colOff>127598</xdr:colOff>
      <xdr:row>9</xdr:row>
      <xdr:rowOff>175405</xdr:rowOff>
    </xdr:to>
    <xdr:sp macro="" textlink="">
      <xdr:nvSpPr>
        <xdr:cNvPr id="5" name="Rectangle: Rounded Corners 4">
          <a:extLst>
            <a:ext uri="{FF2B5EF4-FFF2-40B4-BE49-F238E27FC236}">
              <a16:creationId xmlns:a16="http://schemas.microsoft.com/office/drawing/2014/main" id="{4CD2CD19-C6DA-4BFC-AEBC-A63E7A5B93F4}"/>
            </a:ext>
          </a:extLst>
        </xdr:cNvPr>
        <xdr:cNvSpPr/>
      </xdr:nvSpPr>
      <xdr:spPr>
        <a:xfrm>
          <a:off x="724979" y="1747030"/>
          <a:ext cx="1755294" cy="200025"/>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chemeClr val="bg1"/>
              </a:solidFill>
              <a:latin typeface="+mn-lt"/>
              <a:ea typeface="+mn-ea"/>
              <a:cs typeface="+mn-cs"/>
            </a:rPr>
            <a:t>Table 1</a:t>
          </a:r>
        </a:p>
      </xdr:txBody>
    </xdr:sp>
    <xdr:clientData/>
  </xdr:twoCellAnchor>
  <xdr:twoCellAnchor>
    <xdr:from>
      <xdr:col>2</xdr:col>
      <xdr:colOff>19050</xdr:colOff>
      <xdr:row>41</xdr:row>
      <xdr:rowOff>390525</xdr:rowOff>
    </xdr:from>
    <xdr:to>
      <xdr:col>4</xdr:col>
      <xdr:colOff>145569</xdr:colOff>
      <xdr:row>42</xdr:row>
      <xdr:rowOff>140358</xdr:rowOff>
    </xdr:to>
    <xdr:sp macro="" textlink="">
      <xdr:nvSpPr>
        <xdr:cNvPr id="7" name="Rectangle: Rounded Corners 6">
          <a:extLst>
            <a:ext uri="{FF2B5EF4-FFF2-40B4-BE49-F238E27FC236}">
              <a16:creationId xmlns:a16="http://schemas.microsoft.com/office/drawing/2014/main" id="{6268DFA9-26A3-418C-ADF0-F91B04797C6C}"/>
            </a:ext>
          </a:extLst>
        </xdr:cNvPr>
        <xdr:cNvSpPr/>
      </xdr:nvSpPr>
      <xdr:spPr>
        <a:xfrm>
          <a:off x="619125" y="11582400"/>
          <a:ext cx="2041044" cy="235608"/>
        </a:xfrm>
        <a:prstGeom prst="round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Table 4</a:t>
          </a:r>
        </a:p>
      </xdr:txBody>
    </xdr:sp>
    <xdr:clientData/>
  </xdr:twoCellAnchor>
  <xdr:twoCellAnchor>
    <xdr:from>
      <xdr:col>2</xdr:col>
      <xdr:colOff>28575</xdr:colOff>
      <xdr:row>24</xdr:row>
      <xdr:rowOff>152400</xdr:rowOff>
    </xdr:from>
    <xdr:to>
      <xdr:col>4</xdr:col>
      <xdr:colOff>155094</xdr:colOff>
      <xdr:row>25</xdr:row>
      <xdr:rowOff>159409</xdr:rowOff>
    </xdr:to>
    <xdr:sp macro="" textlink="">
      <xdr:nvSpPr>
        <xdr:cNvPr id="9" name="Rectangle: Rounded Corners 8">
          <a:extLst>
            <a:ext uri="{FF2B5EF4-FFF2-40B4-BE49-F238E27FC236}">
              <a16:creationId xmlns:a16="http://schemas.microsoft.com/office/drawing/2014/main" id="{AE1251AC-69E9-4CBE-9099-EE2C823E793E}"/>
            </a:ext>
          </a:extLst>
        </xdr:cNvPr>
        <xdr:cNvSpPr/>
      </xdr:nvSpPr>
      <xdr:spPr>
        <a:xfrm>
          <a:off x="752475" y="5267325"/>
          <a:ext cx="1755294" cy="197509"/>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chemeClr val="bg1"/>
              </a:solidFill>
              <a:latin typeface="+mn-lt"/>
              <a:ea typeface="+mn-ea"/>
              <a:cs typeface="+mn-cs"/>
            </a:rPr>
            <a:t>Table 2</a:t>
          </a:r>
        </a:p>
      </xdr:txBody>
    </xdr:sp>
    <xdr:clientData/>
  </xdr:twoCellAnchor>
  <xdr:twoCellAnchor>
    <xdr:from>
      <xdr:col>11</xdr:col>
      <xdr:colOff>304800</xdr:colOff>
      <xdr:row>4</xdr:row>
      <xdr:rowOff>47626</xdr:rowOff>
    </xdr:from>
    <xdr:to>
      <xdr:col>17</xdr:col>
      <xdr:colOff>9525</xdr:colOff>
      <xdr:row>8</xdr:row>
      <xdr:rowOff>66675</xdr:rowOff>
    </xdr:to>
    <xdr:sp macro="" textlink="">
      <xdr:nvSpPr>
        <xdr:cNvPr id="10" name="Rectangle: Rounded Corners 9">
          <a:extLst>
            <a:ext uri="{FF2B5EF4-FFF2-40B4-BE49-F238E27FC236}">
              <a16:creationId xmlns:a16="http://schemas.microsoft.com/office/drawing/2014/main" id="{42054940-20D1-4670-AECE-B753376EC23B}"/>
            </a:ext>
          </a:extLst>
        </xdr:cNvPr>
        <xdr:cNvSpPr/>
      </xdr:nvSpPr>
      <xdr:spPr>
        <a:xfrm>
          <a:off x="8077200" y="866776"/>
          <a:ext cx="4210050" cy="781049"/>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Enter the total Fuel Consumption in litres in Table 2 ( Rows 11 &amp; 12)</a:t>
          </a:r>
        </a:p>
        <a:p>
          <a:pPr algn="l"/>
          <a:r>
            <a:rPr lang="en-IN" sz="1100" b="1">
              <a:solidFill>
                <a:schemeClr val="bg1"/>
              </a:solidFill>
            </a:rPr>
            <a:t>Petrol Consumption in litres in Row 11 of table 2.</a:t>
          </a:r>
        </a:p>
        <a:p>
          <a:pPr algn="l"/>
          <a:r>
            <a:rPr lang="en-IN" sz="1100" b="1">
              <a:solidFill>
                <a:schemeClr val="bg1"/>
              </a:solidFill>
            </a:rPr>
            <a:t>Diesel Consumption in litres in Row 12 of table  2.</a:t>
          </a:r>
        </a:p>
      </xdr:txBody>
    </xdr:sp>
    <xdr:clientData/>
  </xdr:twoCellAnchor>
  <xdr:twoCellAnchor>
    <xdr:from>
      <xdr:col>3</xdr:col>
      <xdr:colOff>628650</xdr:colOff>
      <xdr:row>3</xdr:row>
      <xdr:rowOff>17857</xdr:rowOff>
    </xdr:from>
    <xdr:to>
      <xdr:col>5</xdr:col>
      <xdr:colOff>123825</xdr:colOff>
      <xdr:row>4</xdr:row>
      <xdr:rowOff>9524</xdr:rowOff>
    </xdr:to>
    <xdr:sp macro="" textlink="">
      <xdr:nvSpPr>
        <xdr:cNvPr id="11" name="Rectangle: Rounded Corners 10">
          <a:extLst>
            <a:ext uri="{FF2B5EF4-FFF2-40B4-BE49-F238E27FC236}">
              <a16:creationId xmlns:a16="http://schemas.microsoft.com/office/drawing/2014/main" id="{0617BB15-DA1C-4694-B153-8604A350C907}"/>
            </a:ext>
          </a:extLst>
        </xdr:cNvPr>
        <xdr:cNvSpPr/>
      </xdr:nvSpPr>
      <xdr:spPr>
        <a:xfrm>
          <a:off x="1990725" y="646507"/>
          <a:ext cx="1504950" cy="182167"/>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a:solidFill>
                <a:sysClr val="windowText" lastClr="000000"/>
              </a:solidFill>
            </a:rPr>
            <a:t>Travelled</a:t>
          </a:r>
          <a:r>
            <a:rPr lang="en-IN" sz="1200" b="1" baseline="0">
              <a:solidFill>
                <a:sysClr val="windowText" lastClr="000000"/>
              </a:solidFill>
            </a:rPr>
            <a:t> Distance </a:t>
          </a:r>
          <a:endParaRPr lang="en-IN" sz="1200" b="1">
            <a:solidFill>
              <a:sysClr val="windowText" lastClr="000000"/>
            </a:solidFill>
          </a:endParaRPr>
        </a:p>
      </xdr:txBody>
    </xdr:sp>
    <xdr:clientData/>
  </xdr:twoCellAnchor>
  <xdr:twoCellAnchor>
    <xdr:from>
      <xdr:col>11</xdr:col>
      <xdr:colOff>361952</xdr:colOff>
      <xdr:row>3</xdr:row>
      <xdr:rowOff>41672</xdr:rowOff>
    </xdr:from>
    <xdr:to>
      <xdr:col>12</xdr:col>
      <xdr:colOff>709717</xdr:colOff>
      <xdr:row>4</xdr:row>
      <xdr:rowOff>31172</xdr:rowOff>
    </xdr:to>
    <xdr:sp macro="" textlink="">
      <xdr:nvSpPr>
        <xdr:cNvPr id="12" name="Rectangle: Rounded Corners 11">
          <a:extLst>
            <a:ext uri="{FF2B5EF4-FFF2-40B4-BE49-F238E27FC236}">
              <a16:creationId xmlns:a16="http://schemas.microsoft.com/office/drawing/2014/main" id="{DB9FF9D7-EED4-404B-B96A-2119191306B9}"/>
            </a:ext>
          </a:extLst>
        </xdr:cNvPr>
        <xdr:cNvSpPr/>
      </xdr:nvSpPr>
      <xdr:spPr>
        <a:xfrm>
          <a:off x="7962902" y="670322"/>
          <a:ext cx="1081190" cy="180000"/>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Data Entry</a:t>
          </a:r>
        </a:p>
      </xdr:txBody>
    </xdr:sp>
    <xdr:clientData/>
  </xdr:twoCellAnchor>
  <xdr:twoCellAnchor>
    <xdr:from>
      <xdr:col>12</xdr:col>
      <xdr:colOff>722709</xdr:colOff>
      <xdr:row>3</xdr:row>
      <xdr:rowOff>39289</xdr:rowOff>
    </xdr:from>
    <xdr:to>
      <xdr:col>14</xdr:col>
      <xdr:colOff>698241</xdr:colOff>
      <xdr:row>4</xdr:row>
      <xdr:rowOff>28789</xdr:rowOff>
    </xdr:to>
    <xdr:sp macro="" textlink="">
      <xdr:nvSpPr>
        <xdr:cNvPr id="13" name="Rectangle: Rounded Corners 12">
          <a:extLst>
            <a:ext uri="{FF2B5EF4-FFF2-40B4-BE49-F238E27FC236}">
              <a16:creationId xmlns:a16="http://schemas.microsoft.com/office/drawing/2014/main" id="{49D45852-CCA4-47F2-B3C5-EFFC6332122E}"/>
            </a:ext>
          </a:extLst>
        </xdr:cNvPr>
        <xdr:cNvSpPr/>
      </xdr:nvSpPr>
      <xdr:spPr>
        <a:xfrm>
          <a:off x="9057084" y="667939"/>
          <a:ext cx="1442382" cy="180000"/>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ysClr val="windowText" lastClr="000000"/>
              </a:solidFill>
            </a:rPr>
            <a:t>Fuel Consumption</a:t>
          </a:r>
        </a:p>
      </xdr:txBody>
    </xdr:sp>
    <xdr:clientData/>
  </xdr:twoCellAnchor>
  <xdr:twoCellAnchor>
    <xdr:from>
      <xdr:col>2</xdr:col>
      <xdr:colOff>0</xdr:colOff>
      <xdr:row>33</xdr:row>
      <xdr:rowOff>133350</xdr:rowOff>
    </xdr:from>
    <xdr:to>
      <xdr:col>4</xdr:col>
      <xdr:colOff>126519</xdr:colOff>
      <xdr:row>34</xdr:row>
      <xdr:rowOff>178458</xdr:rowOff>
    </xdr:to>
    <xdr:sp macro="" textlink="">
      <xdr:nvSpPr>
        <xdr:cNvPr id="14" name="Rectangle: Rounded Corners 13">
          <a:extLst>
            <a:ext uri="{FF2B5EF4-FFF2-40B4-BE49-F238E27FC236}">
              <a16:creationId xmlns:a16="http://schemas.microsoft.com/office/drawing/2014/main" id="{9EEC7E60-492B-41AE-8184-8B25F8A72A7A}"/>
            </a:ext>
          </a:extLst>
        </xdr:cNvPr>
        <xdr:cNvSpPr/>
      </xdr:nvSpPr>
      <xdr:spPr>
        <a:xfrm>
          <a:off x="600075" y="8410575"/>
          <a:ext cx="2041044" cy="235608"/>
        </a:xfrm>
        <a:prstGeom prst="round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Table 3</a:t>
          </a:r>
        </a:p>
      </xdr:txBody>
    </xdr:sp>
    <xdr:clientData/>
  </xdr:twoCellAnchor>
  <xdr:twoCellAnchor editAs="oneCell">
    <xdr:from>
      <xdr:col>0</xdr:col>
      <xdr:colOff>0</xdr:colOff>
      <xdr:row>0</xdr:row>
      <xdr:rowOff>2</xdr:rowOff>
    </xdr:from>
    <xdr:to>
      <xdr:col>1</xdr:col>
      <xdr:colOff>295274</xdr:colOff>
      <xdr:row>0</xdr:row>
      <xdr:rowOff>305904</xdr:rowOff>
    </xdr:to>
    <xdr:pic>
      <xdr:nvPicPr>
        <xdr:cNvPr id="6" name="Picture 5" descr="Alpha Nero | Ichanical - Web Development | Mobile Apps | Branding | Big  Data Company Dubai">
          <a:extLst>
            <a:ext uri="{FF2B5EF4-FFF2-40B4-BE49-F238E27FC236}">
              <a16:creationId xmlns:a16="http://schemas.microsoft.com/office/drawing/2014/main" id="{DD1C9954-3E75-4DE0-8DB4-77B6A3FDD9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
          <a:ext cx="552449"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9524</xdr:colOff>
      <xdr:row>0</xdr:row>
      <xdr:rowOff>0</xdr:rowOff>
    </xdr:from>
    <xdr:to>
      <xdr:col>18</xdr:col>
      <xdr:colOff>323849</xdr:colOff>
      <xdr:row>1</xdr:row>
      <xdr:rowOff>0</xdr:rowOff>
    </xdr:to>
    <xdr:pic>
      <xdr:nvPicPr>
        <xdr:cNvPr id="8" name="Picture 7">
          <a:extLst>
            <a:ext uri="{FF2B5EF4-FFF2-40B4-BE49-F238E27FC236}">
              <a16:creationId xmlns:a16="http://schemas.microsoft.com/office/drawing/2014/main" id="{A012F6BC-61A8-4DC1-A849-3D5F694D09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49149" y="0"/>
          <a:ext cx="3143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1</xdr:colOff>
      <xdr:row>2</xdr:row>
      <xdr:rowOff>0</xdr:rowOff>
    </xdr:from>
    <xdr:to>
      <xdr:col>19</xdr:col>
      <xdr:colOff>123826</xdr:colOff>
      <xdr:row>95</xdr:row>
      <xdr:rowOff>123825</xdr:rowOff>
    </xdr:to>
    <xdr:sp macro="" textlink="">
      <xdr:nvSpPr>
        <xdr:cNvPr id="2" name="Rectangle: Rounded Corners 1">
          <a:extLst>
            <a:ext uri="{FF2B5EF4-FFF2-40B4-BE49-F238E27FC236}">
              <a16:creationId xmlns:a16="http://schemas.microsoft.com/office/drawing/2014/main" id="{749E0FB8-7A1E-4C75-938C-DD45A616675E}"/>
            </a:ext>
          </a:extLst>
        </xdr:cNvPr>
        <xdr:cNvSpPr/>
      </xdr:nvSpPr>
      <xdr:spPr>
        <a:xfrm>
          <a:off x="381001" y="504825"/>
          <a:ext cx="11906250" cy="18802350"/>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1079</xdr:colOff>
      <xdr:row>8</xdr:row>
      <xdr:rowOff>171450</xdr:rowOff>
    </xdr:from>
    <xdr:to>
      <xdr:col>3</xdr:col>
      <xdr:colOff>13298</xdr:colOff>
      <xdr:row>9</xdr:row>
      <xdr:rowOff>184929</xdr:rowOff>
    </xdr:to>
    <xdr:sp macro="" textlink="">
      <xdr:nvSpPr>
        <xdr:cNvPr id="5" name="Rectangle: Rounded Corners 4">
          <a:extLst>
            <a:ext uri="{FF2B5EF4-FFF2-40B4-BE49-F238E27FC236}">
              <a16:creationId xmlns:a16="http://schemas.microsoft.com/office/drawing/2014/main" id="{3125EC17-69D5-44B6-926D-87F71A759D09}"/>
            </a:ext>
          </a:extLst>
        </xdr:cNvPr>
        <xdr:cNvSpPr/>
      </xdr:nvSpPr>
      <xdr:spPr>
        <a:xfrm>
          <a:off x="953579" y="1752600"/>
          <a:ext cx="1755294" cy="203979"/>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chemeClr val="bg1"/>
              </a:solidFill>
              <a:latin typeface="+mn-lt"/>
              <a:ea typeface="+mn-ea"/>
              <a:cs typeface="+mn-cs"/>
            </a:rPr>
            <a:t>Table 1</a:t>
          </a:r>
        </a:p>
      </xdr:txBody>
    </xdr:sp>
    <xdr:clientData/>
  </xdr:twoCellAnchor>
  <xdr:twoCellAnchor>
    <xdr:from>
      <xdr:col>2</xdr:col>
      <xdr:colOff>9525</xdr:colOff>
      <xdr:row>32</xdr:row>
      <xdr:rowOff>161925</xdr:rowOff>
    </xdr:from>
    <xdr:to>
      <xdr:col>3</xdr:col>
      <xdr:colOff>21744</xdr:colOff>
      <xdr:row>33</xdr:row>
      <xdr:rowOff>168934</xdr:rowOff>
    </xdr:to>
    <xdr:sp macro="" textlink="">
      <xdr:nvSpPr>
        <xdr:cNvPr id="6" name="Rectangle: Rounded Corners 5">
          <a:extLst>
            <a:ext uri="{FF2B5EF4-FFF2-40B4-BE49-F238E27FC236}">
              <a16:creationId xmlns:a16="http://schemas.microsoft.com/office/drawing/2014/main" id="{8B26AC93-D5EC-411F-B9B5-12EBBC84B620}"/>
            </a:ext>
          </a:extLst>
        </xdr:cNvPr>
        <xdr:cNvSpPr/>
      </xdr:nvSpPr>
      <xdr:spPr>
        <a:xfrm>
          <a:off x="962025" y="4219575"/>
          <a:ext cx="1755294" cy="197509"/>
        </a:xfrm>
        <a:prstGeom prst="round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Table 2</a:t>
          </a:r>
        </a:p>
      </xdr:txBody>
    </xdr:sp>
    <xdr:clientData/>
  </xdr:twoCellAnchor>
  <xdr:twoCellAnchor>
    <xdr:from>
      <xdr:col>1</xdr:col>
      <xdr:colOff>533400</xdr:colOff>
      <xdr:row>4</xdr:row>
      <xdr:rowOff>97586</xdr:rowOff>
    </xdr:from>
    <xdr:to>
      <xdr:col>8</xdr:col>
      <xdr:colOff>581025</xdr:colOff>
      <xdr:row>8</xdr:row>
      <xdr:rowOff>9525</xdr:rowOff>
    </xdr:to>
    <xdr:sp macro="" textlink="">
      <xdr:nvSpPr>
        <xdr:cNvPr id="7" name="Rectangle: Rounded Corners 6">
          <a:extLst>
            <a:ext uri="{FF2B5EF4-FFF2-40B4-BE49-F238E27FC236}">
              <a16:creationId xmlns:a16="http://schemas.microsoft.com/office/drawing/2014/main" id="{35295694-208E-4ED6-9F39-1534572AA36E}"/>
            </a:ext>
          </a:extLst>
        </xdr:cNvPr>
        <xdr:cNvSpPr/>
      </xdr:nvSpPr>
      <xdr:spPr>
        <a:xfrm>
          <a:off x="914400" y="983411"/>
          <a:ext cx="5381625" cy="673939"/>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Enter the total Number of people travelled in Table 1 ( Columns D)</a:t>
          </a:r>
        </a:p>
        <a:p>
          <a:pPr algn="l"/>
          <a:r>
            <a:rPr lang="en-IN" sz="1100" b="1">
              <a:solidFill>
                <a:schemeClr val="bg1"/>
              </a:solidFill>
            </a:rPr>
            <a:t>Enter the aveage distance per person/car travelled by people in Table 1 ( Column E)</a:t>
          </a:r>
        </a:p>
        <a:p>
          <a:pPr algn="l"/>
          <a:r>
            <a:rPr lang="en-IN" sz="1100" b="1">
              <a:solidFill>
                <a:schemeClr val="bg1"/>
              </a:solidFill>
            </a:rPr>
            <a:t>Enter the total  days travelled by people in the particular  Table 1 ( Column F to Q)</a:t>
          </a:r>
        </a:p>
      </xdr:txBody>
    </xdr:sp>
    <xdr:clientData/>
  </xdr:twoCellAnchor>
  <xdr:twoCellAnchor>
    <xdr:from>
      <xdr:col>2</xdr:col>
      <xdr:colOff>19052</xdr:colOff>
      <xdr:row>3</xdr:row>
      <xdr:rowOff>66675</xdr:rowOff>
    </xdr:from>
    <xdr:to>
      <xdr:col>3</xdr:col>
      <xdr:colOff>21746</xdr:colOff>
      <xdr:row>4</xdr:row>
      <xdr:rowOff>76199</xdr:rowOff>
    </xdr:to>
    <xdr:sp macro="" textlink="">
      <xdr:nvSpPr>
        <xdr:cNvPr id="8" name="Rectangle: Rounded Corners 7">
          <a:extLst>
            <a:ext uri="{FF2B5EF4-FFF2-40B4-BE49-F238E27FC236}">
              <a16:creationId xmlns:a16="http://schemas.microsoft.com/office/drawing/2014/main" id="{ACFFD5D2-C452-4AE5-942E-272FEF1DAD2D}"/>
            </a:ext>
          </a:extLst>
        </xdr:cNvPr>
        <xdr:cNvSpPr/>
      </xdr:nvSpPr>
      <xdr:spPr>
        <a:xfrm>
          <a:off x="971552" y="695325"/>
          <a:ext cx="1745769" cy="200024"/>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Data Entry</a:t>
          </a:r>
        </a:p>
      </xdr:txBody>
    </xdr:sp>
    <xdr:clientData/>
  </xdr:twoCellAnchor>
  <xdr:twoCellAnchor editAs="oneCell">
    <xdr:from>
      <xdr:col>0</xdr:col>
      <xdr:colOff>0</xdr:colOff>
      <xdr:row>0</xdr:row>
      <xdr:rowOff>2</xdr:rowOff>
    </xdr:from>
    <xdr:to>
      <xdr:col>2</xdr:col>
      <xdr:colOff>28574</xdr:colOff>
      <xdr:row>0</xdr:row>
      <xdr:rowOff>305904</xdr:rowOff>
    </xdr:to>
    <xdr:pic>
      <xdr:nvPicPr>
        <xdr:cNvPr id="3" name="Picture 2" descr="Alpha Nero | Ichanical - Web Development | Mobile Apps | Branding | Big  Data Company Dubai">
          <a:extLst>
            <a:ext uri="{FF2B5EF4-FFF2-40B4-BE49-F238E27FC236}">
              <a16:creationId xmlns:a16="http://schemas.microsoft.com/office/drawing/2014/main" id="{9C37FD12-CDB4-4C4A-9390-F9EEA96B05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
          <a:ext cx="552449"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95249</xdr:colOff>
      <xdr:row>0</xdr:row>
      <xdr:rowOff>0</xdr:rowOff>
    </xdr:from>
    <xdr:to>
      <xdr:col>20</xdr:col>
      <xdr:colOff>28574</xdr:colOff>
      <xdr:row>1</xdr:row>
      <xdr:rowOff>0</xdr:rowOff>
    </xdr:to>
    <xdr:pic>
      <xdr:nvPicPr>
        <xdr:cNvPr id="4" name="Picture 3">
          <a:extLst>
            <a:ext uri="{FF2B5EF4-FFF2-40B4-BE49-F238E27FC236}">
              <a16:creationId xmlns:a16="http://schemas.microsoft.com/office/drawing/2014/main" id="{E7F634F0-BF90-4CEA-AB75-1034FA95A2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68199" y="0"/>
          <a:ext cx="3143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4</xdr:col>
      <xdr:colOff>304800</xdr:colOff>
      <xdr:row>2</xdr:row>
      <xdr:rowOff>124641</xdr:rowOff>
    </xdr:to>
    <xdr:sp macro="" textlink="">
      <xdr:nvSpPr>
        <xdr:cNvPr id="2" name="avatar">
          <a:extLst>
            <a:ext uri="{FF2B5EF4-FFF2-40B4-BE49-F238E27FC236}">
              <a16:creationId xmlns:a16="http://schemas.microsoft.com/office/drawing/2014/main" id="{3ACBD665-F268-4C1F-9B40-F54566B2D093}"/>
            </a:ext>
          </a:extLst>
        </xdr:cNvPr>
        <xdr:cNvSpPr>
          <a:spLocks noChangeAspect="1" noChangeArrowheads="1"/>
        </xdr:cNvSpPr>
      </xdr:nvSpPr>
      <xdr:spPr bwMode="auto">
        <a:xfrm>
          <a:off x="3114675" y="0"/>
          <a:ext cx="304800" cy="31514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0</xdr:colOff>
      <xdr:row>2</xdr:row>
      <xdr:rowOff>38100</xdr:rowOff>
    </xdr:from>
    <xdr:to>
      <xdr:col>17</xdr:col>
      <xdr:colOff>0</xdr:colOff>
      <xdr:row>92</xdr:row>
      <xdr:rowOff>121024</xdr:rowOff>
    </xdr:to>
    <xdr:sp macro="" textlink="">
      <xdr:nvSpPr>
        <xdr:cNvPr id="3" name="Rectangle: Rounded Corners 2">
          <a:extLst>
            <a:ext uri="{FF2B5EF4-FFF2-40B4-BE49-F238E27FC236}">
              <a16:creationId xmlns:a16="http://schemas.microsoft.com/office/drawing/2014/main" id="{2B8952ED-43A6-4B17-9073-F559A997F272}"/>
            </a:ext>
          </a:extLst>
        </xdr:cNvPr>
        <xdr:cNvSpPr/>
      </xdr:nvSpPr>
      <xdr:spPr>
        <a:xfrm>
          <a:off x="333375" y="228600"/>
          <a:ext cx="9925050" cy="12684499"/>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0</xdr:colOff>
      <xdr:row>3</xdr:row>
      <xdr:rowOff>221412</xdr:rowOff>
    </xdr:from>
    <xdr:to>
      <xdr:col>9</xdr:col>
      <xdr:colOff>540948</xdr:colOff>
      <xdr:row>4</xdr:row>
      <xdr:rowOff>295276</xdr:rowOff>
    </xdr:to>
    <xdr:sp macro="" textlink="">
      <xdr:nvSpPr>
        <xdr:cNvPr id="4" name="Rectangle: Rounded Corners 3">
          <a:extLst>
            <a:ext uri="{FF2B5EF4-FFF2-40B4-BE49-F238E27FC236}">
              <a16:creationId xmlns:a16="http://schemas.microsoft.com/office/drawing/2014/main" id="{B6F34218-882B-4A3E-B035-7B0413EC8A0C}"/>
            </a:ext>
          </a:extLst>
        </xdr:cNvPr>
        <xdr:cNvSpPr/>
      </xdr:nvSpPr>
      <xdr:spPr>
        <a:xfrm>
          <a:off x="647700" y="850062"/>
          <a:ext cx="6570273" cy="378664"/>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Enter the Monthly Waste Generation to Landfill in Kilo Grams (Kg) in Table 1 ( D to O Columns )</a:t>
          </a:r>
        </a:p>
      </xdr:txBody>
    </xdr:sp>
    <xdr:clientData/>
  </xdr:twoCellAnchor>
  <xdr:twoCellAnchor>
    <xdr:from>
      <xdr:col>2</xdr:col>
      <xdr:colOff>57152</xdr:colOff>
      <xdr:row>3</xdr:row>
      <xdr:rowOff>0</xdr:rowOff>
    </xdr:from>
    <xdr:to>
      <xdr:col>3</xdr:col>
      <xdr:colOff>802796</xdr:colOff>
      <xdr:row>3</xdr:row>
      <xdr:rowOff>200024</xdr:rowOff>
    </xdr:to>
    <xdr:sp macro="" textlink="">
      <xdr:nvSpPr>
        <xdr:cNvPr id="5" name="Rectangle: Rounded Corners 4">
          <a:extLst>
            <a:ext uri="{FF2B5EF4-FFF2-40B4-BE49-F238E27FC236}">
              <a16:creationId xmlns:a16="http://schemas.microsoft.com/office/drawing/2014/main" id="{78C102E7-34D6-40CC-B8FD-6DD4A82618A1}"/>
            </a:ext>
          </a:extLst>
        </xdr:cNvPr>
        <xdr:cNvSpPr/>
      </xdr:nvSpPr>
      <xdr:spPr>
        <a:xfrm>
          <a:off x="704852" y="628650"/>
          <a:ext cx="1745769" cy="200024"/>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Data Entry</a:t>
          </a:r>
        </a:p>
      </xdr:txBody>
    </xdr:sp>
    <xdr:clientData/>
  </xdr:twoCellAnchor>
  <xdr:twoCellAnchor>
    <xdr:from>
      <xdr:col>2</xdr:col>
      <xdr:colOff>0</xdr:colOff>
      <xdr:row>6</xdr:row>
      <xdr:rowOff>38100</xdr:rowOff>
    </xdr:from>
    <xdr:to>
      <xdr:col>4</xdr:col>
      <xdr:colOff>21744</xdr:colOff>
      <xdr:row>6</xdr:row>
      <xdr:rowOff>285750</xdr:rowOff>
    </xdr:to>
    <xdr:sp macro="" textlink="">
      <xdr:nvSpPr>
        <xdr:cNvPr id="6" name="Rectangle: Rounded Corners 5">
          <a:extLst>
            <a:ext uri="{FF2B5EF4-FFF2-40B4-BE49-F238E27FC236}">
              <a16:creationId xmlns:a16="http://schemas.microsoft.com/office/drawing/2014/main" id="{9AEEEC4C-B7C4-40E4-AA41-80740150B34E}"/>
            </a:ext>
          </a:extLst>
        </xdr:cNvPr>
        <xdr:cNvSpPr/>
      </xdr:nvSpPr>
      <xdr:spPr>
        <a:xfrm>
          <a:off x="752475" y="1581150"/>
          <a:ext cx="1860069" cy="247650"/>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chemeClr val="bg1"/>
              </a:solidFill>
              <a:latin typeface="+mn-lt"/>
              <a:ea typeface="+mn-ea"/>
              <a:cs typeface="+mn-cs"/>
            </a:rPr>
            <a:t>Table 1</a:t>
          </a:r>
        </a:p>
      </xdr:txBody>
    </xdr:sp>
    <xdr:clientData/>
  </xdr:twoCellAnchor>
  <xdr:twoCellAnchor>
    <xdr:from>
      <xdr:col>2</xdr:col>
      <xdr:colOff>0</xdr:colOff>
      <xdr:row>10</xdr:row>
      <xdr:rowOff>419100</xdr:rowOff>
    </xdr:from>
    <xdr:to>
      <xdr:col>3</xdr:col>
      <xdr:colOff>755169</xdr:colOff>
      <xdr:row>11</xdr:row>
      <xdr:rowOff>168934</xdr:rowOff>
    </xdr:to>
    <xdr:sp macro="" textlink="">
      <xdr:nvSpPr>
        <xdr:cNvPr id="7" name="Rectangle: Rounded Corners 6">
          <a:extLst>
            <a:ext uri="{FF2B5EF4-FFF2-40B4-BE49-F238E27FC236}">
              <a16:creationId xmlns:a16="http://schemas.microsoft.com/office/drawing/2014/main" id="{D092F3DD-F04F-4255-ACD2-E0550AC9C875}"/>
            </a:ext>
          </a:extLst>
        </xdr:cNvPr>
        <xdr:cNvSpPr/>
      </xdr:nvSpPr>
      <xdr:spPr>
        <a:xfrm>
          <a:off x="647700" y="3981450"/>
          <a:ext cx="1755294" cy="197509"/>
        </a:xfrm>
        <a:prstGeom prst="round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Table 2</a:t>
          </a:r>
        </a:p>
      </xdr:txBody>
    </xdr:sp>
    <xdr:clientData/>
  </xdr:twoCellAnchor>
  <xdr:twoCellAnchor>
    <xdr:from>
      <xdr:col>2</xdr:col>
      <xdr:colOff>0</xdr:colOff>
      <xdr:row>27</xdr:row>
      <xdr:rowOff>152400</xdr:rowOff>
    </xdr:from>
    <xdr:to>
      <xdr:col>3</xdr:col>
      <xdr:colOff>755169</xdr:colOff>
      <xdr:row>28</xdr:row>
      <xdr:rowOff>159409</xdr:rowOff>
    </xdr:to>
    <xdr:sp macro="" textlink="">
      <xdr:nvSpPr>
        <xdr:cNvPr id="8" name="Rectangle: Rounded Corners 7">
          <a:extLst>
            <a:ext uri="{FF2B5EF4-FFF2-40B4-BE49-F238E27FC236}">
              <a16:creationId xmlns:a16="http://schemas.microsoft.com/office/drawing/2014/main" id="{E94A5496-D908-42D2-A47E-B8EB995261D1}"/>
            </a:ext>
          </a:extLst>
        </xdr:cNvPr>
        <xdr:cNvSpPr/>
      </xdr:nvSpPr>
      <xdr:spPr>
        <a:xfrm>
          <a:off x="647700" y="7896225"/>
          <a:ext cx="1755294" cy="197509"/>
        </a:xfrm>
        <a:prstGeom prst="round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Table 3</a:t>
          </a:r>
        </a:p>
      </xdr:txBody>
    </xdr:sp>
    <xdr:clientData/>
  </xdr:twoCellAnchor>
  <xdr:twoCellAnchor editAs="oneCell">
    <xdr:from>
      <xdr:col>0</xdr:col>
      <xdr:colOff>0</xdr:colOff>
      <xdr:row>0</xdr:row>
      <xdr:rowOff>2</xdr:rowOff>
    </xdr:from>
    <xdr:to>
      <xdr:col>1</xdr:col>
      <xdr:colOff>171449</xdr:colOff>
      <xdr:row>0</xdr:row>
      <xdr:rowOff>305904</xdr:rowOff>
    </xdr:to>
    <xdr:pic>
      <xdr:nvPicPr>
        <xdr:cNvPr id="9" name="Picture 8" descr="Alpha Nero | Ichanical - Web Development | Mobile Apps | Branding | Big  Data Company Dubai">
          <a:extLst>
            <a:ext uri="{FF2B5EF4-FFF2-40B4-BE49-F238E27FC236}">
              <a16:creationId xmlns:a16="http://schemas.microsoft.com/office/drawing/2014/main" id="{1DFCF83F-F051-4518-B9BC-0AEEBD92F6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
          <a:ext cx="552449"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161924</xdr:colOff>
      <xdr:row>0</xdr:row>
      <xdr:rowOff>0</xdr:rowOff>
    </xdr:from>
    <xdr:to>
      <xdr:col>18</xdr:col>
      <xdr:colOff>47624</xdr:colOff>
      <xdr:row>1</xdr:row>
      <xdr:rowOff>0</xdr:rowOff>
    </xdr:to>
    <xdr:pic>
      <xdr:nvPicPr>
        <xdr:cNvPr id="10" name="Picture 9">
          <a:extLst>
            <a:ext uri="{FF2B5EF4-FFF2-40B4-BE49-F238E27FC236}">
              <a16:creationId xmlns:a16="http://schemas.microsoft.com/office/drawing/2014/main" id="{026ECB3F-09FD-43FA-83A9-0960C59208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49149" y="0"/>
          <a:ext cx="3143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2</xdr:row>
      <xdr:rowOff>0</xdr:rowOff>
    </xdr:from>
    <xdr:to>
      <xdr:col>15</xdr:col>
      <xdr:colOff>19050</xdr:colOff>
      <xdr:row>74</xdr:row>
      <xdr:rowOff>95249</xdr:rowOff>
    </xdr:to>
    <xdr:sp macro="" textlink="">
      <xdr:nvSpPr>
        <xdr:cNvPr id="2" name="Rectangle: Rounded Corners 1">
          <a:extLst>
            <a:ext uri="{FF2B5EF4-FFF2-40B4-BE49-F238E27FC236}">
              <a16:creationId xmlns:a16="http://schemas.microsoft.com/office/drawing/2014/main" id="{A4BB735A-A62F-4BA4-84FF-1EDFA555ECD1}"/>
            </a:ext>
          </a:extLst>
        </xdr:cNvPr>
        <xdr:cNvSpPr/>
      </xdr:nvSpPr>
      <xdr:spPr>
        <a:xfrm>
          <a:off x="619125" y="438150"/>
          <a:ext cx="11858625" cy="3333749"/>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609600</xdr:colOff>
      <xdr:row>9</xdr:row>
      <xdr:rowOff>123825</xdr:rowOff>
    </xdr:from>
    <xdr:to>
      <xdr:col>4</xdr:col>
      <xdr:colOff>40794</xdr:colOff>
      <xdr:row>10</xdr:row>
      <xdr:rowOff>180975</xdr:rowOff>
    </xdr:to>
    <xdr:sp macro="" textlink="">
      <xdr:nvSpPr>
        <xdr:cNvPr id="3" name="Rectangle: Rounded Corners 2">
          <a:extLst>
            <a:ext uri="{FF2B5EF4-FFF2-40B4-BE49-F238E27FC236}">
              <a16:creationId xmlns:a16="http://schemas.microsoft.com/office/drawing/2014/main" id="{1971ADE5-A6A2-4B29-BB09-DDC2C59AF461}"/>
            </a:ext>
          </a:extLst>
        </xdr:cNvPr>
        <xdr:cNvSpPr/>
      </xdr:nvSpPr>
      <xdr:spPr>
        <a:xfrm>
          <a:off x="990600" y="1895475"/>
          <a:ext cx="1860069" cy="247650"/>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chemeClr val="bg1"/>
              </a:solidFill>
              <a:latin typeface="+mn-lt"/>
              <a:ea typeface="+mn-ea"/>
              <a:cs typeface="+mn-cs"/>
            </a:rPr>
            <a:t>Table 1</a:t>
          </a:r>
        </a:p>
      </xdr:txBody>
    </xdr:sp>
    <xdr:clientData/>
  </xdr:twoCellAnchor>
  <xdr:twoCellAnchor>
    <xdr:from>
      <xdr:col>2</xdr:col>
      <xdr:colOff>9525</xdr:colOff>
      <xdr:row>5</xdr:row>
      <xdr:rowOff>97587</xdr:rowOff>
    </xdr:from>
    <xdr:to>
      <xdr:col>9</xdr:col>
      <xdr:colOff>293298</xdr:colOff>
      <xdr:row>7</xdr:row>
      <xdr:rowOff>95251</xdr:rowOff>
    </xdr:to>
    <xdr:sp macro="" textlink="">
      <xdr:nvSpPr>
        <xdr:cNvPr id="4" name="Rectangle: Rounded Corners 3">
          <a:extLst>
            <a:ext uri="{FF2B5EF4-FFF2-40B4-BE49-F238E27FC236}">
              <a16:creationId xmlns:a16="http://schemas.microsoft.com/office/drawing/2014/main" id="{DE8ECCF0-3F96-42D9-B756-75C7D3684B79}"/>
            </a:ext>
          </a:extLst>
        </xdr:cNvPr>
        <xdr:cNvSpPr/>
      </xdr:nvSpPr>
      <xdr:spPr>
        <a:xfrm>
          <a:off x="1009650" y="916737"/>
          <a:ext cx="6570273" cy="378664"/>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Enter the Air Travel Details related to Projects in the Table 1 ( Columns: D to I)</a:t>
          </a:r>
        </a:p>
      </xdr:txBody>
    </xdr:sp>
    <xdr:clientData/>
  </xdr:twoCellAnchor>
  <xdr:twoCellAnchor>
    <xdr:from>
      <xdr:col>2</xdr:col>
      <xdr:colOff>28577</xdr:colOff>
      <xdr:row>4</xdr:row>
      <xdr:rowOff>66675</xdr:rowOff>
    </xdr:from>
    <xdr:to>
      <xdr:col>3</xdr:col>
      <xdr:colOff>859946</xdr:colOff>
      <xdr:row>5</xdr:row>
      <xdr:rowOff>76199</xdr:rowOff>
    </xdr:to>
    <xdr:sp macro="" textlink="">
      <xdr:nvSpPr>
        <xdr:cNvPr id="5" name="Rectangle: Rounded Corners 4">
          <a:extLst>
            <a:ext uri="{FF2B5EF4-FFF2-40B4-BE49-F238E27FC236}">
              <a16:creationId xmlns:a16="http://schemas.microsoft.com/office/drawing/2014/main" id="{CEA3E24E-61A8-4B03-B96A-5532B7C72102}"/>
            </a:ext>
          </a:extLst>
        </xdr:cNvPr>
        <xdr:cNvSpPr/>
      </xdr:nvSpPr>
      <xdr:spPr>
        <a:xfrm>
          <a:off x="1028702" y="695325"/>
          <a:ext cx="1745769" cy="200024"/>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Data Entry</a:t>
          </a:r>
        </a:p>
      </xdr:txBody>
    </xdr:sp>
    <xdr:clientData/>
  </xdr:twoCellAnchor>
  <xdr:twoCellAnchor editAs="oneCell">
    <xdr:from>
      <xdr:col>0</xdr:col>
      <xdr:colOff>0</xdr:colOff>
      <xdr:row>0</xdr:row>
      <xdr:rowOff>2</xdr:rowOff>
    </xdr:from>
    <xdr:to>
      <xdr:col>1</xdr:col>
      <xdr:colOff>171449</xdr:colOff>
      <xdr:row>0</xdr:row>
      <xdr:rowOff>305904</xdr:rowOff>
    </xdr:to>
    <xdr:pic>
      <xdr:nvPicPr>
        <xdr:cNvPr id="6" name="Picture 5" descr="Alpha Nero | Ichanical - Web Development | Mobile Apps | Branding | Big  Data Company Dubai">
          <a:extLst>
            <a:ext uri="{FF2B5EF4-FFF2-40B4-BE49-F238E27FC236}">
              <a16:creationId xmlns:a16="http://schemas.microsoft.com/office/drawing/2014/main" id="{20438AD4-7E03-4906-BBA0-378F66C167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
          <a:ext cx="552449"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276224</xdr:colOff>
      <xdr:row>0</xdr:row>
      <xdr:rowOff>0</xdr:rowOff>
    </xdr:from>
    <xdr:to>
      <xdr:col>17</xdr:col>
      <xdr:colOff>9524</xdr:colOff>
      <xdr:row>1</xdr:row>
      <xdr:rowOff>0</xdr:rowOff>
    </xdr:to>
    <xdr:pic>
      <xdr:nvPicPr>
        <xdr:cNvPr id="7" name="Picture 6">
          <a:extLst>
            <a:ext uri="{FF2B5EF4-FFF2-40B4-BE49-F238E27FC236}">
              <a16:creationId xmlns:a16="http://schemas.microsoft.com/office/drawing/2014/main" id="{E7E1FF36-7EF7-4FB9-BE5C-8C90265CF8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49149" y="0"/>
          <a:ext cx="3143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380999</xdr:colOff>
      <xdr:row>2</xdr:row>
      <xdr:rowOff>0</xdr:rowOff>
    </xdr:from>
    <xdr:to>
      <xdr:col>20</xdr:col>
      <xdr:colOff>28574</xdr:colOff>
      <xdr:row>163</xdr:row>
      <xdr:rowOff>76200</xdr:rowOff>
    </xdr:to>
    <xdr:sp macro="" textlink="">
      <xdr:nvSpPr>
        <xdr:cNvPr id="3" name="Rectangle: Rounded Corners 2">
          <a:extLst>
            <a:ext uri="{FF2B5EF4-FFF2-40B4-BE49-F238E27FC236}">
              <a16:creationId xmlns:a16="http://schemas.microsoft.com/office/drawing/2014/main" id="{0B9A568C-0704-44AC-AFE2-1022757E9A3D}"/>
            </a:ext>
          </a:extLst>
        </xdr:cNvPr>
        <xdr:cNvSpPr/>
      </xdr:nvSpPr>
      <xdr:spPr>
        <a:xfrm>
          <a:off x="380999" y="438150"/>
          <a:ext cx="11858625" cy="13906500"/>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7</xdr:row>
      <xdr:rowOff>228600</xdr:rowOff>
    </xdr:from>
    <xdr:to>
      <xdr:col>5</xdr:col>
      <xdr:colOff>200024</xdr:colOff>
      <xdr:row>8</xdr:row>
      <xdr:rowOff>180975</xdr:rowOff>
    </xdr:to>
    <xdr:sp macro="" textlink="">
      <xdr:nvSpPr>
        <xdr:cNvPr id="2" name="Rectangle: Rounded Corners 1">
          <a:extLst>
            <a:ext uri="{FF2B5EF4-FFF2-40B4-BE49-F238E27FC236}">
              <a16:creationId xmlns:a16="http://schemas.microsoft.com/office/drawing/2014/main" id="{73DCABDF-07BC-4012-AA54-76EFB859FB9E}"/>
            </a:ext>
          </a:extLst>
        </xdr:cNvPr>
        <xdr:cNvSpPr/>
      </xdr:nvSpPr>
      <xdr:spPr>
        <a:xfrm>
          <a:off x="781050" y="1695450"/>
          <a:ext cx="2000249" cy="304800"/>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chemeClr val="bg1"/>
              </a:solidFill>
              <a:latin typeface="+mn-lt"/>
              <a:ea typeface="+mn-ea"/>
              <a:cs typeface="+mn-cs"/>
            </a:rPr>
            <a:t>Table 1</a:t>
          </a:r>
        </a:p>
      </xdr:txBody>
    </xdr:sp>
    <xdr:clientData/>
  </xdr:twoCellAnchor>
  <xdr:twoCellAnchor>
    <xdr:from>
      <xdr:col>3</xdr:col>
      <xdr:colOff>9525</xdr:colOff>
      <xdr:row>4</xdr:row>
      <xdr:rowOff>11861</xdr:rowOff>
    </xdr:from>
    <xdr:to>
      <xdr:col>11</xdr:col>
      <xdr:colOff>228600</xdr:colOff>
      <xdr:row>6</xdr:row>
      <xdr:rowOff>161924</xdr:rowOff>
    </xdr:to>
    <xdr:sp macro="" textlink="">
      <xdr:nvSpPr>
        <xdr:cNvPr id="4" name="Rectangle: Rounded Corners 3">
          <a:extLst>
            <a:ext uri="{FF2B5EF4-FFF2-40B4-BE49-F238E27FC236}">
              <a16:creationId xmlns:a16="http://schemas.microsoft.com/office/drawing/2014/main" id="{72D004ED-5419-49DE-8EB8-71620AD915AD}"/>
            </a:ext>
          </a:extLst>
        </xdr:cNvPr>
        <xdr:cNvSpPr/>
      </xdr:nvSpPr>
      <xdr:spPr>
        <a:xfrm>
          <a:off x="1533525" y="1021511"/>
          <a:ext cx="5934075" cy="569163"/>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Enter the Monthly Material Consumption in Kilo Grams (Kg) in Table 1 (Columns E to P and Rows 12 to18)</a:t>
          </a:r>
        </a:p>
      </xdr:txBody>
    </xdr:sp>
    <xdr:clientData/>
  </xdr:twoCellAnchor>
  <xdr:twoCellAnchor>
    <xdr:from>
      <xdr:col>3</xdr:col>
      <xdr:colOff>28577</xdr:colOff>
      <xdr:row>3</xdr:row>
      <xdr:rowOff>76200</xdr:rowOff>
    </xdr:from>
    <xdr:to>
      <xdr:col>4</xdr:col>
      <xdr:colOff>1002821</xdr:colOff>
      <xdr:row>3</xdr:row>
      <xdr:rowOff>276224</xdr:rowOff>
    </xdr:to>
    <xdr:sp macro="" textlink="">
      <xdr:nvSpPr>
        <xdr:cNvPr id="5" name="Rectangle: Rounded Corners 4">
          <a:extLst>
            <a:ext uri="{FF2B5EF4-FFF2-40B4-BE49-F238E27FC236}">
              <a16:creationId xmlns:a16="http://schemas.microsoft.com/office/drawing/2014/main" id="{F74AA21F-B1CC-4DE7-B8AA-266885E43206}"/>
            </a:ext>
          </a:extLst>
        </xdr:cNvPr>
        <xdr:cNvSpPr/>
      </xdr:nvSpPr>
      <xdr:spPr>
        <a:xfrm>
          <a:off x="809627" y="704850"/>
          <a:ext cx="1745769" cy="200024"/>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Data Entry</a:t>
          </a:r>
        </a:p>
      </xdr:txBody>
    </xdr:sp>
    <xdr:clientData/>
  </xdr:twoCellAnchor>
  <xdr:twoCellAnchor>
    <xdr:from>
      <xdr:col>3</xdr:col>
      <xdr:colOff>0</xdr:colOff>
      <xdr:row>53</xdr:row>
      <xdr:rowOff>0</xdr:rowOff>
    </xdr:from>
    <xdr:to>
      <xdr:col>4</xdr:col>
      <xdr:colOff>983769</xdr:colOff>
      <xdr:row>53</xdr:row>
      <xdr:rowOff>168934</xdr:rowOff>
    </xdr:to>
    <xdr:sp macro="" textlink="">
      <xdr:nvSpPr>
        <xdr:cNvPr id="6" name="Rectangle: Rounded Corners 5">
          <a:extLst>
            <a:ext uri="{FF2B5EF4-FFF2-40B4-BE49-F238E27FC236}">
              <a16:creationId xmlns:a16="http://schemas.microsoft.com/office/drawing/2014/main" id="{EB2AD08C-B787-4789-A81B-64E20CFDA9AF}"/>
            </a:ext>
          </a:extLst>
        </xdr:cNvPr>
        <xdr:cNvSpPr/>
      </xdr:nvSpPr>
      <xdr:spPr>
        <a:xfrm>
          <a:off x="781050" y="4552950"/>
          <a:ext cx="1755294" cy="168934"/>
        </a:xfrm>
        <a:prstGeom prst="round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Table 2</a:t>
          </a:r>
        </a:p>
      </xdr:txBody>
    </xdr:sp>
    <xdr:clientData/>
  </xdr:twoCellAnchor>
  <xdr:twoCellAnchor>
    <xdr:from>
      <xdr:col>3</xdr:col>
      <xdr:colOff>0</xdr:colOff>
      <xdr:row>99</xdr:row>
      <xdr:rowOff>0</xdr:rowOff>
    </xdr:from>
    <xdr:to>
      <xdr:col>4</xdr:col>
      <xdr:colOff>983769</xdr:colOff>
      <xdr:row>99</xdr:row>
      <xdr:rowOff>168934</xdr:rowOff>
    </xdr:to>
    <xdr:sp macro="" textlink="">
      <xdr:nvSpPr>
        <xdr:cNvPr id="7" name="Rectangle: Rounded Corners 6">
          <a:extLst>
            <a:ext uri="{FF2B5EF4-FFF2-40B4-BE49-F238E27FC236}">
              <a16:creationId xmlns:a16="http://schemas.microsoft.com/office/drawing/2014/main" id="{B599A85F-8B36-4DAD-8B45-C6A305DD9179}"/>
            </a:ext>
          </a:extLst>
        </xdr:cNvPr>
        <xdr:cNvSpPr/>
      </xdr:nvSpPr>
      <xdr:spPr>
        <a:xfrm>
          <a:off x="781050" y="7477125"/>
          <a:ext cx="1755294" cy="168934"/>
        </a:xfrm>
        <a:prstGeom prst="round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Table 3</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2</xdr:row>
      <xdr:rowOff>0</xdr:rowOff>
    </xdr:from>
    <xdr:to>
      <xdr:col>13</xdr:col>
      <xdr:colOff>19050</xdr:colOff>
      <xdr:row>74</xdr:row>
      <xdr:rowOff>95249</xdr:rowOff>
    </xdr:to>
    <xdr:sp macro="" textlink="">
      <xdr:nvSpPr>
        <xdr:cNvPr id="2" name="Rectangle: Rounded Corners 1">
          <a:extLst>
            <a:ext uri="{FF2B5EF4-FFF2-40B4-BE49-F238E27FC236}">
              <a16:creationId xmlns:a16="http://schemas.microsoft.com/office/drawing/2014/main" id="{055B473A-3B53-4CC5-8F0D-2FF51479ACCC}"/>
            </a:ext>
          </a:extLst>
        </xdr:cNvPr>
        <xdr:cNvSpPr/>
      </xdr:nvSpPr>
      <xdr:spPr>
        <a:xfrm>
          <a:off x="381000" y="504825"/>
          <a:ext cx="11610975" cy="14411324"/>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609600</xdr:colOff>
      <xdr:row>9</xdr:row>
      <xdr:rowOff>123825</xdr:rowOff>
    </xdr:from>
    <xdr:to>
      <xdr:col>5</xdr:col>
      <xdr:colOff>40794</xdr:colOff>
      <xdr:row>10</xdr:row>
      <xdr:rowOff>180975</xdr:rowOff>
    </xdr:to>
    <xdr:sp macro="" textlink="">
      <xdr:nvSpPr>
        <xdr:cNvPr id="3" name="Rectangle: Rounded Corners 2">
          <a:extLst>
            <a:ext uri="{FF2B5EF4-FFF2-40B4-BE49-F238E27FC236}">
              <a16:creationId xmlns:a16="http://schemas.microsoft.com/office/drawing/2014/main" id="{74BF4396-2F7F-42CD-A4CF-2E1A82FECEDD}"/>
            </a:ext>
          </a:extLst>
        </xdr:cNvPr>
        <xdr:cNvSpPr/>
      </xdr:nvSpPr>
      <xdr:spPr>
        <a:xfrm>
          <a:off x="990600" y="1962150"/>
          <a:ext cx="1860069" cy="247650"/>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chemeClr val="bg1"/>
              </a:solidFill>
              <a:latin typeface="+mn-lt"/>
              <a:ea typeface="+mn-ea"/>
              <a:cs typeface="+mn-cs"/>
            </a:rPr>
            <a:t>Table 1</a:t>
          </a:r>
        </a:p>
      </xdr:txBody>
    </xdr:sp>
    <xdr:clientData/>
  </xdr:twoCellAnchor>
  <xdr:twoCellAnchor>
    <xdr:from>
      <xdr:col>3</xdr:col>
      <xdr:colOff>9525</xdr:colOff>
      <xdr:row>5</xdr:row>
      <xdr:rowOff>97587</xdr:rowOff>
    </xdr:from>
    <xdr:to>
      <xdr:col>8</xdr:col>
      <xdr:colOff>0</xdr:colOff>
      <xdr:row>7</xdr:row>
      <xdr:rowOff>95251</xdr:rowOff>
    </xdr:to>
    <xdr:sp macro="" textlink="">
      <xdr:nvSpPr>
        <xdr:cNvPr id="4" name="Rectangle: Rounded Corners 3">
          <a:extLst>
            <a:ext uri="{FF2B5EF4-FFF2-40B4-BE49-F238E27FC236}">
              <a16:creationId xmlns:a16="http://schemas.microsoft.com/office/drawing/2014/main" id="{676EE8FD-11AE-40D7-B5E6-A29B368F5469}"/>
            </a:ext>
          </a:extLst>
        </xdr:cNvPr>
        <xdr:cNvSpPr/>
      </xdr:nvSpPr>
      <xdr:spPr>
        <a:xfrm>
          <a:off x="1009650" y="1173912"/>
          <a:ext cx="6570273" cy="378664"/>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Enter the Frieght Details related to Projects in the Table 1 ( Columns: D to I)</a:t>
          </a:r>
        </a:p>
      </xdr:txBody>
    </xdr:sp>
    <xdr:clientData/>
  </xdr:twoCellAnchor>
  <xdr:twoCellAnchor>
    <xdr:from>
      <xdr:col>3</xdr:col>
      <xdr:colOff>28577</xdr:colOff>
      <xdr:row>4</xdr:row>
      <xdr:rowOff>66675</xdr:rowOff>
    </xdr:from>
    <xdr:to>
      <xdr:col>4</xdr:col>
      <xdr:colOff>859946</xdr:colOff>
      <xdr:row>5</xdr:row>
      <xdr:rowOff>76199</xdr:rowOff>
    </xdr:to>
    <xdr:sp macro="" textlink="">
      <xdr:nvSpPr>
        <xdr:cNvPr id="5" name="Rectangle: Rounded Corners 4">
          <a:extLst>
            <a:ext uri="{FF2B5EF4-FFF2-40B4-BE49-F238E27FC236}">
              <a16:creationId xmlns:a16="http://schemas.microsoft.com/office/drawing/2014/main" id="{5365F0A1-FD16-4471-A7FB-4517F21B8D19}"/>
            </a:ext>
          </a:extLst>
        </xdr:cNvPr>
        <xdr:cNvSpPr/>
      </xdr:nvSpPr>
      <xdr:spPr>
        <a:xfrm>
          <a:off x="1028702" y="952500"/>
          <a:ext cx="1745769" cy="200024"/>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Data Entry</a:t>
          </a:r>
        </a:p>
      </xdr:txBody>
    </xdr:sp>
    <xdr:clientData/>
  </xdr:twoCellAnchor>
  <xdr:twoCellAnchor editAs="oneCell">
    <xdr:from>
      <xdr:col>0</xdr:col>
      <xdr:colOff>0</xdr:colOff>
      <xdr:row>0</xdr:row>
      <xdr:rowOff>0</xdr:rowOff>
    </xdr:from>
    <xdr:to>
      <xdr:col>0</xdr:col>
      <xdr:colOff>552449</xdr:colOff>
      <xdr:row>1</xdr:row>
      <xdr:rowOff>115402</xdr:rowOff>
    </xdr:to>
    <xdr:pic>
      <xdr:nvPicPr>
        <xdr:cNvPr id="6" name="Picture 5" descr="Alpha Nero | Ichanical - Web Development | Mobile Apps | Branding | Big  Data Company Dubai">
          <a:extLst>
            <a:ext uri="{FF2B5EF4-FFF2-40B4-BE49-F238E27FC236}">
              <a16:creationId xmlns:a16="http://schemas.microsoft.com/office/drawing/2014/main" id="{D21C32EB-D405-437D-95EF-10B13ACE77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52449" cy="429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9524</xdr:colOff>
      <xdr:row>0</xdr:row>
      <xdr:rowOff>0</xdr:rowOff>
    </xdr:from>
    <xdr:to>
      <xdr:col>15</xdr:col>
      <xdr:colOff>323849</xdr:colOff>
      <xdr:row>1</xdr:row>
      <xdr:rowOff>9525</xdr:rowOff>
    </xdr:to>
    <xdr:pic>
      <xdr:nvPicPr>
        <xdr:cNvPr id="7" name="Picture 6">
          <a:extLst>
            <a:ext uri="{FF2B5EF4-FFF2-40B4-BE49-F238E27FC236}">
              <a16:creationId xmlns:a16="http://schemas.microsoft.com/office/drawing/2014/main" id="{20309276-4B54-4456-95E6-EB17DDE122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963399" y="0"/>
          <a:ext cx="3143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133352</xdr:colOff>
      <xdr:row>1</xdr:row>
      <xdr:rowOff>142875</xdr:rowOff>
    </xdr:from>
    <xdr:to>
      <xdr:col>21</xdr:col>
      <xdr:colOff>47625</xdr:colOff>
      <xdr:row>81</xdr:row>
      <xdr:rowOff>28575</xdr:rowOff>
    </xdr:to>
    <xdr:sp macro="" textlink="">
      <xdr:nvSpPr>
        <xdr:cNvPr id="2" name="Rectangle: Rounded Corners 1">
          <a:extLst>
            <a:ext uri="{FF2B5EF4-FFF2-40B4-BE49-F238E27FC236}">
              <a16:creationId xmlns:a16="http://schemas.microsoft.com/office/drawing/2014/main" id="{A86199BA-BD7A-4366-96AE-848BE2DE1CA6}"/>
            </a:ext>
          </a:extLst>
        </xdr:cNvPr>
        <xdr:cNvSpPr/>
      </xdr:nvSpPr>
      <xdr:spPr>
        <a:xfrm>
          <a:off x="285752" y="390525"/>
          <a:ext cx="11258548" cy="17478375"/>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12</xdr:row>
      <xdr:rowOff>76200</xdr:rowOff>
    </xdr:from>
    <xdr:to>
      <xdr:col>5</xdr:col>
      <xdr:colOff>200024</xdr:colOff>
      <xdr:row>12</xdr:row>
      <xdr:rowOff>257175</xdr:rowOff>
    </xdr:to>
    <xdr:sp macro="" textlink="">
      <xdr:nvSpPr>
        <xdr:cNvPr id="3" name="Rectangle: Rounded Corners 2">
          <a:extLst>
            <a:ext uri="{FF2B5EF4-FFF2-40B4-BE49-F238E27FC236}">
              <a16:creationId xmlns:a16="http://schemas.microsoft.com/office/drawing/2014/main" id="{D93F3C9D-9FA5-491C-B542-0584EC777E4C}"/>
            </a:ext>
          </a:extLst>
        </xdr:cNvPr>
        <xdr:cNvSpPr/>
      </xdr:nvSpPr>
      <xdr:spPr>
        <a:xfrm>
          <a:off x="742950" y="2600325"/>
          <a:ext cx="1562099" cy="180975"/>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chemeClr val="bg1"/>
              </a:solidFill>
              <a:latin typeface="+mn-lt"/>
              <a:ea typeface="+mn-ea"/>
              <a:cs typeface="+mn-cs"/>
            </a:rPr>
            <a:t>Table 1</a:t>
          </a:r>
        </a:p>
      </xdr:txBody>
    </xdr:sp>
    <xdr:clientData/>
  </xdr:twoCellAnchor>
  <xdr:twoCellAnchor>
    <xdr:from>
      <xdr:col>2</xdr:col>
      <xdr:colOff>419100</xdr:colOff>
      <xdr:row>4</xdr:row>
      <xdr:rowOff>69011</xdr:rowOff>
    </xdr:from>
    <xdr:to>
      <xdr:col>10</xdr:col>
      <xdr:colOff>695325</xdr:colOff>
      <xdr:row>8</xdr:row>
      <xdr:rowOff>180975</xdr:rowOff>
    </xdr:to>
    <xdr:sp macro="" textlink="">
      <xdr:nvSpPr>
        <xdr:cNvPr id="4" name="Rectangle: Rounded Corners 3">
          <a:extLst>
            <a:ext uri="{FF2B5EF4-FFF2-40B4-BE49-F238E27FC236}">
              <a16:creationId xmlns:a16="http://schemas.microsoft.com/office/drawing/2014/main" id="{83A61DF3-F4F1-48C2-84DF-C9F1C120C4CC}"/>
            </a:ext>
          </a:extLst>
        </xdr:cNvPr>
        <xdr:cNvSpPr/>
      </xdr:nvSpPr>
      <xdr:spPr>
        <a:xfrm>
          <a:off x="723900" y="935786"/>
          <a:ext cx="5772150" cy="835864"/>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bg1"/>
              </a:solidFill>
            </a:rPr>
            <a:t>Enter the Project Material Consumption in m3  in Table 1 (Columns E to J )</a:t>
          </a:r>
        </a:p>
        <a:p>
          <a:pPr algn="l"/>
          <a:r>
            <a:rPr lang="en-IN" sz="1100" b="1">
              <a:solidFill>
                <a:schemeClr val="bg1"/>
              </a:solidFill>
            </a:rPr>
            <a:t>Use Material search sheet or material calculator for find</a:t>
          </a:r>
          <a:r>
            <a:rPr lang="en-IN" sz="1100" b="1" baseline="0">
              <a:solidFill>
                <a:schemeClr val="bg1"/>
              </a:solidFill>
            </a:rPr>
            <a:t> the volume of the material</a:t>
          </a:r>
        </a:p>
        <a:p>
          <a:pPr algn="l"/>
          <a:r>
            <a:rPr lang="en-IN" sz="1100" b="1" baseline="0">
              <a:solidFill>
                <a:schemeClr val="bg1"/>
              </a:solidFill>
            </a:rPr>
            <a:t>Use the link to visit the material search sheet.</a:t>
          </a:r>
          <a:endParaRPr lang="en-IN" sz="1100" b="1">
            <a:solidFill>
              <a:schemeClr val="bg1"/>
            </a:solidFill>
          </a:endParaRPr>
        </a:p>
      </xdr:txBody>
    </xdr:sp>
    <xdr:clientData/>
  </xdr:twoCellAnchor>
  <xdr:twoCellAnchor>
    <xdr:from>
      <xdr:col>3</xdr:col>
      <xdr:colOff>47627</xdr:colOff>
      <xdr:row>3</xdr:row>
      <xdr:rowOff>19051</xdr:rowOff>
    </xdr:from>
    <xdr:to>
      <xdr:col>5</xdr:col>
      <xdr:colOff>21746</xdr:colOff>
      <xdr:row>4</xdr:row>
      <xdr:rowOff>9525</xdr:rowOff>
    </xdr:to>
    <xdr:sp macro="" textlink="">
      <xdr:nvSpPr>
        <xdr:cNvPr id="5" name="Rectangle: Rounded Corners 4">
          <a:extLst>
            <a:ext uri="{FF2B5EF4-FFF2-40B4-BE49-F238E27FC236}">
              <a16:creationId xmlns:a16="http://schemas.microsoft.com/office/drawing/2014/main" id="{C1C47499-84F6-4183-BA36-23FD1A7EB39A}"/>
            </a:ext>
          </a:extLst>
        </xdr:cNvPr>
        <xdr:cNvSpPr/>
      </xdr:nvSpPr>
      <xdr:spPr>
        <a:xfrm>
          <a:off x="790577" y="695326"/>
          <a:ext cx="1336194" cy="180974"/>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Data Entry</a:t>
          </a:r>
        </a:p>
      </xdr:txBody>
    </xdr:sp>
    <xdr:clientData/>
  </xdr:twoCellAnchor>
  <xdr:twoCellAnchor>
    <xdr:from>
      <xdr:col>12</xdr:col>
      <xdr:colOff>9525</xdr:colOff>
      <xdr:row>2</xdr:row>
      <xdr:rowOff>104774</xdr:rowOff>
    </xdr:from>
    <xdr:to>
      <xdr:col>15</xdr:col>
      <xdr:colOff>600075</xdr:colOff>
      <xdr:row>3</xdr:row>
      <xdr:rowOff>95249</xdr:rowOff>
    </xdr:to>
    <xdr:sp macro="" textlink="">
      <xdr:nvSpPr>
        <xdr:cNvPr id="8" name="Rectangle: Rounded Corners 7">
          <a:extLst>
            <a:ext uri="{FF2B5EF4-FFF2-40B4-BE49-F238E27FC236}">
              <a16:creationId xmlns:a16="http://schemas.microsoft.com/office/drawing/2014/main" id="{33D0EA5D-7825-31A2-0C74-6154647EFAF0}"/>
            </a:ext>
          </a:extLst>
        </xdr:cNvPr>
        <xdr:cNvSpPr/>
      </xdr:nvSpPr>
      <xdr:spPr>
        <a:xfrm>
          <a:off x="7334250" y="590549"/>
          <a:ext cx="2838450" cy="180975"/>
        </a:xfrm>
        <a:prstGeom prst="roundRect">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MDF &amp;</a:t>
          </a:r>
          <a:r>
            <a:rPr lang="en-IN" sz="1100" baseline="0"/>
            <a:t> </a:t>
          </a:r>
          <a:r>
            <a:rPr lang="en-IN" sz="1100"/>
            <a:t>Plywood Weight Finder </a:t>
          </a:r>
        </a:p>
      </xdr:txBody>
    </xdr:sp>
    <xdr:clientData/>
  </xdr:twoCellAnchor>
  <xdr:twoCellAnchor>
    <xdr:from>
      <xdr:col>11</xdr:col>
      <xdr:colOff>723899</xdr:colOff>
      <xdr:row>3</xdr:row>
      <xdr:rowOff>133350</xdr:rowOff>
    </xdr:from>
    <xdr:to>
      <xdr:col>18</xdr:col>
      <xdr:colOff>57150</xdr:colOff>
      <xdr:row>6</xdr:row>
      <xdr:rowOff>133349</xdr:rowOff>
    </xdr:to>
    <xdr:sp macro="" textlink="">
      <xdr:nvSpPr>
        <xdr:cNvPr id="9" name="Rectangle: Rounded Corners 8">
          <a:extLst>
            <a:ext uri="{FF2B5EF4-FFF2-40B4-BE49-F238E27FC236}">
              <a16:creationId xmlns:a16="http://schemas.microsoft.com/office/drawing/2014/main" id="{AD244AB6-3E28-4E28-A8E8-DA3E6579B8F4}"/>
            </a:ext>
          </a:extLst>
        </xdr:cNvPr>
        <xdr:cNvSpPr/>
      </xdr:nvSpPr>
      <xdr:spPr>
        <a:xfrm>
          <a:off x="7277099" y="809625"/>
          <a:ext cx="4514851" cy="571499"/>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1">
              <a:solidFill>
                <a:schemeClr val="bg1"/>
              </a:solidFill>
            </a:rPr>
            <a:t>Select</a:t>
          </a:r>
          <a:r>
            <a:rPr lang="en-IN" sz="900" b="1" baseline="0">
              <a:solidFill>
                <a:schemeClr val="bg1"/>
              </a:solidFill>
            </a:rPr>
            <a:t> they type of material and the measurement units for Length, Width , Thickness and numbers of boards.</a:t>
          </a:r>
        </a:p>
        <a:p>
          <a:pPr algn="l"/>
          <a:r>
            <a:rPr lang="en-IN" sz="900" b="1" baseline="0">
              <a:solidFill>
                <a:schemeClr val="bg1"/>
              </a:solidFill>
            </a:rPr>
            <a:t>Enter the values  and the weight will appear.</a:t>
          </a:r>
          <a:endParaRPr lang="en-IN" sz="900" b="1">
            <a:solidFill>
              <a:schemeClr val="bg1"/>
            </a:solidFill>
          </a:endParaRPr>
        </a:p>
      </xdr:txBody>
    </xdr:sp>
    <xdr:clientData/>
  </xdr:twoCellAnchor>
  <xdr:twoCellAnchor>
    <xdr:from>
      <xdr:col>9</xdr:col>
      <xdr:colOff>38100</xdr:colOff>
      <xdr:row>2</xdr:row>
      <xdr:rowOff>161925</xdr:rowOff>
    </xdr:from>
    <xdr:to>
      <xdr:col>10</xdr:col>
      <xdr:colOff>742950</xdr:colOff>
      <xdr:row>3</xdr:row>
      <xdr:rowOff>142875</xdr:rowOff>
    </xdr:to>
    <xdr:sp macro="" textlink="">
      <xdr:nvSpPr>
        <xdr:cNvPr id="10" name="Rectangle: Rounded Corners 9">
          <a:hlinkClick xmlns:r="http://schemas.openxmlformats.org/officeDocument/2006/relationships" r:id="rId1"/>
          <a:extLst>
            <a:ext uri="{FF2B5EF4-FFF2-40B4-BE49-F238E27FC236}">
              <a16:creationId xmlns:a16="http://schemas.microsoft.com/office/drawing/2014/main" id="{6196953D-A9AE-4E86-A897-4BEA3BE49DE1}"/>
            </a:ext>
          </a:extLst>
        </xdr:cNvPr>
        <xdr:cNvSpPr/>
      </xdr:nvSpPr>
      <xdr:spPr>
        <a:xfrm>
          <a:off x="5086350" y="647700"/>
          <a:ext cx="1457325" cy="171450"/>
        </a:xfrm>
        <a:prstGeom prst="roundRect">
          <a:avLst/>
        </a:prstGeom>
        <a:solidFill>
          <a:schemeClr val="accent3">
            <a:lumMod val="50000"/>
          </a:schemeClr>
        </a:solidFill>
        <a:ln w="5080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Material  Sheet</a:t>
          </a:r>
        </a:p>
      </xdr:txBody>
    </xdr:sp>
    <xdr:clientData/>
  </xdr:twoCellAnchor>
  <xdr:twoCellAnchor editAs="oneCell">
    <xdr:from>
      <xdr:col>0</xdr:col>
      <xdr:colOff>0</xdr:colOff>
      <xdr:row>0</xdr:row>
      <xdr:rowOff>2</xdr:rowOff>
    </xdr:from>
    <xdr:to>
      <xdr:col>2</xdr:col>
      <xdr:colOff>247649</xdr:colOff>
      <xdr:row>0</xdr:row>
      <xdr:rowOff>305904</xdr:rowOff>
    </xdr:to>
    <xdr:pic>
      <xdr:nvPicPr>
        <xdr:cNvPr id="6" name="Picture 5" descr="Alpha Nero | Ichanical - Web Development | Mobile Apps | Branding | Big  Data Company Dubai">
          <a:extLst>
            <a:ext uri="{FF2B5EF4-FFF2-40B4-BE49-F238E27FC236}">
              <a16:creationId xmlns:a16="http://schemas.microsoft.com/office/drawing/2014/main" id="{5CB99606-6269-43DE-8EE9-D3ECDD409B7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2"/>
          <a:ext cx="552449"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57149</xdr:colOff>
      <xdr:row>0</xdr:row>
      <xdr:rowOff>0</xdr:rowOff>
    </xdr:from>
    <xdr:to>
      <xdr:col>21</xdr:col>
      <xdr:colOff>161924</xdr:colOff>
      <xdr:row>1</xdr:row>
      <xdr:rowOff>0</xdr:rowOff>
    </xdr:to>
    <xdr:pic>
      <xdr:nvPicPr>
        <xdr:cNvPr id="7" name="Picture 6">
          <a:extLst>
            <a:ext uri="{FF2B5EF4-FFF2-40B4-BE49-F238E27FC236}">
              <a16:creationId xmlns:a16="http://schemas.microsoft.com/office/drawing/2014/main" id="{8B10B249-C1B6-4CD1-AB69-8B4FA55C440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249149" y="0"/>
          <a:ext cx="3143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133352</xdr:colOff>
      <xdr:row>1</xdr:row>
      <xdr:rowOff>142875</xdr:rowOff>
    </xdr:from>
    <xdr:to>
      <xdr:col>20</xdr:col>
      <xdr:colOff>47625</xdr:colOff>
      <xdr:row>81</xdr:row>
      <xdr:rowOff>28575</xdr:rowOff>
    </xdr:to>
    <xdr:sp macro="" textlink="">
      <xdr:nvSpPr>
        <xdr:cNvPr id="2" name="Rectangle: Rounded Corners 1">
          <a:extLst>
            <a:ext uri="{FF2B5EF4-FFF2-40B4-BE49-F238E27FC236}">
              <a16:creationId xmlns:a16="http://schemas.microsoft.com/office/drawing/2014/main" id="{AEDD007C-5BA5-45F6-97C1-29D97B7EE81D}"/>
            </a:ext>
          </a:extLst>
        </xdr:cNvPr>
        <xdr:cNvSpPr/>
      </xdr:nvSpPr>
      <xdr:spPr>
        <a:xfrm>
          <a:off x="438152" y="438150"/>
          <a:ext cx="11801473" cy="15182850"/>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xdr:colOff>
      <xdr:row>9</xdr:row>
      <xdr:rowOff>161925</xdr:rowOff>
    </xdr:from>
    <xdr:to>
      <xdr:col>5</xdr:col>
      <xdr:colOff>228599</xdr:colOff>
      <xdr:row>10</xdr:row>
      <xdr:rowOff>142875</xdr:rowOff>
    </xdr:to>
    <xdr:sp macro="" textlink="">
      <xdr:nvSpPr>
        <xdr:cNvPr id="3" name="Rectangle: Rounded Corners 2">
          <a:extLst>
            <a:ext uri="{FF2B5EF4-FFF2-40B4-BE49-F238E27FC236}">
              <a16:creationId xmlns:a16="http://schemas.microsoft.com/office/drawing/2014/main" id="{F897C26A-E1DF-4352-87C2-E6CF89533397}"/>
            </a:ext>
          </a:extLst>
        </xdr:cNvPr>
        <xdr:cNvSpPr/>
      </xdr:nvSpPr>
      <xdr:spPr>
        <a:xfrm>
          <a:off x="771525" y="2200275"/>
          <a:ext cx="1562099" cy="180975"/>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chemeClr val="bg1"/>
              </a:solidFill>
              <a:latin typeface="+mn-lt"/>
              <a:ea typeface="+mn-ea"/>
              <a:cs typeface="+mn-cs"/>
            </a:rPr>
            <a:t>Table 1</a:t>
          </a:r>
        </a:p>
      </xdr:txBody>
    </xdr:sp>
    <xdr:clientData/>
  </xdr:twoCellAnchor>
  <xdr:twoCellAnchor>
    <xdr:from>
      <xdr:col>3</xdr:col>
      <xdr:colOff>28577</xdr:colOff>
      <xdr:row>2</xdr:row>
      <xdr:rowOff>180976</xdr:rowOff>
    </xdr:from>
    <xdr:to>
      <xdr:col>5</xdr:col>
      <xdr:colOff>2696</xdr:colOff>
      <xdr:row>4</xdr:row>
      <xdr:rowOff>0</xdr:rowOff>
    </xdr:to>
    <xdr:sp macro="" textlink="">
      <xdr:nvSpPr>
        <xdr:cNvPr id="5" name="Rectangle: Rounded Corners 4">
          <a:extLst>
            <a:ext uri="{FF2B5EF4-FFF2-40B4-BE49-F238E27FC236}">
              <a16:creationId xmlns:a16="http://schemas.microsoft.com/office/drawing/2014/main" id="{2E46D683-4C71-4210-8E12-40F6781CF216}"/>
            </a:ext>
          </a:extLst>
        </xdr:cNvPr>
        <xdr:cNvSpPr/>
      </xdr:nvSpPr>
      <xdr:spPr>
        <a:xfrm>
          <a:off x="771527" y="666751"/>
          <a:ext cx="1336194" cy="200024"/>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Data Entry</a:t>
          </a:r>
        </a:p>
      </xdr:txBody>
    </xdr:sp>
    <xdr:clientData/>
  </xdr:twoCellAnchor>
  <xdr:twoCellAnchor>
    <xdr:from>
      <xdr:col>8</xdr:col>
      <xdr:colOff>695325</xdr:colOff>
      <xdr:row>2</xdr:row>
      <xdr:rowOff>145212</xdr:rowOff>
    </xdr:from>
    <xdr:to>
      <xdr:col>10</xdr:col>
      <xdr:colOff>685800</xdr:colOff>
      <xdr:row>3</xdr:row>
      <xdr:rowOff>135687</xdr:rowOff>
    </xdr:to>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CC0F7F4F-EA2D-40D0-9AC9-174926369C2C}"/>
            </a:ext>
          </a:extLst>
        </xdr:cNvPr>
        <xdr:cNvSpPr/>
      </xdr:nvSpPr>
      <xdr:spPr>
        <a:xfrm>
          <a:off x="5029200" y="630987"/>
          <a:ext cx="1457325" cy="180975"/>
        </a:xfrm>
        <a:prstGeom prst="roundRect">
          <a:avLst/>
        </a:prstGeom>
        <a:solidFill>
          <a:schemeClr val="accent3">
            <a:lumMod val="50000"/>
          </a:schemeClr>
        </a:solidFill>
        <a:ln w="5080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Material  Sheet</a:t>
          </a:r>
        </a:p>
      </xdr:txBody>
    </xdr:sp>
    <xdr:clientData/>
  </xdr:twoCellAnchor>
  <xdr:twoCellAnchor>
    <xdr:from>
      <xdr:col>2</xdr:col>
      <xdr:colOff>419102</xdr:colOff>
      <xdr:row>4</xdr:row>
      <xdr:rowOff>9526</xdr:rowOff>
    </xdr:from>
    <xdr:to>
      <xdr:col>10</xdr:col>
      <xdr:colOff>695327</xdr:colOff>
      <xdr:row>7</xdr:row>
      <xdr:rowOff>121490</xdr:rowOff>
    </xdr:to>
    <xdr:sp macro="" textlink="">
      <xdr:nvSpPr>
        <xdr:cNvPr id="8" name="Rectangle: Rounded Corners 7">
          <a:extLst>
            <a:ext uri="{FF2B5EF4-FFF2-40B4-BE49-F238E27FC236}">
              <a16:creationId xmlns:a16="http://schemas.microsoft.com/office/drawing/2014/main" id="{FC1737DB-3588-4B39-B55A-F97475CB6E50}"/>
            </a:ext>
          </a:extLst>
        </xdr:cNvPr>
        <xdr:cNvSpPr/>
      </xdr:nvSpPr>
      <xdr:spPr>
        <a:xfrm>
          <a:off x="723902" y="876301"/>
          <a:ext cx="5772150" cy="683464"/>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bg1"/>
              </a:solidFill>
            </a:rPr>
            <a:t>Enter the Project Material Consumption in Kg  in Table 1 (Columns E to M)</a:t>
          </a:r>
        </a:p>
        <a:p>
          <a:pPr algn="l"/>
          <a:r>
            <a:rPr lang="en-IN" sz="1100" b="1">
              <a:solidFill>
                <a:schemeClr val="bg1"/>
              </a:solidFill>
            </a:rPr>
            <a:t>Use Material search sheet for find</a:t>
          </a:r>
          <a:r>
            <a:rPr lang="en-IN" sz="1100" b="1" baseline="0">
              <a:solidFill>
                <a:schemeClr val="bg1"/>
              </a:solidFill>
            </a:rPr>
            <a:t> the classification or type or name of the specific material</a:t>
          </a:r>
        </a:p>
        <a:p>
          <a:pPr algn="l"/>
          <a:r>
            <a:rPr lang="en-IN" sz="1100" b="1" baseline="0">
              <a:solidFill>
                <a:schemeClr val="bg1"/>
              </a:solidFill>
            </a:rPr>
            <a:t>Use the link to visit the material search sheet.</a:t>
          </a:r>
          <a:endParaRPr lang="en-IN" sz="1100" b="1">
            <a:solidFill>
              <a:schemeClr val="bg1"/>
            </a:solidFill>
          </a:endParaRPr>
        </a:p>
      </xdr:txBody>
    </xdr:sp>
    <xdr:clientData/>
  </xdr:twoCellAnchor>
  <xdr:twoCellAnchor>
    <xdr:from>
      <xdr:col>12</xdr:col>
      <xdr:colOff>28575</xdr:colOff>
      <xdr:row>2</xdr:row>
      <xdr:rowOff>104775</xdr:rowOff>
    </xdr:from>
    <xdr:to>
      <xdr:col>14</xdr:col>
      <xdr:colOff>66675</xdr:colOff>
      <xdr:row>3</xdr:row>
      <xdr:rowOff>85725</xdr:rowOff>
    </xdr:to>
    <xdr:sp macro="" textlink="">
      <xdr:nvSpPr>
        <xdr:cNvPr id="4" name="Rectangle: Rounded Corners 3">
          <a:extLst>
            <a:ext uri="{FF2B5EF4-FFF2-40B4-BE49-F238E27FC236}">
              <a16:creationId xmlns:a16="http://schemas.microsoft.com/office/drawing/2014/main" id="{84A2A7BB-7F50-4785-8FBD-64E761CA9770}"/>
            </a:ext>
          </a:extLst>
        </xdr:cNvPr>
        <xdr:cNvSpPr/>
      </xdr:nvSpPr>
      <xdr:spPr>
        <a:xfrm>
          <a:off x="7353300" y="590550"/>
          <a:ext cx="1590675" cy="171450"/>
        </a:xfrm>
        <a:prstGeom prst="roundRect">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a:t>Acrylic Weight</a:t>
          </a:r>
          <a:r>
            <a:rPr lang="en-IN" sz="1100" baseline="0"/>
            <a:t> finder</a:t>
          </a:r>
          <a:endParaRPr lang="en-IN" sz="1100"/>
        </a:p>
      </xdr:txBody>
    </xdr:sp>
    <xdr:clientData/>
  </xdr:twoCellAnchor>
  <xdr:twoCellAnchor>
    <xdr:from>
      <xdr:col>12</xdr:col>
      <xdr:colOff>19050</xdr:colOff>
      <xdr:row>3</xdr:row>
      <xdr:rowOff>104776</xdr:rowOff>
    </xdr:from>
    <xdr:to>
      <xdr:col>18</xdr:col>
      <xdr:colOff>95250</xdr:colOff>
      <xdr:row>5</xdr:row>
      <xdr:rowOff>142876</xdr:rowOff>
    </xdr:to>
    <xdr:sp macro="" textlink="">
      <xdr:nvSpPr>
        <xdr:cNvPr id="6" name="Rectangle: Rounded Corners 5">
          <a:extLst>
            <a:ext uri="{FF2B5EF4-FFF2-40B4-BE49-F238E27FC236}">
              <a16:creationId xmlns:a16="http://schemas.microsoft.com/office/drawing/2014/main" id="{1CBE8D5C-97B2-4136-A482-62434FDF80D8}"/>
            </a:ext>
          </a:extLst>
        </xdr:cNvPr>
        <xdr:cNvSpPr/>
      </xdr:nvSpPr>
      <xdr:spPr>
        <a:xfrm>
          <a:off x="7343775" y="781051"/>
          <a:ext cx="4543425" cy="419100"/>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1">
              <a:solidFill>
                <a:schemeClr val="bg1"/>
              </a:solidFill>
            </a:rPr>
            <a:t>Select</a:t>
          </a:r>
          <a:r>
            <a:rPr lang="en-IN" sz="900" b="1" baseline="0">
              <a:solidFill>
                <a:schemeClr val="bg1"/>
              </a:solidFill>
            </a:rPr>
            <a:t>  the measurement units for Length, Width , Thickness and numbers of Acrylic sheets</a:t>
          </a:r>
        </a:p>
        <a:p>
          <a:pPr algn="l"/>
          <a:r>
            <a:rPr lang="en-IN" sz="900" b="1" baseline="0">
              <a:solidFill>
                <a:schemeClr val="bg1"/>
              </a:solidFill>
            </a:rPr>
            <a:t>Enter the values and the weight will appear.</a:t>
          </a:r>
          <a:endParaRPr lang="en-IN" sz="900" b="1">
            <a:solidFill>
              <a:schemeClr val="bg1"/>
            </a:solidFill>
          </a:endParaRPr>
        </a:p>
      </xdr:txBody>
    </xdr:sp>
    <xdr:clientData/>
  </xdr:twoCellAnchor>
  <xdr:twoCellAnchor editAs="oneCell">
    <xdr:from>
      <xdr:col>0</xdr:col>
      <xdr:colOff>0</xdr:colOff>
      <xdr:row>0</xdr:row>
      <xdr:rowOff>2</xdr:rowOff>
    </xdr:from>
    <xdr:to>
      <xdr:col>2</xdr:col>
      <xdr:colOff>247649</xdr:colOff>
      <xdr:row>0</xdr:row>
      <xdr:rowOff>305904</xdr:rowOff>
    </xdr:to>
    <xdr:pic>
      <xdr:nvPicPr>
        <xdr:cNvPr id="11" name="Picture 10" descr="Alpha Nero | Ichanical - Web Development | Mobile Apps | Branding | Big  Data Company Dubai">
          <a:extLst>
            <a:ext uri="{FF2B5EF4-FFF2-40B4-BE49-F238E27FC236}">
              <a16:creationId xmlns:a16="http://schemas.microsoft.com/office/drawing/2014/main" id="{76DB74AF-3244-4F9B-8391-1484A76B7B2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2"/>
          <a:ext cx="552449"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152399</xdr:colOff>
      <xdr:row>0</xdr:row>
      <xdr:rowOff>0</xdr:rowOff>
    </xdr:from>
    <xdr:to>
      <xdr:col>20</xdr:col>
      <xdr:colOff>266699</xdr:colOff>
      <xdr:row>1</xdr:row>
      <xdr:rowOff>0</xdr:rowOff>
    </xdr:to>
    <xdr:pic>
      <xdr:nvPicPr>
        <xdr:cNvPr id="12" name="Picture 11">
          <a:extLst>
            <a:ext uri="{FF2B5EF4-FFF2-40B4-BE49-F238E27FC236}">
              <a16:creationId xmlns:a16="http://schemas.microsoft.com/office/drawing/2014/main" id="{7F33E96B-7CDE-4170-95B6-BC2726EC074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249149" y="0"/>
          <a:ext cx="3143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133352</xdr:colOff>
      <xdr:row>1</xdr:row>
      <xdr:rowOff>142875</xdr:rowOff>
    </xdr:from>
    <xdr:to>
      <xdr:col>30</xdr:col>
      <xdr:colOff>309562</xdr:colOff>
      <xdr:row>80</xdr:row>
      <xdr:rowOff>28575</xdr:rowOff>
    </xdr:to>
    <xdr:sp macro="" textlink="">
      <xdr:nvSpPr>
        <xdr:cNvPr id="2" name="Rectangle: Rounded Corners 1">
          <a:extLst>
            <a:ext uri="{FF2B5EF4-FFF2-40B4-BE49-F238E27FC236}">
              <a16:creationId xmlns:a16="http://schemas.microsoft.com/office/drawing/2014/main" id="{2B9459A4-F82B-4D32-87CD-754A0E2E014A}"/>
            </a:ext>
          </a:extLst>
        </xdr:cNvPr>
        <xdr:cNvSpPr/>
      </xdr:nvSpPr>
      <xdr:spPr>
        <a:xfrm>
          <a:off x="442915" y="440531"/>
          <a:ext cx="16761616" cy="16268700"/>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xdr:row>
      <xdr:rowOff>228600</xdr:rowOff>
    </xdr:from>
    <xdr:to>
      <xdr:col>5</xdr:col>
      <xdr:colOff>200024</xdr:colOff>
      <xdr:row>9</xdr:row>
      <xdr:rowOff>180975</xdr:rowOff>
    </xdr:to>
    <xdr:sp macro="" textlink="">
      <xdr:nvSpPr>
        <xdr:cNvPr id="3" name="Rectangle: Rounded Corners 2">
          <a:extLst>
            <a:ext uri="{FF2B5EF4-FFF2-40B4-BE49-F238E27FC236}">
              <a16:creationId xmlns:a16="http://schemas.microsoft.com/office/drawing/2014/main" id="{B998AC98-AF7C-4D96-B7B8-C1579A9212C5}"/>
            </a:ext>
          </a:extLst>
        </xdr:cNvPr>
        <xdr:cNvSpPr/>
      </xdr:nvSpPr>
      <xdr:spPr>
        <a:xfrm>
          <a:off x="742950" y="1628775"/>
          <a:ext cx="1562099" cy="180975"/>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chemeClr val="bg1"/>
              </a:solidFill>
              <a:latin typeface="+mn-lt"/>
              <a:ea typeface="+mn-ea"/>
              <a:cs typeface="+mn-cs"/>
            </a:rPr>
            <a:t>Table 1</a:t>
          </a:r>
        </a:p>
      </xdr:txBody>
    </xdr:sp>
    <xdr:clientData/>
  </xdr:twoCellAnchor>
  <xdr:twoCellAnchor>
    <xdr:from>
      <xdr:col>3</xdr:col>
      <xdr:colOff>95250</xdr:colOff>
      <xdr:row>4</xdr:row>
      <xdr:rowOff>30910</xdr:rowOff>
    </xdr:from>
    <xdr:to>
      <xdr:col>14</xdr:col>
      <xdr:colOff>257175</xdr:colOff>
      <xdr:row>7</xdr:row>
      <xdr:rowOff>142874</xdr:rowOff>
    </xdr:to>
    <xdr:sp macro="" textlink="">
      <xdr:nvSpPr>
        <xdr:cNvPr id="7" name="Rectangle: Rounded Corners 6">
          <a:extLst>
            <a:ext uri="{FF2B5EF4-FFF2-40B4-BE49-F238E27FC236}">
              <a16:creationId xmlns:a16="http://schemas.microsoft.com/office/drawing/2014/main" id="{77E8A5DF-965F-4D49-8394-9611CB01DFE7}"/>
            </a:ext>
          </a:extLst>
        </xdr:cNvPr>
        <xdr:cNvSpPr/>
      </xdr:nvSpPr>
      <xdr:spPr>
        <a:xfrm>
          <a:off x="638175" y="897685"/>
          <a:ext cx="5772150" cy="683464"/>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bg1"/>
              </a:solidFill>
            </a:rPr>
            <a:t>Enter the Project Material Consumption in Kg  in Table 1 (Columns E to AA)</a:t>
          </a:r>
        </a:p>
        <a:p>
          <a:pPr algn="l"/>
          <a:r>
            <a:rPr lang="en-IN" sz="1100" b="1">
              <a:solidFill>
                <a:schemeClr val="bg1"/>
              </a:solidFill>
            </a:rPr>
            <a:t>Use Material search sheet for find</a:t>
          </a:r>
          <a:r>
            <a:rPr lang="en-IN" sz="1100" b="1" baseline="0">
              <a:solidFill>
                <a:schemeClr val="bg1"/>
              </a:solidFill>
            </a:rPr>
            <a:t> the classification of the specific paint</a:t>
          </a:r>
        </a:p>
        <a:p>
          <a:pPr algn="l"/>
          <a:r>
            <a:rPr lang="en-IN" sz="1100" b="1" baseline="0">
              <a:solidFill>
                <a:schemeClr val="bg1"/>
              </a:solidFill>
            </a:rPr>
            <a:t>Use the link to visit the material search sheet.</a:t>
          </a:r>
          <a:endParaRPr lang="en-IN" sz="1100" b="1">
            <a:solidFill>
              <a:schemeClr val="bg1"/>
            </a:solidFill>
          </a:endParaRPr>
        </a:p>
      </xdr:txBody>
    </xdr:sp>
    <xdr:clientData/>
  </xdr:twoCellAnchor>
  <xdr:twoCellAnchor>
    <xdr:from>
      <xdr:col>3</xdr:col>
      <xdr:colOff>171452</xdr:colOff>
      <xdr:row>3</xdr:row>
      <xdr:rowOff>19050</xdr:rowOff>
    </xdr:from>
    <xdr:to>
      <xdr:col>6</xdr:col>
      <xdr:colOff>12221</xdr:colOff>
      <xdr:row>4</xdr:row>
      <xdr:rowOff>9524</xdr:rowOff>
    </xdr:to>
    <xdr:sp macro="" textlink="">
      <xdr:nvSpPr>
        <xdr:cNvPr id="8" name="Rectangle: Rounded Corners 7">
          <a:extLst>
            <a:ext uri="{FF2B5EF4-FFF2-40B4-BE49-F238E27FC236}">
              <a16:creationId xmlns:a16="http://schemas.microsoft.com/office/drawing/2014/main" id="{0EB24C20-6D94-44C2-AE5E-DB8BAD642882}"/>
            </a:ext>
          </a:extLst>
        </xdr:cNvPr>
        <xdr:cNvSpPr/>
      </xdr:nvSpPr>
      <xdr:spPr>
        <a:xfrm>
          <a:off x="714377" y="695325"/>
          <a:ext cx="1336194" cy="180974"/>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Data Entry</a:t>
          </a:r>
        </a:p>
      </xdr:txBody>
    </xdr:sp>
    <xdr:clientData/>
  </xdr:twoCellAnchor>
  <xdr:twoCellAnchor>
    <xdr:from>
      <xdr:col>15</xdr:col>
      <xdr:colOff>244474</xdr:colOff>
      <xdr:row>5</xdr:row>
      <xdr:rowOff>125941</xdr:rowOff>
    </xdr:from>
    <xdr:to>
      <xdr:col>17</xdr:col>
      <xdr:colOff>423333</xdr:colOff>
      <xdr:row>6</xdr:row>
      <xdr:rowOff>106891</xdr:rowOff>
    </xdr:to>
    <xdr:sp macro="" textlink="">
      <xdr:nvSpPr>
        <xdr:cNvPr id="9" name="Rectangle: Rounded Corners 8">
          <a:hlinkClick xmlns:r="http://schemas.openxmlformats.org/officeDocument/2006/relationships" r:id="rId1"/>
          <a:extLst>
            <a:ext uri="{FF2B5EF4-FFF2-40B4-BE49-F238E27FC236}">
              <a16:creationId xmlns:a16="http://schemas.microsoft.com/office/drawing/2014/main" id="{8E635EA1-8561-4C1D-89E5-581381D0DD6C}"/>
            </a:ext>
          </a:extLst>
        </xdr:cNvPr>
        <xdr:cNvSpPr/>
      </xdr:nvSpPr>
      <xdr:spPr>
        <a:xfrm>
          <a:off x="7091891" y="1184274"/>
          <a:ext cx="1470025" cy="171450"/>
        </a:xfrm>
        <a:prstGeom prst="roundRect">
          <a:avLst/>
        </a:prstGeom>
        <a:solidFill>
          <a:schemeClr val="accent3">
            <a:lumMod val="50000"/>
          </a:schemeClr>
        </a:solidFill>
        <a:ln w="5080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Material  Sheet</a:t>
          </a:r>
        </a:p>
      </xdr:txBody>
    </xdr:sp>
    <xdr:clientData/>
  </xdr:twoCellAnchor>
  <xdr:twoCellAnchor editAs="oneCell">
    <xdr:from>
      <xdr:col>0</xdr:col>
      <xdr:colOff>0</xdr:colOff>
      <xdr:row>0</xdr:row>
      <xdr:rowOff>2</xdr:rowOff>
    </xdr:from>
    <xdr:to>
      <xdr:col>3</xdr:col>
      <xdr:colOff>2116</xdr:colOff>
      <xdr:row>0</xdr:row>
      <xdr:rowOff>305904</xdr:rowOff>
    </xdr:to>
    <xdr:pic>
      <xdr:nvPicPr>
        <xdr:cNvPr id="4" name="Picture 3" descr="Alpha Nero | Ichanical - Web Development | Mobile Apps | Branding | Big  Data Company Dubai">
          <a:extLst>
            <a:ext uri="{FF2B5EF4-FFF2-40B4-BE49-F238E27FC236}">
              <a16:creationId xmlns:a16="http://schemas.microsoft.com/office/drawing/2014/main" id="{CA0DCB97-CD7D-4DBF-A06D-0CDD9FE600D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2"/>
          <a:ext cx="552449"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555625</xdr:colOff>
      <xdr:row>0</xdr:row>
      <xdr:rowOff>9525</xdr:rowOff>
    </xdr:from>
    <xdr:to>
      <xdr:col>23</xdr:col>
      <xdr:colOff>216958</xdr:colOff>
      <xdr:row>1</xdr:row>
      <xdr:rowOff>6350</xdr:rowOff>
    </xdr:to>
    <xdr:pic>
      <xdr:nvPicPr>
        <xdr:cNvPr id="5" name="Picture 4">
          <a:extLst>
            <a:ext uri="{FF2B5EF4-FFF2-40B4-BE49-F238E27FC236}">
              <a16:creationId xmlns:a16="http://schemas.microsoft.com/office/drawing/2014/main" id="{5AB2A496-F446-4540-8490-4D2B6FDCA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280900" y="9525"/>
          <a:ext cx="309033" cy="311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228600</xdr:colOff>
      <xdr:row>0</xdr:row>
      <xdr:rowOff>0</xdr:rowOff>
    </xdr:from>
    <xdr:to>
      <xdr:col>24</xdr:col>
      <xdr:colOff>125941</xdr:colOff>
      <xdr:row>0</xdr:row>
      <xdr:rowOff>305902</xdr:rowOff>
    </xdr:to>
    <xdr:pic>
      <xdr:nvPicPr>
        <xdr:cNvPr id="6" name="Picture 5" descr="Alpha Nero | Ichanical - Web Development | Mobile Apps | Branding | Big  Data Company Dubai">
          <a:extLst>
            <a:ext uri="{FF2B5EF4-FFF2-40B4-BE49-F238E27FC236}">
              <a16:creationId xmlns:a16="http://schemas.microsoft.com/office/drawing/2014/main" id="{CD157DF9-0F86-4081-940F-982A71C5DD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601575" y="0"/>
          <a:ext cx="545041"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76200</xdr:colOff>
      <xdr:row>0</xdr:row>
      <xdr:rowOff>19050</xdr:rowOff>
    </xdr:from>
    <xdr:to>
      <xdr:col>46</xdr:col>
      <xdr:colOff>61383</xdr:colOff>
      <xdr:row>1</xdr:row>
      <xdr:rowOff>15875</xdr:rowOff>
    </xdr:to>
    <xdr:pic>
      <xdr:nvPicPr>
        <xdr:cNvPr id="10" name="Picture 9">
          <a:extLst>
            <a:ext uri="{FF2B5EF4-FFF2-40B4-BE49-F238E27FC236}">
              <a16:creationId xmlns:a16="http://schemas.microsoft.com/office/drawing/2014/main" id="{7A5804C8-4507-4D13-9EE1-678D5826DE8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803350" y="19050"/>
          <a:ext cx="309033" cy="311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2</xdr:col>
      <xdr:colOff>133352</xdr:colOff>
      <xdr:row>1</xdr:row>
      <xdr:rowOff>142875</xdr:rowOff>
    </xdr:from>
    <xdr:to>
      <xdr:col>20</xdr:col>
      <xdr:colOff>47625</xdr:colOff>
      <xdr:row>80</xdr:row>
      <xdr:rowOff>28575</xdr:rowOff>
    </xdr:to>
    <xdr:sp macro="" textlink="">
      <xdr:nvSpPr>
        <xdr:cNvPr id="2" name="Rectangle: Rounded Corners 1">
          <a:extLst>
            <a:ext uri="{FF2B5EF4-FFF2-40B4-BE49-F238E27FC236}">
              <a16:creationId xmlns:a16="http://schemas.microsoft.com/office/drawing/2014/main" id="{9D930332-6957-4D7E-97A0-AE86CDD2F8B3}"/>
            </a:ext>
          </a:extLst>
        </xdr:cNvPr>
        <xdr:cNvSpPr/>
      </xdr:nvSpPr>
      <xdr:spPr>
        <a:xfrm>
          <a:off x="438152" y="438150"/>
          <a:ext cx="11677648" cy="15506700"/>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7</xdr:row>
      <xdr:rowOff>228600</xdr:rowOff>
    </xdr:from>
    <xdr:to>
      <xdr:col>5</xdr:col>
      <xdr:colOff>200024</xdr:colOff>
      <xdr:row>9</xdr:row>
      <xdr:rowOff>180975</xdr:rowOff>
    </xdr:to>
    <xdr:sp macro="" textlink="">
      <xdr:nvSpPr>
        <xdr:cNvPr id="3" name="Rectangle: Rounded Corners 2">
          <a:extLst>
            <a:ext uri="{FF2B5EF4-FFF2-40B4-BE49-F238E27FC236}">
              <a16:creationId xmlns:a16="http://schemas.microsoft.com/office/drawing/2014/main" id="{4045C3F1-80FA-4024-8BB7-3F91FA90A926}"/>
            </a:ext>
          </a:extLst>
        </xdr:cNvPr>
        <xdr:cNvSpPr/>
      </xdr:nvSpPr>
      <xdr:spPr>
        <a:xfrm>
          <a:off x="742950" y="1628775"/>
          <a:ext cx="1562099" cy="180975"/>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1100" b="1">
              <a:solidFill>
                <a:schemeClr val="bg1"/>
              </a:solidFill>
              <a:latin typeface="+mn-lt"/>
              <a:ea typeface="+mn-ea"/>
              <a:cs typeface="+mn-cs"/>
            </a:rPr>
            <a:t>Table 1</a:t>
          </a:r>
        </a:p>
      </xdr:txBody>
    </xdr:sp>
    <xdr:clientData/>
  </xdr:twoCellAnchor>
  <xdr:twoCellAnchor>
    <xdr:from>
      <xdr:col>3</xdr:col>
      <xdr:colOff>0</xdr:colOff>
      <xdr:row>3</xdr:row>
      <xdr:rowOff>164260</xdr:rowOff>
    </xdr:from>
    <xdr:to>
      <xdr:col>10</xdr:col>
      <xdr:colOff>714375</xdr:colOff>
      <xdr:row>7</xdr:row>
      <xdr:rowOff>85724</xdr:rowOff>
    </xdr:to>
    <xdr:sp macro="" textlink="">
      <xdr:nvSpPr>
        <xdr:cNvPr id="7" name="Rectangle: Rounded Corners 6">
          <a:extLst>
            <a:ext uri="{FF2B5EF4-FFF2-40B4-BE49-F238E27FC236}">
              <a16:creationId xmlns:a16="http://schemas.microsoft.com/office/drawing/2014/main" id="{F2EAB4F1-F650-455A-81B6-47AE27A11001}"/>
            </a:ext>
          </a:extLst>
        </xdr:cNvPr>
        <xdr:cNvSpPr/>
      </xdr:nvSpPr>
      <xdr:spPr>
        <a:xfrm>
          <a:off x="742950" y="840535"/>
          <a:ext cx="5772150" cy="683464"/>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bg1"/>
              </a:solidFill>
            </a:rPr>
            <a:t>Enter the Project Material Consumption in  Numbers  in Table 1 (Columns E to J)</a:t>
          </a:r>
        </a:p>
        <a:p>
          <a:pPr algn="l"/>
          <a:r>
            <a:rPr lang="en-IN" sz="1100" b="1">
              <a:solidFill>
                <a:schemeClr val="bg1"/>
              </a:solidFill>
            </a:rPr>
            <a:t>Use Material search sheet for find</a:t>
          </a:r>
          <a:r>
            <a:rPr lang="en-IN" sz="1100" b="1" baseline="0">
              <a:solidFill>
                <a:schemeClr val="bg1"/>
              </a:solidFill>
            </a:rPr>
            <a:t> the classification of the Packing material</a:t>
          </a:r>
        </a:p>
        <a:p>
          <a:pPr algn="l"/>
          <a:r>
            <a:rPr lang="en-IN" sz="1100" b="1" baseline="0">
              <a:solidFill>
                <a:schemeClr val="bg1"/>
              </a:solidFill>
            </a:rPr>
            <a:t>Use the link to visit the material search sheet.	</a:t>
          </a:r>
          <a:endParaRPr lang="en-IN" sz="1100" b="1">
            <a:solidFill>
              <a:schemeClr val="bg1"/>
            </a:solidFill>
          </a:endParaRPr>
        </a:p>
      </xdr:txBody>
    </xdr:sp>
    <xdr:clientData/>
  </xdr:twoCellAnchor>
  <xdr:twoCellAnchor>
    <xdr:from>
      <xdr:col>3</xdr:col>
      <xdr:colOff>38102</xdr:colOff>
      <xdr:row>2</xdr:row>
      <xdr:rowOff>171450</xdr:rowOff>
    </xdr:from>
    <xdr:to>
      <xdr:col>5</xdr:col>
      <xdr:colOff>12221</xdr:colOff>
      <xdr:row>3</xdr:row>
      <xdr:rowOff>161924</xdr:rowOff>
    </xdr:to>
    <xdr:sp macro="" textlink="">
      <xdr:nvSpPr>
        <xdr:cNvPr id="8" name="Rectangle: Rounded Corners 7">
          <a:extLst>
            <a:ext uri="{FF2B5EF4-FFF2-40B4-BE49-F238E27FC236}">
              <a16:creationId xmlns:a16="http://schemas.microsoft.com/office/drawing/2014/main" id="{6F1A43D1-DB91-4AD9-8716-D7F7EBF957FB}"/>
            </a:ext>
          </a:extLst>
        </xdr:cNvPr>
        <xdr:cNvSpPr/>
      </xdr:nvSpPr>
      <xdr:spPr>
        <a:xfrm>
          <a:off x="781052" y="657225"/>
          <a:ext cx="1336194" cy="180974"/>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bg1"/>
              </a:solidFill>
            </a:rPr>
            <a:t>Data Entry</a:t>
          </a:r>
        </a:p>
      </xdr:txBody>
    </xdr:sp>
    <xdr:clientData/>
  </xdr:twoCellAnchor>
  <xdr:twoCellAnchor>
    <xdr:from>
      <xdr:col>11</xdr:col>
      <xdr:colOff>228600</xdr:colOff>
      <xdr:row>4</xdr:row>
      <xdr:rowOff>161924</xdr:rowOff>
    </xdr:from>
    <xdr:to>
      <xdr:col>13</xdr:col>
      <xdr:colOff>247650</xdr:colOff>
      <xdr:row>5</xdr:row>
      <xdr:rowOff>142874</xdr:rowOff>
    </xdr:to>
    <xdr:sp macro="" textlink="">
      <xdr:nvSpPr>
        <xdr:cNvPr id="9" name="Rectangle: Rounded Corners 8">
          <a:hlinkClick xmlns:r="http://schemas.openxmlformats.org/officeDocument/2006/relationships" r:id="rId1"/>
          <a:extLst>
            <a:ext uri="{FF2B5EF4-FFF2-40B4-BE49-F238E27FC236}">
              <a16:creationId xmlns:a16="http://schemas.microsoft.com/office/drawing/2014/main" id="{7EC95956-68AC-4A5D-907D-523CA765F1A1}"/>
            </a:ext>
          </a:extLst>
        </xdr:cNvPr>
        <xdr:cNvSpPr/>
      </xdr:nvSpPr>
      <xdr:spPr>
        <a:xfrm>
          <a:off x="6781800" y="1028699"/>
          <a:ext cx="1457325" cy="171450"/>
        </a:xfrm>
        <a:prstGeom prst="roundRect">
          <a:avLst/>
        </a:prstGeom>
        <a:solidFill>
          <a:schemeClr val="accent3">
            <a:lumMod val="50000"/>
          </a:schemeClr>
        </a:solidFill>
        <a:ln w="5080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Material  Sheet</a:t>
          </a:r>
        </a:p>
      </xdr:txBody>
    </xdr:sp>
    <xdr:clientData/>
  </xdr:twoCellAnchor>
  <xdr:twoCellAnchor editAs="oneCell">
    <xdr:from>
      <xdr:col>0</xdr:col>
      <xdr:colOff>0</xdr:colOff>
      <xdr:row>0</xdr:row>
      <xdr:rowOff>0</xdr:rowOff>
    </xdr:from>
    <xdr:to>
      <xdr:col>2</xdr:col>
      <xdr:colOff>240241</xdr:colOff>
      <xdr:row>0</xdr:row>
      <xdr:rowOff>305902</xdr:rowOff>
    </xdr:to>
    <xdr:pic>
      <xdr:nvPicPr>
        <xdr:cNvPr id="13" name="Picture 12" descr="Alpha Nero | Ichanical - Web Development | Mobile Apps | Branding | Big  Data Company Dubai">
          <a:extLst>
            <a:ext uri="{FF2B5EF4-FFF2-40B4-BE49-F238E27FC236}">
              <a16:creationId xmlns:a16="http://schemas.microsoft.com/office/drawing/2014/main" id="{F6CF5377-7A91-4B1A-A311-8F25F8C0B3E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545041"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212725</xdr:colOff>
      <xdr:row>0</xdr:row>
      <xdr:rowOff>9523</xdr:rowOff>
    </xdr:from>
    <xdr:to>
      <xdr:col>20</xdr:col>
      <xdr:colOff>521758</xdr:colOff>
      <xdr:row>1</xdr:row>
      <xdr:rowOff>6348</xdr:rowOff>
    </xdr:to>
    <xdr:pic>
      <xdr:nvPicPr>
        <xdr:cNvPr id="14" name="Picture 13">
          <a:extLst>
            <a:ext uri="{FF2B5EF4-FFF2-40B4-BE49-F238E27FC236}">
              <a16:creationId xmlns:a16="http://schemas.microsoft.com/office/drawing/2014/main" id="{01F2A033-9A55-40A2-AA96-73768E8E35E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280900" y="9523"/>
          <a:ext cx="309033" cy="311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1</xdr:col>
      <xdr:colOff>492126</xdr:colOff>
      <xdr:row>2</xdr:row>
      <xdr:rowOff>87313</xdr:rowOff>
    </xdr:from>
    <xdr:to>
      <xdr:col>2</xdr:col>
      <xdr:colOff>957263</xdr:colOff>
      <xdr:row>3</xdr:row>
      <xdr:rowOff>68263</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73CF7DC-9555-44EA-8956-90CA02D2DA4C}"/>
            </a:ext>
          </a:extLst>
        </xdr:cNvPr>
        <xdr:cNvSpPr/>
      </xdr:nvSpPr>
      <xdr:spPr>
        <a:xfrm>
          <a:off x="492126" y="341313"/>
          <a:ext cx="1457325" cy="17145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Wood &amp; Plywood</a:t>
          </a:r>
        </a:p>
      </xdr:txBody>
    </xdr:sp>
    <xdr:clientData/>
  </xdr:twoCellAnchor>
  <xdr:twoCellAnchor>
    <xdr:from>
      <xdr:col>3</xdr:col>
      <xdr:colOff>222250</xdr:colOff>
      <xdr:row>2</xdr:row>
      <xdr:rowOff>87313</xdr:rowOff>
    </xdr:from>
    <xdr:to>
      <xdr:col>3</xdr:col>
      <xdr:colOff>1679575</xdr:colOff>
      <xdr:row>3</xdr:row>
      <xdr:rowOff>68263</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05AFB0E8-A017-468B-A886-21BC259DB904}"/>
            </a:ext>
          </a:extLst>
        </xdr:cNvPr>
        <xdr:cNvSpPr/>
      </xdr:nvSpPr>
      <xdr:spPr>
        <a:xfrm>
          <a:off x="2508250" y="341313"/>
          <a:ext cx="1457325" cy="17145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Metal &amp; Acrylic</a:t>
          </a:r>
        </a:p>
      </xdr:txBody>
    </xdr:sp>
    <xdr:clientData/>
  </xdr:twoCellAnchor>
  <xdr:twoCellAnchor>
    <xdr:from>
      <xdr:col>3</xdr:col>
      <xdr:colOff>2325688</xdr:colOff>
      <xdr:row>2</xdr:row>
      <xdr:rowOff>103188</xdr:rowOff>
    </xdr:from>
    <xdr:to>
      <xdr:col>4</xdr:col>
      <xdr:colOff>584200</xdr:colOff>
      <xdr:row>3</xdr:row>
      <xdr:rowOff>84138</xdr:rowOff>
    </xdr:to>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DAB89C47-E14F-4AA5-AD23-82D24DFAD5E9}"/>
            </a:ext>
          </a:extLst>
        </xdr:cNvPr>
        <xdr:cNvSpPr/>
      </xdr:nvSpPr>
      <xdr:spPr>
        <a:xfrm>
          <a:off x="4611688" y="357188"/>
          <a:ext cx="1457325" cy="17145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Paint</a:t>
          </a:r>
        </a:p>
      </xdr:txBody>
    </xdr:sp>
    <xdr:clientData/>
  </xdr:twoCellAnchor>
  <xdr:twoCellAnchor>
    <xdr:from>
      <xdr:col>5</xdr:col>
      <xdr:colOff>31751</xdr:colOff>
      <xdr:row>2</xdr:row>
      <xdr:rowOff>87313</xdr:rowOff>
    </xdr:from>
    <xdr:to>
      <xdr:col>7</xdr:col>
      <xdr:colOff>282576</xdr:colOff>
      <xdr:row>3</xdr:row>
      <xdr:rowOff>68263</xdr:rowOff>
    </xdr:to>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A36EB5B1-455B-420F-B0D4-7834EC7D8BD0}"/>
            </a:ext>
          </a:extLst>
        </xdr:cNvPr>
        <xdr:cNvSpPr/>
      </xdr:nvSpPr>
      <xdr:spPr>
        <a:xfrm>
          <a:off x="6746876" y="341313"/>
          <a:ext cx="1457325" cy="17145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Packing</a:t>
          </a:r>
        </a:p>
      </xdr:txBody>
    </xdr:sp>
    <xdr:clientData/>
  </xdr:twoCellAnchor>
  <xdr:twoCellAnchor>
    <xdr:from>
      <xdr:col>2</xdr:col>
      <xdr:colOff>0</xdr:colOff>
      <xdr:row>545</xdr:row>
      <xdr:rowOff>0</xdr:rowOff>
    </xdr:from>
    <xdr:to>
      <xdr:col>3</xdr:col>
      <xdr:colOff>163513</xdr:colOff>
      <xdr:row>545</xdr:row>
      <xdr:rowOff>171450</xdr:rowOff>
    </xdr:to>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CCCF80A9-D22C-499F-9500-318C187BDA22}"/>
            </a:ext>
          </a:extLst>
        </xdr:cNvPr>
        <xdr:cNvSpPr/>
      </xdr:nvSpPr>
      <xdr:spPr>
        <a:xfrm>
          <a:off x="992188" y="72707500"/>
          <a:ext cx="1457325" cy="17145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Wood &amp; Plywood</a:t>
          </a:r>
        </a:p>
      </xdr:txBody>
    </xdr:sp>
    <xdr:clientData/>
  </xdr:twoCellAnchor>
  <xdr:twoCellAnchor>
    <xdr:from>
      <xdr:col>3</xdr:col>
      <xdr:colOff>722312</xdr:colOff>
      <xdr:row>545</xdr:row>
      <xdr:rowOff>0</xdr:rowOff>
    </xdr:from>
    <xdr:to>
      <xdr:col>3</xdr:col>
      <xdr:colOff>2179637</xdr:colOff>
      <xdr:row>545</xdr:row>
      <xdr:rowOff>171450</xdr:rowOff>
    </xdr:to>
    <xdr:sp macro="" textlink="">
      <xdr:nvSpPr>
        <xdr:cNvPr id="7" name="Rectangle: Rounded Corners 6">
          <a:hlinkClick xmlns:r="http://schemas.openxmlformats.org/officeDocument/2006/relationships" r:id="rId2"/>
          <a:extLst>
            <a:ext uri="{FF2B5EF4-FFF2-40B4-BE49-F238E27FC236}">
              <a16:creationId xmlns:a16="http://schemas.microsoft.com/office/drawing/2014/main" id="{FC8ABDA2-CF04-4157-A2AD-7537F1D35730}"/>
            </a:ext>
          </a:extLst>
        </xdr:cNvPr>
        <xdr:cNvSpPr/>
      </xdr:nvSpPr>
      <xdr:spPr>
        <a:xfrm>
          <a:off x="3008312" y="72707500"/>
          <a:ext cx="1457325" cy="17145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Metal &amp; Acrylic</a:t>
          </a:r>
        </a:p>
      </xdr:txBody>
    </xdr:sp>
    <xdr:clientData/>
  </xdr:twoCellAnchor>
  <xdr:twoCellAnchor>
    <xdr:from>
      <xdr:col>3</xdr:col>
      <xdr:colOff>2952750</xdr:colOff>
      <xdr:row>545</xdr:row>
      <xdr:rowOff>26459</xdr:rowOff>
    </xdr:from>
    <xdr:to>
      <xdr:col>4</xdr:col>
      <xdr:colOff>1211262</xdr:colOff>
      <xdr:row>546</xdr:row>
      <xdr:rowOff>7409</xdr:rowOff>
    </xdr:to>
    <xdr:sp macro="" textlink="">
      <xdr:nvSpPr>
        <xdr:cNvPr id="8" name="Rectangle: Rounded Corners 7">
          <a:hlinkClick xmlns:r="http://schemas.openxmlformats.org/officeDocument/2006/relationships" r:id="rId3"/>
          <a:extLst>
            <a:ext uri="{FF2B5EF4-FFF2-40B4-BE49-F238E27FC236}">
              <a16:creationId xmlns:a16="http://schemas.microsoft.com/office/drawing/2014/main" id="{3B4D8CDE-7349-4E5C-A2CA-8211BBA0062E}"/>
            </a:ext>
          </a:extLst>
        </xdr:cNvPr>
        <xdr:cNvSpPr/>
      </xdr:nvSpPr>
      <xdr:spPr>
        <a:xfrm>
          <a:off x="5238750" y="108600876"/>
          <a:ext cx="1454679" cy="17145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Paint</a:t>
          </a:r>
        </a:p>
      </xdr:txBody>
    </xdr:sp>
    <xdr:clientData/>
  </xdr:twoCellAnchor>
  <xdr:twoCellAnchor>
    <xdr:from>
      <xdr:col>5</xdr:col>
      <xdr:colOff>465666</xdr:colOff>
      <xdr:row>545</xdr:row>
      <xdr:rowOff>10583</xdr:rowOff>
    </xdr:from>
    <xdr:to>
      <xdr:col>7</xdr:col>
      <xdr:colOff>10054</xdr:colOff>
      <xdr:row>545</xdr:row>
      <xdr:rowOff>182033</xdr:rowOff>
    </xdr:to>
    <xdr:sp macro="" textlink="">
      <xdr:nvSpPr>
        <xdr:cNvPr id="9" name="Rectangle: Rounded Corners 8">
          <a:hlinkClick xmlns:r="http://schemas.openxmlformats.org/officeDocument/2006/relationships" r:id="rId4"/>
          <a:extLst>
            <a:ext uri="{FF2B5EF4-FFF2-40B4-BE49-F238E27FC236}">
              <a16:creationId xmlns:a16="http://schemas.microsoft.com/office/drawing/2014/main" id="{3246D01A-3799-4B41-BBA4-4859CBF0B874}"/>
            </a:ext>
          </a:extLst>
        </xdr:cNvPr>
        <xdr:cNvSpPr/>
      </xdr:nvSpPr>
      <xdr:spPr>
        <a:xfrm>
          <a:off x="7429499" y="108585000"/>
          <a:ext cx="1459972" cy="17145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Packing</a:t>
          </a:r>
        </a:p>
      </xdr:txBody>
    </xdr:sp>
    <xdr:clientData/>
  </xdr:twoCellAnchor>
  <xdr:twoCellAnchor editAs="oneCell">
    <xdr:from>
      <xdr:col>0</xdr:col>
      <xdr:colOff>0</xdr:colOff>
      <xdr:row>0</xdr:row>
      <xdr:rowOff>0</xdr:rowOff>
    </xdr:from>
    <xdr:to>
      <xdr:col>1</xdr:col>
      <xdr:colOff>2116</xdr:colOff>
      <xdr:row>0</xdr:row>
      <xdr:rowOff>305902</xdr:rowOff>
    </xdr:to>
    <xdr:pic>
      <xdr:nvPicPr>
        <xdr:cNvPr id="10" name="Picture 9" descr="Alpha Nero | Ichanical - Web Development | Mobile Apps | Branding | Big  Data Company Dubai">
          <a:extLst>
            <a:ext uri="{FF2B5EF4-FFF2-40B4-BE49-F238E27FC236}">
              <a16:creationId xmlns:a16="http://schemas.microsoft.com/office/drawing/2014/main" id="{0426DC9D-EADD-494B-A7D9-609ABD29D19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0"/>
          <a:ext cx="545041" cy="305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355600</xdr:colOff>
      <xdr:row>0</xdr:row>
      <xdr:rowOff>9523</xdr:rowOff>
    </xdr:from>
    <xdr:to>
      <xdr:col>30</xdr:col>
      <xdr:colOff>7408</xdr:colOff>
      <xdr:row>1</xdr:row>
      <xdr:rowOff>6348</xdr:rowOff>
    </xdr:to>
    <xdr:pic>
      <xdr:nvPicPr>
        <xdr:cNvPr id="11" name="Picture 10">
          <a:extLst>
            <a:ext uri="{FF2B5EF4-FFF2-40B4-BE49-F238E27FC236}">
              <a16:creationId xmlns:a16="http://schemas.microsoft.com/office/drawing/2014/main" id="{1F95323E-1428-4F42-95C1-C1A2C430AFA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319000" y="9523"/>
          <a:ext cx="309033" cy="311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1</xdr:col>
      <xdr:colOff>19050</xdr:colOff>
      <xdr:row>1</xdr:row>
      <xdr:rowOff>180975</xdr:rowOff>
    </xdr:from>
    <xdr:to>
      <xdr:col>10</xdr:col>
      <xdr:colOff>19050</xdr:colOff>
      <xdr:row>72</xdr:row>
      <xdr:rowOff>47625</xdr:rowOff>
    </xdr:to>
    <xdr:sp macro="" textlink="">
      <xdr:nvSpPr>
        <xdr:cNvPr id="2" name="Rectangle: Rounded Corners 1">
          <a:extLst>
            <a:ext uri="{FF2B5EF4-FFF2-40B4-BE49-F238E27FC236}">
              <a16:creationId xmlns:a16="http://schemas.microsoft.com/office/drawing/2014/main" id="{418ED5E9-18E8-438E-BC56-B99A979E8472}"/>
            </a:ext>
          </a:extLst>
        </xdr:cNvPr>
        <xdr:cNvSpPr/>
      </xdr:nvSpPr>
      <xdr:spPr>
        <a:xfrm>
          <a:off x="400050" y="495300"/>
          <a:ext cx="11858625" cy="17754600"/>
        </a:xfrm>
        <a:prstGeom prst="roundRect">
          <a:avLst>
            <a:gd name="adj" fmla="val 2978"/>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xdr:colOff>
      <xdr:row>7</xdr:row>
      <xdr:rowOff>66675</xdr:rowOff>
    </xdr:from>
    <xdr:to>
      <xdr:col>5</xdr:col>
      <xdr:colOff>9525</xdr:colOff>
      <xdr:row>8</xdr:row>
      <xdr:rowOff>161925</xdr:rowOff>
    </xdr:to>
    <xdr:sp macro="" textlink="">
      <xdr:nvSpPr>
        <xdr:cNvPr id="3" name="Rectangle: Rounded Corners 2">
          <a:extLst>
            <a:ext uri="{FF2B5EF4-FFF2-40B4-BE49-F238E27FC236}">
              <a16:creationId xmlns:a16="http://schemas.microsoft.com/office/drawing/2014/main" id="{BCDEA879-C562-4219-A93D-D1FDAAF42F2B}"/>
            </a:ext>
          </a:extLst>
        </xdr:cNvPr>
        <xdr:cNvSpPr/>
      </xdr:nvSpPr>
      <xdr:spPr>
        <a:xfrm>
          <a:off x="809625" y="1485900"/>
          <a:ext cx="5143500" cy="285750"/>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t>Enter any data</a:t>
          </a:r>
          <a:r>
            <a:rPr lang="en-IN" sz="1100" b="1" baseline="0"/>
            <a:t> </a:t>
          </a:r>
          <a:r>
            <a:rPr lang="en-IN" sz="1100" b="1"/>
            <a:t>in  Column (D to G) </a:t>
          </a:r>
        </a:p>
      </xdr:txBody>
    </xdr:sp>
    <xdr:clientData/>
  </xdr:twoCellAnchor>
  <xdr:twoCellAnchor editAs="oneCell">
    <xdr:from>
      <xdr:col>0</xdr:col>
      <xdr:colOff>0</xdr:colOff>
      <xdr:row>0</xdr:row>
      <xdr:rowOff>0</xdr:rowOff>
    </xdr:from>
    <xdr:to>
      <xdr:col>1</xdr:col>
      <xdr:colOff>47625</xdr:colOff>
      <xdr:row>0</xdr:row>
      <xdr:rowOff>314322</xdr:rowOff>
    </xdr:to>
    <xdr:pic>
      <xdr:nvPicPr>
        <xdr:cNvPr id="4" name="Picture 3" descr="Alpha Nero | Ichanical - Web Development | Mobile Apps | Branding | Big  Data Company Dubai">
          <a:extLst>
            <a:ext uri="{FF2B5EF4-FFF2-40B4-BE49-F238E27FC236}">
              <a16:creationId xmlns:a16="http://schemas.microsoft.com/office/drawing/2014/main" id="{84139ACA-F9BA-4FBA-A5C5-11FB5BE12F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33400" cy="3143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47210</xdr:colOff>
      <xdr:row>0</xdr:row>
      <xdr:rowOff>0</xdr:rowOff>
    </xdr:from>
    <xdr:to>
      <xdr:col>11</xdr:col>
      <xdr:colOff>364435</xdr:colOff>
      <xdr:row>0</xdr:row>
      <xdr:rowOff>304800</xdr:rowOff>
    </xdr:to>
    <xdr:pic>
      <xdr:nvPicPr>
        <xdr:cNvPr id="5" name="Picture 4">
          <a:extLst>
            <a:ext uri="{FF2B5EF4-FFF2-40B4-BE49-F238E27FC236}">
              <a16:creationId xmlns:a16="http://schemas.microsoft.com/office/drawing/2014/main" id="{DA1A030C-1487-4239-99DD-E2A38C9BE2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29685" y="0"/>
          <a:ext cx="31722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7.xml"/><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_rels/sheet18.xml.rels><?xml version="1.0" encoding="UTF-8" standalone="yes"?>
<Relationships xmlns="http://schemas.openxmlformats.org/package/2006/relationships"><Relationship Id="rId8" Type="http://schemas.openxmlformats.org/officeDocument/2006/relationships/hyperlink" Target="https://www.dewa.gov.ae/~/media/Files/Customer/Sustainability%20Reports/DEWA%20Sustainability%20Report%202019%20EN.ashx" TargetMode="External"/><Relationship Id="rId13" Type="http://schemas.openxmlformats.org/officeDocument/2006/relationships/hyperlink" Target="https://www.winnipeg.ca/finance/findata/matmgt/documents/2012/682-2012/682-2012_Appendix_H-WSTP_South_End_Plant_Process_Selection_Report/Appendix%207.pdf" TargetMode="External"/><Relationship Id="rId18" Type="http://schemas.openxmlformats.org/officeDocument/2006/relationships/hyperlink" Target="https://buildingtransparency.org/ec3/material-search" TargetMode="External"/><Relationship Id="rId26" Type="http://schemas.openxmlformats.org/officeDocument/2006/relationships/hyperlink" Target="https://buildingtransparency.org/ec3/material-search" TargetMode="External"/><Relationship Id="rId3" Type="http://schemas.openxmlformats.org/officeDocument/2006/relationships/hyperlink" Target="https://www.engineeringtoolbox.com/fuels-densities-specific-volumes-d_166.html" TargetMode="External"/><Relationship Id="rId21" Type="http://schemas.openxmlformats.org/officeDocument/2006/relationships/hyperlink" Target="https://buildingtransparency.org/ec3/material-search" TargetMode="External"/><Relationship Id="rId7" Type="http://schemas.openxmlformats.org/officeDocument/2006/relationships/hyperlink" Target="https://www.epa.gov/sites/default/files/2018-03/documents/emission-factors_mar_2018_0.pdf" TargetMode="External"/><Relationship Id="rId12" Type="http://schemas.openxmlformats.org/officeDocument/2006/relationships/hyperlink" Target="https://www.winnipeg.ca/finance/findata/matmgt/documents/2012/682-2012/682-2012_Appendix_H-WSTP_South_End_Plant_Process_Selection_Report/Appendix%207.pdf" TargetMode="External"/><Relationship Id="rId17" Type="http://schemas.openxmlformats.org/officeDocument/2006/relationships/hyperlink" Target="https://buildingtransparency.org/ec3/material-search" TargetMode="External"/><Relationship Id="rId25" Type="http://schemas.openxmlformats.org/officeDocument/2006/relationships/hyperlink" Target="https://legacy.winnipeg.ca/finance/findata/matmgt/documents/2012/682-2012/682-2012_Appendix_H-WSTP_South_End_Plant_Process_Selection_Report/Appendix%207.pdf" TargetMode="External"/><Relationship Id="rId2" Type="http://schemas.openxmlformats.org/officeDocument/2006/relationships/hyperlink" Target="http://www.env.gov.bc.ca/wsd/wrs/query/licences/help/unit_conv.pdf" TargetMode="External"/><Relationship Id="rId16" Type="http://schemas.openxmlformats.org/officeDocument/2006/relationships/hyperlink" Target="https://buildingtransparency.org/ec3/material-search" TargetMode="External"/><Relationship Id="rId20" Type="http://schemas.openxmlformats.org/officeDocument/2006/relationships/hyperlink" Target="https://buildingtransparency.org/ec3/material-search" TargetMode="External"/><Relationship Id="rId29" Type="http://schemas.openxmlformats.org/officeDocument/2006/relationships/hyperlink" Target="https://greenbuildingencyclopaedia.uk/wp-content/uploads/2014/07/Full-BSRIA-ICE-guide.pdf" TargetMode="External"/><Relationship Id="rId1" Type="http://schemas.openxmlformats.org/officeDocument/2006/relationships/hyperlink" Target="https://www.engineeringtoolbox.com/fuels-densities-specific-volumes-d_166.html" TargetMode="External"/><Relationship Id="rId6" Type="http://schemas.openxmlformats.org/officeDocument/2006/relationships/hyperlink" Target="https://www.ghgprotocol.org/sites/default/files/ghgp/Global-Warming-Potential-Values%20%28Feb%2016%202016%29_1.pdf" TargetMode="External"/><Relationship Id="rId11" Type="http://schemas.openxmlformats.org/officeDocument/2006/relationships/hyperlink" Target="https://www.winnipeg.ca/finance/findata/matmgt/documents/2012/682-2012/682-2012_Appendix_H-WSTP_South_End_Plant_Process_Selection_Report/Appendix%207.pdf" TargetMode="External"/><Relationship Id="rId24" Type="http://schemas.openxmlformats.org/officeDocument/2006/relationships/hyperlink" Target="https://consumerecology.com/carbon-footprint-of-a-cardboard-box/" TargetMode="External"/><Relationship Id="rId5" Type="http://schemas.openxmlformats.org/officeDocument/2006/relationships/hyperlink" Target="https://www.ghgprotocol.org/sites/default/files/ghgp/Global-Warming-Potential-Values%20%28Feb%2016%202016%29_1.pdf" TargetMode="External"/><Relationship Id="rId15" Type="http://schemas.openxmlformats.org/officeDocument/2006/relationships/hyperlink" Target="https://ethesis.lib.ku.ac.th/dspace/bitstream/123456789/455/1/6034550220.pdf" TargetMode="External"/><Relationship Id="rId23" Type="http://schemas.openxmlformats.org/officeDocument/2006/relationships/hyperlink" Target="https://legacy.winnipeg.ca/finance/findata/matmgt/documents/2012/682-2012/682-2012_Appendix_H-WSTP_South_End_Plant_Process_Selection_Report/Appendix%207.pdf" TargetMode="External"/><Relationship Id="rId28" Type="http://schemas.openxmlformats.org/officeDocument/2006/relationships/hyperlink" Target="https://buildingtransparency.org/ec3/material-search" TargetMode="External"/><Relationship Id="rId10" Type="http://schemas.openxmlformats.org/officeDocument/2006/relationships/hyperlink" Target="https://greenbuildingencyclopaedia.uk/wp-content/uploads/2014/07/Full-BSRIA-ICE-guide.pdf" TargetMode="External"/><Relationship Id="rId19" Type="http://schemas.openxmlformats.org/officeDocument/2006/relationships/hyperlink" Target="https://buildingtransparency.org/ec3/material-search" TargetMode="External"/><Relationship Id="rId31" Type="http://schemas.openxmlformats.org/officeDocument/2006/relationships/printerSettings" Target="../printerSettings/printerSettings8.bin"/><Relationship Id="rId4" Type="http://schemas.openxmlformats.org/officeDocument/2006/relationships/hyperlink" Target="https://www.iocl.com/products/LPGSpecifications.pdf" TargetMode="External"/><Relationship Id="rId9" Type="http://schemas.openxmlformats.org/officeDocument/2006/relationships/hyperlink" Target="https://greenbuildingencyclopaedia.uk/wp-content/uploads/2014/07/Full-BSRIA-ICE-guide.pdf" TargetMode="External"/><Relationship Id="rId14" Type="http://schemas.openxmlformats.org/officeDocument/2006/relationships/hyperlink" Target="https://www.winnipeg.ca/finance/findata/matmgt/documents/2012/682-2012/682-2012_Appendix_H-WSTP_South_End_Plant_Process_Selection_Report/Appendix%207.pdf" TargetMode="External"/><Relationship Id="rId22" Type="http://schemas.openxmlformats.org/officeDocument/2006/relationships/hyperlink" Target="https://buildingtransparency.org/ec3/material-search" TargetMode="External"/><Relationship Id="rId27" Type="http://schemas.openxmlformats.org/officeDocument/2006/relationships/hyperlink" Target="https://buildingtransparency.org/ec3/material-search" TargetMode="External"/><Relationship Id="rId30" Type="http://schemas.openxmlformats.org/officeDocument/2006/relationships/hyperlink" Target="https://buildingtransparency.org/ec3/material-search"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boulterplywood.com/melamin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A9903-DC10-429D-BFAD-876A2A6F110A}">
  <dimension ref="C2:M22"/>
  <sheetViews>
    <sheetView workbookViewId="0">
      <selection activeCell="I18" sqref="I18"/>
    </sheetView>
  </sheetViews>
  <sheetFormatPr defaultColWidth="9.42578125" defaultRowHeight="15" x14ac:dyDescent="0.25"/>
  <cols>
    <col min="1" max="4" width="9.42578125" style="26"/>
    <col min="5" max="5" width="11.5703125" style="26" customWidth="1"/>
    <col min="6" max="6" width="9.42578125" style="26"/>
    <col min="7" max="7" width="16.42578125" style="26" customWidth="1"/>
    <col min="8" max="8" width="27.7109375" style="26" customWidth="1"/>
    <col min="9" max="9" width="37.7109375" style="26" customWidth="1"/>
    <col min="10" max="16384" width="9.42578125" style="26"/>
  </cols>
  <sheetData>
    <row r="2" spans="3:13" ht="15.75" thickBot="1" x14ac:dyDescent="0.3"/>
    <row r="3" spans="3:13" x14ac:dyDescent="0.25">
      <c r="C3" s="58"/>
      <c r="D3" s="54"/>
      <c r="E3" s="54"/>
      <c r="F3" s="54"/>
      <c r="G3" s="54"/>
      <c r="H3" s="54"/>
      <c r="I3" s="54"/>
      <c r="J3" s="54"/>
      <c r="K3" s="54"/>
      <c r="L3" s="54"/>
      <c r="M3" s="60"/>
    </row>
    <row r="4" spans="3:13" ht="31.5" x14ac:dyDescent="0.5">
      <c r="C4" s="55"/>
      <c r="D4" s="842" t="s">
        <v>0</v>
      </c>
      <c r="E4" s="842"/>
      <c r="F4" s="842"/>
      <c r="G4" s="842"/>
      <c r="H4" s="842"/>
      <c r="I4" s="842"/>
      <c r="J4" s="842"/>
      <c r="K4" s="842"/>
      <c r="M4" s="56"/>
    </row>
    <row r="5" spans="3:13" x14ac:dyDescent="0.25">
      <c r="C5" s="55"/>
      <c r="M5" s="56"/>
    </row>
    <row r="6" spans="3:13" x14ac:dyDescent="0.25">
      <c r="C6" s="55"/>
      <c r="M6" s="56"/>
    </row>
    <row r="7" spans="3:13" ht="23.25" x14ac:dyDescent="0.35">
      <c r="C7" s="55"/>
      <c r="D7" s="87" t="s">
        <v>1</v>
      </c>
      <c r="E7" s="2"/>
      <c r="F7" s="2"/>
      <c r="G7" s="2"/>
      <c r="H7" s="1"/>
      <c r="I7" s="1"/>
      <c r="J7" s="1"/>
      <c r="K7" s="1"/>
      <c r="L7" s="1"/>
      <c r="M7" s="56"/>
    </row>
    <row r="8" spans="3:13" ht="15.75" thickBot="1" x14ac:dyDescent="0.3">
      <c r="C8" s="55"/>
      <c r="D8" s="1"/>
      <c r="E8" s="1"/>
      <c r="F8" s="1"/>
      <c r="G8" s="1"/>
      <c r="H8" s="1"/>
      <c r="I8" s="1"/>
      <c r="J8" s="1"/>
      <c r="K8" s="1"/>
      <c r="L8" s="1"/>
      <c r="M8" s="56"/>
    </row>
    <row r="9" spans="3:13" ht="15.75" x14ac:dyDescent="0.25">
      <c r="C9" s="55"/>
      <c r="D9" s="848" t="s">
        <v>2</v>
      </c>
      <c r="E9" s="849"/>
      <c r="F9" s="849" t="s">
        <v>3</v>
      </c>
      <c r="G9" s="849"/>
      <c r="H9" s="826" t="s">
        <v>4</v>
      </c>
      <c r="I9" s="826" t="s">
        <v>2362</v>
      </c>
      <c r="J9" s="849" t="s">
        <v>5</v>
      </c>
      <c r="K9" s="850"/>
      <c r="L9" s="1"/>
      <c r="M9" s="56"/>
    </row>
    <row r="10" spans="3:13" x14ac:dyDescent="0.25">
      <c r="C10" s="55"/>
      <c r="D10" s="843">
        <v>1</v>
      </c>
      <c r="E10" s="844"/>
      <c r="F10" s="845" t="s">
        <v>7</v>
      </c>
      <c r="G10" s="845"/>
      <c r="H10" s="51" t="s">
        <v>6</v>
      </c>
      <c r="I10" s="51"/>
      <c r="J10" s="846"/>
      <c r="K10" s="847"/>
      <c r="L10" s="1"/>
      <c r="M10" s="56"/>
    </row>
    <row r="11" spans="3:13" ht="14.25" customHeight="1" x14ac:dyDescent="0.25">
      <c r="C11" s="55"/>
      <c r="D11" s="843">
        <v>7</v>
      </c>
      <c r="E11" s="844"/>
      <c r="F11" s="845" t="s">
        <v>7</v>
      </c>
      <c r="G11" s="845"/>
      <c r="H11" s="52" t="s">
        <v>2338</v>
      </c>
      <c r="I11" s="51"/>
      <c r="J11" s="846"/>
      <c r="K11" s="847"/>
      <c r="L11" s="1"/>
      <c r="M11" s="56"/>
    </row>
    <row r="12" spans="3:13" ht="15" customHeight="1" x14ac:dyDescent="0.25">
      <c r="C12" s="55"/>
      <c r="D12" s="843">
        <v>8</v>
      </c>
      <c r="E12" s="844"/>
      <c r="F12" s="851" t="s">
        <v>2340</v>
      </c>
      <c r="G12" s="851"/>
      <c r="H12" s="52" t="s">
        <v>177</v>
      </c>
      <c r="I12" s="52" t="s">
        <v>2363</v>
      </c>
      <c r="J12" s="846"/>
      <c r="K12" s="847"/>
      <c r="L12" s="1"/>
      <c r="M12" s="56"/>
    </row>
    <row r="13" spans="3:13" x14ac:dyDescent="0.25">
      <c r="C13" s="55"/>
      <c r="D13" s="843"/>
      <c r="E13" s="844"/>
      <c r="F13" s="851"/>
      <c r="G13" s="851"/>
      <c r="H13" s="52"/>
      <c r="I13" s="52"/>
      <c r="J13" s="846"/>
      <c r="K13" s="847"/>
      <c r="L13" s="1"/>
      <c r="M13" s="56"/>
    </row>
    <row r="14" spans="3:13" x14ac:dyDescent="0.25">
      <c r="C14" s="55"/>
      <c r="D14" s="843"/>
      <c r="E14" s="844"/>
      <c r="F14" s="851"/>
      <c r="G14" s="851"/>
      <c r="H14" s="51"/>
      <c r="I14" s="51"/>
      <c r="J14" s="846"/>
      <c r="K14" s="847"/>
      <c r="L14" s="1"/>
      <c r="M14" s="56"/>
    </row>
    <row r="15" spans="3:13" ht="15.75" thickBot="1" x14ac:dyDescent="0.3">
      <c r="C15" s="55"/>
      <c r="D15" s="852"/>
      <c r="E15" s="853"/>
      <c r="F15" s="854"/>
      <c r="G15" s="854"/>
      <c r="H15" s="827"/>
      <c r="I15" s="827"/>
      <c r="J15" s="855"/>
      <c r="K15" s="856"/>
      <c r="L15" s="1"/>
      <c r="M15" s="56"/>
    </row>
    <row r="16" spans="3:13" x14ac:dyDescent="0.25">
      <c r="C16" s="55"/>
      <c r="D16" s="2"/>
      <c r="E16" s="2"/>
      <c r="F16" s="2"/>
      <c r="G16" s="2"/>
      <c r="H16" s="2"/>
      <c r="I16" s="2"/>
      <c r="J16" s="88"/>
      <c r="K16" s="88"/>
      <c r="L16" s="1"/>
      <c r="M16" s="56"/>
    </row>
    <row r="17" spans="3:13" x14ac:dyDescent="0.25">
      <c r="C17" s="55"/>
      <c r="D17" s="2"/>
      <c r="E17" s="2"/>
      <c r="F17" s="89" t="s">
        <v>8</v>
      </c>
      <c r="G17" s="2"/>
      <c r="H17" s="89"/>
      <c r="I17" s="2"/>
      <c r="J17" s="88"/>
      <c r="K17" s="88"/>
      <c r="L17" s="1"/>
      <c r="M17" s="56"/>
    </row>
    <row r="18" spans="3:13" x14ac:dyDescent="0.25">
      <c r="C18" s="55"/>
      <c r="D18" s="2"/>
      <c r="E18" s="2"/>
      <c r="F18" s="89" t="s">
        <v>9</v>
      </c>
      <c r="G18" s="2"/>
      <c r="H18" s="89"/>
      <c r="I18" s="2"/>
      <c r="J18" s="88"/>
      <c r="K18" s="88"/>
      <c r="L18" s="1"/>
      <c r="M18" s="56"/>
    </row>
    <row r="19" spans="3:13" ht="15.75" thickBot="1" x14ac:dyDescent="0.3">
      <c r="C19" s="57"/>
      <c r="D19" s="35"/>
      <c r="E19" s="35"/>
      <c r="F19" s="35"/>
      <c r="G19" s="35"/>
      <c r="H19" s="35"/>
      <c r="I19" s="35"/>
      <c r="J19" s="35"/>
      <c r="K19" s="35"/>
      <c r="L19" s="35"/>
      <c r="M19" s="61"/>
    </row>
    <row r="20" spans="3:13" x14ac:dyDescent="0.25">
      <c r="D20" s="1"/>
      <c r="E20" s="1"/>
      <c r="F20" s="1"/>
      <c r="G20" s="1"/>
      <c r="H20" s="1"/>
      <c r="I20" s="1"/>
      <c r="J20" s="1"/>
      <c r="K20" s="1"/>
      <c r="L20" s="1"/>
    </row>
    <row r="21" spans="3:13" x14ac:dyDescent="0.25">
      <c r="D21" s="1"/>
      <c r="E21" s="1"/>
      <c r="F21" s="1"/>
      <c r="G21" s="1"/>
      <c r="H21" s="1"/>
      <c r="I21" s="1"/>
      <c r="J21" s="1"/>
      <c r="K21" s="1"/>
      <c r="L21" s="1"/>
    </row>
    <row r="22" spans="3:13" x14ac:dyDescent="0.25">
      <c r="D22" s="1"/>
      <c r="E22" s="1"/>
      <c r="F22"/>
      <c r="G22" s="1"/>
      <c r="H22" s="1"/>
      <c r="I22" s="1"/>
      <c r="J22" s="1"/>
      <c r="K22" s="1"/>
      <c r="L22" s="1"/>
    </row>
  </sheetData>
  <mergeCells count="22">
    <mergeCell ref="D15:E15"/>
    <mergeCell ref="F15:G15"/>
    <mergeCell ref="J15:K15"/>
    <mergeCell ref="D13:E13"/>
    <mergeCell ref="F13:G13"/>
    <mergeCell ref="J13:K13"/>
    <mergeCell ref="D14:E14"/>
    <mergeCell ref="F14:G14"/>
    <mergeCell ref="J14:K14"/>
    <mergeCell ref="D11:E11"/>
    <mergeCell ref="F11:G11"/>
    <mergeCell ref="J11:K11"/>
    <mergeCell ref="D12:E12"/>
    <mergeCell ref="F12:G12"/>
    <mergeCell ref="J12:K12"/>
    <mergeCell ref="D4:K4"/>
    <mergeCell ref="D10:E10"/>
    <mergeCell ref="F10:G10"/>
    <mergeCell ref="J10:K10"/>
    <mergeCell ref="D9:E9"/>
    <mergeCell ref="F9:G9"/>
    <mergeCell ref="J9:K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8"/>
  <sheetViews>
    <sheetView topLeftCell="A12" zoomScaleNormal="100" workbookViewId="0">
      <selection activeCell="F22" sqref="F22"/>
    </sheetView>
  </sheetViews>
  <sheetFormatPr defaultColWidth="9.140625" defaultRowHeight="15" x14ac:dyDescent="0.25"/>
  <cols>
    <col min="1" max="1" width="8.140625" style="26" customWidth="1"/>
    <col min="2" max="2" width="7.140625" style="26" customWidth="1"/>
    <col min="3" max="4" width="5" style="26" customWidth="1"/>
    <col min="5" max="5" width="42.42578125" style="26" customWidth="1"/>
    <col min="6" max="6" width="29.140625" style="26" customWidth="1"/>
    <col min="7" max="7" width="24.140625" style="47" customWidth="1"/>
    <col min="8" max="9" width="22.42578125" style="67" customWidth="1"/>
    <col min="10" max="10" width="6.140625" style="26" customWidth="1"/>
    <col min="11" max="11" width="6" style="26" customWidth="1"/>
    <col min="12" max="12" width="1.85546875" style="26" customWidth="1"/>
    <col min="13" max="13" width="1.5703125" style="26" customWidth="1"/>
    <col min="14" max="14" width="1.85546875" style="26" customWidth="1"/>
    <col min="15" max="15" width="5.140625" style="26" customWidth="1"/>
    <col min="16" max="16" width="1.28515625" style="26" customWidth="1"/>
    <col min="17" max="16384" width="9.140625" style="26"/>
  </cols>
  <sheetData>
    <row r="1" spans="1:33" ht="24.95" customHeight="1" x14ac:dyDescent="0.35">
      <c r="A1" s="375"/>
      <c r="B1" s="375"/>
      <c r="C1" s="375"/>
      <c r="D1" s="375"/>
      <c r="E1" s="375"/>
      <c r="F1" s="857" t="s">
        <v>176</v>
      </c>
      <c r="G1" s="857"/>
      <c r="H1" s="375"/>
      <c r="I1" s="377"/>
      <c r="J1" s="375"/>
      <c r="K1" s="375"/>
      <c r="L1" s="375"/>
      <c r="M1" s="375"/>
      <c r="N1" s="375"/>
      <c r="O1" s="377"/>
      <c r="P1" s="377"/>
      <c r="Q1" s="135"/>
      <c r="R1" s="135"/>
      <c r="S1" s="135"/>
      <c r="T1" s="135"/>
      <c r="U1" s="135"/>
      <c r="V1" s="135"/>
      <c r="W1" s="135"/>
      <c r="X1" s="135"/>
      <c r="Y1" s="135"/>
      <c r="Z1" s="135"/>
      <c r="AA1" s="135"/>
      <c r="AB1" s="135"/>
      <c r="AC1" s="135"/>
      <c r="AD1" s="135"/>
      <c r="AE1" s="135"/>
      <c r="AF1" s="135"/>
      <c r="AG1" s="135"/>
    </row>
    <row r="2" spans="1:33" ht="20.100000000000001" customHeight="1" x14ac:dyDescent="0.25"/>
    <row r="3" spans="1:33" ht="15" customHeight="1" x14ac:dyDescent="0.25"/>
    <row r="4" spans="1:33" ht="30.75" customHeight="1" x14ac:dyDescent="0.35">
      <c r="E4" s="138"/>
      <c r="F4" s="2"/>
      <c r="G4" s="2"/>
      <c r="H4" s="139"/>
      <c r="I4" s="139"/>
    </row>
    <row r="5" spans="1:33" ht="21" x14ac:dyDescent="0.35">
      <c r="E5" s="138"/>
      <c r="F5" s="2"/>
      <c r="G5" s="2"/>
      <c r="H5" s="139"/>
      <c r="I5" s="139"/>
    </row>
    <row r="6" spans="1:33" ht="18.75" customHeight="1" x14ac:dyDescent="0.25">
      <c r="E6" s="224" t="s">
        <v>111</v>
      </c>
      <c r="F6" s="225"/>
      <c r="G6" s="2"/>
      <c r="H6" s="139"/>
      <c r="I6" s="139"/>
    </row>
    <row r="7" spans="1:33" ht="15.75" customHeight="1" x14ac:dyDescent="0.25">
      <c r="E7" s="140"/>
      <c r="F7" s="2"/>
      <c r="G7" s="2"/>
      <c r="H7" s="139"/>
      <c r="I7" s="139"/>
    </row>
    <row r="8" spans="1:33" ht="19.5" customHeight="1" x14ac:dyDescent="0.25">
      <c r="F8" s="217" t="s">
        <v>112</v>
      </c>
      <c r="G8" s="141"/>
      <c r="H8" s="142"/>
      <c r="I8" s="142"/>
    </row>
    <row r="9" spans="1:33" ht="15.75" x14ac:dyDescent="0.25">
      <c r="E9" s="200" t="s">
        <v>113</v>
      </c>
      <c r="F9" s="201">
        <f>SUM(F23:F24)</f>
        <v>528.42591000000004</v>
      </c>
      <c r="G9" s="50"/>
      <c r="H9" s="68"/>
      <c r="I9" s="68"/>
    </row>
    <row r="10" spans="1:33" ht="15.75" x14ac:dyDescent="0.25">
      <c r="E10" s="734" t="s">
        <v>114</v>
      </c>
      <c r="F10" s="734">
        <f>F22</f>
        <v>171.29925339999997</v>
      </c>
      <c r="G10" s="143"/>
      <c r="H10" s="144"/>
      <c r="I10" s="144"/>
    </row>
    <row r="11" spans="1:33" ht="15.75" x14ac:dyDescent="0.25">
      <c r="E11" s="202" t="s">
        <v>115</v>
      </c>
      <c r="F11" s="203">
        <f>SUM(F25:F30)</f>
        <v>41.445637095526031</v>
      </c>
      <c r="G11" s="143"/>
      <c r="H11" s="144"/>
      <c r="I11" s="144"/>
    </row>
    <row r="12" spans="1:33" ht="18.75" x14ac:dyDescent="0.25">
      <c r="E12" s="222" t="s">
        <v>116</v>
      </c>
      <c r="F12" s="223">
        <f>SUM(F9:F11)</f>
        <v>741.17080049552612</v>
      </c>
      <c r="G12" s="145"/>
      <c r="H12" s="146"/>
      <c r="I12" s="146"/>
    </row>
    <row r="13" spans="1:33" ht="15.75" x14ac:dyDescent="0.25">
      <c r="E13" s="147"/>
      <c r="F13" s="145"/>
      <c r="G13" s="145"/>
      <c r="H13" s="146"/>
      <c r="I13" s="146"/>
    </row>
    <row r="14" spans="1:33" ht="15.75" x14ac:dyDescent="0.25">
      <c r="E14" s="147"/>
      <c r="F14" s="145"/>
      <c r="G14" s="145"/>
      <c r="H14" s="146"/>
      <c r="I14" s="146"/>
    </row>
    <row r="15" spans="1:33" ht="15.75" x14ac:dyDescent="0.25">
      <c r="E15" s="148"/>
      <c r="F15" s="145"/>
      <c r="G15" s="145"/>
      <c r="H15" s="146"/>
      <c r="I15" s="146"/>
    </row>
    <row r="16" spans="1:33" ht="15.75" x14ac:dyDescent="0.25">
      <c r="E16" s="148"/>
      <c r="F16" s="145"/>
      <c r="G16" s="145"/>
      <c r="H16" s="146"/>
      <c r="I16" s="146"/>
    </row>
    <row r="17" spans="5:9" x14ac:dyDescent="0.25">
      <c r="F17" s="2"/>
      <c r="G17" s="2"/>
      <c r="H17" s="139"/>
      <c r="I17" s="139"/>
    </row>
    <row r="18" spans="5:9" x14ac:dyDescent="0.25">
      <c r="F18" s="2"/>
      <c r="G18" s="2"/>
      <c r="H18" s="139"/>
      <c r="I18" s="139"/>
    </row>
    <row r="19" spans="5:9" ht="15.75" customHeight="1" x14ac:dyDescent="0.25">
      <c r="E19" s="226" t="s">
        <v>117</v>
      </c>
      <c r="F19" s="27"/>
      <c r="G19" s="27"/>
      <c r="H19" s="149"/>
      <c r="I19" s="149"/>
    </row>
    <row r="20" spans="5:9" x14ac:dyDescent="0.25">
      <c r="E20" s="150"/>
    </row>
    <row r="21" spans="5:9" ht="15.75" x14ac:dyDescent="0.25">
      <c r="E21" s="221" t="s">
        <v>118</v>
      </c>
      <c r="F21" s="221" t="s">
        <v>119</v>
      </c>
      <c r="G21" s="221" t="s">
        <v>120</v>
      </c>
      <c r="H21" s="66" t="s">
        <v>121</v>
      </c>
      <c r="I21" s="66" t="s">
        <v>122</v>
      </c>
    </row>
    <row r="22" spans="5:9" x14ac:dyDescent="0.25">
      <c r="E22" s="52" t="s">
        <v>123</v>
      </c>
      <c r="F22" s="124">
        <f>'Electrical Energy Consumption'!E29</f>
        <v>171.29925339999997</v>
      </c>
      <c r="G22" s="49" t="s">
        <v>124</v>
      </c>
      <c r="H22" s="227" t="s">
        <v>114</v>
      </c>
      <c r="I22" s="96"/>
    </row>
    <row r="23" spans="5:9" x14ac:dyDescent="0.25">
      <c r="E23" s="59" t="s">
        <v>171</v>
      </c>
      <c r="F23" s="152">
        <f>'Vehicles Emission'!Q37</f>
        <v>528.42591000000004</v>
      </c>
      <c r="G23" s="49" t="s">
        <v>124</v>
      </c>
      <c r="H23" s="199" t="s">
        <v>113</v>
      </c>
      <c r="I23" s="97"/>
    </row>
    <row r="24" spans="5:9" x14ac:dyDescent="0.25">
      <c r="E24" s="59" t="s">
        <v>1841</v>
      </c>
      <c r="F24" s="124" t="s">
        <v>125</v>
      </c>
      <c r="G24" s="49" t="s">
        <v>124</v>
      </c>
      <c r="H24" s="199" t="s">
        <v>113</v>
      </c>
      <c r="I24" s="96"/>
    </row>
    <row r="25" spans="5:9" x14ac:dyDescent="0.25">
      <c r="E25" s="52" t="s">
        <v>126</v>
      </c>
      <c r="F25" s="124">
        <f>'Water Consumption'!E26</f>
        <v>14.807814629713768</v>
      </c>
      <c r="G25" s="49" t="s">
        <v>124</v>
      </c>
      <c r="H25" s="198" t="s">
        <v>115</v>
      </c>
      <c r="I25" s="97"/>
    </row>
    <row r="26" spans="5:9" x14ac:dyDescent="0.25">
      <c r="E26" s="52" t="s">
        <v>127</v>
      </c>
      <c r="F26" s="124">
        <f>'Wood &amp; Plywood '!Q78+'Metals &amp; Acrylic'!N76+'Metals &amp; Acrylic'!O76+'Paint Consumption'!AD75+'Packing material'!K75</f>
        <v>6.8744035215849597E-2</v>
      </c>
      <c r="G26" s="49" t="s">
        <v>124</v>
      </c>
      <c r="H26" s="198" t="s">
        <v>115</v>
      </c>
      <c r="I26" s="97"/>
    </row>
    <row r="27" spans="5:9" x14ac:dyDescent="0.25">
      <c r="E27" s="40" t="s">
        <v>128</v>
      </c>
      <c r="F27" s="124">
        <f>'Waste Generation'!E26</f>
        <v>4.45</v>
      </c>
      <c r="G27" s="49" t="s">
        <v>124</v>
      </c>
      <c r="H27" s="198" t="s">
        <v>115</v>
      </c>
      <c r="I27" s="97"/>
    </row>
    <row r="28" spans="5:9" x14ac:dyDescent="0.25">
      <c r="E28" s="52" t="s">
        <v>129</v>
      </c>
      <c r="F28" s="152">
        <f>'Employee Commute'!R23</f>
        <v>21.173334680596419</v>
      </c>
      <c r="G28" s="49" t="s">
        <v>124</v>
      </c>
      <c r="H28" s="198" t="s">
        <v>115</v>
      </c>
      <c r="I28" s="97"/>
    </row>
    <row r="29" spans="5:9" ht="17.45" customHeight="1" x14ac:dyDescent="0.25">
      <c r="E29" s="52" t="s">
        <v>130</v>
      </c>
      <c r="F29" s="152">
        <f>SUM('Air travel'!M14:M73)</f>
        <v>0.1215</v>
      </c>
      <c r="G29" s="49" t="s">
        <v>124</v>
      </c>
      <c r="H29" s="198" t="s">
        <v>115</v>
      </c>
      <c r="I29" s="97"/>
    </row>
    <row r="30" spans="5:9" ht="17.45" customHeight="1" x14ac:dyDescent="0.25">
      <c r="E30" s="52" t="s">
        <v>2356</v>
      </c>
      <c r="F30" s="152">
        <f>SUM(Frieght!K14:K73)</f>
        <v>0.82424375000000005</v>
      </c>
      <c r="G30" s="49" t="s">
        <v>124</v>
      </c>
      <c r="H30" s="198" t="s">
        <v>115</v>
      </c>
      <c r="I30" s="97"/>
    </row>
    <row r="31" spans="5:9" ht="17.45" customHeight="1" x14ac:dyDescent="0.3">
      <c r="E31" s="218" t="s">
        <v>131</v>
      </c>
      <c r="F31" s="219">
        <f>SUM(F22:F29)</f>
        <v>740.34655674552619</v>
      </c>
      <c r="G31" s="220" t="s">
        <v>124</v>
      </c>
      <c r="H31" s="735"/>
      <c r="I31" s="735"/>
    </row>
    <row r="32" spans="5:9" x14ac:dyDescent="0.25">
      <c r="G32" s="26"/>
    </row>
    <row r="33" spans="5:7" x14ac:dyDescent="0.25">
      <c r="G33" s="26"/>
    </row>
    <row r="34" spans="5:7" x14ac:dyDescent="0.25">
      <c r="G34" s="26"/>
    </row>
    <row r="37" spans="5:7" ht="15.75" customHeight="1" x14ac:dyDescent="0.25"/>
    <row r="38" spans="5:7" x14ac:dyDescent="0.25">
      <c r="E38" s="90"/>
    </row>
  </sheetData>
  <sortState xmlns:xlrd2="http://schemas.microsoft.com/office/spreadsheetml/2017/richdata2" ref="E22:I24">
    <sortCondition sortBy="cellColor" ref="E22:E24" dxfId="0"/>
  </sortState>
  <mergeCells count="1">
    <mergeCell ref="F1:G1"/>
  </mergeCells>
  <phoneticPr fontId="3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A372E-86A4-4624-8D51-15219A7DB587}">
  <dimension ref="A1:AS301"/>
  <sheetViews>
    <sheetView topLeftCell="A25" workbookViewId="0">
      <selection activeCell="AH25" sqref="AH25"/>
    </sheetView>
  </sheetViews>
  <sheetFormatPr defaultColWidth="8.5703125" defaultRowHeight="15" x14ac:dyDescent="0.25"/>
  <cols>
    <col min="1" max="1" width="3.5703125" style="111" customWidth="1"/>
    <col min="2" max="2" width="2.85546875" style="111" customWidth="1"/>
    <col min="3" max="3" width="3.85546875" style="111" customWidth="1"/>
    <col min="4" max="4" width="8.7109375" style="111" customWidth="1"/>
    <col min="5" max="6" width="11.28515625" style="111" customWidth="1"/>
    <col min="7" max="32" width="4.5703125" style="111" customWidth="1"/>
    <col min="33" max="33" width="3.42578125" style="111" customWidth="1"/>
    <col min="34" max="34" width="11.5703125" style="111" customWidth="1"/>
    <col min="35" max="35" width="7.7109375" style="111" customWidth="1"/>
    <col min="36" max="36" width="5.140625" style="111" customWidth="1"/>
    <col min="37" max="37" width="1.140625" style="111" customWidth="1"/>
    <col min="38" max="61" width="4.85546875" style="111" customWidth="1"/>
    <col min="62" max="62" width="5.28515625" style="111" customWidth="1"/>
    <col min="63" max="63" width="4.7109375" style="111" customWidth="1"/>
    <col min="64" max="64" width="5.28515625" style="111" customWidth="1"/>
    <col min="65" max="65" width="5.5703125" style="111" customWidth="1"/>
    <col min="66" max="16384" width="8.5703125" style="111"/>
  </cols>
  <sheetData>
    <row r="1" spans="1:37" s="1" customFormat="1" ht="24.95" customHeight="1" x14ac:dyDescent="0.35">
      <c r="A1" s="378"/>
      <c r="B1" s="378"/>
      <c r="C1" s="378"/>
      <c r="D1" s="378"/>
      <c r="E1" s="378"/>
      <c r="F1" s="379"/>
      <c r="G1" s="378"/>
      <c r="H1" s="378"/>
      <c r="I1" s="380"/>
      <c r="J1" s="379"/>
      <c r="K1" s="378"/>
      <c r="L1" s="378"/>
      <c r="M1" s="378"/>
      <c r="N1" s="378"/>
      <c r="O1" s="379" t="s">
        <v>217</v>
      </c>
      <c r="P1" s="380"/>
      <c r="Q1" s="378"/>
      <c r="R1" s="378"/>
      <c r="S1" s="378"/>
      <c r="T1" s="378"/>
      <c r="U1" s="378"/>
      <c r="V1" s="378"/>
      <c r="W1" s="378"/>
      <c r="X1" s="378"/>
      <c r="Y1" s="378"/>
      <c r="Z1" s="378"/>
      <c r="AA1" s="378"/>
      <c r="AB1" s="378"/>
      <c r="AC1" s="378"/>
      <c r="AD1" s="378"/>
      <c r="AE1" s="378"/>
      <c r="AF1" s="378"/>
      <c r="AG1" s="378"/>
      <c r="AH1" s="378"/>
      <c r="AI1" s="375"/>
      <c r="AJ1" s="378"/>
      <c r="AK1" s="375"/>
    </row>
    <row r="2" spans="1:37" s="1" customFormat="1" ht="15" customHeight="1" x14ac:dyDescent="0.25">
      <c r="B2" s="154"/>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row>
    <row r="3" spans="1:37" s="1" customFormat="1" ht="12" customHeight="1" x14ac:dyDescent="0.25">
      <c r="B3" s="154"/>
      <c r="C3" s="154"/>
      <c r="D3" s="154"/>
      <c r="E3" s="154"/>
      <c r="F3" s="154"/>
      <c r="G3" s="154"/>
      <c r="H3" s="154"/>
      <c r="I3" s="154"/>
      <c r="J3" s="154"/>
      <c r="K3" s="154"/>
      <c r="L3" s="154"/>
      <c r="M3" s="154"/>
      <c r="N3" s="154"/>
      <c r="O3" s="154"/>
      <c r="P3" s="154"/>
      <c r="Q3" s="154"/>
      <c r="R3" s="154"/>
      <c r="S3" s="154"/>
      <c r="T3" s="154"/>
      <c r="U3" s="154"/>
      <c r="V3" s="154"/>
      <c r="W3" s="154"/>
      <c r="X3" s="154"/>
      <c r="Y3" s="154"/>
      <c r="Z3" s="154"/>
      <c r="AA3" s="154"/>
      <c r="AB3" s="154"/>
      <c r="AC3" s="154"/>
      <c r="AD3" s="154"/>
      <c r="AE3" s="154"/>
      <c r="AF3" s="154"/>
      <c r="AG3" s="154"/>
      <c r="AH3" s="154"/>
    </row>
    <row r="4" spans="1:37" s="1" customFormat="1" x14ac:dyDescent="0.25">
      <c r="B4" s="154"/>
      <c r="C4" s="154"/>
      <c r="D4" s="154"/>
      <c r="E4" s="204"/>
      <c r="F4" s="156"/>
      <c r="G4" s="156"/>
      <c r="H4" s="156"/>
      <c r="I4" s="156"/>
      <c r="J4" s="153"/>
      <c r="K4" s="153"/>
      <c r="L4" s="153"/>
      <c r="M4" s="153"/>
      <c r="N4" s="153"/>
      <c r="O4" s="153"/>
      <c r="P4" s="153"/>
      <c r="Q4" s="153"/>
      <c r="R4" s="153"/>
      <c r="S4" s="154"/>
      <c r="T4" s="154"/>
      <c r="U4" s="154"/>
      <c r="V4" s="154"/>
      <c r="W4" s="154"/>
      <c r="X4" s="154"/>
      <c r="Y4" s="154"/>
      <c r="Z4" s="154"/>
      <c r="AA4" s="154"/>
      <c r="AB4" s="154"/>
      <c r="AC4" s="154"/>
      <c r="AD4" s="154"/>
      <c r="AE4" s="154"/>
      <c r="AF4" s="154"/>
      <c r="AG4" s="154"/>
      <c r="AH4" s="154"/>
    </row>
    <row r="5" spans="1:37" s="1" customFormat="1" x14ac:dyDescent="0.25">
      <c r="B5" s="154"/>
      <c r="C5" s="154"/>
      <c r="D5" s="154"/>
      <c r="E5" s="155"/>
      <c r="F5" s="156"/>
      <c r="G5" s="156"/>
      <c r="H5" s="156"/>
      <c r="I5" s="156"/>
      <c r="J5" s="153"/>
      <c r="K5" s="153"/>
      <c r="L5" s="153"/>
      <c r="M5" s="153"/>
      <c r="N5" s="153"/>
      <c r="O5" s="153"/>
      <c r="P5" s="153"/>
      <c r="Q5" s="153"/>
      <c r="R5" s="153"/>
      <c r="S5" s="154"/>
      <c r="T5" s="154"/>
      <c r="U5" s="154"/>
      <c r="V5" s="154"/>
      <c r="W5" s="154"/>
      <c r="X5" s="154"/>
      <c r="Y5" s="154"/>
      <c r="Z5" s="154"/>
      <c r="AA5" s="154"/>
      <c r="AB5" s="154"/>
      <c r="AC5" s="154"/>
      <c r="AD5" s="154"/>
      <c r="AE5" s="154"/>
      <c r="AF5" s="154"/>
      <c r="AG5" s="154"/>
      <c r="AH5" s="154"/>
    </row>
    <row r="6" spans="1:37" x14ac:dyDescent="0.25">
      <c r="B6" s="157"/>
      <c r="C6" s="157"/>
      <c r="D6" s="165"/>
      <c r="E6" s="205"/>
      <c r="F6" s="206"/>
      <c r="G6" s="166"/>
      <c r="H6" s="166"/>
      <c r="I6" s="166"/>
      <c r="J6" s="166"/>
      <c r="K6" s="166"/>
      <c r="L6" s="166"/>
      <c r="M6" s="166"/>
      <c r="N6" s="166"/>
      <c r="O6" s="166"/>
      <c r="P6" s="166"/>
      <c r="Q6" s="166"/>
      <c r="R6" s="166"/>
      <c r="S6" s="166"/>
      <c r="T6" s="166"/>
      <c r="U6" s="166"/>
      <c r="V6" s="166"/>
      <c r="W6" s="166"/>
      <c r="X6" s="166"/>
      <c r="Y6" s="166"/>
      <c r="Z6" s="166"/>
      <c r="AA6" s="166"/>
      <c r="AB6" s="166"/>
      <c r="AC6" s="166"/>
      <c r="AD6" s="166"/>
      <c r="AE6" s="166"/>
      <c r="AF6" s="158"/>
      <c r="AG6" s="157"/>
      <c r="AH6" s="157"/>
    </row>
    <row r="7" spans="1:37" s="114" customFormat="1" ht="62.25" customHeight="1" x14ac:dyDescent="0.25">
      <c r="B7" s="159"/>
      <c r="C7" s="159"/>
      <c r="D7" s="159"/>
      <c r="E7" s="263" t="s">
        <v>132</v>
      </c>
      <c r="F7" s="240" t="s">
        <v>247</v>
      </c>
      <c r="G7" s="885" t="s">
        <v>243</v>
      </c>
      <c r="H7" s="885"/>
      <c r="I7" s="885"/>
      <c r="J7" s="885"/>
      <c r="K7" s="885"/>
      <c r="L7" s="885"/>
      <c r="M7" s="885"/>
      <c r="N7" s="885"/>
      <c r="O7" s="885"/>
      <c r="P7" s="885"/>
      <c r="Q7" s="885"/>
      <c r="R7" s="885"/>
      <c r="S7" s="885"/>
      <c r="T7" s="885"/>
      <c r="U7" s="885"/>
      <c r="V7" s="885"/>
      <c r="W7" s="885"/>
      <c r="X7" s="885"/>
      <c r="Y7" s="885"/>
      <c r="Z7" s="885"/>
      <c r="AA7" s="885"/>
      <c r="AB7" s="885"/>
      <c r="AC7" s="885"/>
      <c r="AD7" s="885"/>
      <c r="AE7" s="885"/>
      <c r="AF7" s="159"/>
      <c r="AG7" s="159"/>
      <c r="AH7" s="159"/>
    </row>
    <row r="8" spans="1:37" x14ac:dyDescent="0.25">
      <c r="B8" s="157"/>
      <c r="C8" s="157"/>
      <c r="D8" s="157"/>
      <c r="E8" s="264" t="s">
        <v>135</v>
      </c>
      <c r="F8" s="264">
        <f>60-COUNTBLANK('Project Details Entry'!H$13:H$72)</f>
        <v>11</v>
      </c>
      <c r="G8" s="837" t="str">
        <f>IF($F$8-0&gt;0,'Project Details Entry'!$H$79," ")</f>
        <v>A201</v>
      </c>
      <c r="H8" s="837" t="str">
        <f>IF($F$8-1&gt;0,'Project Details Entry'!$H$80," ")</f>
        <v>AN04</v>
      </c>
      <c r="I8" s="837" t="str">
        <f>IF($F$8-2&gt;0,'Project Details Entry'!$H$81," ")</f>
        <v>AN07</v>
      </c>
      <c r="J8" s="837" t="str">
        <f>IF($F$8-3&gt;0,'Project Details Entry'!$H$82," ")</f>
        <v>AN10</v>
      </c>
      <c r="K8" s="837" t="str">
        <f>IF($F$8-4&gt;0,'Project Details Entry'!$H$83,"")</f>
        <v>AN14</v>
      </c>
      <c r="L8" s="837" t="str">
        <f>IF($F$8-5&gt;0,'Project Details Entry'!$H$84," ")</f>
        <v>AN17</v>
      </c>
      <c r="M8" s="837" t="str">
        <f>IF($F$8-6&gt;0,'Project Details Entry'!$H$85," ")</f>
        <v>AN20</v>
      </c>
      <c r="N8" s="837" t="str">
        <f>IF($F$8-7&gt;0,'Project Details Entry'!$H$86," ")</f>
        <v>AN22</v>
      </c>
      <c r="O8" s="837" t="str">
        <f>IF($F$8-8&gt;0,'Project Details Entry'!$H$87," ")</f>
        <v>AN23</v>
      </c>
      <c r="P8" s="837" t="str">
        <f>IF($F$8-9&gt;0,'Project Details Entry'!$H$88," ")</f>
        <v>AN24</v>
      </c>
      <c r="Q8" s="837" t="str">
        <f>IF($F$8-10&gt;0,'Project Details Entry'!$H$89," ")</f>
        <v>AN25</v>
      </c>
      <c r="R8" s="837" t="str">
        <f>IF($F$8-11&gt;0,'Project Details Entry'!$H$90," ")</f>
        <v xml:space="preserve"> </v>
      </c>
      <c r="S8" s="837" t="str">
        <f>IF($F$8-12&gt;0,'Project Details Entry'!$H$91," ")</f>
        <v xml:space="preserve"> </v>
      </c>
      <c r="T8" s="837" t="str">
        <f>IF($F$8-13&gt;0,'Project Details Entry'!$H$92," ")</f>
        <v xml:space="preserve"> </v>
      </c>
      <c r="U8" s="837" t="str">
        <f>IF($F$8-14&gt;0,'Project Details Entry'!$H$93," ")</f>
        <v xml:space="preserve"> </v>
      </c>
      <c r="V8" s="837" t="str">
        <f>IF($F$8-15&gt;0,'Project Details Entry'!$H$94," ")</f>
        <v xml:space="preserve"> </v>
      </c>
      <c r="W8" s="837" t="str">
        <f>IF($F$8-16&gt;0,'Project Details Entry'!$H$95," ")</f>
        <v xml:space="preserve"> </v>
      </c>
      <c r="X8" s="837" t="str">
        <f>IF($F$8-17&gt;0,'Project Details Entry'!$H$96," ")</f>
        <v xml:space="preserve"> </v>
      </c>
      <c r="Y8" s="837" t="str">
        <f>IF($F$8-18&gt;0,'Project Details Entry'!$H$97," ")</f>
        <v xml:space="preserve"> </v>
      </c>
      <c r="Z8" s="837" t="str">
        <f>IF($F$8-19&gt;0,'Project Details Entry'!$H$98," ")</f>
        <v xml:space="preserve"> </v>
      </c>
      <c r="AA8" s="837" t="str">
        <f>IF($F$8-20&gt;0,'Project Details Entry'!$H$99," ")</f>
        <v xml:space="preserve"> </v>
      </c>
      <c r="AB8" s="837" t="str">
        <f>IF($F$8-21&gt;0,'Project Details Entry'!$H$100," ")</f>
        <v xml:space="preserve"> </v>
      </c>
      <c r="AC8" s="837" t="str">
        <f>IF($F$8-22&gt;0,'Project Details Entry'!$H$101," ")</f>
        <v xml:space="preserve"> </v>
      </c>
      <c r="AD8" s="837" t="str">
        <f>IF($F$8-23&gt;0,'Project Details Entry'!$H$102," ")</f>
        <v xml:space="preserve"> </v>
      </c>
      <c r="AE8" s="837" t="str">
        <f>IF($F$8-24&gt;0,'Project Details Entry'!$H$103," ")</f>
        <v xml:space="preserve"> </v>
      </c>
      <c r="AF8" s="157"/>
      <c r="AG8" s="157"/>
      <c r="AH8" s="157"/>
    </row>
    <row r="9" spans="1:37" x14ac:dyDescent="0.25">
      <c r="B9" s="157"/>
      <c r="C9" s="157"/>
      <c r="D9" s="157"/>
      <c r="E9" s="181" t="s">
        <v>136</v>
      </c>
      <c r="F9" s="207">
        <f>60-COUNTBLANK('Project Details Entry'!I$13:I$72)</f>
        <v>24</v>
      </c>
      <c r="G9" s="838" t="str">
        <f>IF($F$9-0&gt;0,'Project Details Entry'!$I$79," ")</f>
        <v>A201</v>
      </c>
      <c r="H9" s="838" t="str">
        <f>IF($F$9-1&gt;0,'Project Details Entry'!$I$80," ")</f>
        <v>AN02</v>
      </c>
      <c r="I9" s="838" t="str">
        <f>IF($F$9-2&gt;0,'Project Details Entry'!$I$81," ")</f>
        <v>AN03</v>
      </c>
      <c r="J9" s="838" t="str">
        <f>IF($F$9-3&gt;0,'Project Details Entry'!$I$82," ")</f>
        <v>AN04</v>
      </c>
      <c r="K9" s="838" t="str">
        <f>IF($F$9-4&gt;0,'Project Details Entry'!$I$83,"")</f>
        <v>AN05</v>
      </c>
      <c r="L9" s="838" t="str">
        <f>IF($F$9-5&gt;0,'Project Details Entry'!$I$84," ")</f>
        <v>AN06</v>
      </c>
      <c r="M9" s="838" t="str">
        <f>IF($F$9-6&gt;0,'Project Details Entry'!$I$85," ")</f>
        <v>AN07</v>
      </c>
      <c r="N9" s="838" t="str">
        <f>IF($F$9-7&gt;0,'Project Details Entry'!$I$86," ")</f>
        <v>AN08</v>
      </c>
      <c r="O9" s="838" t="str">
        <f>IF($F$9-8&gt;0,'Project Details Entry'!$I$87," ")</f>
        <v>AN09</v>
      </c>
      <c r="P9" s="838" t="str">
        <f>IF($F$9-9&gt;0,'Project Details Entry'!$I$88," ")</f>
        <v>AN10</v>
      </c>
      <c r="Q9" s="838" t="str">
        <f>IF($F$9-10&gt;0,'Project Details Entry'!$I$89," ")</f>
        <v>AN11</v>
      </c>
      <c r="R9" s="838" t="str">
        <f>IF($F$9-11&gt;0,'Project Details Entry'!$I$90," ")</f>
        <v>AN12</v>
      </c>
      <c r="S9" s="838" t="str">
        <f>IF($F$9-12&gt;0,'Project Details Entry'!$I$91," ")</f>
        <v>AN13</v>
      </c>
      <c r="T9" s="838" t="str">
        <f>IF($F$9-13&gt;0,'Project Details Entry'!$I$92," ")</f>
        <v>AN14</v>
      </c>
      <c r="U9" s="838" t="str">
        <f>IF($F$9-14&gt;0,'Project Details Entry'!$I$93," ")</f>
        <v>AN15</v>
      </c>
      <c r="V9" s="838" t="str">
        <f>IF($F$9-15&gt;0,'Project Details Entry'!$I$94," ")</f>
        <v>AN16</v>
      </c>
      <c r="W9" s="838" t="str">
        <f>IF($F$9-16&gt;0,'Project Details Entry'!$I$95," ")</f>
        <v>AN17</v>
      </c>
      <c r="X9" s="838" t="str">
        <f>IF($F$9-17&gt;0,'Project Details Entry'!$I$96," ")</f>
        <v>AN18</v>
      </c>
      <c r="Y9" s="838" t="str">
        <f>IF($F$9-18&gt;0,'Project Details Entry'!$I$97," ")</f>
        <v>AN19</v>
      </c>
      <c r="Z9" s="838" t="str">
        <f>IF($F$9-19&gt;0,'Project Details Entry'!$I$98," ")</f>
        <v>AN20</v>
      </c>
      <c r="AA9" s="838" t="str">
        <f>IF($F$9-20&gt;0,'Project Details Entry'!$I$99," ")</f>
        <v>AN21</v>
      </c>
      <c r="AB9" s="838" t="str">
        <f>IF($F$9-21&gt;0,'Project Details Entry'!$I$100," ")</f>
        <v>AN22</v>
      </c>
      <c r="AC9" s="838" t="str">
        <f>IF($F$9-22&gt;0,'Project Details Entry'!$I$101," ")</f>
        <v>AN23</v>
      </c>
      <c r="AD9" s="838" t="str">
        <f>IF($F$9-23&gt;0,'Project Details Entry'!$I$102," ")</f>
        <v>AN24</v>
      </c>
      <c r="AE9" s="838" t="str">
        <f>IF($F$9-24&gt;0,'Project Details Entry'!$I$103," ")</f>
        <v xml:space="preserve"> </v>
      </c>
      <c r="AF9" s="157"/>
      <c r="AG9" s="157"/>
      <c r="AH9" s="157"/>
    </row>
    <row r="10" spans="1:37" x14ac:dyDescent="0.25">
      <c r="B10" s="157"/>
      <c r="C10" s="157"/>
      <c r="D10" s="157"/>
      <c r="E10" s="264" t="s">
        <v>137</v>
      </c>
      <c r="F10" s="264">
        <f>60-COUNTBLANK('Project Details Entry'!J$13:J$72)</f>
        <v>16</v>
      </c>
      <c r="G10" s="837" t="str">
        <f>IF($F$10-0&gt;0,'Project Details Entry'!$J$79," ")</f>
        <v>A201</v>
      </c>
      <c r="H10" s="837" t="str">
        <f>IF($F$10-1&gt;0,'Project Details Entry'!$J$80," ")</f>
        <v>AN03</v>
      </c>
      <c r="I10" s="837" t="str">
        <f>IF($F$10-2&gt;0,'Project Details Entry'!$J$81," ")</f>
        <v>AN05</v>
      </c>
      <c r="J10" s="837" t="str">
        <f>IF($F$10-3&gt;0,'Project Details Entry'!$J$82," ")</f>
        <v>AN06</v>
      </c>
      <c r="K10" s="837" t="str">
        <f>IF($F$10-4&gt;0,'Project Details Entry'!$J$83,"")</f>
        <v>AN08</v>
      </c>
      <c r="L10" s="837" t="str">
        <f>IF($F$10-5&gt;0,'Project Details Entry'!$J$84," ")</f>
        <v>AN09</v>
      </c>
      <c r="M10" s="837" t="str">
        <f>IF($F$10-6&gt;0,'Project Details Entry'!$J$85," ")</f>
        <v>AN11</v>
      </c>
      <c r="N10" s="837" t="str">
        <f>IF($F$10-7&gt;0,'Project Details Entry'!$J$86," ")</f>
        <v>AN12</v>
      </c>
      <c r="O10" s="837" t="str">
        <f>IF($F$10-8&gt;0,'Project Details Entry'!$J$87," ")</f>
        <v>AN13</v>
      </c>
      <c r="P10" s="837" t="str">
        <f>IF($F$10-9&gt;0,'Project Details Entry'!$J$88," ")</f>
        <v>AN15</v>
      </c>
      <c r="Q10" s="837" t="str">
        <f>IF($F$10-10&gt;0,'Project Details Entry'!$J$89," ")</f>
        <v>AN16</v>
      </c>
      <c r="R10" s="837" t="str">
        <f>IF($F$10-11&gt;0,'Project Details Entry'!$J$90," ")</f>
        <v>AN18</v>
      </c>
      <c r="S10" s="837" t="str">
        <f>IF($F$10-12&gt;0,'Project Details Entry'!$J$91," ")</f>
        <v>AN19</v>
      </c>
      <c r="T10" s="837" t="str">
        <f>IF($F$10-13&gt;0,'Project Details Entry'!$J$92," ")</f>
        <v>AN21</v>
      </c>
      <c r="U10" s="837" t="str">
        <f>IF($F$10-14&gt;0,'Project Details Entry'!$J$93," ")</f>
        <v>AN22</v>
      </c>
      <c r="V10" s="837" t="str">
        <f>IF($F$10-15&gt;0,'Project Details Entry'!$J$94," ")</f>
        <v>AN24</v>
      </c>
      <c r="W10" s="837" t="str">
        <f>IF($F$10-16&gt;0,'Project Details Entry'!$J$95," ")</f>
        <v xml:space="preserve"> </v>
      </c>
      <c r="X10" s="837" t="str">
        <f>IF($F$10-17&gt;0,'Project Details Entry'!$J$96," ")</f>
        <v xml:space="preserve"> </v>
      </c>
      <c r="Y10" s="837" t="str">
        <f>IF($F$10-18&gt;0,'Project Details Entry'!$J$97," ")</f>
        <v xml:space="preserve"> </v>
      </c>
      <c r="Z10" s="837" t="str">
        <f>IF($F$10-19&gt;0,'Project Details Entry'!$J$98," ")</f>
        <v xml:space="preserve"> </v>
      </c>
      <c r="AA10" s="837" t="str">
        <f>IF($F$10-20&gt;0,'Project Details Entry'!$J$99," ")</f>
        <v xml:space="preserve"> </v>
      </c>
      <c r="AB10" s="837" t="str">
        <f>IF($F$10-21&gt;0,'Project Details Entry'!$J$100," ")</f>
        <v xml:space="preserve"> </v>
      </c>
      <c r="AC10" s="837" t="str">
        <f>IF($F$10-22&gt;0,'Project Details Entry'!$J$101," ")</f>
        <v xml:space="preserve"> </v>
      </c>
      <c r="AD10" s="837" t="str">
        <f>IF($F$10-23&gt;0,'Project Details Entry'!$J$102," ")</f>
        <v xml:space="preserve"> </v>
      </c>
      <c r="AE10" s="837" t="str">
        <f>IF($F$10-24&gt;0,'Project Details Entry'!$J$103," ")</f>
        <v xml:space="preserve"> </v>
      </c>
      <c r="AF10" s="157"/>
      <c r="AG10" s="157"/>
      <c r="AH10" s="157"/>
    </row>
    <row r="11" spans="1:37" x14ac:dyDescent="0.25">
      <c r="B11" s="157"/>
      <c r="C11" s="157"/>
      <c r="D11" s="157"/>
      <c r="E11" s="208" t="s">
        <v>138</v>
      </c>
      <c r="F11" s="207">
        <f>60-COUNTBLANK('Project Details Entry'!K$13:K$72)</f>
        <v>16</v>
      </c>
      <c r="G11" s="838" t="str">
        <f>IF($F$11-0&gt;0,'Project Details Entry'!$K$79," ")</f>
        <v>A201</v>
      </c>
      <c r="H11" s="838" t="str">
        <f>IF($F$11-1&gt;0,'Project Details Entry'!$K$80," ")</f>
        <v>AN03</v>
      </c>
      <c r="I11" s="838" t="str">
        <f>IF($F$11-2&gt;0,'Project Details Entry'!$K$81," ")</f>
        <v>AN05</v>
      </c>
      <c r="J11" s="838" t="str">
        <f>IF($F$11-3&gt;0,'Project Details Entry'!$K$82," ")</f>
        <v>AN06</v>
      </c>
      <c r="K11" s="838" t="str">
        <f>IF($F$11-4&gt;0,'Project Details Entry'!$K$83,"")</f>
        <v>AN08</v>
      </c>
      <c r="L11" s="838" t="str">
        <f>IF($F$11-5&gt;0,'Project Details Entry'!$K$84," ")</f>
        <v>AN09</v>
      </c>
      <c r="M11" s="838" t="str">
        <f>IF($F$11-6&gt;0,'Project Details Entry'!$K$85," ")</f>
        <v>AN11</v>
      </c>
      <c r="N11" s="838" t="str">
        <f>IF($F$11-7&gt;0,'Project Details Entry'!$K$86," ")</f>
        <v>AN12</v>
      </c>
      <c r="O11" s="838" t="str">
        <f>IF($F$11-8&gt;0,'Project Details Entry'!$K$87," ")</f>
        <v>AN13</v>
      </c>
      <c r="P11" s="838" t="str">
        <f>IF($F$11-9&gt;0,'Project Details Entry'!$K$88," ")</f>
        <v>AN15</v>
      </c>
      <c r="Q11" s="838" t="str">
        <f>IF($F$11-10&gt;0,'Project Details Entry'!$K$89," ")</f>
        <v>AN16</v>
      </c>
      <c r="R11" s="838" t="str">
        <f>IF($F$11-11&gt;0,'Project Details Entry'!$K$90," ")</f>
        <v>AN18</v>
      </c>
      <c r="S11" s="838" t="str">
        <f>IF($F$11-12&gt;0,'Project Details Entry'!$K$91," ")</f>
        <v>AN19</v>
      </c>
      <c r="T11" s="838" t="str">
        <f>IF($F$11-13&gt;0,'Project Details Entry'!$K$92," ")</f>
        <v>AN21</v>
      </c>
      <c r="U11" s="838" t="str">
        <f>IF($F$11-14&gt;0,'Project Details Entry'!$K$93," ")</f>
        <v>AN22</v>
      </c>
      <c r="V11" s="838" t="str">
        <f>IF($F$11-15&gt;0,'Project Details Entry'!$K$94," ")</f>
        <v>AN24</v>
      </c>
      <c r="W11" s="838" t="str">
        <f>IF($F$11-16&gt;0,'Project Details Entry'!$K$95," ")</f>
        <v xml:space="preserve"> </v>
      </c>
      <c r="X11" s="838" t="str">
        <f>IF($F$11-17&gt;0,'Project Details Entry'!$K$96," ")</f>
        <v xml:space="preserve"> </v>
      </c>
      <c r="Y11" s="838" t="str">
        <f>IF($F$11-18&gt;0,'Project Details Entry'!$K$97," ")</f>
        <v xml:space="preserve"> </v>
      </c>
      <c r="Z11" s="838" t="str">
        <f>IF($F$11-19&gt;0,'Project Details Entry'!$K$98," ")</f>
        <v xml:space="preserve"> </v>
      </c>
      <c r="AA11" s="838" t="str">
        <f>IF($F$11-20&gt;0,'Project Details Entry'!$K$99," ")</f>
        <v xml:space="preserve"> </v>
      </c>
      <c r="AB11" s="838" t="str">
        <f>IF($F$11-21&gt;0,'Project Details Entry'!$K$100," ")</f>
        <v xml:space="preserve"> </v>
      </c>
      <c r="AC11" s="838" t="str">
        <f>IF($F$11-22&gt;0,'Project Details Entry'!$K$101," ")</f>
        <v xml:space="preserve"> </v>
      </c>
      <c r="AD11" s="838" t="str">
        <f>IF($F$11-23&gt;0,'Project Details Entry'!$K$102," ")</f>
        <v xml:space="preserve"> </v>
      </c>
      <c r="AE11" s="838" t="str">
        <f>IF($F$11-24&gt;0,'Project Details Entry'!$K$103," ")</f>
        <v xml:space="preserve"> </v>
      </c>
      <c r="AF11" s="157"/>
      <c r="AG11" s="157"/>
      <c r="AH11" s="157"/>
    </row>
    <row r="12" spans="1:37" x14ac:dyDescent="0.25">
      <c r="B12" s="157"/>
      <c r="C12" s="157"/>
      <c r="D12" s="157"/>
      <c r="E12" s="264" t="s">
        <v>139</v>
      </c>
      <c r="F12" s="264">
        <f>60-COUNTBLANK('Project Details Entry'!L$13:L$72)</f>
        <v>15</v>
      </c>
      <c r="G12" s="837" t="str">
        <f>IF($F$12-0&gt;0,'Project Details Entry'!$L$79," ")</f>
        <v>AN03</v>
      </c>
      <c r="H12" s="837" t="str">
        <f>IF($F$12-1&gt;0,'Project Details Entry'!$L$80," ")</f>
        <v>AN05</v>
      </c>
      <c r="I12" s="837" t="str">
        <f>IF($F$12-2&gt;0,'Project Details Entry'!$L$81," ")</f>
        <v>AN06</v>
      </c>
      <c r="J12" s="837" t="str">
        <f>IF($F$12-3&gt;0,'Project Details Entry'!$L$82," ")</f>
        <v>AN08</v>
      </c>
      <c r="K12" s="837" t="str">
        <f>IF($F$12-4&gt;0,'Project Details Entry'!$L$83,"")</f>
        <v>AN09</v>
      </c>
      <c r="L12" s="837" t="str">
        <f>IF($F$12-5&gt;0,'Project Details Entry'!$L$84," ")</f>
        <v>AN11</v>
      </c>
      <c r="M12" s="837" t="str">
        <f>IF($F$12-6&gt;0,'Project Details Entry'!$L$85," ")</f>
        <v>AN12</v>
      </c>
      <c r="N12" s="837" t="str">
        <f>IF($F$12-7&gt;0,'Project Details Entry'!$L$86," ")</f>
        <v>AN13</v>
      </c>
      <c r="O12" s="837" t="str">
        <f>IF($F$12-8&gt;0,'Project Details Entry'!$L$87," ")</f>
        <v>AN15</v>
      </c>
      <c r="P12" s="837" t="str">
        <f>IF($F$12-9&gt;0,'Project Details Entry'!$L$88," ")</f>
        <v>AN16</v>
      </c>
      <c r="Q12" s="837" t="str">
        <f>IF($F$12-10&gt;0,'Project Details Entry'!$L$89," ")</f>
        <v>AN18</v>
      </c>
      <c r="R12" s="837" t="str">
        <f>IF($F$12-11&gt;0,'Project Details Entry'!$L$90," ")</f>
        <v>AN19</v>
      </c>
      <c r="S12" s="837" t="str">
        <f>IF($F$12-12&gt;0,'Project Details Entry'!$L$91," ")</f>
        <v>AN21</v>
      </c>
      <c r="T12" s="837" t="str">
        <f>IF($F$12-13&gt;0,'Project Details Entry'!$L$92," ")</f>
        <v>AN22</v>
      </c>
      <c r="U12" s="837" t="str">
        <f>IF($F$12-14&gt;0,'Project Details Entry'!$L$93," ")</f>
        <v>AN24</v>
      </c>
      <c r="V12" s="837" t="str">
        <f>IF($F$12-15&gt;0,'Project Details Entry'!$L$94," ")</f>
        <v xml:space="preserve"> </v>
      </c>
      <c r="W12" s="837" t="str">
        <f>IF($F$12-16&gt;0,'Project Details Entry'!$L$95," ")</f>
        <v xml:space="preserve"> </v>
      </c>
      <c r="X12" s="837" t="str">
        <f>IF($F$12-17&gt;0,'Project Details Entry'!$L$96," ")</f>
        <v xml:space="preserve"> </v>
      </c>
      <c r="Y12" s="837" t="str">
        <f>IF($F$12-18&gt;0,'Project Details Entry'!$L$97," ")</f>
        <v xml:space="preserve"> </v>
      </c>
      <c r="Z12" s="837" t="str">
        <f>IF($F$12-19&gt;0,'Project Details Entry'!$L$98," ")</f>
        <v xml:space="preserve"> </v>
      </c>
      <c r="AA12" s="837" t="str">
        <f>IF($F$12-20&gt;0,'Project Details Entry'!$L$99," ")</f>
        <v xml:space="preserve"> </v>
      </c>
      <c r="AB12" s="837" t="str">
        <f>IF($F$12-21&gt;0,'Project Details Entry'!$L$100," ")</f>
        <v xml:space="preserve"> </v>
      </c>
      <c r="AC12" s="837" t="str">
        <f>IF($F$12-22&gt;0,'Project Details Entry'!$L$101," ")</f>
        <v xml:space="preserve"> </v>
      </c>
      <c r="AD12" s="837" t="str">
        <f>IF($F$12-23&gt;0,'Project Details Entry'!$L$102," ")</f>
        <v xml:space="preserve"> </v>
      </c>
      <c r="AE12" s="837" t="str">
        <f>IF($F$12-24&gt;0,'Project Details Entry'!$L$103," ")</f>
        <v xml:space="preserve"> </v>
      </c>
      <c r="AF12" s="157"/>
      <c r="AG12" s="157"/>
      <c r="AH12" s="157"/>
    </row>
    <row r="13" spans="1:37" x14ac:dyDescent="0.25">
      <c r="B13" s="157"/>
      <c r="C13" s="157"/>
      <c r="D13" s="157"/>
      <c r="E13" s="208" t="s">
        <v>140</v>
      </c>
      <c r="F13" s="207">
        <f>60-COUNTBLANK('Project Details Entry'!M$13:M$72)</f>
        <v>15</v>
      </c>
      <c r="G13" s="838" t="str">
        <f>IF($F$13-0&gt;0,'Project Details Entry'!$M$79," ")</f>
        <v>AN03</v>
      </c>
      <c r="H13" s="838" t="str">
        <f>IF($F$13-1&gt;0,'Project Details Entry'!$M$80," ")</f>
        <v>AN05</v>
      </c>
      <c r="I13" s="838" t="str">
        <f>IF($F$13-2&gt;0,'Project Details Entry'!$M$81," ")</f>
        <v>AN06</v>
      </c>
      <c r="J13" s="838" t="str">
        <f>IF($F$13-3&gt;0,'Project Details Entry'!$M$82," ")</f>
        <v>AN08</v>
      </c>
      <c r="K13" s="838" t="str">
        <f>IF($F$13-4&gt;0,'Project Details Entry'!$M$83,"")</f>
        <v>AN09</v>
      </c>
      <c r="L13" s="838" t="str">
        <f>IF($F$13-5&gt;0,'Project Details Entry'!$M$84," ")</f>
        <v>AN11</v>
      </c>
      <c r="M13" s="838" t="str">
        <f>IF($F$13-6&gt;0,'Project Details Entry'!$M$85," ")</f>
        <v>AN12</v>
      </c>
      <c r="N13" s="838" t="str">
        <f>IF($F$13-7&gt;0,'Project Details Entry'!$M$86," ")</f>
        <v>AN13</v>
      </c>
      <c r="O13" s="838" t="str">
        <f>IF($F$13-8&gt;0,'Project Details Entry'!$M$87," ")</f>
        <v>AN15</v>
      </c>
      <c r="P13" s="838" t="str">
        <f>IF($F$13-9&gt;0,'Project Details Entry'!$M$88," ")</f>
        <v>AN16</v>
      </c>
      <c r="Q13" s="838" t="str">
        <f>IF($F$13-10&gt;0,'Project Details Entry'!$M$89," ")</f>
        <v>AN18</v>
      </c>
      <c r="R13" s="838" t="str">
        <f>IF($F$13-11&gt;0,'Project Details Entry'!$M$90," ")</f>
        <v>AN19</v>
      </c>
      <c r="S13" s="838" t="str">
        <f>IF($F$13-12&gt;0,'Project Details Entry'!$M$91," ")</f>
        <v>AN21</v>
      </c>
      <c r="T13" s="838" t="str">
        <f>IF($F$13-13&gt;0,'Project Details Entry'!$M$92," ")</f>
        <v>AN22</v>
      </c>
      <c r="U13" s="838" t="str">
        <f>IF($F$13-14&gt;0,'Project Details Entry'!$M$93," ")</f>
        <v>AN24</v>
      </c>
      <c r="V13" s="838" t="str">
        <f>IF($F$13-15&gt;0,'Project Details Entry'!$M$94," ")</f>
        <v xml:space="preserve"> </v>
      </c>
      <c r="W13" s="838" t="str">
        <f>IF($F$13-16&gt;0,'Project Details Entry'!$M$95," ")</f>
        <v xml:space="preserve"> </v>
      </c>
      <c r="X13" s="838" t="str">
        <f>IF($F$13-17&gt;0,'Project Details Entry'!$M$96," ")</f>
        <v xml:space="preserve"> </v>
      </c>
      <c r="Y13" s="838" t="str">
        <f>IF($F$13-18&gt;0,'Project Details Entry'!$M$97," ")</f>
        <v xml:space="preserve"> </v>
      </c>
      <c r="Z13" s="838" t="str">
        <f>IF($F$13-19&gt;0,'Project Details Entry'!$M$98," ")</f>
        <v xml:space="preserve"> </v>
      </c>
      <c r="AA13" s="838" t="str">
        <f>IF($F$13-20&gt;0,'Project Details Entry'!$M$99," ")</f>
        <v xml:space="preserve"> </v>
      </c>
      <c r="AB13" s="838" t="str">
        <f>IF($F$13-21&gt;0,'Project Details Entry'!$M$100," ")</f>
        <v xml:space="preserve"> </v>
      </c>
      <c r="AC13" s="838" t="str">
        <f>IF($F$13-22&gt;0,'Project Details Entry'!$M$101," ")</f>
        <v xml:space="preserve"> </v>
      </c>
      <c r="AD13" s="838" t="str">
        <f>IF($F$13-23&gt;0,'Project Details Entry'!$M$102," ")</f>
        <v xml:space="preserve"> </v>
      </c>
      <c r="AE13" s="838" t="str">
        <f>IF($F$13-24&gt;0,'Project Details Entry'!$M$103," ")</f>
        <v xml:space="preserve"> </v>
      </c>
      <c r="AF13" s="157"/>
      <c r="AG13" s="157"/>
      <c r="AH13" s="157"/>
    </row>
    <row r="14" spans="1:37" x14ac:dyDescent="0.25">
      <c r="B14" s="157"/>
      <c r="C14" s="157"/>
      <c r="D14" s="157"/>
      <c r="E14" s="264" t="s">
        <v>141</v>
      </c>
      <c r="F14" s="264">
        <f>60-COUNTBLANK('Project Details Entry'!N$13:N$72)</f>
        <v>8</v>
      </c>
      <c r="G14" s="837" t="str">
        <f>IF($F$14-0&gt;0,'Project Details Entry'!$N$79," ")</f>
        <v>AN03</v>
      </c>
      <c r="H14" s="837" t="str">
        <f>IF($F$14-1&gt;0,'Project Details Entry'!$N$80," ")</f>
        <v>AN06</v>
      </c>
      <c r="I14" s="837" t="str">
        <f>IF($F$14-2&gt;0,'Project Details Entry'!$N$81," ")</f>
        <v>AN09</v>
      </c>
      <c r="J14" s="837" t="str">
        <f>IF($F$14-3&gt;0,'Project Details Entry'!$N$82," ")</f>
        <v>AN12</v>
      </c>
      <c r="K14" s="837" t="str">
        <f>IF($F$14-4&gt;0,'Project Details Entry'!$N$83,"")</f>
        <v>AN13</v>
      </c>
      <c r="L14" s="837" t="str">
        <f>IF($F$14-5&gt;0,'Project Details Entry'!$N$84," ")</f>
        <v>AN16</v>
      </c>
      <c r="M14" s="837" t="str">
        <f>IF($F$14-6&gt;0,'Project Details Entry'!$N$85," ")</f>
        <v>AN19</v>
      </c>
      <c r="N14" s="837" t="str">
        <f>IF($F$14-7&gt;0,'Project Details Entry'!$N$86," ")</f>
        <v>AN22</v>
      </c>
      <c r="O14" s="837" t="str">
        <f>IF($F$14-8&gt;0,'Project Details Entry'!$N$87," ")</f>
        <v xml:space="preserve"> </v>
      </c>
      <c r="P14" s="837" t="str">
        <f>IF($F$14-9&gt;0,'Project Details Entry'!$N$88," ")</f>
        <v xml:space="preserve"> </v>
      </c>
      <c r="Q14" s="837" t="str">
        <f>IF($F$14-10&gt;0,'Project Details Entry'!$N$89," ")</f>
        <v xml:space="preserve"> </v>
      </c>
      <c r="R14" s="837" t="str">
        <f>IF($F$14-11&gt;0,'Project Details Entry'!$N$90," ")</f>
        <v xml:space="preserve"> </v>
      </c>
      <c r="S14" s="837" t="str">
        <f>IF($F$14-12&gt;0,'Project Details Entry'!$N$91," ")</f>
        <v xml:space="preserve"> </v>
      </c>
      <c r="T14" s="837" t="str">
        <f>IF($F$14-13&gt;0,'Project Details Entry'!$N$92," ")</f>
        <v xml:space="preserve"> </v>
      </c>
      <c r="U14" s="837" t="str">
        <f>IF($F$14-14&gt;0,'Project Details Entry'!$N$93," ")</f>
        <v xml:space="preserve"> </v>
      </c>
      <c r="V14" s="837" t="str">
        <f>IF($F$14-15&gt;0,'Project Details Entry'!$N$94," ")</f>
        <v xml:space="preserve"> </v>
      </c>
      <c r="W14" s="837" t="str">
        <f>IF($F$14-16&gt;0,'Project Details Entry'!$N$95," ")</f>
        <v xml:space="preserve"> </v>
      </c>
      <c r="X14" s="837" t="str">
        <f>IF($F$14-17&gt;0,'Project Details Entry'!$N$96," ")</f>
        <v xml:space="preserve"> </v>
      </c>
      <c r="Y14" s="837" t="str">
        <f>IF($F$14-18&gt;0,'Project Details Entry'!$N$97," ")</f>
        <v xml:space="preserve"> </v>
      </c>
      <c r="Z14" s="837" t="str">
        <f>IF($F$14-19&gt;0,'Project Details Entry'!$N$98," ")</f>
        <v xml:space="preserve"> </v>
      </c>
      <c r="AA14" s="837" t="str">
        <f>IF($F$14-20&gt;0,'Project Details Entry'!$N$99," ")</f>
        <v xml:space="preserve"> </v>
      </c>
      <c r="AB14" s="837" t="str">
        <f>IF($F$14-21&gt;0,'Project Details Entry'!$N$100," ")</f>
        <v xml:space="preserve"> </v>
      </c>
      <c r="AC14" s="837" t="str">
        <f>IF($F$14-22&gt;0,'Project Details Entry'!$N$101," ")</f>
        <v xml:space="preserve"> </v>
      </c>
      <c r="AD14" s="837" t="str">
        <f>IF($F$14-23&gt;0,'Project Details Entry'!$N$102," ")</f>
        <v xml:space="preserve"> </v>
      </c>
      <c r="AE14" s="837" t="str">
        <f>IF($F$14-24&gt;0,'Project Details Entry'!$N$103," ")</f>
        <v xml:space="preserve"> </v>
      </c>
      <c r="AF14" s="157"/>
      <c r="AG14" s="157"/>
      <c r="AH14" s="157"/>
    </row>
    <row r="15" spans="1:37" x14ac:dyDescent="0.25">
      <c r="B15" s="157"/>
      <c r="C15" s="157"/>
      <c r="D15" s="157"/>
      <c r="E15" s="181" t="s">
        <v>142</v>
      </c>
      <c r="F15" s="207">
        <f>60-COUNTBLANK('Project Details Entry'!O$13:O$72)</f>
        <v>1</v>
      </c>
      <c r="G15" s="838" t="str">
        <f>IF($F$15-0&gt;0,'Project Details Entry'!$O$79," ")</f>
        <v>AN26</v>
      </c>
      <c r="H15" s="838" t="str">
        <f>IF($F$15-1&gt;0,'Project Details Entry'!$O$80," ")</f>
        <v xml:space="preserve"> </v>
      </c>
      <c r="I15" s="838" t="str">
        <f>IF($F$15-2&gt;0,'Project Details Entry'!$O$81," ")</f>
        <v xml:space="preserve"> </v>
      </c>
      <c r="J15" s="838" t="str">
        <f>IF($F$15-3&gt;0,'Project Details Entry'!$O$82," ")</f>
        <v xml:space="preserve"> </v>
      </c>
      <c r="K15" s="838" t="str">
        <f>IF($F$15-4&gt;0,'Project Details Entry'!$O$83,"")</f>
        <v/>
      </c>
      <c r="L15" s="838" t="str">
        <f>IF($F$15-5&gt;0,'Project Details Entry'!$O$84," ")</f>
        <v xml:space="preserve"> </v>
      </c>
      <c r="M15" s="838" t="str">
        <f>IF($F$15-6&gt;0,'Project Details Entry'!$O$85," ")</f>
        <v xml:space="preserve"> </v>
      </c>
      <c r="N15" s="838" t="str">
        <f>IF($F$15-7&gt;0,'Project Details Entry'!$O$86," ")</f>
        <v xml:space="preserve"> </v>
      </c>
      <c r="O15" s="838" t="str">
        <f>IF($F$15-8&gt;0,'Project Details Entry'!$O$87," ")</f>
        <v xml:space="preserve"> </v>
      </c>
      <c r="P15" s="838" t="str">
        <f>IF($F$15-9&gt;0,'Project Details Entry'!$O$88," ")</f>
        <v xml:space="preserve"> </v>
      </c>
      <c r="Q15" s="838" t="str">
        <f>IF($F$15-10&gt;0,'Project Details Entry'!$O$89," ")</f>
        <v xml:space="preserve"> </v>
      </c>
      <c r="R15" s="838" t="str">
        <f>IF($F$15-11&gt;0,'Project Details Entry'!$O$90," ")</f>
        <v xml:space="preserve"> </v>
      </c>
      <c r="S15" s="838" t="str">
        <f>IF($F$15-12&gt;0,'Project Details Entry'!$O$91," ")</f>
        <v xml:space="preserve"> </v>
      </c>
      <c r="T15" s="838" t="str">
        <f>IF($F$15-13&gt;0,'Project Details Entry'!$O$92," ")</f>
        <v xml:space="preserve"> </v>
      </c>
      <c r="U15" s="838" t="str">
        <f>IF($F$15-14&gt;0,'Project Details Entry'!$O$93," ")</f>
        <v xml:space="preserve"> </v>
      </c>
      <c r="V15" s="838" t="str">
        <f>IF($F$15-15&gt;0,'Project Details Entry'!$O$94," ")</f>
        <v xml:space="preserve"> </v>
      </c>
      <c r="W15" s="838" t="str">
        <f>IF($F$15-16&gt;0,'Project Details Entry'!$O$95," ")</f>
        <v xml:space="preserve"> </v>
      </c>
      <c r="X15" s="838" t="str">
        <f>IF($F$15-17&gt;0,'Project Details Entry'!$O$96," ")</f>
        <v xml:space="preserve"> </v>
      </c>
      <c r="Y15" s="838" t="str">
        <f>IF($F$15-18&gt;0,'Project Details Entry'!$O$97," ")</f>
        <v xml:space="preserve"> </v>
      </c>
      <c r="Z15" s="838" t="str">
        <f>IF($F$15-19&gt;0,'Project Details Entry'!$O$98," ")</f>
        <v xml:space="preserve"> </v>
      </c>
      <c r="AA15" s="838" t="str">
        <f>IF($F$15-20&gt;0,'Project Details Entry'!$O$99," ")</f>
        <v xml:space="preserve"> </v>
      </c>
      <c r="AB15" s="838" t="str">
        <f>IF($F$15-21&gt;0,'Project Details Entry'!$O$100," ")</f>
        <v xml:space="preserve"> </v>
      </c>
      <c r="AC15" s="838" t="str">
        <f>IF($F$15-22&gt;0,'Project Details Entry'!$O$101," ")</f>
        <v xml:space="preserve"> </v>
      </c>
      <c r="AD15" s="838" t="str">
        <f>IF($F$15-23&gt;0,'Project Details Entry'!$O$102," ")</f>
        <v xml:space="preserve"> </v>
      </c>
      <c r="AE15" s="838" t="str">
        <f>IF($F$15-24&gt;0,'Project Details Entry'!$O$103," ")</f>
        <v xml:space="preserve"> </v>
      </c>
      <c r="AF15" s="157"/>
      <c r="AG15" s="157"/>
      <c r="AH15" s="157"/>
    </row>
    <row r="16" spans="1:37" x14ac:dyDescent="0.25">
      <c r="B16" s="157"/>
      <c r="C16" s="157"/>
      <c r="D16" s="157"/>
      <c r="E16" s="264" t="s">
        <v>143</v>
      </c>
      <c r="F16" s="264">
        <f>60-COUNTBLANK('Project Details Entry'!P$13:P$72)</f>
        <v>1</v>
      </c>
      <c r="G16" s="837" t="str">
        <f>IF($F$16-0&gt;0,'Project Details Entry'!$P$79," ")</f>
        <v>AN26</v>
      </c>
      <c r="H16" s="837" t="str">
        <f>IF($F$16-1&gt;0,'Project Details Entry'!$P$80," ")</f>
        <v xml:space="preserve"> </v>
      </c>
      <c r="I16" s="837" t="str">
        <f>IF($F$16-2&gt;0,'Project Details Entry'!$P$81," ")</f>
        <v xml:space="preserve"> </v>
      </c>
      <c r="J16" s="837" t="str">
        <f>IF($F$16-3&gt;0,'Project Details Entry'!$P$82," ")</f>
        <v xml:space="preserve"> </v>
      </c>
      <c r="K16" s="837" t="str">
        <f>IF($F$16-4&gt;0,'Project Details Entry'!$P$83,"")</f>
        <v/>
      </c>
      <c r="L16" s="837" t="str">
        <f>IF($F$16-5&gt;0,'Project Details Entry'!$P$84," ")</f>
        <v xml:space="preserve"> </v>
      </c>
      <c r="M16" s="837" t="str">
        <f>IF($F$16-6&gt;0,'Project Details Entry'!$P$85," ")</f>
        <v xml:space="preserve"> </v>
      </c>
      <c r="N16" s="837" t="str">
        <f>IF($F$16-7&gt;0,'Project Details Entry'!$P$86," ")</f>
        <v xml:space="preserve"> </v>
      </c>
      <c r="O16" s="837" t="str">
        <f>IF($F$16-8&gt;0,'Project Details Entry'!$P$87," ")</f>
        <v xml:space="preserve"> </v>
      </c>
      <c r="P16" s="837" t="str">
        <f>IF($F$16-9&gt;0,'Project Details Entry'!$P$88," ")</f>
        <v xml:space="preserve"> </v>
      </c>
      <c r="Q16" s="837" t="str">
        <f>IF($F$16-10&gt;0,'Project Details Entry'!$P$89," ")</f>
        <v xml:space="preserve"> </v>
      </c>
      <c r="R16" s="837" t="str">
        <f>IF($F$16-11&gt;0,'Project Details Entry'!$P$90," ")</f>
        <v xml:space="preserve"> </v>
      </c>
      <c r="S16" s="837" t="str">
        <f>IF($F$16-12&gt;0,'Project Details Entry'!$P$91," ")</f>
        <v xml:space="preserve"> </v>
      </c>
      <c r="T16" s="837" t="str">
        <f>IF($F$16-13&gt;0,'Project Details Entry'!$P$92," ")</f>
        <v xml:space="preserve"> </v>
      </c>
      <c r="U16" s="837" t="str">
        <f>IF($F$16-14&gt;0,'Project Details Entry'!$P$93," ")</f>
        <v xml:space="preserve"> </v>
      </c>
      <c r="V16" s="837" t="str">
        <f>IF($F$16-15&gt;0,'Project Details Entry'!$P$94," ")</f>
        <v xml:space="preserve"> </v>
      </c>
      <c r="W16" s="837" t="str">
        <f>IF($F$16-16&gt;0,'Project Details Entry'!$P$95," ")</f>
        <v xml:space="preserve"> </v>
      </c>
      <c r="X16" s="837" t="str">
        <f>IF($F$16-17&gt;0,'Project Details Entry'!$P$96," ")</f>
        <v xml:space="preserve"> </v>
      </c>
      <c r="Y16" s="837" t="str">
        <f>IF($F$16-18&gt;0,'Project Details Entry'!$P$97," ")</f>
        <v xml:space="preserve"> </v>
      </c>
      <c r="Z16" s="837" t="str">
        <f>IF($F$16-19&gt;0,'Project Details Entry'!$P$98," ")</f>
        <v xml:space="preserve"> </v>
      </c>
      <c r="AA16" s="837" t="str">
        <f>IF($F$16-20&gt;0,'Project Details Entry'!$P$99," ")</f>
        <v xml:space="preserve"> </v>
      </c>
      <c r="AB16" s="837" t="str">
        <f>IF($F$16-21&gt;0,'Project Details Entry'!$P$100," ")</f>
        <v xml:space="preserve"> </v>
      </c>
      <c r="AC16" s="837" t="str">
        <f>IF($F$16-22&gt;0,'Project Details Entry'!$P$101," ")</f>
        <v xml:space="preserve"> </v>
      </c>
      <c r="AD16" s="837" t="str">
        <f>IF($F$16-23&gt;0,'Project Details Entry'!$P$102," ")</f>
        <v xml:space="preserve"> </v>
      </c>
      <c r="AE16" s="837" t="str">
        <f>IF($F$16-24&gt;0,'Project Details Entry'!$P$103," ")</f>
        <v xml:space="preserve"> </v>
      </c>
      <c r="AF16" s="157"/>
      <c r="AG16" s="157"/>
      <c r="AH16" s="157"/>
    </row>
    <row r="17" spans="2:37" x14ac:dyDescent="0.25">
      <c r="B17" s="157"/>
      <c r="C17" s="157"/>
      <c r="D17" s="157"/>
      <c r="E17" s="181" t="s">
        <v>144</v>
      </c>
      <c r="F17" s="207">
        <f>60-COUNTBLANK('Project Details Entry'!Q$13:Q$72)</f>
        <v>1</v>
      </c>
      <c r="G17" s="838" t="str">
        <f>IF($F$17-0&gt;0,'Project Details Entry'!$Q$79," ")</f>
        <v>AN26</v>
      </c>
      <c r="H17" s="838" t="str">
        <f>IF($F$17-1&gt;0,'Project Details Entry'!$Q$80," ")</f>
        <v xml:space="preserve"> </v>
      </c>
      <c r="I17" s="838" t="str">
        <f>IF($F$17-2&gt;0,'Project Details Entry'!$Q$81," ")</f>
        <v xml:space="preserve"> </v>
      </c>
      <c r="J17" s="838" t="str">
        <f>IF($F$17-3&gt;0,'Project Details Entry'!$Q$82," ")</f>
        <v xml:space="preserve"> </v>
      </c>
      <c r="K17" s="838" t="str">
        <f>IF($F$17-4&gt;0,'Project Details Entry'!$Q$83,"")</f>
        <v/>
      </c>
      <c r="L17" s="838" t="str">
        <f>IF($F$17-5&gt;0,'Project Details Entry'!$Q$84," ")</f>
        <v xml:space="preserve"> </v>
      </c>
      <c r="M17" s="838" t="str">
        <f>IF($F$17-6&gt;0,'Project Details Entry'!$Q$85," ")</f>
        <v xml:space="preserve"> </v>
      </c>
      <c r="N17" s="838" t="str">
        <f>IF($F$17-7&gt;0,'Project Details Entry'!$Q$86," ")</f>
        <v xml:space="preserve"> </v>
      </c>
      <c r="O17" s="838" t="str">
        <f>IF($F$17-8&gt;0,'Project Details Entry'!$Q$87," ")</f>
        <v xml:space="preserve"> </v>
      </c>
      <c r="P17" s="838" t="str">
        <f>IF($F$17-9&gt;0,'Project Details Entry'!$Q$88," ")</f>
        <v xml:space="preserve"> </v>
      </c>
      <c r="Q17" s="838" t="str">
        <f>IF($F$17-10&gt;0,'Project Details Entry'!$Q$89," ")</f>
        <v xml:space="preserve"> </v>
      </c>
      <c r="R17" s="838" t="str">
        <f>IF($F$17-11&gt;0,'Project Details Entry'!$Q$90," ")</f>
        <v xml:space="preserve"> </v>
      </c>
      <c r="S17" s="838" t="str">
        <f>IF($F$17-12&gt;0,'Project Details Entry'!$Q$91," ")</f>
        <v xml:space="preserve"> </v>
      </c>
      <c r="T17" s="838" t="str">
        <f>IF($F$17-13&gt;0,'Project Details Entry'!$Q$92," ")</f>
        <v xml:space="preserve"> </v>
      </c>
      <c r="U17" s="838" t="str">
        <f>IF($F$17-14&gt;0,'Project Details Entry'!$Q$93," ")</f>
        <v xml:space="preserve"> </v>
      </c>
      <c r="V17" s="838" t="str">
        <f>IF($F$17-15&gt;0,'Project Details Entry'!$Q$94," ")</f>
        <v xml:space="preserve"> </v>
      </c>
      <c r="W17" s="838" t="str">
        <f>IF($F$17-16&gt;0,'Project Details Entry'!$Q$95," ")</f>
        <v xml:space="preserve"> </v>
      </c>
      <c r="X17" s="838" t="str">
        <f>IF($F$17-17&gt;0,'Project Details Entry'!$Q$96," ")</f>
        <v xml:space="preserve"> </v>
      </c>
      <c r="Y17" s="838" t="str">
        <f>IF($F$17-18&gt;0,'Project Details Entry'!$Q$97," ")</f>
        <v xml:space="preserve"> </v>
      </c>
      <c r="Z17" s="838" t="str">
        <f>IF($F$17-19&gt;0,'Project Details Entry'!$Q$98," ")</f>
        <v xml:space="preserve"> </v>
      </c>
      <c r="AA17" s="838" t="str">
        <f>IF($F$17-20&gt;0,'Project Details Entry'!$Q$99," ")</f>
        <v xml:space="preserve"> </v>
      </c>
      <c r="AB17" s="838" t="str">
        <f>IF($F$17-21&gt;0,'Project Details Entry'!$Q$100," ")</f>
        <v xml:space="preserve"> </v>
      </c>
      <c r="AC17" s="838" t="str">
        <f>IF($F$17-22&gt;0,'Project Details Entry'!$Q$101," ")</f>
        <v xml:space="preserve"> </v>
      </c>
      <c r="AD17" s="838" t="str">
        <f>IF($F$17-23&gt;0,'Project Details Entry'!$Q$102," ")</f>
        <v xml:space="preserve"> </v>
      </c>
      <c r="AE17" s="838" t="str">
        <f>IF($F$17-24&gt;0,'Project Details Entry'!$Q$103," ")</f>
        <v xml:space="preserve"> </v>
      </c>
      <c r="AF17" s="157"/>
      <c r="AG17" s="157"/>
      <c r="AH17" s="157"/>
    </row>
    <row r="18" spans="2:37" x14ac:dyDescent="0.25">
      <c r="B18" s="157"/>
      <c r="C18" s="157"/>
      <c r="D18" s="157"/>
      <c r="E18" s="264" t="s">
        <v>145</v>
      </c>
      <c r="F18" s="264">
        <f>60-COUNTBLANK('Project Details Entry'!R$13:R$72)</f>
        <v>1</v>
      </c>
      <c r="G18" s="837" t="str">
        <f>IF($F$18-0&gt;0,'Project Details Entry'!$R$79," ")</f>
        <v>AN26</v>
      </c>
      <c r="H18" s="837" t="str">
        <f>IF($F$18-1&gt;0,'Project Details Entry'!$R$80," ")</f>
        <v xml:space="preserve"> </v>
      </c>
      <c r="I18" s="837" t="str">
        <f>IF($F$18-2&gt;0,'Project Details Entry'!$R$81," ")</f>
        <v xml:space="preserve"> </v>
      </c>
      <c r="J18" s="837" t="str">
        <f>IF($F$18-3&gt;0,'Project Details Entry'!$R$82," ")</f>
        <v xml:space="preserve"> </v>
      </c>
      <c r="K18" s="837" t="str">
        <f>IF($F$18-4&gt;0,'Project Details Entry'!$R$83,"")</f>
        <v/>
      </c>
      <c r="L18" s="837" t="str">
        <f>IF($F$18-5&gt;0,'Project Details Entry'!$R$84," ")</f>
        <v xml:space="preserve"> </v>
      </c>
      <c r="M18" s="837" t="str">
        <f>IF($F$18-6&gt;0,'Project Details Entry'!$R$85," ")</f>
        <v xml:space="preserve"> </v>
      </c>
      <c r="N18" s="837" t="str">
        <f>IF($F$18-7&gt;0,'Project Details Entry'!$R$86," ")</f>
        <v xml:space="preserve"> </v>
      </c>
      <c r="O18" s="837" t="str">
        <f>IF($F$18-8&gt;0,'Project Details Entry'!$R$87," ")</f>
        <v xml:space="preserve"> </v>
      </c>
      <c r="P18" s="837" t="str">
        <f>IF($F$18-9&gt;0,'Project Details Entry'!$R$88," ")</f>
        <v xml:space="preserve"> </v>
      </c>
      <c r="Q18" s="837" t="str">
        <f>IF($F$18-10&gt;0,'Project Details Entry'!$R$89," ")</f>
        <v xml:space="preserve"> </v>
      </c>
      <c r="R18" s="837" t="str">
        <f>IF($F$18-11&gt;0,'Project Details Entry'!$R$90," ")</f>
        <v xml:space="preserve"> </v>
      </c>
      <c r="S18" s="837" t="str">
        <f>IF($F$18-12&gt;0,'Project Details Entry'!$R$91," ")</f>
        <v xml:space="preserve"> </v>
      </c>
      <c r="T18" s="837" t="str">
        <f>IF($F$18-13&gt;0,'Project Details Entry'!$R$92," ")</f>
        <v xml:space="preserve"> </v>
      </c>
      <c r="U18" s="837" t="str">
        <f>IF($F$18-14&gt;0,'Project Details Entry'!$R$93," ")</f>
        <v xml:space="preserve"> </v>
      </c>
      <c r="V18" s="837" t="str">
        <f>IF($F$18-15&gt;0,'Project Details Entry'!$R$94," ")</f>
        <v xml:space="preserve"> </v>
      </c>
      <c r="W18" s="837" t="str">
        <f>IF($F$18-16&gt;0,'Project Details Entry'!$R$95," ")</f>
        <v xml:space="preserve"> </v>
      </c>
      <c r="X18" s="837" t="str">
        <f>IF($F$18-17&gt;0,'Project Details Entry'!$R$96," ")</f>
        <v xml:space="preserve"> </v>
      </c>
      <c r="Y18" s="837" t="str">
        <f>IF($F$18-18&gt;0,'Project Details Entry'!$R$97," ")</f>
        <v xml:space="preserve"> </v>
      </c>
      <c r="Z18" s="837" t="str">
        <f>IF($F$18-19&gt;0,'Project Details Entry'!$R$98," ")</f>
        <v xml:space="preserve"> </v>
      </c>
      <c r="AA18" s="837" t="str">
        <f>IF($F$18-20&gt;0,'Project Details Entry'!$R$99," ")</f>
        <v xml:space="preserve"> </v>
      </c>
      <c r="AB18" s="837" t="str">
        <f>IF($F$18-21&gt;0,'Project Details Entry'!$R$100," ")</f>
        <v xml:space="preserve"> </v>
      </c>
      <c r="AC18" s="837" t="str">
        <f>IF($F$18-22&gt;0,'Project Details Entry'!$R$101," ")</f>
        <v xml:space="preserve"> </v>
      </c>
      <c r="AD18" s="837" t="str">
        <f>IF($F$18-23&gt;0,'Project Details Entry'!$R$102," ")</f>
        <v xml:space="preserve"> </v>
      </c>
      <c r="AE18" s="837" t="str">
        <f>IF($F$18-24&gt;0,'Project Details Entry'!$R$103," ")</f>
        <v xml:space="preserve"> </v>
      </c>
      <c r="AF18" s="157"/>
      <c r="AG18" s="157"/>
      <c r="AH18" s="157"/>
    </row>
    <row r="19" spans="2:37" x14ac:dyDescent="0.25">
      <c r="B19" s="157"/>
      <c r="C19" s="157"/>
      <c r="D19" s="157"/>
      <c r="E19" s="181" t="s">
        <v>146</v>
      </c>
      <c r="F19" s="207">
        <f>60-COUNTBLANK('Project Details Entry'!S$13:S$72)</f>
        <v>1</v>
      </c>
      <c r="G19" s="838" t="str">
        <f>IF($F$19-0&gt;0,'Project Details Entry'!$S$79," ")</f>
        <v>AN26</v>
      </c>
      <c r="H19" s="838" t="str">
        <f>IF($F$19-1&gt;0,'Project Details Entry'!$S$80," ")</f>
        <v xml:space="preserve"> </v>
      </c>
      <c r="I19" s="838" t="str">
        <f>IF($F$19-2&gt;0,'Project Details Entry'!$S$81," ")</f>
        <v xml:space="preserve"> </v>
      </c>
      <c r="J19" s="838" t="str">
        <f>IF($F$19-3&gt;0,'Project Details Entry'!$S$82," ")</f>
        <v xml:space="preserve"> </v>
      </c>
      <c r="K19" s="838" t="str">
        <f>IF($F$19-4&gt;0,'Project Details Entry'!$S$83,"")</f>
        <v/>
      </c>
      <c r="L19" s="838" t="str">
        <f>IF($F$19-5&gt;0,'Project Details Entry'!$S$84," ")</f>
        <v xml:space="preserve"> </v>
      </c>
      <c r="M19" s="838" t="str">
        <f>IF($F$19-6&gt;0,'Project Details Entry'!$S$85," ")</f>
        <v xml:space="preserve"> </v>
      </c>
      <c r="N19" s="838" t="str">
        <f>IF($F$19-7&gt;0,'Project Details Entry'!$S$86," ")</f>
        <v xml:space="preserve"> </v>
      </c>
      <c r="O19" s="838" t="str">
        <f>IF($F$19-8&gt;0,'Project Details Entry'!$S$87," ")</f>
        <v xml:space="preserve"> </v>
      </c>
      <c r="P19" s="838" t="str">
        <f>IF($F$19-9&gt;0,'Project Details Entry'!$S$88," ")</f>
        <v xml:space="preserve"> </v>
      </c>
      <c r="Q19" s="838" t="str">
        <f>IF($F$19-10&gt;0,'Project Details Entry'!$S$89," ")</f>
        <v xml:space="preserve"> </v>
      </c>
      <c r="R19" s="838" t="str">
        <f>IF($F$19-11&gt;0,'Project Details Entry'!$S$90," ")</f>
        <v xml:space="preserve"> </v>
      </c>
      <c r="S19" s="838" t="str">
        <f>IF($F$19-12&gt;0,'Project Details Entry'!$S$91," ")</f>
        <v xml:space="preserve"> </v>
      </c>
      <c r="T19" s="838" t="str">
        <f>IF($F$19-13&gt;0,'Project Details Entry'!$S$92," ")</f>
        <v xml:space="preserve"> </v>
      </c>
      <c r="U19" s="838" t="str">
        <f>IF($F$19-14&gt;0,'Project Details Entry'!$S$93," ")</f>
        <v xml:space="preserve"> </v>
      </c>
      <c r="V19" s="838" t="str">
        <f>IF($F$19-15&gt;0,'Project Details Entry'!$S$94," ")</f>
        <v xml:space="preserve"> </v>
      </c>
      <c r="W19" s="838" t="str">
        <f>IF($F$19-16&gt;0,'Project Details Entry'!$S$95," ")</f>
        <v xml:space="preserve"> </v>
      </c>
      <c r="X19" s="838" t="str">
        <f>IF($F$19-17&gt;0,'Project Details Entry'!$S$96," ")</f>
        <v xml:space="preserve"> </v>
      </c>
      <c r="Y19" s="838" t="str">
        <f>IF($F$19-18&gt;0,'Project Details Entry'!$S$97," ")</f>
        <v xml:space="preserve"> </v>
      </c>
      <c r="Z19" s="838" t="str">
        <f>IF($F$19-19&gt;0,'Project Details Entry'!$S$98," ")</f>
        <v xml:space="preserve"> </v>
      </c>
      <c r="AA19" s="838" t="str">
        <f>IF($F$19-20&gt;0,'Project Details Entry'!$S$99," ")</f>
        <v xml:space="preserve"> </v>
      </c>
      <c r="AB19" s="838" t="str">
        <f>IF($F$19-21&gt;0,'Project Details Entry'!$S$100," ")</f>
        <v xml:space="preserve"> </v>
      </c>
      <c r="AC19" s="838" t="str">
        <f>IF($F$19-22&gt;0,'Project Details Entry'!$S$101," ")</f>
        <v xml:space="preserve"> </v>
      </c>
      <c r="AD19" s="838" t="str">
        <f>IF($F$19-23&gt;0,'Project Details Entry'!$S$102," ")</f>
        <v xml:space="preserve"> </v>
      </c>
      <c r="AE19" s="838" t="str">
        <f>IF($F$19-24&gt;0,'Project Details Entry'!$S$103," ")</f>
        <v xml:space="preserve"> </v>
      </c>
      <c r="AF19" s="157"/>
      <c r="AG19" s="157"/>
      <c r="AH19" s="157"/>
    </row>
    <row r="20" spans="2:37" x14ac:dyDescent="0.25">
      <c r="B20" s="157"/>
      <c r="C20" s="157"/>
      <c r="D20" s="165"/>
      <c r="E20" s="166"/>
      <c r="F20" s="166"/>
      <c r="G20" s="166"/>
      <c r="H20" s="166" t="str">
        <f>IF(AND((1-1-2022&gt;=E25),(31-1-2022&lt;=F25)),D25,"")</f>
        <v/>
      </c>
      <c r="I20" s="166"/>
      <c r="J20" s="166"/>
      <c r="K20" s="166"/>
      <c r="L20" s="166"/>
      <c r="M20" s="166"/>
      <c r="N20" s="166"/>
      <c r="O20" s="166"/>
      <c r="P20" s="166"/>
      <c r="Q20" s="166"/>
      <c r="R20" s="166"/>
      <c r="S20" s="166"/>
      <c r="T20" s="166"/>
      <c r="U20" s="166"/>
      <c r="V20" s="166"/>
      <c r="W20" s="166"/>
      <c r="X20" s="166"/>
      <c r="Y20" s="166"/>
      <c r="Z20" s="157"/>
      <c r="AA20" s="157"/>
      <c r="AB20" s="157"/>
      <c r="AC20" s="157"/>
      <c r="AD20" s="157"/>
      <c r="AE20" s="157"/>
      <c r="AF20" s="157"/>
      <c r="AG20" s="157"/>
      <c r="AH20" s="157"/>
    </row>
    <row r="21" spans="2:37" x14ac:dyDescent="0.25">
      <c r="B21" s="157"/>
      <c r="C21" s="157"/>
      <c r="D21" s="210"/>
      <c r="E21" s="204"/>
      <c r="F21" s="166"/>
      <c r="G21" s="166"/>
      <c r="H21" s="166"/>
      <c r="I21" s="166"/>
      <c r="J21" s="166"/>
      <c r="K21" s="166"/>
      <c r="L21" s="166"/>
      <c r="M21" s="166"/>
      <c r="N21" s="166"/>
      <c r="O21" s="166"/>
      <c r="P21" s="166"/>
      <c r="Q21" s="166"/>
      <c r="R21" s="166"/>
      <c r="S21" s="166"/>
      <c r="T21" s="166"/>
      <c r="U21" s="166"/>
      <c r="V21" s="166"/>
      <c r="W21" s="166"/>
      <c r="X21" s="166"/>
      <c r="Y21" s="166"/>
      <c r="Z21" s="157"/>
      <c r="AA21" s="157"/>
      <c r="AB21" s="157"/>
      <c r="AC21" s="157"/>
      <c r="AD21" s="157"/>
      <c r="AE21" s="157"/>
      <c r="AF21" s="157"/>
      <c r="AG21" s="157"/>
      <c r="AH21" s="157"/>
    </row>
    <row r="22" spans="2:37" x14ac:dyDescent="0.25">
      <c r="B22" s="157"/>
      <c r="C22" s="157"/>
      <c r="D22" s="211"/>
      <c r="E22" s="211"/>
      <c r="F22" s="209"/>
      <c r="G22" s="166"/>
      <c r="H22" s="166"/>
      <c r="I22" s="166"/>
      <c r="J22" s="166"/>
      <c r="K22" s="166"/>
      <c r="L22" s="166"/>
      <c r="M22" s="166"/>
      <c r="N22" s="166"/>
      <c r="O22" s="166"/>
      <c r="P22" s="166"/>
      <c r="Q22" s="166"/>
      <c r="R22" s="166"/>
      <c r="S22" s="166"/>
      <c r="T22" s="166"/>
      <c r="U22" s="166"/>
      <c r="V22" s="166"/>
      <c r="W22" s="166"/>
      <c r="X22" s="166"/>
      <c r="Y22" s="166"/>
      <c r="Z22" s="157"/>
      <c r="AA22" s="157"/>
      <c r="AB22" s="157"/>
      <c r="AC22" s="157"/>
      <c r="AD22" s="157"/>
      <c r="AE22" s="157"/>
      <c r="AF22" s="157"/>
      <c r="AG22" s="157"/>
      <c r="AH22" s="157"/>
    </row>
    <row r="23" spans="2:37" ht="26.25" customHeight="1" x14ac:dyDescent="0.25">
      <c r="B23" s="157"/>
      <c r="C23" s="157"/>
      <c r="D23" s="886" t="s">
        <v>158</v>
      </c>
      <c r="E23" s="887" t="s">
        <v>167</v>
      </c>
      <c r="F23" s="887" t="s">
        <v>150</v>
      </c>
      <c r="G23" s="916" t="s">
        <v>151</v>
      </c>
      <c r="H23" s="917"/>
      <c r="I23" s="917"/>
      <c r="J23" s="917"/>
      <c r="K23" s="917"/>
      <c r="L23" s="917"/>
      <c r="M23" s="917"/>
      <c r="N23" s="917"/>
      <c r="O23" s="917"/>
      <c r="P23" s="917"/>
      <c r="Q23" s="917"/>
      <c r="R23" s="917"/>
      <c r="S23" s="917"/>
      <c r="T23" s="917"/>
      <c r="U23" s="917"/>
      <c r="V23" s="917"/>
      <c r="W23" s="917"/>
      <c r="X23" s="917"/>
      <c r="Y23" s="917"/>
      <c r="Z23" s="917"/>
      <c r="AA23" s="917"/>
      <c r="AB23" s="917"/>
      <c r="AC23" s="917"/>
      <c r="AD23" s="917"/>
      <c r="AE23" s="917"/>
      <c r="AF23" s="917"/>
      <c r="AG23" s="917"/>
      <c r="AH23" s="918"/>
    </row>
    <row r="24" spans="2:37" ht="48" customHeight="1" x14ac:dyDescent="0.25">
      <c r="B24" s="157"/>
      <c r="C24" s="157"/>
      <c r="D24" s="887"/>
      <c r="E24" s="888"/>
      <c r="F24" s="888"/>
      <c r="G24" s="889" t="s">
        <v>164</v>
      </c>
      <c r="H24" s="890"/>
      <c r="I24" s="891"/>
      <c r="J24" s="892" t="s">
        <v>126</v>
      </c>
      <c r="K24" s="893"/>
      <c r="L24" s="894"/>
      <c r="M24" s="895" t="s">
        <v>165</v>
      </c>
      <c r="N24" s="896"/>
      <c r="O24" s="897"/>
      <c r="P24" s="898" t="s">
        <v>177</v>
      </c>
      <c r="Q24" s="899"/>
      <c r="R24" s="900"/>
      <c r="S24" s="901" t="s">
        <v>166</v>
      </c>
      <c r="T24" s="902"/>
      <c r="U24" s="903"/>
      <c r="V24" s="904" t="s">
        <v>130</v>
      </c>
      <c r="W24" s="905"/>
      <c r="X24" s="906"/>
      <c r="Y24" s="907" t="s">
        <v>172</v>
      </c>
      <c r="Z24" s="908"/>
      <c r="AA24" s="909"/>
      <c r="AB24" s="907" t="s">
        <v>2356</v>
      </c>
      <c r="AC24" s="908"/>
      <c r="AD24" s="909"/>
      <c r="AE24" s="910" t="s">
        <v>2370</v>
      </c>
      <c r="AF24" s="911"/>
      <c r="AG24" s="912"/>
      <c r="AH24" s="839" t="s">
        <v>2369</v>
      </c>
      <c r="AI24" s="192"/>
      <c r="AJ24" s="192"/>
      <c r="AK24" s="157"/>
    </row>
    <row r="25" spans="2:37" x14ac:dyDescent="0.25">
      <c r="B25" s="157"/>
      <c r="C25" s="157"/>
      <c r="D25" s="168" t="str">
        <f>'Project Details Entry'!C13</f>
        <v>A201</v>
      </c>
      <c r="E25" s="169">
        <f>IF('Project Details Entry'!D13&gt;0,'Project Details Entry'!D13,"")</f>
        <v>44562</v>
      </c>
      <c r="F25" s="169">
        <f>IF('Project Details Entry'!E13&gt;0,'Project Details Entry'!E13,"")</f>
        <v>44681</v>
      </c>
      <c r="G25" s="858">
        <f>SUMIF('Electrical Energy Consumption'!$C$34:$C$69,'Project Emission Distribution'!D25,'Electrical Energy Consumption'!$F$34:'Electrical Energy Consumption'!$F$69)</f>
        <v>8.2453336424242547</v>
      </c>
      <c r="H25" s="859"/>
      <c r="I25" s="860"/>
      <c r="J25" s="861">
        <f>SUMIF('Water Consumption'!$C$31:$C$66,'Project Emission Distribution'!D25,'Water Consumption'!$F$31:$F$66)</f>
        <v>1.1218041386146789</v>
      </c>
      <c r="K25" s="862"/>
      <c r="L25" s="863"/>
      <c r="M25" s="864">
        <f>SUMIF('Vehicles Emission'!$C$45:$C$80,'Project Emission Distribution'!D25,'Vehicles Emission'!$F$45:$F$80)</f>
        <v>22.03871909090909</v>
      </c>
      <c r="N25" s="865"/>
      <c r="O25" s="866"/>
      <c r="P25" s="867">
        <f>SUMIF('Employee Commute'!$C$36:$C$71,'Project Emission Distribution'!D25,'Employee Commute'!$F$36:$F$71)</f>
        <v>0.69773750799311485</v>
      </c>
      <c r="Q25" s="868"/>
      <c r="R25" s="869"/>
      <c r="S25" s="870">
        <f>SUMIF('Waste Generation'!$C$31:$C$66,'Project Emission Distribution'!D25,'Waste Generation'!$F$31:$F$66)</f>
        <v>0.18541666666666676</v>
      </c>
      <c r="T25" s="871"/>
      <c r="U25" s="872"/>
      <c r="V25" s="873">
        <f>SUMIF('Air travel'!$C$14:$C$49,'Project Emission Distribution'!D25,'Air travel'!$M$14:'Air travel'!$M$49)</f>
        <v>0.1215</v>
      </c>
      <c r="W25" s="874"/>
      <c r="X25" s="875"/>
      <c r="Y25" s="876">
        <f>SUMIFS('Wood &amp; Plywood '!$Q$18:$Q$77,'Wood &amp; Plywood '!$D$18:$D$77,'Project Emission Distribution'!$D25)+SUMIFS('Metals &amp; Acrylic'!$N$16:$N$75,'Metals &amp; Acrylic'!$D$16:$D$75,'Project Emission Distribution'!$D25)+SUMIFS('Metals &amp; Acrylic'!$O$16:$O$75,'Metals &amp; Acrylic'!$D$16:$D$75,'Project Emission Distribution'!$D25)+SUMIFS('Paint Consumption'!$AD$15:$AD$74,'Paint Consumption'!$D$15:$D$74,'Project Emission Distribution'!$D25)+SUMIFS('Packing material'!$K$15:$K$74,'Packing material'!$D$15:$D$74,'Project Emission Distribution'!$D25)</f>
        <v>6.8744035215849597E-2</v>
      </c>
      <c r="Z25" s="877"/>
      <c r="AA25" s="878"/>
      <c r="AB25" s="882">
        <f>SUMIFS(Frieght!$K$14:$K$73,Frieght!$D$14:$D$73,D25)</f>
        <v>0.82424375000000005</v>
      </c>
      <c r="AC25" s="883"/>
      <c r="AD25" s="884"/>
      <c r="AE25" s="913">
        <f>G25+J25+M25+P25+S25+V25+Y25+AB25</f>
        <v>33.30349883182366</v>
      </c>
      <c r="AF25" s="914"/>
      <c r="AG25" s="915"/>
      <c r="AH25" s="840">
        <f>SUMIFS('Product Emissions'!$H$11:$H$70,'Product Emissions'!$C$11:$C$70,'Project Emission Distribution'!$D25)</f>
        <v>2005.44</v>
      </c>
      <c r="AI25" s="193"/>
      <c r="AJ25" s="193"/>
      <c r="AK25" s="157"/>
    </row>
    <row r="26" spans="2:37" x14ac:dyDescent="0.25">
      <c r="B26" s="157"/>
      <c r="C26" s="157"/>
      <c r="D26" s="168" t="str">
        <f>'Project Details Entry'!C14</f>
        <v>AN02</v>
      </c>
      <c r="E26" s="169">
        <f>IF('Project Details Entry'!D14&gt;0,'Project Details Entry'!D14,"")</f>
        <v>44593</v>
      </c>
      <c r="F26" s="169">
        <f>IF('Project Details Entry'!E14&gt;0,'Project Details Entry'!E14,"")</f>
        <v>44620</v>
      </c>
      <c r="G26" s="858">
        <f>SUMIF('Electrical Energy Consumption'!$C$34:$C$69,'Project Emission Distribution'!D26,'Electrical Energy Consumption'!$F$34:'Electrical Energy Consumption'!$F$69)</f>
        <v>1.7408333333333335</v>
      </c>
      <c r="H26" s="859"/>
      <c r="I26" s="860"/>
      <c r="J26" s="861">
        <f>SUMIF('Water Consumption'!$C$31:$C$66,'Project Emission Distribution'!D26,'Water Consumption'!$F$31:$F$66)</f>
        <v>0</v>
      </c>
      <c r="K26" s="862"/>
      <c r="L26" s="863"/>
      <c r="M26" s="864">
        <f>SUMIF('Vehicles Emission'!$C$45:$C$80,'Project Emission Distribution'!D26,'Vehicles Emission'!$F$45:$F$80)</f>
        <v>22</v>
      </c>
      <c r="N26" s="865"/>
      <c r="O26" s="866"/>
      <c r="P26" s="867">
        <f>SUMIF('Employee Commute'!$C$36:$C$71,'Project Emission Distribution'!D26,'Employee Commute'!$F$36:$F$71)</f>
        <v>7.410596890650821E-2</v>
      </c>
      <c r="Q26" s="868"/>
      <c r="R26" s="869"/>
      <c r="S26" s="870">
        <f>SUMIF('Waste Generation'!$C$31:$C$66,'Project Emission Distribution'!D26,'Waste Generation'!$F$31:$F$66)</f>
        <v>0.18541666666666676</v>
      </c>
      <c r="T26" s="871"/>
      <c r="U26" s="872"/>
      <c r="V26" s="873">
        <f>SUMIF('Air travel'!$C$14:$C$49,'Project Emission Distribution'!D26,'Air travel'!$M$14:'Air travel'!$M$49)</f>
        <v>0</v>
      </c>
      <c r="W26" s="874"/>
      <c r="X26" s="875"/>
      <c r="Y26" s="876">
        <f>SUMIFS('Wood &amp; Plywood '!$Q$18:$Q$77,'Wood &amp; Plywood '!$D$18:$D$77,'Project Emission Distribution'!$D26)+SUMIFS('Metals &amp; Acrylic'!$N$16:$N$75,'Metals &amp; Acrylic'!$D$16:$D$75,'Project Emission Distribution'!$D26)+SUMIFS('Metals &amp; Acrylic'!$O$16:$O$75,'Metals &amp; Acrylic'!$D$16:$D$75,'Project Emission Distribution'!$D26)+SUMIFS('Paint Consumption'!$AD$15:$AD$74,'Paint Consumption'!$D$15:$D$74,'Project Emission Distribution'!$D26)+SUMIFS('Packing material'!$K$15:$K$74,'Packing material'!$D$15:$D$74,'Project Emission Distribution'!$D26)</f>
        <v>0</v>
      </c>
      <c r="Z26" s="877"/>
      <c r="AA26" s="878"/>
      <c r="AB26" s="882">
        <f>SUMIFS(Frieght!$K$14:$K$73,Frieght!$D$14:$D$73,D26)</f>
        <v>0</v>
      </c>
      <c r="AC26" s="883"/>
      <c r="AD26" s="884"/>
      <c r="AE26" s="879">
        <f t="shared" ref="AE26:AE84" si="0">G26+J26+M26+P26+S26+V26+Y26+AB26</f>
        <v>24.000355968906508</v>
      </c>
      <c r="AF26" s="880"/>
      <c r="AG26" s="881"/>
      <c r="AH26" s="840">
        <f>SUMIFS('Product Emissions'!$H$11:$H$70,'Product Emissions'!$C$11:$C$70,'Project Emission Distribution'!$D26)</f>
        <v>0</v>
      </c>
      <c r="AI26" s="193"/>
      <c r="AJ26" s="193"/>
      <c r="AK26" s="157"/>
    </row>
    <row r="27" spans="2:37" x14ac:dyDescent="0.25">
      <c r="B27" s="157"/>
      <c r="C27" s="157"/>
      <c r="D27" s="168" t="str">
        <f>'Project Details Entry'!C15</f>
        <v>AN03</v>
      </c>
      <c r="E27" s="169">
        <f>IF('Project Details Entry'!D15&gt;0,'Project Details Entry'!D15,"")</f>
        <v>44593</v>
      </c>
      <c r="F27" s="169">
        <f>IF('Project Details Entry'!E15&gt;0,'Project Details Entry'!E15,"")</f>
        <v>44781</v>
      </c>
      <c r="G27" s="858">
        <f>SUMIF('Electrical Energy Consumption'!$C$34:$C$69,'Project Emission Distribution'!D27,'Electrical Energy Consumption'!$F$34:'Electrical Energy Consumption'!$F$69)</f>
        <v>9.9227499999999953</v>
      </c>
      <c r="H27" s="859"/>
      <c r="I27" s="860"/>
      <c r="J27" s="861">
        <f>SUMIF('Water Consumption'!$C$31:$C$66,'Project Emission Distribution'!D27,'Water Consumption'!$F$31:$F$66)</f>
        <v>0</v>
      </c>
      <c r="K27" s="862"/>
      <c r="L27" s="863"/>
      <c r="M27" s="864">
        <f>SUMIF('Vehicles Emission'!$C$45:$C$80,'Project Emission Distribution'!D27,'Vehicles Emission'!$F$45:$F$80)</f>
        <v>22</v>
      </c>
      <c r="N27" s="865"/>
      <c r="O27" s="866"/>
      <c r="P27" s="867">
        <f>SUMIF('Employee Commute'!$C$36:$C$71,'Project Emission Distribution'!D27,'Employee Commute'!$F$36:$F$71)</f>
        <v>1.1104105674840206</v>
      </c>
      <c r="Q27" s="868"/>
      <c r="R27" s="869"/>
      <c r="S27" s="870">
        <f>SUMIF('Waste Generation'!$C$31:$C$66,'Project Emission Distribution'!D27,'Waste Generation'!$F$31:$F$66)</f>
        <v>0.18541666666666676</v>
      </c>
      <c r="T27" s="871"/>
      <c r="U27" s="872"/>
      <c r="V27" s="873">
        <f>SUMIF('Air travel'!$C$14:$C$49,'Project Emission Distribution'!D27,'Air travel'!$M$14:'Air travel'!$M$49)</f>
        <v>0</v>
      </c>
      <c r="W27" s="874"/>
      <c r="X27" s="875"/>
      <c r="Y27" s="876">
        <f>SUMIFS('Wood &amp; Plywood '!$Q$18:$Q$77,'Wood &amp; Plywood '!$D$18:$D$77,'Project Emission Distribution'!$D27)+SUMIFS('Metals &amp; Acrylic'!$N$16:$N$75,'Metals &amp; Acrylic'!$D$16:$D$75,'Project Emission Distribution'!$D27)+SUMIFS('Metals &amp; Acrylic'!$O$16:$O$75,'Metals &amp; Acrylic'!$D$16:$D$75,'Project Emission Distribution'!$D27)+SUMIFS('Paint Consumption'!$AD$15:$AD$74,'Paint Consumption'!$D$15:$D$74,'Project Emission Distribution'!$D27)+SUMIFS('Packing material'!$K$15:$K$74,'Packing material'!$D$15:$D$74,'Project Emission Distribution'!$D27)</f>
        <v>0</v>
      </c>
      <c r="Z27" s="877"/>
      <c r="AA27" s="878"/>
      <c r="AB27" s="882">
        <f>SUMIFS(Frieght!$K$14:$K$73,Frieght!$D$14:$D$73,D27)</f>
        <v>0</v>
      </c>
      <c r="AC27" s="883"/>
      <c r="AD27" s="884"/>
      <c r="AE27" s="879">
        <f t="shared" si="0"/>
        <v>33.218577234150686</v>
      </c>
      <c r="AF27" s="880"/>
      <c r="AG27" s="881"/>
      <c r="AH27" s="840">
        <f>SUMIFS('Product Emissions'!$H$11:$H$70,'Product Emissions'!$C$11:$C$70,'Project Emission Distribution'!$D27)</f>
        <v>0</v>
      </c>
      <c r="AI27" s="193"/>
      <c r="AJ27" s="193"/>
      <c r="AK27" s="157"/>
    </row>
    <row r="28" spans="2:37" x14ac:dyDescent="0.25">
      <c r="B28" s="157"/>
      <c r="C28" s="157"/>
      <c r="D28" s="168" t="str">
        <f>'Project Details Entry'!C16</f>
        <v>AN04</v>
      </c>
      <c r="E28" s="169">
        <f>IF('Project Details Entry'!D16&gt;0,'Project Details Entry'!D16,"")</f>
        <v>44583</v>
      </c>
      <c r="F28" s="169">
        <f>IF('Project Details Entry'!E16&gt;0,'Project Details Entry'!E16,"")</f>
        <v>44635</v>
      </c>
      <c r="G28" s="858">
        <f>SUMIF('Electrical Energy Consumption'!$C$34:$C$69,'Project Emission Distribution'!D28,'Electrical Energy Consumption'!$F$34:'Electrical Energy Consumption'!$F$69)</f>
        <v>4.5129302072336284</v>
      </c>
      <c r="H28" s="859"/>
      <c r="I28" s="860"/>
      <c r="J28" s="861">
        <f>SUMIF('Water Consumption'!$C$31:$C$66,'Project Emission Distribution'!D28,'Water Consumption'!$F$31:$F$66)</f>
        <v>0.36187230277892884</v>
      </c>
      <c r="K28" s="862"/>
      <c r="L28" s="863"/>
      <c r="M28" s="864">
        <f>SUMIF('Vehicles Emission'!$C$45:$C$80,'Project Emission Distribution'!D28,'Vehicles Emission'!$F$45:$F$80)</f>
        <v>22.012490029325512</v>
      </c>
      <c r="N28" s="865"/>
      <c r="O28" s="866"/>
      <c r="P28" s="867">
        <f>SUMIF('Employee Commute'!$C$36:$C$71,'Project Emission Distribution'!D28,'Employee Commute'!$F$36:$F$71)</f>
        <v>0.26405849823202154</v>
      </c>
      <c r="Q28" s="868"/>
      <c r="R28" s="869"/>
      <c r="S28" s="870">
        <f>SUMIF('Waste Generation'!$C$31:$C$66,'Project Emission Distribution'!D28,'Waste Generation'!$F$31:$F$66)</f>
        <v>0.18541666666666676</v>
      </c>
      <c r="T28" s="871"/>
      <c r="U28" s="872"/>
      <c r="V28" s="873">
        <f>SUMIF('Air travel'!$C$14:$C$49,'Project Emission Distribution'!D28,'Air travel'!$M$14:'Air travel'!$M$49)</f>
        <v>0</v>
      </c>
      <c r="W28" s="874"/>
      <c r="X28" s="875"/>
      <c r="Y28" s="876">
        <f>SUMIFS('Wood &amp; Plywood '!$Q$18:$Q$77,'Wood &amp; Plywood '!$D$18:$D$77,'Project Emission Distribution'!$D28)+SUMIFS('Metals &amp; Acrylic'!$N$16:$N$75,'Metals &amp; Acrylic'!$D$16:$D$75,'Project Emission Distribution'!$D28)+SUMIFS('Metals &amp; Acrylic'!$O$16:$O$75,'Metals &amp; Acrylic'!$D$16:$D$75,'Project Emission Distribution'!$D28)+SUMIFS('Paint Consumption'!$AD$15:$AD$74,'Paint Consumption'!$D$15:$D$74,'Project Emission Distribution'!$D28)+SUMIFS('Packing material'!$K$15:$K$74,'Packing material'!$D$15:$D$74,'Project Emission Distribution'!$D28)</f>
        <v>0</v>
      </c>
      <c r="Z28" s="877"/>
      <c r="AA28" s="878"/>
      <c r="AB28" s="882">
        <f>SUMIFS(Frieght!$K$14:$K$73,Frieght!$D$14:$D$73,D28)</f>
        <v>0</v>
      </c>
      <c r="AC28" s="883"/>
      <c r="AD28" s="884"/>
      <c r="AE28" s="879">
        <f t="shared" si="0"/>
        <v>27.336767704236756</v>
      </c>
      <c r="AF28" s="880"/>
      <c r="AG28" s="881"/>
      <c r="AH28" s="840">
        <f>SUMIFS('Product Emissions'!$H$11:$H$70,'Product Emissions'!$C$11:$C$70,'Project Emission Distribution'!$D28)</f>
        <v>0</v>
      </c>
      <c r="AI28" s="193"/>
      <c r="AJ28" s="193"/>
      <c r="AK28" s="157"/>
    </row>
    <row r="29" spans="2:37" x14ac:dyDescent="0.25">
      <c r="B29" s="157"/>
      <c r="C29" s="157"/>
      <c r="D29" s="168" t="str">
        <f>'Project Details Entry'!C17</f>
        <v>AN05</v>
      </c>
      <c r="E29" s="169">
        <f>IF('Project Details Entry'!D17&gt;0,'Project Details Entry'!D17,"")</f>
        <v>44614</v>
      </c>
      <c r="F29" s="169">
        <f>IF('Project Details Entry'!E17&gt;0,'Project Details Entry'!E17,"")</f>
        <v>44770</v>
      </c>
      <c r="G29" s="858">
        <f>SUMIF('Electrical Energy Consumption'!$C$34:$C$69,'Project Emission Distribution'!D29,'Electrical Energy Consumption'!$F$34:'Electrical Energy Consumption'!$F$69)</f>
        <v>8.5160443548387281</v>
      </c>
      <c r="H29" s="859"/>
      <c r="I29" s="860"/>
      <c r="J29" s="861">
        <f>SUMIF('Water Consumption'!$C$31:$C$66,'Project Emission Distribution'!D29,'Water Consumption'!$F$31:$F$66)</f>
        <v>0</v>
      </c>
      <c r="K29" s="862"/>
      <c r="L29" s="863"/>
      <c r="M29" s="864">
        <f>SUMIF('Vehicles Emission'!$C$45:$C$80,'Project Emission Distribution'!D29,'Vehicles Emission'!$F$45:$F$80)</f>
        <v>5.5</v>
      </c>
      <c r="N29" s="865"/>
      <c r="O29" s="866"/>
      <c r="P29" s="867">
        <f>SUMIF('Employee Commute'!$C$36:$C$71,'Project Emission Distribution'!D29,'Employee Commute'!$F$36:$F$71)</f>
        <v>1.0548310908041398</v>
      </c>
      <c r="Q29" s="868"/>
      <c r="R29" s="869"/>
      <c r="S29" s="870">
        <f>SUMIF('Waste Generation'!$C$31:$C$66,'Project Emission Distribution'!D29,'Waste Generation'!$F$31:$F$66)</f>
        <v>4.6354166666666682E-2</v>
      </c>
      <c r="T29" s="871"/>
      <c r="U29" s="872"/>
      <c r="V29" s="873">
        <f>SUMIF('Air travel'!$C$14:$C$49,'Project Emission Distribution'!D29,'Air travel'!$M$14:'Air travel'!$M$49)</f>
        <v>0</v>
      </c>
      <c r="W29" s="874"/>
      <c r="X29" s="875"/>
      <c r="Y29" s="876">
        <f>SUMIFS('Wood &amp; Plywood '!$Q$18:$Q$77,'Wood &amp; Plywood '!$D$18:$D$77,'Project Emission Distribution'!$D29)+SUMIFS('Metals &amp; Acrylic'!$N$16:$N$75,'Metals &amp; Acrylic'!$D$16:$D$75,'Project Emission Distribution'!$D29)+SUMIFS('Metals &amp; Acrylic'!$O$16:$O$75,'Metals &amp; Acrylic'!$D$16:$D$75,'Project Emission Distribution'!$D29)+SUMIFS('Paint Consumption'!$AD$15:$AD$74,'Paint Consumption'!$D$15:$D$74,'Project Emission Distribution'!$D29)+SUMIFS('Packing material'!$K$15:$K$74,'Packing material'!$D$15:$D$74,'Project Emission Distribution'!$D29)</f>
        <v>0</v>
      </c>
      <c r="Z29" s="877"/>
      <c r="AA29" s="878"/>
      <c r="AB29" s="882">
        <f>SUMIFS(Frieght!$K$14:$K$73,Frieght!$D$14:$D$73,D29)</f>
        <v>0</v>
      </c>
      <c r="AC29" s="883"/>
      <c r="AD29" s="884"/>
      <c r="AE29" s="879">
        <f t="shared" si="0"/>
        <v>15.117229612309535</v>
      </c>
      <c r="AF29" s="880"/>
      <c r="AG29" s="881"/>
      <c r="AH29" s="840">
        <f>SUMIFS('Product Emissions'!$H$11:$H$70,'Product Emissions'!$C$11:$C$70,'Project Emission Distribution'!$D29)</f>
        <v>0</v>
      </c>
      <c r="AI29" s="193"/>
      <c r="AJ29" s="193"/>
      <c r="AK29" s="157"/>
    </row>
    <row r="30" spans="2:37" x14ac:dyDescent="0.25">
      <c r="B30" s="157"/>
      <c r="C30" s="157"/>
      <c r="D30" s="168" t="str">
        <f>'Project Details Entry'!C18</f>
        <v>AN06</v>
      </c>
      <c r="E30" s="169">
        <f>IF('Project Details Entry'!D18&gt;0,'Project Details Entry'!D18,"")</f>
        <v>44593</v>
      </c>
      <c r="F30" s="169">
        <f>IF('Project Details Entry'!E18&gt;0,'Project Details Entry'!E18,"")</f>
        <v>44781</v>
      </c>
      <c r="G30" s="858">
        <f>SUMIF('Electrical Energy Consumption'!$C$34:$C$69,'Project Emission Distribution'!D30,'Electrical Energy Consumption'!$F$34:'Electrical Energy Consumption'!$F$69)</f>
        <v>9.9227499999999953</v>
      </c>
      <c r="H30" s="859"/>
      <c r="I30" s="860"/>
      <c r="J30" s="861">
        <f>SUMIF('Water Consumption'!$C$31:$C$66,'Project Emission Distribution'!D30,'Water Consumption'!$F$31:$F$66)</f>
        <v>0</v>
      </c>
      <c r="K30" s="862"/>
      <c r="L30" s="863"/>
      <c r="M30" s="864">
        <f>SUMIF('Vehicles Emission'!$C$45:$C$80,'Project Emission Distribution'!D30,'Vehicles Emission'!$F$45:$F$80)</f>
        <v>22</v>
      </c>
      <c r="N30" s="865"/>
      <c r="O30" s="866"/>
      <c r="P30" s="867">
        <f>SUMIF('Employee Commute'!$C$36:$C$71,'Project Emission Distribution'!D30,'Employee Commute'!$F$36:$F$71)</f>
        <v>1.1104105674840206</v>
      </c>
      <c r="Q30" s="868"/>
      <c r="R30" s="869"/>
      <c r="S30" s="870">
        <f>SUMIF('Waste Generation'!$C$31:$C$66,'Project Emission Distribution'!D30,'Waste Generation'!$F$31:$F$66)</f>
        <v>0.18541666666666676</v>
      </c>
      <c r="T30" s="871"/>
      <c r="U30" s="872"/>
      <c r="V30" s="873">
        <f>SUMIF('Air travel'!$C$14:$C$49,'Project Emission Distribution'!D30,'Air travel'!$M$14:'Air travel'!$M$49)</f>
        <v>0</v>
      </c>
      <c r="W30" s="874"/>
      <c r="X30" s="875"/>
      <c r="Y30" s="876">
        <f>SUMIFS('Wood &amp; Plywood '!$Q$18:$Q$77,'Wood &amp; Plywood '!$D$18:$D$77,'Project Emission Distribution'!$D30)+SUMIFS('Metals &amp; Acrylic'!$N$16:$N$75,'Metals &amp; Acrylic'!$D$16:$D$75,'Project Emission Distribution'!$D30)+SUMIFS('Metals &amp; Acrylic'!$O$16:$O$75,'Metals &amp; Acrylic'!$D$16:$D$75,'Project Emission Distribution'!$D30)+SUMIFS('Paint Consumption'!$AD$15:$AD$74,'Paint Consumption'!$D$15:$D$74,'Project Emission Distribution'!$D30)+SUMIFS('Packing material'!$K$15:$K$74,'Packing material'!$D$15:$D$74,'Project Emission Distribution'!$D30)</f>
        <v>0</v>
      </c>
      <c r="Z30" s="877"/>
      <c r="AA30" s="878"/>
      <c r="AB30" s="882">
        <f>SUMIFS(Frieght!$K$14:$K$73,Frieght!$D$14:$D$73,D30)</f>
        <v>0</v>
      </c>
      <c r="AC30" s="883"/>
      <c r="AD30" s="884"/>
      <c r="AE30" s="879">
        <f t="shared" si="0"/>
        <v>33.218577234150686</v>
      </c>
      <c r="AF30" s="880"/>
      <c r="AG30" s="881"/>
      <c r="AH30" s="840">
        <f>SUMIFS('Product Emissions'!$H$11:$H$70,'Product Emissions'!$C$11:$C$70,'Project Emission Distribution'!$D30)</f>
        <v>0</v>
      </c>
      <c r="AI30" s="193"/>
      <c r="AJ30" s="193"/>
      <c r="AK30" s="157"/>
    </row>
    <row r="31" spans="2:37" x14ac:dyDescent="0.25">
      <c r="B31" s="157"/>
      <c r="C31" s="157"/>
      <c r="D31" s="168" t="str">
        <f>'Project Details Entry'!C19</f>
        <v>AN07</v>
      </c>
      <c r="E31" s="169">
        <f>IF('Project Details Entry'!D19&gt;0,'Project Details Entry'!D19,"")</f>
        <v>44583</v>
      </c>
      <c r="F31" s="169">
        <f>IF('Project Details Entry'!E19&gt;0,'Project Details Entry'!E19,"")</f>
        <v>44635</v>
      </c>
      <c r="G31" s="858">
        <f>SUMIF('Electrical Energy Consumption'!$C$34:$C$69,'Project Emission Distribution'!D31,'Electrical Energy Consumption'!$F$34:'Electrical Energy Consumption'!$F$69)</f>
        <v>4.5129302072336284</v>
      </c>
      <c r="H31" s="859"/>
      <c r="I31" s="860"/>
      <c r="J31" s="861">
        <f>SUMIF('Water Consumption'!$C$31:$C$66,'Project Emission Distribution'!D31,'Water Consumption'!$F$31:$F$66)</f>
        <v>0.36187230277892884</v>
      </c>
      <c r="K31" s="862"/>
      <c r="L31" s="863"/>
      <c r="M31" s="864">
        <f>SUMIF('Vehicles Emission'!$C$45:$C$80,'Project Emission Distribution'!D31,'Vehicles Emission'!$F$45:$F$80)</f>
        <v>22.012490029325512</v>
      </c>
      <c r="N31" s="865"/>
      <c r="O31" s="866"/>
      <c r="P31" s="867">
        <f>SUMIF('Employee Commute'!$C$36:$C$71,'Project Emission Distribution'!D31,'Employee Commute'!$F$36:$F$71)</f>
        <v>0.26405849823202154</v>
      </c>
      <c r="Q31" s="868"/>
      <c r="R31" s="869"/>
      <c r="S31" s="870">
        <f>SUMIF('Waste Generation'!$C$31:$C$66,'Project Emission Distribution'!D31,'Waste Generation'!$F$31:$F$66)</f>
        <v>0.18541666666666676</v>
      </c>
      <c r="T31" s="871"/>
      <c r="U31" s="872"/>
      <c r="V31" s="873">
        <f>SUMIF('Air travel'!$C$14:$C$49,'Project Emission Distribution'!D31,'Air travel'!$M$14:'Air travel'!$M$49)</f>
        <v>0</v>
      </c>
      <c r="W31" s="874"/>
      <c r="X31" s="875"/>
      <c r="Y31" s="876">
        <f>SUMIFS('Wood &amp; Plywood '!$Q$18:$Q$77,'Wood &amp; Plywood '!$D$18:$D$77,'Project Emission Distribution'!$D31)+SUMIFS('Metals &amp; Acrylic'!$N$16:$N$75,'Metals &amp; Acrylic'!$D$16:$D$75,'Project Emission Distribution'!$D31)+SUMIFS('Metals &amp; Acrylic'!$O$16:$O$75,'Metals &amp; Acrylic'!$D$16:$D$75,'Project Emission Distribution'!$D31)+SUMIFS('Paint Consumption'!$AD$15:$AD$74,'Paint Consumption'!$D$15:$D$74,'Project Emission Distribution'!$D31)+SUMIFS('Packing material'!$K$15:$K$74,'Packing material'!$D$15:$D$74,'Project Emission Distribution'!$D31)</f>
        <v>0</v>
      </c>
      <c r="Z31" s="877"/>
      <c r="AA31" s="878"/>
      <c r="AB31" s="882">
        <f>SUMIFS(Frieght!$K$14:$K$73,Frieght!$D$14:$D$73,D31)</f>
        <v>0</v>
      </c>
      <c r="AC31" s="883"/>
      <c r="AD31" s="884"/>
      <c r="AE31" s="879">
        <f t="shared" si="0"/>
        <v>27.336767704236756</v>
      </c>
      <c r="AF31" s="880"/>
      <c r="AG31" s="881"/>
      <c r="AH31" s="840">
        <f>SUMIFS('Product Emissions'!$H$11:$H$70,'Product Emissions'!$C$11:$C$70,'Project Emission Distribution'!$D31)</f>
        <v>0</v>
      </c>
      <c r="AI31" s="193"/>
      <c r="AJ31" s="193"/>
      <c r="AK31" s="157"/>
    </row>
    <row r="32" spans="2:37" x14ac:dyDescent="0.25">
      <c r="B32" s="157"/>
      <c r="C32" s="157"/>
      <c r="D32" s="168" t="str">
        <f>'Project Details Entry'!C20</f>
        <v>AN08</v>
      </c>
      <c r="E32" s="169">
        <f>IF('Project Details Entry'!D20&gt;0,'Project Details Entry'!D20,"")</f>
        <v>44614</v>
      </c>
      <c r="F32" s="169">
        <f>IF('Project Details Entry'!E20&gt;0,'Project Details Entry'!E20,"")</f>
        <v>44770</v>
      </c>
      <c r="G32" s="858">
        <f>SUMIF('Electrical Energy Consumption'!$C$34:$C$69,'Project Emission Distribution'!D32,'Electrical Energy Consumption'!$F$34:'Electrical Energy Consumption'!$F$69)</f>
        <v>8.5160443548387281</v>
      </c>
      <c r="H32" s="859"/>
      <c r="I32" s="860"/>
      <c r="J32" s="861">
        <f>SUMIF('Water Consumption'!$C$31:$C$66,'Project Emission Distribution'!D32,'Water Consumption'!$F$31:$F$66)</f>
        <v>0</v>
      </c>
      <c r="K32" s="862"/>
      <c r="L32" s="863"/>
      <c r="M32" s="864">
        <f>SUMIF('Vehicles Emission'!$C$45:$C$80,'Project Emission Distribution'!D32,'Vehicles Emission'!$F$45:$F$80)</f>
        <v>5.5</v>
      </c>
      <c r="N32" s="865"/>
      <c r="O32" s="866"/>
      <c r="P32" s="867">
        <f>SUMIF('Employee Commute'!$C$36:$C$71,'Project Emission Distribution'!D32,'Employee Commute'!$F$36:$F$71)</f>
        <v>1.0548310908041398</v>
      </c>
      <c r="Q32" s="868"/>
      <c r="R32" s="869"/>
      <c r="S32" s="870">
        <f>SUMIF('Waste Generation'!$C$31:$C$66,'Project Emission Distribution'!D32,'Waste Generation'!$F$31:$F$66)</f>
        <v>4.6354166666666682E-2</v>
      </c>
      <c r="T32" s="871"/>
      <c r="U32" s="872"/>
      <c r="V32" s="873">
        <f>SUMIF('Air travel'!$C$14:$C$49,'Project Emission Distribution'!D32,'Air travel'!$M$14:'Air travel'!$M$49)</f>
        <v>0</v>
      </c>
      <c r="W32" s="874"/>
      <c r="X32" s="875"/>
      <c r="Y32" s="876">
        <f>SUMIFS('Wood &amp; Plywood '!$Q$18:$Q$77,'Wood &amp; Plywood '!$D$18:$D$77,'Project Emission Distribution'!$D32)+SUMIFS('Metals &amp; Acrylic'!$N$16:$N$75,'Metals &amp; Acrylic'!$D$16:$D$75,'Project Emission Distribution'!$D32)+SUMIFS('Metals &amp; Acrylic'!$O$16:$O$75,'Metals &amp; Acrylic'!$D$16:$D$75,'Project Emission Distribution'!$D32)+SUMIFS('Paint Consumption'!$AD$15:$AD$74,'Paint Consumption'!$D$15:$D$74,'Project Emission Distribution'!$D32)+SUMIFS('Packing material'!$K$15:$K$74,'Packing material'!$D$15:$D$74,'Project Emission Distribution'!$D32)</f>
        <v>0</v>
      </c>
      <c r="Z32" s="877"/>
      <c r="AA32" s="878"/>
      <c r="AB32" s="882">
        <f>SUMIFS(Frieght!$K$14:$K$73,Frieght!$D$14:$D$73,D32)</f>
        <v>0</v>
      </c>
      <c r="AC32" s="883"/>
      <c r="AD32" s="884"/>
      <c r="AE32" s="879">
        <f t="shared" si="0"/>
        <v>15.117229612309535</v>
      </c>
      <c r="AF32" s="880"/>
      <c r="AG32" s="881"/>
      <c r="AH32" s="840">
        <f>SUMIFS('Product Emissions'!$H$11:$H$70,'Product Emissions'!$C$11:$C$70,'Project Emission Distribution'!$D32)</f>
        <v>0</v>
      </c>
      <c r="AI32" s="193"/>
      <c r="AJ32" s="193"/>
      <c r="AK32" s="157"/>
    </row>
    <row r="33" spans="2:45" x14ac:dyDescent="0.25">
      <c r="B33" s="157"/>
      <c r="C33" s="157"/>
      <c r="D33" s="168" t="str">
        <f>'Project Details Entry'!C21</f>
        <v>AN09</v>
      </c>
      <c r="E33" s="169">
        <f>IF('Project Details Entry'!D21&gt;0,'Project Details Entry'!D21,"")</f>
        <v>44593</v>
      </c>
      <c r="F33" s="169">
        <f>IF('Project Details Entry'!E21&gt;0,'Project Details Entry'!E21,"")</f>
        <v>44781</v>
      </c>
      <c r="G33" s="858">
        <f>SUMIF('Electrical Energy Consumption'!$C$34:$C$69,'Project Emission Distribution'!D33,'Electrical Energy Consumption'!$F$34:'Electrical Energy Consumption'!$F$69)</f>
        <v>9.9227499999999953</v>
      </c>
      <c r="H33" s="859"/>
      <c r="I33" s="860"/>
      <c r="J33" s="861">
        <f>SUMIF('Water Consumption'!$C$31:$C$66,'Project Emission Distribution'!D33,'Water Consumption'!$F$31:$F$66)</f>
        <v>0</v>
      </c>
      <c r="K33" s="862"/>
      <c r="L33" s="863"/>
      <c r="M33" s="864">
        <f>SUMIF('Vehicles Emission'!$C$45:$C$80,'Project Emission Distribution'!D33,'Vehicles Emission'!$F$45:$F$80)</f>
        <v>22</v>
      </c>
      <c r="N33" s="865"/>
      <c r="O33" s="866"/>
      <c r="P33" s="867">
        <f>SUMIF('Employee Commute'!$C$36:$C$71,'Project Emission Distribution'!D33,'Employee Commute'!$F$36:$F$71)</f>
        <v>1.1104105674840206</v>
      </c>
      <c r="Q33" s="868"/>
      <c r="R33" s="869"/>
      <c r="S33" s="870">
        <f>SUMIF('Waste Generation'!$C$31:$C$66,'Project Emission Distribution'!D33,'Waste Generation'!$F$31:$F$66)</f>
        <v>0.18541666666666676</v>
      </c>
      <c r="T33" s="871"/>
      <c r="U33" s="872"/>
      <c r="V33" s="873">
        <f>SUMIF('Air travel'!$C$14:$C$49,'Project Emission Distribution'!D33,'Air travel'!$M$14:'Air travel'!$M$49)</f>
        <v>0</v>
      </c>
      <c r="W33" s="874"/>
      <c r="X33" s="875"/>
      <c r="Y33" s="876">
        <f>SUMIFS('Wood &amp; Plywood '!$Q$18:$Q$77,'Wood &amp; Plywood '!$D$18:$D$77,'Project Emission Distribution'!$D33)+SUMIFS('Metals &amp; Acrylic'!$N$16:$N$75,'Metals &amp; Acrylic'!$D$16:$D$75,'Project Emission Distribution'!$D33)+SUMIFS('Metals &amp; Acrylic'!$O$16:$O$75,'Metals &amp; Acrylic'!$D$16:$D$75,'Project Emission Distribution'!$D33)+SUMIFS('Paint Consumption'!$AD$15:$AD$74,'Paint Consumption'!$D$15:$D$74,'Project Emission Distribution'!$D33)+SUMIFS('Packing material'!$K$15:$K$74,'Packing material'!$D$15:$D$74,'Project Emission Distribution'!$D33)</f>
        <v>0</v>
      </c>
      <c r="Z33" s="877"/>
      <c r="AA33" s="878"/>
      <c r="AB33" s="882">
        <f>SUMIFS(Frieght!$K$14:$K$73,Frieght!$D$14:$D$73,D33)</f>
        <v>0</v>
      </c>
      <c r="AC33" s="883"/>
      <c r="AD33" s="884"/>
      <c r="AE33" s="879">
        <f t="shared" si="0"/>
        <v>33.218577234150686</v>
      </c>
      <c r="AF33" s="880"/>
      <c r="AG33" s="881"/>
      <c r="AH33" s="840">
        <f>SUMIFS('Product Emissions'!$H$11:$H$70,'Product Emissions'!$C$11:$C$70,'Project Emission Distribution'!$D33)</f>
        <v>0</v>
      </c>
      <c r="AI33" s="193"/>
      <c r="AJ33" s="193"/>
      <c r="AK33" s="157"/>
      <c r="AR33" s="117"/>
      <c r="AS33" s="117"/>
    </row>
    <row r="34" spans="2:45" x14ac:dyDescent="0.25">
      <c r="B34" s="157"/>
      <c r="C34" s="157"/>
      <c r="D34" s="168" t="str">
        <f>'Project Details Entry'!C22</f>
        <v>AN10</v>
      </c>
      <c r="E34" s="169">
        <f>IF('Project Details Entry'!D22&gt;0,'Project Details Entry'!D22,"")</f>
        <v>44583</v>
      </c>
      <c r="F34" s="169">
        <f>IF('Project Details Entry'!E22&gt;0,'Project Details Entry'!E22,"")</f>
        <v>44635</v>
      </c>
      <c r="G34" s="858">
        <f>SUMIF('Electrical Energy Consumption'!$C$34:$C$69,'Project Emission Distribution'!D34,'Electrical Energy Consumption'!$F$34:'Electrical Energy Consumption'!$F$69)</f>
        <v>4.5129302072336284</v>
      </c>
      <c r="H34" s="859"/>
      <c r="I34" s="860"/>
      <c r="J34" s="861">
        <f>SUMIF('Water Consumption'!$C$31:$C$66,'Project Emission Distribution'!D34,'Water Consumption'!$F$31:$F$66)</f>
        <v>0.36187230277892884</v>
      </c>
      <c r="K34" s="862"/>
      <c r="L34" s="863"/>
      <c r="M34" s="864">
        <f>SUMIF('Vehicles Emission'!$C$45:$C$80,'Project Emission Distribution'!D34,'Vehicles Emission'!$F$45:$F$80)</f>
        <v>22.012490029325512</v>
      </c>
      <c r="N34" s="865"/>
      <c r="O34" s="866"/>
      <c r="P34" s="867">
        <f>SUMIF('Employee Commute'!$C$36:$C$71,'Project Emission Distribution'!D34,'Employee Commute'!$F$36:$F$71)</f>
        <v>0.26405849823202154</v>
      </c>
      <c r="Q34" s="868"/>
      <c r="R34" s="869"/>
      <c r="S34" s="870">
        <f>SUMIF('Waste Generation'!$C$31:$C$66,'Project Emission Distribution'!D34,'Waste Generation'!$F$31:$F$66)</f>
        <v>0.18541666666666676</v>
      </c>
      <c r="T34" s="871"/>
      <c r="U34" s="872"/>
      <c r="V34" s="873">
        <f>SUMIF('Air travel'!$C$14:$C$49,'Project Emission Distribution'!D34,'Air travel'!$M$14:'Air travel'!$M$49)</f>
        <v>0</v>
      </c>
      <c r="W34" s="874"/>
      <c r="X34" s="875"/>
      <c r="Y34" s="876">
        <f>SUMIFS('Wood &amp; Plywood '!$Q$18:$Q$77,'Wood &amp; Plywood '!$D$18:$D$77,'Project Emission Distribution'!$D34)+SUMIFS('Metals &amp; Acrylic'!$N$16:$N$75,'Metals &amp; Acrylic'!$D$16:$D$75,'Project Emission Distribution'!$D34)+SUMIFS('Metals &amp; Acrylic'!$O$16:$O$75,'Metals &amp; Acrylic'!$D$16:$D$75,'Project Emission Distribution'!$D34)+SUMIFS('Paint Consumption'!$AD$15:$AD$74,'Paint Consumption'!$D$15:$D$74,'Project Emission Distribution'!$D34)+SUMIFS('Packing material'!$K$15:$K$74,'Packing material'!$D$15:$D$74,'Project Emission Distribution'!$D34)</f>
        <v>0</v>
      </c>
      <c r="Z34" s="877"/>
      <c r="AA34" s="878"/>
      <c r="AB34" s="882">
        <f>SUMIFS(Frieght!$K$14:$K$73,Frieght!$D$14:$D$73,D34)</f>
        <v>0</v>
      </c>
      <c r="AC34" s="883"/>
      <c r="AD34" s="884"/>
      <c r="AE34" s="879">
        <f t="shared" si="0"/>
        <v>27.336767704236756</v>
      </c>
      <c r="AF34" s="880"/>
      <c r="AG34" s="881"/>
      <c r="AH34" s="840">
        <f>SUMIFS('Product Emissions'!$H$11:$H$70,'Product Emissions'!$C$11:$C$70,'Project Emission Distribution'!$D34)</f>
        <v>0</v>
      </c>
      <c r="AI34" s="193"/>
      <c r="AJ34" s="193"/>
      <c r="AK34" s="157"/>
    </row>
    <row r="35" spans="2:45" x14ac:dyDescent="0.25">
      <c r="B35" s="157"/>
      <c r="C35" s="157"/>
      <c r="D35" s="168" t="str">
        <f>'Project Details Entry'!C23</f>
        <v>AN11</v>
      </c>
      <c r="E35" s="169">
        <f>IF('Project Details Entry'!D23&gt;0,'Project Details Entry'!D23,"")</f>
        <v>44614</v>
      </c>
      <c r="F35" s="169">
        <f>IF('Project Details Entry'!E23&gt;0,'Project Details Entry'!E23,"")</f>
        <v>44770</v>
      </c>
      <c r="G35" s="858">
        <f>SUMIF('Electrical Energy Consumption'!$C$34:$C$69,'Project Emission Distribution'!D35,'Electrical Energy Consumption'!$F$34:'Electrical Energy Consumption'!$F$69)</f>
        <v>8.5160443548387281</v>
      </c>
      <c r="H35" s="859"/>
      <c r="I35" s="860"/>
      <c r="J35" s="861">
        <f>SUMIF('Water Consumption'!$C$31:$C$66,'Project Emission Distribution'!D35,'Water Consumption'!$F$31:$F$66)</f>
        <v>0</v>
      </c>
      <c r="K35" s="862"/>
      <c r="L35" s="863"/>
      <c r="M35" s="864">
        <f>SUMIF('Vehicles Emission'!$C$45:$C$80,'Project Emission Distribution'!D35,'Vehicles Emission'!$F$45:$F$80)</f>
        <v>5.5</v>
      </c>
      <c r="N35" s="865"/>
      <c r="O35" s="866"/>
      <c r="P35" s="867">
        <f>SUMIF('Employee Commute'!$C$36:$C$71,'Project Emission Distribution'!D35,'Employee Commute'!$F$36:$F$71)</f>
        <v>1.0548310908041398</v>
      </c>
      <c r="Q35" s="868"/>
      <c r="R35" s="869"/>
      <c r="S35" s="870">
        <f>SUMIF('Waste Generation'!$C$31:$C$66,'Project Emission Distribution'!D35,'Waste Generation'!$F$31:$F$66)</f>
        <v>4.6354166666666682E-2</v>
      </c>
      <c r="T35" s="871"/>
      <c r="U35" s="872"/>
      <c r="V35" s="873">
        <f>SUMIF('Air travel'!$C$14:$C$49,'Project Emission Distribution'!D35,'Air travel'!$M$14:'Air travel'!$M$49)</f>
        <v>0</v>
      </c>
      <c r="W35" s="874"/>
      <c r="X35" s="875"/>
      <c r="Y35" s="876">
        <f>SUMIFS('Wood &amp; Plywood '!$Q$18:$Q$77,'Wood &amp; Plywood '!$D$18:$D$77,'Project Emission Distribution'!$D35)+SUMIFS('Metals &amp; Acrylic'!$N$16:$N$75,'Metals &amp; Acrylic'!$D$16:$D$75,'Project Emission Distribution'!$D35)+SUMIFS('Metals &amp; Acrylic'!$O$16:$O$75,'Metals &amp; Acrylic'!$D$16:$D$75,'Project Emission Distribution'!$D35)+SUMIFS('Paint Consumption'!$AD$15:$AD$74,'Paint Consumption'!$D$15:$D$74,'Project Emission Distribution'!$D35)+SUMIFS('Packing material'!$K$15:$K$74,'Packing material'!$D$15:$D$74,'Project Emission Distribution'!$D35)</f>
        <v>0</v>
      </c>
      <c r="Z35" s="877"/>
      <c r="AA35" s="878"/>
      <c r="AB35" s="882">
        <f>SUMIFS(Frieght!$K$14:$K$73,Frieght!$D$14:$D$73,D35)</f>
        <v>0</v>
      </c>
      <c r="AC35" s="883"/>
      <c r="AD35" s="884"/>
      <c r="AE35" s="879">
        <f t="shared" si="0"/>
        <v>15.117229612309535</v>
      </c>
      <c r="AF35" s="880"/>
      <c r="AG35" s="881"/>
      <c r="AH35" s="840">
        <f>SUMIFS('Product Emissions'!$H$11:$H$70,'Product Emissions'!$C$11:$C$70,'Project Emission Distribution'!$D35)</f>
        <v>0</v>
      </c>
      <c r="AI35" s="193"/>
      <c r="AJ35" s="193"/>
      <c r="AK35" s="157"/>
    </row>
    <row r="36" spans="2:45" x14ac:dyDescent="0.25">
      <c r="B36" s="157"/>
      <c r="C36" s="157"/>
      <c r="D36" s="168" t="str">
        <f>'Project Details Entry'!C24</f>
        <v>AN12</v>
      </c>
      <c r="E36" s="169">
        <f>IF('Project Details Entry'!D24&gt;0,'Project Details Entry'!D24,"")</f>
        <v>44593</v>
      </c>
      <c r="F36" s="169">
        <f>IF('Project Details Entry'!E24&gt;0,'Project Details Entry'!E24,"")</f>
        <v>44781</v>
      </c>
      <c r="G36" s="858">
        <f>SUMIF('Electrical Energy Consumption'!$C$34:$C$69,'Project Emission Distribution'!D36,'Electrical Energy Consumption'!$F$34:'Electrical Energy Consumption'!$F$69)</f>
        <v>9.9227499999999953</v>
      </c>
      <c r="H36" s="859"/>
      <c r="I36" s="860"/>
      <c r="J36" s="861">
        <f>SUMIF('Water Consumption'!$C$31:$C$66,'Project Emission Distribution'!D36,'Water Consumption'!$F$31:$F$66)</f>
        <v>0</v>
      </c>
      <c r="K36" s="862"/>
      <c r="L36" s="863"/>
      <c r="M36" s="864">
        <f>SUMIF('Vehicles Emission'!$C$45:$C$80,'Project Emission Distribution'!D36,'Vehicles Emission'!$F$45:$F$80)</f>
        <v>22</v>
      </c>
      <c r="N36" s="865"/>
      <c r="O36" s="866"/>
      <c r="P36" s="867">
        <f>SUMIF('Employee Commute'!$C$36:$C$71,'Project Emission Distribution'!D36,'Employee Commute'!$F$36:$F$71)</f>
        <v>1.1104105674840206</v>
      </c>
      <c r="Q36" s="868"/>
      <c r="R36" s="869"/>
      <c r="S36" s="870">
        <f>SUMIF('Waste Generation'!$C$31:$C$66,'Project Emission Distribution'!D36,'Waste Generation'!$F$31:$F$66)</f>
        <v>0.18541666666666676</v>
      </c>
      <c r="T36" s="871"/>
      <c r="U36" s="872"/>
      <c r="V36" s="873">
        <f>SUMIF('Air travel'!$C$14:$C$49,'Project Emission Distribution'!D36,'Air travel'!$M$14:'Air travel'!$M$49)</f>
        <v>0</v>
      </c>
      <c r="W36" s="874"/>
      <c r="X36" s="875"/>
      <c r="Y36" s="876">
        <f>SUMIFS('Wood &amp; Plywood '!$Q$18:$Q$77,'Wood &amp; Plywood '!$D$18:$D$77,'Project Emission Distribution'!$D36)+SUMIFS('Metals &amp; Acrylic'!$N$16:$N$75,'Metals &amp; Acrylic'!$D$16:$D$75,'Project Emission Distribution'!$D36)+SUMIFS('Metals &amp; Acrylic'!$O$16:$O$75,'Metals &amp; Acrylic'!$D$16:$D$75,'Project Emission Distribution'!$D36)+SUMIFS('Paint Consumption'!$AD$15:$AD$74,'Paint Consumption'!$D$15:$D$74,'Project Emission Distribution'!$D36)+SUMIFS('Packing material'!$K$15:$K$74,'Packing material'!$D$15:$D$74,'Project Emission Distribution'!$D36)</f>
        <v>0</v>
      </c>
      <c r="Z36" s="877"/>
      <c r="AA36" s="878"/>
      <c r="AB36" s="882">
        <f>SUMIFS(Frieght!$K$14:$K$73,Frieght!$D$14:$D$73,D36)</f>
        <v>0</v>
      </c>
      <c r="AC36" s="883"/>
      <c r="AD36" s="884"/>
      <c r="AE36" s="879">
        <f t="shared" si="0"/>
        <v>33.218577234150686</v>
      </c>
      <c r="AF36" s="880"/>
      <c r="AG36" s="881"/>
      <c r="AH36" s="840">
        <f>SUMIFS('Product Emissions'!$H$11:$H$70,'Product Emissions'!$C$11:$C$70,'Project Emission Distribution'!$D36)</f>
        <v>0</v>
      </c>
      <c r="AI36" s="193"/>
      <c r="AJ36" s="193"/>
      <c r="AK36" s="157"/>
    </row>
    <row r="37" spans="2:45" x14ac:dyDescent="0.25">
      <c r="B37" s="157"/>
      <c r="C37" s="157"/>
      <c r="D37" s="168" t="str">
        <f>'Project Details Entry'!C25</f>
        <v>AN13</v>
      </c>
      <c r="E37" s="169">
        <f>IF('Project Details Entry'!D25&gt;0,'Project Details Entry'!D25,"")</f>
        <v>44593</v>
      </c>
      <c r="F37" s="169">
        <f>IF('Project Details Entry'!E25&gt;0,'Project Details Entry'!E25,"")</f>
        <v>44781</v>
      </c>
      <c r="G37" s="858">
        <f>SUMIF('Electrical Energy Consumption'!$C$34:$C$69,'Project Emission Distribution'!D37,'Electrical Energy Consumption'!$F$34:'Electrical Energy Consumption'!$F$69)</f>
        <v>9.9227499999999953</v>
      </c>
      <c r="H37" s="859"/>
      <c r="I37" s="860"/>
      <c r="J37" s="861">
        <f>SUMIF('Water Consumption'!$C$31:$C$66,'Project Emission Distribution'!D37,'Water Consumption'!$F$31:$F$66)</f>
        <v>0</v>
      </c>
      <c r="K37" s="862"/>
      <c r="L37" s="863"/>
      <c r="M37" s="864">
        <f>SUMIF('Vehicles Emission'!$C$45:$C$80,'Project Emission Distribution'!D37,'Vehicles Emission'!$F$45:$F$80)</f>
        <v>22</v>
      </c>
      <c r="N37" s="865"/>
      <c r="O37" s="866"/>
      <c r="P37" s="867">
        <f>SUMIF('Employee Commute'!$C$36:$C$71,'Project Emission Distribution'!D37,'Employee Commute'!$F$36:$F$71)</f>
        <v>1.1104105674840206</v>
      </c>
      <c r="Q37" s="868"/>
      <c r="R37" s="869"/>
      <c r="S37" s="870">
        <f>SUMIF('Waste Generation'!$C$31:$C$66,'Project Emission Distribution'!D37,'Waste Generation'!$F$31:$F$66)</f>
        <v>0.18541666666666676</v>
      </c>
      <c r="T37" s="871"/>
      <c r="U37" s="872"/>
      <c r="V37" s="873">
        <f>SUMIF('Air travel'!$C$14:$C$49,'Project Emission Distribution'!D37,'Air travel'!$M$14:'Air travel'!$M$49)</f>
        <v>0</v>
      </c>
      <c r="W37" s="874"/>
      <c r="X37" s="875"/>
      <c r="Y37" s="876">
        <f>SUMIFS('Wood &amp; Plywood '!$Q$18:$Q$77,'Wood &amp; Plywood '!$D$18:$D$77,'Project Emission Distribution'!$D37)+SUMIFS('Metals &amp; Acrylic'!$N$16:$N$75,'Metals &amp; Acrylic'!$D$16:$D$75,'Project Emission Distribution'!$D37)+SUMIFS('Metals &amp; Acrylic'!$O$16:$O$75,'Metals &amp; Acrylic'!$D$16:$D$75,'Project Emission Distribution'!$D37)+SUMIFS('Paint Consumption'!$AD$15:$AD$74,'Paint Consumption'!$D$15:$D$74,'Project Emission Distribution'!$D37)+SUMIFS('Packing material'!$K$15:$K$74,'Packing material'!$D$15:$D$74,'Project Emission Distribution'!$D37)</f>
        <v>0</v>
      </c>
      <c r="Z37" s="877"/>
      <c r="AA37" s="878"/>
      <c r="AB37" s="882">
        <f>SUMIFS(Frieght!$K$14:$K$73,Frieght!$D$14:$D$73,D37)</f>
        <v>0</v>
      </c>
      <c r="AC37" s="883"/>
      <c r="AD37" s="884"/>
      <c r="AE37" s="879">
        <f t="shared" si="0"/>
        <v>33.218577234150686</v>
      </c>
      <c r="AF37" s="880"/>
      <c r="AG37" s="881"/>
      <c r="AH37" s="840">
        <f>SUMIFS('Product Emissions'!$H$11:$H$70,'Product Emissions'!$C$11:$C$70,'Project Emission Distribution'!$D37)</f>
        <v>0</v>
      </c>
      <c r="AI37" s="193"/>
      <c r="AJ37" s="193"/>
      <c r="AK37" s="157"/>
    </row>
    <row r="38" spans="2:45" x14ac:dyDescent="0.25">
      <c r="B38" s="157"/>
      <c r="C38" s="157"/>
      <c r="D38" s="168" t="str">
        <f>'Project Details Entry'!C26</f>
        <v>AN14</v>
      </c>
      <c r="E38" s="169">
        <f>IF('Project Details Entry'!D26&gt;0,'Project Details Entry'!D26,"")</f>
        <v>44583</v>
      </c>
      <c r="F38" s="169">
        <f>IF('Project Details Entry'!E26&gt;0,'Project Details Entry'!E26,"")</f>
        <v>44635</v>
      </c>
      <c r="G38" s="858">
        <f>SUMIF('Electrical Energy Consumption'!$C$34:$C$69,'Project Emission Distribution'!D38,'Electrical Energy Consumption'!$F$34:'Electrical Energy Consumption'!$F$69)</f>
        <v>4.5129302072336284</v>
      </c>
      <c r="H38" s="859"/>
      <c r="I38" s="860"/>
      <c r="J38" s="861">
        <f>SUMIF('Water Consumption'!$C$31:$C$66,'Project Emission Distribution'!D38,'Water Consumption'!$F$31:$F$66)</f>
        <v>0.36187230277892884</v>
      </c>
      <c r="K38" s="862"/>
      <c r="L38" s="863"/>
      <c r="M38" s="864">
        <f>SUMIF('Vehicles Emission'!$C$45:$C$80,'Project Emission Distribution'!D38,'Vehicles Emission'!$F$45:$F$80)</f>
        <v>22.012490029325512</v>
      </c>
      <c r="N38" s="865"/>
      <c r="O38" s="866"/>
      <c r="P38" s="867">
        <f>SUMIF('Employee Commute'!$C$36:$C$71,'Project Emission Distribution'!D38,'Employee Commute'!$F$36:$F$71)</f>
        <v>0.26405849823202154</v>
      </c>
      <c r="Q38" s="868"/>
      <c r="R38" s="869"/>
      <c r="S38" s="870">
        <f>SUMIF('Waste Generation'!$C$31:$C$66,'Project Emission Distribution'!D38,'Waste Generation'!$F$31:$F$66)</f>
        <v>0.18541666666666676</v>
      </c>
      <c r="T38" s="871"/>
      <c r="U38" s="872"/>
      <c r="V38" s="873">
        <f>SUMIF('Air travel'!$C$14:$C$49,'Project Emission Distribution'!D38,'Air travel'!$M$14:'Air travel'!$M$49)</f>
        <v>0</v>
      </c>
      <c r="W38" s="874"/>
      <c r="X38" s="875"/>
      <c r="Y38" s="876">
        <f>SUMIFS('Wood &amp; Plywood '!$Q$18:$Q$77,'Wood &amp; Plywood '!$D$18:$D$77,'Project Emission Distribution'!$D38)+SUMIFS('Metals &amp; Acrylic'!$N$16:$N$75,'Metals &amp; Acrylic'!$D$16:$D$75,'Project Emission Distribution'!$D38)+SUMIFS('Metals &amp; Acrylic'!$O$16:$O$75,'Metals &amp; Acrylic'!$D$16:$D$75,'Project Emission Distribution'!$D38)+SUMIFS('Paint Consumption'!$AD$15:$AD$74,'Paint Consumption'!$D$15:$D$74,'Project Emission Distribution'!$D38)+SUMIFS('Packing material'!$K$15:$K$74,'Packing material'!$D$15:$D$74,'Project Emission Distribution'!$D38)</f>
        <v>0</v>
      </c>
      <c r="Z38" s="877"/>
      <c r="AA38" s="878"/>
      <c r="AB38" s="882">
        <f>SUMIFS(Frieght!$K$14:$K$73,Frieght!$D$14:$D$73,D38)</f>
        <v>0</v>
      </c>
      <c r="AC38" s="883"/>
      <c r="AD38" s="884"/>
      <c r="AE38" s="879">
        <f t="shared" si="0"/>
        <v>27.336767704236756</v>
      </c>
      <c r="AF38" s="880"/>
      <c r="AG38" s="881"/>
      <c r="AH38" s="840">
        <f>SUMIFS('Product Emissions'!$H$11:$H$70,'Product Emissions'!$C$11:$C$70,'Project Emission Distribution'!$D38)</f>
        <v>0</v>
      </c>
      <c r="AI38" s="193"/>
      <c r="AJ38" s="193"/>
      <c r="AK38" s="157"/>
    </row>
    <row r="39" spans="2:45" x14ac:dyDescent="0.25">
      <c r="B39" s="157"/>
      <c r="C39" s="157"/>
      <c r="D39" s="168" t="str">
        <f>'Project Details Entry'!C27</f>
        <v>AN15</v>
      </c>
      <c r="E39" s="169">
        <f>IF('Project Details Entry'!D27&gt;0,'Project Details Entry'!D27,"")</f>
        <v>44614</v>
      </c>
      <c r="F39" s="169">
        <f>IF('Project Details Entry'!E27&gt;0,'Project Details Entry'!E27,"")</f>
        <v>44770</v>
      </c>
      <c r="G39" s="858">
        <f>SUMIF('Electrical Energy Consumption'!$C$34:$C$69,'Project Emission Distribution'!D39,'Electrical Energy Consumption'!$F$34:'Electrical Energy Consumption'!$F$69)</f>
        <v>8.5160443548387281</v>
      </c>
      <c r="H39" s="859"/>
      <c r="I39" s="860"/>
      <c r="J39" s="861">
        <f>SUMIF('Water Consumption'!$C$31:$C$66,'Project Emission Distribution'!D39,'Water Consumption'!$F$31:$F$66)</f>
        <v>0</v>
      </c>
      <c r="K39" s="862"/>
      <c r="L39" s="863"/>
      <c r="M39" s="864">
        <f>SUMIF('Vehicles Emission'!$C$45:$C$80,'Project Emission Distribution'!D39,'Vehicles Emission'!$F$45:$F$80)</f>
        <v>5.5</v>
      </c>
      <c r="N39" s="865"/>
      <c r="O39" s="866"/>
      <c r="P39" s="867">
        <f>SUMIF('Employee Commute'!$C$36:$C$71,'Project Emission Distribution'!D39,'Employee Commute'!$F$36:$F$71)</f>
        <v>1.0548310908041398</v>
      </c>
      <c r="Q39" s="868"/>
      <c r="R39" s="869"/>
      <c r="S39" s="870">
        <f>SUMIF('Waste Generation'!$C$31:$C$66,'Project Emission Distribution'!D39,'Waste Generation'!$F$31:$F$66)</f>
        <v>4.6354166666666682E-2</v>
      </c>
      <c r="T39" s="871"/>
      <c r="U39" s="872"/>
      <c r="V39" s="873">
        <f>SUMIF('Air travel'!$C$14:$C$49,'Project Emission Distribution'!D39,'Air travel'!$M$14:'Air travel'!$M$49)</f>
        <v>0</v>
      </c>
      <c r="W39" s="874"/>
      <c r="X39" s="875"/>
      <c r="Y39" s="876">
        <f>SUMIFS('Wood &amp; Plywood '!$Q$18:$Q$77,'Wood &amp; Plywood '!$D$18:$D$77,'Project Emission Distribution'!$D39)+SUMIFS('Metals &amp; Acrylic'!$N$16:$N$75,'Metals &amp; Acrylic'!$D$16:$D$75,'Project Emission Distribution'!$D39)+SUMIFS('Metals &amp; Acrylic'!$O$16:$O$75,'Metals &amp; Acrylic'!$D$16:$D$75,'Project Emission Distribution'!$D39)+SUMIFS('Paint Consumption'!$AD$15:$AD$74,'Paint Consumption'!$D$15:$D$74,'Project Emission Distribution'!$D39)+SUMIFS('Packing material'!$K$15:$K$74,'Packing material'!$D$15:$D$74,'Project Emission Distribution'!$D39)</f>
        <v>0</v>
      </c>
      <c r="Z39" s="877"/>
      <c r="AA39" s="878"/>
      <c r="AB39" s="882">
        <f>SUMIFS(Frieght!$K$14:$K$73,Frieght!$D$14:$D$73,D39)</f>
        <v>0</v>
      </c>
      <c r="AC39" s="883"/>
      <c r="AD39" s="884"/>
      <c r="AE39" s="879">
        <f t="shared" si="0"/>
        <v>15.117229612309535</v>
      </c>
      <c r="AF39" s="880"/>
      <c r="AG39" s="881"/>
      <c r="AH39" s="840">
        <f>SUMIFS('Product Emissions'!$H$11:$H$70,'Product Emissions'!$C$11:$C$70,'Project Emission Distribution'!$D39)</f>
        <v>0</v>
      </c>
      <c r="AI39" s="193"/>
      <c r="AJ39" s="193"/>
      <c r="AK39" s="157"/>
    </row>
    <row r="40" spans="2:45" x14ac:dyDescent="0.25">
      <c r="B40" s="157"/>
      <c r="C40" s="157"/>
      <c r="D40" s="168" t="str">
        <f>'Project Details Entry'!C28</f>
        <v>AN16</v>
      </c>
      <c r="E40" s="169">
        <f>IF('Project Details Entry'!D28&gt;0,'Project Details Entry'!D28,"")</f>
        <v>44593</v>
      </c>
      <c r="F40" s="169">
        <f>IF('Project Details Entry'!E28&gt;0,'Project Details Entry'!E28,"")</f>
        <v>44781</v>
      </c>
      <c r="G40" s="858">
        <f>SUMIF('Electrical Energy Consumption'!$C$34:$C$69,'Project Emission Distribution'!D40,'Electrical Energy Consumption'!$F$34:'Electrical Energy Consumption'!$F$69)</f>
        <v>9.9227499999999953</v>
      </c>
      <c r="H40" s="859"/>
      <c r="I40" s="860"/>
      <c r="J40" s="861">
        <f>SUMIF('Water Consumption'!$C$31:$C$66,'Project Emission Distribution'!D40,'Water Consumption'!$F$31:$F$66)</f>
        <v>0</v>
      </c>
      <c r="K40" s="862"/>
      <c r="L40" s="863"/>
      <c r="M40" s="864">
        <f>SUMIF('Vehicles Emission'!$C$45:$C$80,'Project Emission Distribution'!D40,'Vehicles Emission'!$F$45:$F$80)</f>
        <v>22</v>
      </c>
      <c r="N40" s="865"/>
      <c r="O40" s="866"/>
      <c r="P40" s="867">
        <f>SUMIF('Employee Commute'!$C$36:$C$71,'Project Emission Distribution'!D40,'Employee Commute'!$F$36:$F$71)</f>
        <v>1.1104105674840206</v>
      </c>
      <c r="Q40" s="868"/>
      <c r="R40" s="869"/>
      <c r="S40" s="870">
        <f>SUMIF('Waste Generation'!$C$31:$C$66,'Project Emission Distribution'!D40,'Waste Generation'!$F$31:$F$66)</f>
        <v>0.18541666666666676</v>
      </c>
      <c r="T40" s="871"/>
      <c r="U40" s="872"/>
      <c r="V40" s="873">
        <f>SUMIF('Air travel'!$C$14:$C$49,'Project Emission Distribution'!D40,'Air travel'!$M$14:'Air travel'!$M$49)</f>
        <v>0</v>
      </c>
      <c r="W40" s="874"/>
      <c r="X40" s="875"/>
      <c r="Y40" s="876">
        <f>SUMIFS('Wood &amp; Plywood '!$Q$18:$Q$77,'Wood &amp; Plywood '!$D$18:$D$77,'Project Emission Distribution'!$D40)+SUMIFS('Metals &amp; Acrylic'!$N$16:$N$75,'Metals &amp; Acrylic'!$D$16:$D$75,'Project Emission Distribution'!$D40)+SUMIFS('Metals &amp; Acrylic'!$O$16:$O$75,'Metals &amp; Acrylic'!$D$16:$D$75,'Project Emission Distribution'!$D40)+SUMIFS('Paint Consumption'!$AD$15:$AD$74,'Paint Consumption'!$D$15:$D$74,'Project Emission Distribution'!$D40)+SUMIFS('Packing material'!$K$15:$K$74,'Packing material'!$D$15:$D$74,'Project Emission Distribution'!$D40)</f>
        <v>0</v>
      </c>
      <c r="Z40" s="877"/>
      <c r="AA40" s="878"/>
      <c r="AB40" s="882">
        <f>SUMIFS(Frieght!$K$14:$K$73,Frieght!$D$14:$D$73,D40)</f>
        <v>0</v>
      </c>
      <c r="AC40" s="883"/>
      <c r="AD40" s="884"/>
      <c r="AE40" s="879">
        <f t="shared" si="0"/>
        <v>33.218577234150686</v>
      </c>
      <c r="AF40" s="880"/>
      <c r="AG40" s="881"/>
      <c r="AH40" s="840">
        <f>SUMIFS('Product Emissions'!$H$11:$H$70,'Product Emissions'!$C$11:$C$70,'Project Emission Distribution'!$D40)</f>
        <v>0</v>
      </c>
      <c r="AI40" s="193"/>
      <c r="AJ40" s="193"/>
      <c r="AK40" s="157"/>
    </row>
    <row r="41" spans="2:45" x14ac:dyDescent="0.25">
      <c r="B41" s="157"/>
      <c r="C41" s="157"/>
      <c r="D41" s="168" t="str">
        <f>'Project Details Entry'!C29</f>
        <v>AN17</v>
      </c>
      <c r="E41" s="169">
        <f>IF('Project Details Entry'!D29&gt;0,'Project Details Entry'!D29,"")</f>
        <v>44583</v>
      </c>
      <c r="F41" s="169">
        <f>IF('Project Details Entry'!E29&gt;0,'Project Details Entry'!E29,"")</f>
        <v>44635</v>
      </c>
      <c r="G41" s="858">
        <f>SUMIF('Electrical Energy Consumption'!$C$34:$C$69,'Project Emission Distribution'!D41,'Electrical Energy Consumption'!$F$34:'Electrical Energy Consumption'!$F$69)</f>
        <v>4.5129302072336284</v>
      </c>
      <c r="H41" s="859"/>
      <c r="I41" s="860"/>
      <c r="J41" s="861">
        <f>SUMIF('Water Consumption'!$C$31:$C$66,'Project Emission Distribution'!D41,'Water Consumption'!$F$31:$F$66)</f>
        <v>0.36187230277892884</v>
      </c>
      <c r="K41" s="862"/>
      <c r="L41" s="863"/>
      <c r="M41" s="864">
        <f>SUMIF('Vehicles Emission'!$C$45:$C$80,'Project Emission Distribution'!D41,'Vehicles Emission'!$F$45:$F$80)</f>
        <v>22.012490029325512</v>
      </c>
      <c r="N41" s="865"/>
      <c r="O41" s="866"/>
      <c r="P41" s="867">
        <f>SUMIF('Employee Commute'!$C$36:$C$71,'Project Emission Distribution'!D41,'Employee Commute'!$F$36:$F$71)</f>
        <v>0.26405849823202154</v>
      </c>
      <c r="Q41" s="868"/>
      <c r="R41" s="869"/>
      <c r="S41" s="870">
        <f>SUMIF('Waste Generation'!$C$31:$C$66,'Project Emission Distribution'!D41,'Waste Generation'!$F$31:$F$66)</f>
        <v>0.18541666666666676</v>
      </c>
      <c r="T41" s="871"/>
      <c r="U41" s="872"/>
      <c r="V41" s="873">
        <f>SUMIF('Air travel'!$C$14:$C$49,'Project Emission Distribution'!D41,'Air travel'!$M$14:'Air travel'!$M$49)</f>
        <v>0</v>
      </c>
      <c r="W41" s="874"/>
      <c r="X41" s="875"/>
      <c r="Y41" s="876">
        <f>SUMIFS('Wood &amp; Plywood '!$Q$18:$Q$77,'Wood &amp; Plywood '!$D$18:$D$77,'Project Emission Distribution'!$D41)+SUMIFS('Metals &amp; Acrylic'!$N$16:$N$75,'Metals &amp; Acrylic'!$D$16:$D$75,'Project Emission Distribution'!$D41)+SUMIFS('Metals &amp; Acrylic'!$O$16:$O$75,'Metals &amp; Acrylic'!$D$16:$D$75,'Project Emission Distribution'!$D41)+SUMIFS('Paint Consumption'!$AD$15:$AD$74,'Paint Consumption'!$D$15:$D$74,'Project Emission Distribution'!$D41)+SUMIFS('Packing material'!$K$15:$K$74,'Packing material'!$D$15:$D$74,'Project Emission Distribution'!$D41)</f>
        <v>0</v>
      </c>
      <c r="Z41" s="877"/>
      <c r="AA41" s="878"/>
      <c r="AB41" s="882">
        <f>SUMIFS(Frieght!$K$14:$K$73,Frieght!$D$14:$D$73,D41)</f>
        <v>0</v>
      </c>
      <c r="AC41" s="883"/>
      <c r="AD41" s="884"/>
      <c r="AE41" s="879">
        <f t="shared" si="0"/>
        <v>27.336767704236756</v>
      </c>
      <c r="AF41" s="880"/>
      <c r="AG41" s="881"/>
      <c r="AH41" s="840">
        <f>SUMIFS('Product Emissions'!$H$11:$H$70,'Product Emissions'!$C$11:$C$70,'Project Emission Distribution'!$D41)</f>
        <v>0</v>
      </c>
      <c r="AI41" s="193"/>
      <c r="AJ41" s="193"/>
      <c r="AK41" s="157"/>
    </row>
    <row r="42" spans="2:45" x14ac:dyDescent="0.25">
      <c r="B42" s="157"/>
      <c r="C42" s="157"/>
      <c r="D42" s="168" t="str">
        <f>'Project Details Entry'!C30</f>
        <v>AN18</v>
      </c>
      <c r="E42" s="169">
        <f>IF('Project Details Entry'!D30&gt;0,'Project Details Entry'!D30,"")</f>
        <v>44614</v>
      </c>
      <c r="F42" s="169">
        <f>IF('Project Details Entry'!E30&gt;0,'Project Details Entry'!E30,"")</f>
        <v>44770</v>
      </c>
      <c r="G42" s="858">
        <f>SUMIF('Electrical Energy Consumption'!$C$34:$C$69,'Project Emission Distribution'!D42,'Electrical Energy Consumption'!$F$34:'Electrical Energy Consumption'!$F$69)</f>
        <v>8.5160443548387281</v>
      </c>
      <c r="H42" s="859"/>
      <c r="I42" s="860"/>
      <c r="J42" s="861">
        <f>SUMIF('Water Consumption'!$C$31:$C$66,'Project Emission Distribution'!D42,'Water Consumption'!$F$31:$F$66)</f>
        <v>0</v>
      </c>
      <c r="K42" s="862"/>
      <c r="L42" s="863"/>
      <c r="M42" s="864">
        <f>SUMIF('Vehicles Emission'!$C$45:$C$80,'Project Emission Distribution'!D42,'Vehicles Emission'!$F$45:$F$80)</f>
        <v>5.5</v>
      </c>
      <c r="N42" s="865"/>
      <c r="O42" s="866"/>
      <c r="P42" s="867">
        <f>SUMIF('Employee Commute'!$C$36:$C$71,'Project Emission Distribution'!D42,'Employee Commute'!$F$36:$F$71)</f>
        <v>1.0548310908041398</v>
      </c>
      <c r="Q42" s="868"/>
      <c r="R42" s="869"/>
      <c r="S42" s="870">
        <f>SUMIF('Waste Generation'!$C$31:$C$66,'Project Emission Distribution'!D42,'Waste Generation'!$F$31:$F$66)</f>
        <v>4.6354166666666682E-2</v>
      </c>
      <c r="T42" s="871"/>
      <c r="U42" s="872"/>
      <c r="V42" s="873">
        <f>SUMIF('Air travel'!$C$14:$C$49,'Project Emission Distribution'!D42,'Air travel'!$M$14:'Air travel'!$M$49)</f>
        <v>0</v>
      </c>
      <c r="W42" s="874"/>
      <c r="X42" s="875"/>
      <c r="Y42" s="876">
        <f>SUMIFS('Wood &amp; Plywood '!$Q$18:$Q$77,'Wood &amp; Plywood '!$D$18:$D$77,'Project Emission Distribution'!$D42)+SUMIFS('Metals &amp; Acrylic'!$N$16:$N$75,'Metals &amp; Acrylic'!$D$16:$D$75,'Project Emission Distribution'!$D42)+SUMIFS('Metals &amp; Acrylic'!$O$16:$O$75,'Metals &amp; Acrylic'!$D$16:$D$75,'Project Emission Distribution'!$D42)+SUMIFS('Paint Consumption'!$AD$15:$AD$74,'Paint Consumption'!$D$15:$D$74,'Project Emission Distribution'!$D42)+SUMIFS('Packing material'!$K$15:$K$74,'Packing material'!$D$15:$D$74,'Project Emission Distribution'!$D42)</f>
        <v>0</v>
      </c>
      <c r="Z42" s="877"/>
      <c r="AA42" s="878"/>
      <c r="AB42" s="882">
        <f>SUMIFS(Frieght!$K$14:$K$73,Frieght!$D$14:$D$73,D42)</f>
        <v>0</v>
      </c>
      <c r="AC42" s="883"/>
      <c r="AD42" s="884"/>
      <c r="AE42" s="879">
        <f t="shared" si="0"/>
        <v>15.117229612309535</v>
      </c>
      <c r="AF42" s="880"/>
      <c r="AG42" s="881"/>
      <c r="AH42" s="840">
        <f>SUMIFS('Product Emissions'!$H$11:$H$70,'Product Emissions'!$C$11:$C$70,'Project Emission Distribution'!$D42)</f>
        <v>0</v>
      </c>
      <c r="AI42" s="193"/>
      <c r="AJ42" s="193"/>
      <c r="AK42" s="157"/>
    </row>
    <row r="43" spans="2:45" x14ac:dyDescent="0.25">
      <c r="B43" s="157"/>
      <c r="C43" s="157"/>
      <c r="D43" s="168" t="str">
        <f>'Project Details Entry'!C31</f>
        <v>AN19</v>
      </c>
      <c r="E43" s="169">
        <f>IF('Project Details Entry'!D31&gt;0,'Project Details Entry'!D31,"")</f>
        <v>44593</v>
      </c>
      <c r="F43" s="169">
        <f>IF('Project Details Entry'!E31&gt;0,'Project Details Entry'!E31,"")</f>
        <v>44781</v>
      </c>
      <c r="G43" s="858">
        <f>SUMIF('Electrical Energy Consumption'!$C$34:$C$69,'Project Emission Distribution'!D43,'Electrical Energy Consumption'!$F$34:'Electrical Energy Consumption'!$F$69)</f>
        <v>9.9227499999999953</v>
      </c>
      <c r="H43" s="859"/>
      <c r="I43" s="860"/>
      <c r="J43" s="861">
        <f>SUMIF('Water Consumption'!$C$31:$C$66,'Project Emission Distribution'!D43,'Water Consumption'!$F$31:$F$66)</f>
        <v>0</v>
      </c>
      <c r="K43" s="862"/>
      <c r="L43" s="863"/>
      <c r="M43" s="864">
        <f>SUMIF('Vehicles Emission'!$C$45:$C$80,'Project Emission Distribution'!D43,'Vehicles Emission'!$F$45:$F$80)</f>
        <v>22</v>
      </c>
      <c r="N43" s="865"/>
      <c r="O43" s="866"/>
      <c r="P43" s="867">
        <f>SUMIF('Employee Commute'!$C$36:$C$71,'Project Emission Distribution'!D43,'Employee Commute'!$F$36:$F$71)</f>
        <v>1.1104105674840206</v>
      </c>
      <c r="Q43" s="868"/>
      <c r="R43" s="869"/>
      <c r="S43" s="870">
        <f>SUMIF('Waste Generation'!$C$31:$C$66,'Project Emission Distribution'!D43,'Waste Generation'!$F$31:$F$66)</f>
        <v>0.18541666666666676</v>
      </c>
      <c r="T43" s="871"/>
      <c r="U43" s="872"/>
      <c r="V43" s="873">
        <f>SUMIF('Air travel'!$C$14:$C$49,'Project Emission Distribution'!D43,'Air travel'!$M$14:'Air travel'!$M$49)</f>
        <v>0</v>
      </c>
      <c r="W43" s="874"/>
      <c r="X43" s="875"/>
      <c r="Y43" s="876">
        <f>SUMIFS('Wood &amp; Plywood '!$Q$18:$Q$77,'Wood &amp; Plywood '!$D$18:$D$77,'Project Emission Distribution'!$D43)+SUMIFS('Metals &amp; Acrylic'!$N$16:$N$75,'Metals &amp; Acrylic'!$D$16:$D$75,'Project Emission Distribution'!$D43)+SUMIFS('Metals &amp; Acrylic'!$O$16:$O$75,'Metals &amp; Acrylic'!$D$16:$D$75,'Project Emission Distribution'!$D43)+SUMIFS('Paint Consumption'!$AD$15:$AD$74,'Paint Consumption'!$D$15:$D$74,'Project Emission Distribution'!$D43)+SUMIFS('Packing material'!$K$15:$K$74,'Packing material'!$D$15:$D$74,'Project Emission Distribution'!$D43)</f>
        <v>0</v>
      </c>
      <c r="Z43" s="877"/>
      <c r="AA43" s="878"/>
      <c r="AB43" s="882">
        <f>SUMIFS(Frieght!$K$14:$K$73,Frieght!$D$14:$D$73,D43)</f>
        <v>0</v>
      </c>
      <c r="AC43" s="883"/>
      <c r="AD43" s="884"/>
      <c r="AE43" s="879">
        <f t="shared" si="0"/>
        <v>33.218577234150686</v>
      </c>
      <c r="AF43" s="880"/>
      <c r="AG43" s="881"/>
      <c r="AH43" s="840">
        <f>SUMIFS('Product Emissions'!$H$11:$H$70,'Product Emissions'!$C$11:$C$70,'Project Emission Distribution'!$D43)</f>
        <v>0</v>
      </c>
      <c r="AI43" s="193"/>
      <c r="AJ43" s="193"/>
      <c r="AK43" s="157"/>
    </row>
    <row r="44" spans="2:45" x14ac:dyDescent="0.25">
      <c r="B44" s="157"/>
      <c r="C44" s="157"/>
      <c r="D44" s="168" t="str">
        <f>'Project Details Entry'!C32</f>
        <v>AN20</v>
      </c>
      <c r="E44" s="169">
        <f>IF('Project Details Entry'!D32&gt;0,'Project Details Entry'!D32,"")</f>
        <v>44583</v>
      </c>
      <c r="F44" s="169">
        <f>IF('Project Details Entry'!E32&gt;0,'Project Details Entry'!E32,"")</f>
        <v>44635</v>
      </c>
      <c r="G44" s="858">
        <f>SUMIF('Electrical Energy Consumption'!$C$34:$C$69,'Project Emission Distribution'!D44,'Electrical Energy Consumption'!$F$34:'Electrical Energy Consumption'!$F$69)</f>
        <v>4.5129302072336284</v>
      </c>
      <c r="H44" s="859"/>
      <c r="I44" s="860"/>
      <c r="J44" s="861">
        <f>SUMIF('Water Consumption'!$C$31:$C$66,'Project Emission Distribution'!D44,'Water Consumption'!$F$31:$F$66)</f>
        <v>0.36187230277892884</v>
      </c>
      <c r="K44" s="862"/>
      <c r="L44" s="863"/>
      <c r="M44" s="864">
        <f>SUMIF('Vehicles Emission'!$C$45:$C$80,'Project Emission Distribution'!D44,'Vehicles Emission'!$F$45:$F$80)</f>
        <v>22.012490029325512</v>
      </c>
      <c r="N44" s="865"/>
      <c r="O44" s="866"/>
      <c r="P44" s="867">
        <f>SUMIF('Employee Commute'!$C$36:$C$71,'Project Emission Distribution'!D44,'Employee Commute'!$F$36:$F$71)</f>
        <v>0.26405849823202154</v>
      </c>
      <c r="Q44" s="868"/>
      <c r="R44" s="869"/>
      <c r="S44" s="870">
        <f>SUMIF('Waste Generation'!$C$31:$C$66,'Project Emission Distribution'!D44,'Waste Generation'!$F$31:$F$66)</f>
        <v>0.18541666666666676</v>
      </c>
      <c r="T44" s="871"/>
      <c r="U44" s="872"/>
      <c r="V44" s="873">
        <f>SUMIF('Air travel'!$C$14:$C$49,'Project Emission Distribution'!D44,'Air travel'!$M$14:'Air travel'!$M$49)</f>
        <v>0</v>
      </c>
      <c r="W44" s="874"/>
      <c r="X44" s="875"/>
      <c r="Y44" s="876">
        <f>SUMIFS('Wood &amp; Plywood '!$Q$18:$Q$77,'Wood &amp; Plywood '!$D$18:$D$77,'Project Emission Distribution'!$D44)+SUMIFS('Metals &amp; Acrylic'!$N$16:$N$75,'Metals &amp; Acrylic'!$D$16:$D$75,'Project Emission Distribution'!$D44)+SUMIFS('Metals &amp; Acrylic'!$O$16:$O$75,'Metals &amp; Acrylic'!$D$16:$D$75,'Project Emission Distribution'!$D44)+SUMIFS('Paint Consumption'!$AD$15:$AD$74,'Paint Consumption'!$D$15:$D$74,'Project Emission Distribution'!$D44)+SUMIFS('Packing material'!$K$15:$K$74,'Packing material'!$D$15:$D$74,'Project Emission Distribution'!$D44)</f>
        <v>0</v>
      </c>
      <c r="Z44" s="877"/>
      <c r="AA44" s="878"/>
      <c r="AB44" s="882">
        <f>SUMIFS(Frieght!$K$14:$K$73,Frieght!$D$14:$D$73,D44)</f>
        <v>0</v>
      </c>
      <c r="AC44" s="883"/>
      <c r="AD44" s="884"/>
      <c r="AE44" s="879">
        <f t="shared" si="0"/>
        <v>27.336767704236756</v>
      </c>
      <c r="AF44" s="880"/>
      <c r="AG44" s="881"/>
      <c r="AH44" s="840">
        <f>SUMIFS('Product Emissions'!$H$11:$H$70,'Product Emissions'!$C$11:$C$70,'Project Emission Distribution'!$D44)</f>
        <v>0</v>
      </c>
      <c r="AI44" s="193"/>
      <c r="AJ44" s="193"/>
      <c r="AK44" s="157"/>
    </row>
    <row r="45" spans="2:45" x14ac:dyDescent="0.25">
      <c r="B45" s="157"/>
      <c r="C45" s="157"/>
      <c r="D45" s="168" t="str">
        <f>'Project Details Entry'!C33</f>
        <v>AN21</v>
      </c>
      <c r="E45" s="169">
        <f>IF('Project Details Entry'!D33&gt;0,'Project Details Entry'!D33,"")</f>
        <v>44614</v>
      </c>
      <c r="F45" s="169">
        <f>IF('Project Details Entry'!E33&gt;0,'Project Details Entry'!E33,"")</f>
        <v>44770</v>
      </c>
      <c r="G45" s="858">
        <f>SUMIF('Electrical Energy Consumption'!$C$34:$C$69,'Project Emission Distribution'!D45,'Electrical Energy Consumption'!$F$34:'Electrical Energy Consumption'!$F$69)</f>
        <v>8.5160443548387281</v>
      </c>
      <c r="H45" s="859"/>
      <c r="I45" s="860"/>
      <c r="J45" s="861">
        <f>SUMIF('Water Consumption'!$C$31:$C$66,'Project Emission Distribution'!D45,'Water Consumption'!$F$31:$F$66)</f>
        <v>0</v>
      </c>
      <c r="K45" s="862"/>
      <c r="L45" s="863"/>
      <c r="M45" s="864">
        <f>SUMIF('Vehicles Emission'!$C$45:$C$80,'Project Emission Distribution'!D45,'Vehicles Emission'!$F$45:$F$80)</f>
        <v>5.5</v>
      </c>
      <c r="N45" s="865"/>
      <c r="O45" s="866"/>
      <c r="P45" s="867">
        <f>SUMIF('Employee Commute'!$C$36:$C$71,'Project Emission Distribution'!D45,'Employee Commute'!$F$36:$F$71)</f>
        <v>1.0548310908041398</v>
      </c>
      <c r="Q45" s="868"/>
      <c r="R45" s="869"/>
      <c r="S45" s="870">
        <f>SUMIF('Waste Generation'!$C$31:$C$66,'Project Emission Distribution'!D45,'Waste Generation'!$F$31:$F$66)</f>
        <v>4.6354166666666682E-2</v>
      </c>
      <c r="T45" s="871"/>
      <c r="U45" s="872"/>
      <c r="V45" s="873">
        <f>SUMIF('Air travel'!$C$14:$C$49,'Project Emission Distribution'!D45,'Air travel'!$M$14:'Air travel'!$M$49)</f>
        <v>0</v>
      </c>
      <c r="W45" s="874"/>
      <c r="X45" s="875"/>
      <c r="Y45" s="876">
        <f>SUMIFS('Wood &amp; Plywood '!$Q$18:$Q$77,'Wood &amp; Plywood '!$D$18:$D$77,'Project Emission Distribution'!$D45)+SUMIFS('Metals &amp; Acrylic'!$N$16:$N$75,'Metals &amp; Acrylic'!$D$16:$D$75,'Project Emission Distribution'!$D45)+SUMIFS('Metals &amp; Acrylic'!$O$16:$O$75,'Metals &amp; Acrylic'!$D$16:$D$75,'Project Emission Distribution'!$D45)+SUMIFS('Paint Consumption'!$AD$15:$AD$74,'Paint Consumption'!$D$15:$D$74,'Project Emission Distribution'!$D45)+SUMIFS('Packing material'!$K$15:$K$74,'Packing material'!$D$15:$D$74,'Project Emission Distribution'!$D45)</f>
        <v>0</v>
      </c>
      <c r="Z45" s="877"/>
      <c r="AA45" s="878"/>
      <c r="AB45" s="882">
        <f>SUMIFS(Frieght!$K$14:$K$73,Frieght!$D$14:$D$73,D45)</f>
        <v>0</v>
      </c>
      <c r="AC45" s="883"/>
      <c r="AD45" s="884"/>
      <c r="AE45" s="879">
        <f t="shared" si="0"/>
        <v>15.117229612309535</v>
      </c>
      <c r="AF45" s="880"/>
      <c r="AG45" s="881"/>
      <c r="AH45" s="840">
        <f>SUMIFS('Product Emissions'!$H$11:$H$70,'Product Emissions'!$C$11:$C$70,'Project Emission Distribution'!$D45)</f>
        <v>0</v>
      </c>
      <c r="AI45" s="193"/>
      <c r="AJ45" s="193"/>
      <c r="AK45" s="157"/>
    </row>
    <row r="46" spans="2:45" x14ac:dyDescent="0.25">
      <c r="B46" s="157"/>
      <c r="C46" s="157"/>
      <c r="D46" s="168" t="str">
        <f>'Project Details Entry'!C34</f>
        <v>AN22</v>
      </c>
      <c r="E46" s="169">
        <f>IF('Project Details Entry'!D34&gt;0,'Project Details Entry'!D34,"")</f>
        <v>44562</v>
      </c>
      <c r="F46" s="169">
        <f>IF('Project Details Entry'!E34&gt;0,'Project Details Entry'!E34,"")</f>
        <v>44781</v>
      </c>
      <c r="G46" s="858">
        <f>SUMIF('Electrical Energy Consumption'!$C$34:$C$69,'Project Emission Distribution'!D46,'Electrical Energy Consumption'!$F$34:'Electrical Energy Consumption'!$F$69)</f>
        <v>10.682500309090919</v>
      </c>
      <c r="H46" s="859"/>
      <c r="I46" s="860"/>
      <c r="J46" s="861">
        <f>SUMIF('Water Consumption'!$C$31:$C$66,'Project Emission Distribution'!D46,'Water Consumption'!$F$31:$F$66)</f>
        <v>1.1218041386146789</v>
      </c>
      <c r="K46" s="862"/>
      <c r="L46" s="863"/>
      <c r="M46" s="864">
        <f>SUMIF('Vehicles Emission'!$C$45:$C$80,'Project Emission Distribution'!D46,'Vehicles Emission'!$F$45:$F$80)</f>
        <v>22.03871909090909</v>
      </c>
      <c r="N46" s="865"/>
      <c r="O46" s="866"/>
      <c r="P46" s="867">
        <f>SUMIF('Employee Commute'!$C$36:$C$71,'Project Emission Distribution'!D46,'Employee Commute'!$F$36:$F$71)</f>
        <v>1.4330696583931142</v>
      </c>
      <c r="Q46" s="868"/>
      <c r="R46" s="869"/>
      <c r="S46" s="870">
        <f>SUMIF('Waste Generation'!$C$31:$C$66,'Project Emission Distribution'!D46,'Waste Generation'!$F$31:$F$66)</f>
        <v>0.18541666666666676</v>
      </c>
      <c r="T46" s="871"/>
      <c r="U46" s="872"/>
      <c r="V46" s="873">
        <f>SUMIF('Air travel'!$C$14:$C$49,'Project Emission Distribution'!D46,'Air travel'!$M$14:'Air travel'!$M$49)</f>
        <v>0</v>
      </c>
      <c r="W46" s="874"/>
      <c r="X46" s="875"/>
      <c r="Y46" s="876">
        <f>SUMIFS('Wood &amp; Plywood '!$Q$18:$Q$77,'Wood &amp; Plywood '!$D$18:$D$77,'Project Emission Distribution'!$D46)+SUMIFS('Metals &amp; Acrylic'!$N$16:$N$75,'Metals &amp; Acrylic'!$D$16:$D$75,'Project Emission Distribution'!$D46)+SUMIFS('Metals &amp; Acrylic'!$O$16:$O$75,'Metals &amp; Acrylic'!$D$16:$D$75,'Project Emission Distribution'!$D46)+SUMIFS('Paint Consumption'!$AD$15:$AD$74,'Paint Consumption'!$D$15:$D$74,'Project Emission Distribution'!$D46)+SUMIFS('Packing material'!$K$15:$K$74,'Packing material'!$D$15:$D$74,'Project Emission Distribution'!$D46)</f>
        <v>0</v>
      </c>
      <c r="Z46" s="877"/>
      <c r="AA46" s="878"/>
      <c r="AB46" s="882">
        <f>SUMIFS(Frieght!$K$14:$K$73,Frieght!$D$14:$D$73,D46)</f>
        <v>0</v>
      </c>
      <c r="AC46" s="883"/>
      <c r="AD46" s="884"/>
      <c r="AE46" s="879">
        <f t="shared" si="0"/>
        <v>35.461509863674472</v>
      </c>
      <c r="AF46" s="880"/>
      <c r="AG46" s="881"/>
      <c r="AH46" s="840">
        <f>SUMIFS('Product Emissions'!$H$11:$H$70,'Product Emissions'!$C$11:$C$70,'Project Emission Distribution'!$D46)</f>
        <v>0</v>
      </c>
      <c r="AI46" s="193"/>
      <c r="AJ46" s="193"/>
      <c r="AK46" s="157"/>
    </row>
    <row r="47" spans="2:45" x14ac:dyDescent="0.25">
      <c r="B47" s="157"/>
      <c r="C47" s="157"/>
      <c r="D47" s="168" t="str">
        <f>'Project Details Entry'!C35</f>
        <v>AN23</v>
      </c>
      <c r="E47" s="169">
        <f>IF('Project Details Entry'!D35&gt;0,'Project Details Entry'!D35,"")</f>
        <v>44583</v>
      </c>
      <c r="F47" s="169">
        <f>IF('Project Details Entry'!E35&gt;0,'Project Details Entry'!E35,"")</f>
        <v>44635</v>
      </c>
      <c r="G47" s="858">
        <f>SUMIF('Electrical Energy Consumption'!$C$34:$C$69,'Project Emission Distribution'!D47,'Electrical Energy Consumption'!$F$34:'Electrical Energy Consumption'!$F$69)</f>
        <v>4.5129302072336284</v>
      </c>
      <c r="H47" s="859"/>
      <c r="I47" s="860"/>
      <c r="J47" s="861">
        <f>SUMIF('Water Consumption'!$C$31:$C$66,'Project Emission Distribution'!D47,'Water Consumption'!$F$31:$F$66)</f>
        <v>0.36187230277892884</v>
      </c>
      <c r="K47" s="862"/>
      <c r="L47" s="863"/>
      <c r="M47" s="864">
        <f>SUMIF('Vehicles Emission'!$C$45:$C$80,'Project Emission Distribution'!D47,'Vehicles Emission'!$F$45:$F$80)</f>
        <v>22.012490029325512</v>
      </c>
      <c r="N47" s="865"/>
      <c r="O47" s="866"/>
      <c r="P47" s="867">
        <f>SUMIF('Employee Commute'!$C$36:$C$71,'Project Emission Distribution'!D47,'Employee Commute'!$F$36:$F$71)</f>
        <v>0.26405849823202154</v>
      </c>
      <c r="Q47" s="868"/>
      <c r="R47" s="869"/>
      <c r="S47" s="870">
        <f>SUMIF('Waste Generation'!$C$31:$C$66,'Project Emission Distribution'!D47,'Waste Generation'!$F$31:$F$66)</f>
        <v>0.18541666666666676</v>
      </c>
      <c r="T47" s="871"/>
      <c r="U47" s="872"/>
      <c r="V47" s="873">
        <f>SUMIF('Air travel'!$C$14:$C$49,'Project Emission Distribution'!D47,'Air travel'!$M$14:'Air travel'!$M$49)</f>
        <v>0</v>
      </c>
      <c r="W47" s="874"/>
      <c r="X47" s="875"/>
      <c r="Y47" s="876">
        <f>SUMIFS('Wood &amp; Plywood '!$Q$18:$Q$77,'Wood &amp; Plywood '!$D$18:$D$77,'Project Emission Distribution'!$D47)+SUMIFS('Metals &amp; Acrylic'!$N$16:$N$75,'Metals &amp; Acrylic'!$D$16:$D$75,'Project Emission Distribution'!$D47)+SUMIFS('Metals &amp; Acrylic'!$O$16:$O$75,'Metals &amp; Acrylic'!$D$16:$D$75,'Project Emission Distribution'!$D47)+SUMIFS('Paint Consumption'!$AD$15:$AD$74,'Paint Consumption'!$D$15:$D$74,'Project Emission Distribution'!$D47)+SUMIFS('Packing material'!$K$15:$K$74,'Packing material'!$D$15:$D$74,'Project Emission Distribution'!$D47)</f>
        <v>0</v>
      </c>
      <c r="Z47" s="877"/>
      <c r="AA47" s="878"/>
      <c r="AB47" s="882">
        <f>SUMIFS(Frieght!$K$14:$K$73,Frieght!$D$14:$D$73,D47)</f>
        <v>0</v>
      </c>
      <c r="AC47" s="883"/>
      <c r="AD47" s="884"/>
      <c r="AE47" s="879">
        <f t="shared" si="0"/>
        <v>27.336767704236756</v>
      </c>
      <c r="AF47" s="880"/>
      <c r="AG47" s="881"/>
      <c r="AH47" s="840">
        <f>SUMIFS('Product Emissions'!$H$11:$H$70,'Product Emissions'!$C$11:$C$70,'Project Emission Distribution'!$D47)</f>
        <v>0</v>
      </c>
      <c r="AI47" s="193"/>
      <c r="AJ47" s="193"/>
      <c r="AK47" s="157"/>
    </row>
    <row r="48" spans="2:45" x14ac:dyDescent="0.25">
      <c r="B48" s="157"/>
      <c r="C48" s="157"/>
      <c r="D48" s="168" t="str">
        <f>'Project Details Entry'!C36</f>
        <v>AN24</v>
      </c>
      <c r="E48" s="169">
        <f>IF('Project Details Entry'!D36&gt;0,'Project Details Entry'!D36,"")</f>
        <v>44583</v>
      </c>
      <c r="F48" s="169">
        <f>IF('Project Details Entry'!E36&gt;0,'Project Details Entry'!E36,"")</f>
        <v>44770</v>
      </c>
      <c r="G48" s="858">
        <f>SUMIF('Electrical Energy Consumption'!$C$34:$C$69,'Project Emission Distribution'!D48,'Electrical Energy Consumption'!$F$34:'Electrical Energy Consumption'!$F$69)</f>
        <v>10.066750099706741</v>
      </c>
      <c r="H48" s="859"/>
      <c r="I48" s="860"/>
      <c r="J48" s="861">
        <f>SUMIF('Water Consumption'!$C$31:$C$66,'Project Emission Distribution'!D48,'Water Consumption'!$F$31:$F$66)</f>
        <v>0.36187230277892884</v>
      </c>
      <c r="K48" s="862"/>
      <c r="L48" s="863"/>
      <c r="M48" s="864">
        <f>SUMIF('Vehicles Emission'!$C$45:$C$80,'Project Emission Distribution'!D48,'Vehicles Emission'!$F$45:$F$80)</f>
        <v>22.012490029325512</v>
      </c>
      <c r="N48" s="865"/>
      <c r="O48" s="866"/>
      <c r="P48" s="867">
        <f>SUMIF('Employee Commute'!$C$36:$C$71,'Project Emission Distribution'!D48,'Employee Commute'!$F$36:$F$71)</f>
        <v>1.2144941451966311</v>
      </c>
      <c r="Q48" s="868"/>
      <c r="R48" s="869"/>
      <c r="S48" s="870">
        <f>SUMIF('Waste Generation'!$C$31:$C$66,'Project Emission Distribution'!D48,'Waste Generation'!$F$31:$F$66)</f>
        <v>0.18541666666666676</v>
      </c>
      <c r="T48" s="871"/>
      <c r="U48" s="872"/>
      <c r="V48" s="873">
        <f>SUMIF('Air travel'!$C$14:$C$49,'Project Emission Distribution'!D48,'Air travel'!$M$14:'Air travel'!$M$49)</f>
        <v>0</v>
      </c>
      <c r="W48" s="874"/>
      <c r="X48" s="875"/>
      <c r="Y48" s="876">
        <f>SUMIFS('Wood &amp; Plywood '!$Q$18:$Q$77,'Wood &amp; Plywood '!$D$18:$D$77,'Project Emission Distribution'!$D48)+SUMIFS('Metals &amp; Acrylic'!$N$16:$N$75,'Metals &amp; Acrylic'!$D$16:$D$75,'Project Emission Distribution'!$D48)+SUMIFS('Metals &amp; Acrylic'!$O$16:$O$75,'Metals &amp; Acrylic'!$D$16:$D$75,'Project Emission Distribution'!$D48)+SUMIFS('Paint Consumption'!$AD$15:$AD$74,'Paint Consumption'!$D$15:$D$74,'Project Emission Distribution'!$D48)+SUMIFS('Packing material'!$K$15:$K$74,'Packing material'!$D$15:$D$74,'Project Emission Distribution'!$D48)</f>
        <v>0</v>
      </c>
      <c r="Z48" s="877"/>
      <c r="AA48" s="878"/>
      <c r="AB48" s="882">
        <f>SUMIFS(Frieght!$K$14:$K$73,Frieght!$D$14:$D$73,D48)</f>
        <v>0</v>
      </c>
      <c r="AC48" s="883"/>
      <c r="AD48" s="884"/>
      <c r="AE48" s="879">
        <f t="shared" si="0"/>
        <v>33.841023243674485</v>
      </c>
      <c r="AF48" s="880"/>
      <c r="AG48" s="881"/>
      <c r="AH48" s="840">
        <f>SUMIFS('Product Emissions'!$H$11:$H$70,'Product Emissions'!$C$11:$C$70,'Project Emission Distribution'!$D48)</f>
        <v>0</v>
      </c>
      <c r="AI48" s="193"/>
      <c r="AJ48" s="193"/>
      <c r="AK48" s="157"/>
    </row>
    <row r="49" spans="2:37" x14ac:dyDescent="0.25">
      <c r="B49" s="157"/>
      <c r="C49" s="157"/>
      <c r="D49" s="168" t="str">
        <f>'Project Details Entry'!C37</f>
        <v>AN25</v>
      </c>
      <c r="E49" s="169">
        <f>IF('Project Details Entry'!D37&gt;0,'Project Details Entry'!D37,"")</f>
        <v>44562</v>
      </c>
      <c r="F49" s="169">
        <f>IF('Project Details Entry'!E37&gt;0,'Project Details Entry'!E37,"")</f>
        <v>44614</v>
      </c>
      <c r="G49" s="858">
        <f>SUMIF('Electrical Energy Consumption'!$C$34:$C$69,'Project Emission Distribution'!D49,'Electrical Energy Consumption'!$F$34:'Electrical Energy Consumption'!$F$69)</f>
        <v>2.1275479281385277</v>
      </c>
      <c r="H49" s="859"/>
      <c r="I49" s="860"/>
      <c r="J49" s="861">
        <f>SUMIF('Water Consumption'!$C$31:$C$66,'Project Emission Distribution'!D49,'Water Consumption'!$F$31:$F$66)</f>
        <v>1.1218041386146789</v>
      </c>
      <c r="K49" s="862"/>
      <c r="L49" s="863"/>
      <c r="M49" s="864">
        <f>SUMIF('Vehicles Emission'!$C$45:$C$80,'Project Emission Distribution'!D49,'Vehicles Emission'!$F$45:$F$80)</f>
        <v>17.324433376623382</v>
      </c>
      <c r="N49" s="865"/>
      <c r="O49" s="866"/>
      <c r="P49" s="867">
        <f>SUMIF('Employee Commute'!$C$36:$C$71,'Project Emission Distribution'!D49,'Employee Commute'!$F$36:$F$71)</f>
        <v>0.3808852093356333</v>
      </c>
      <c r="Q49" s="868"/>
      <c r="R49" s="869"/>
      <c r="S49" s="870">
        <f>SUMIF('Waste Generation'!$C$31:$C$66,'Project Emission Distribution'!D49,'Waste Generation'!$F$31:$F$66)</f>
        <v>0.14568452380952387</v>
      </c>
      <c r="T49" s="871"/>
      <c r="U49" s="872"/>
      <c r="V49" s="873">
        <f>SUMIF('Air travel'!$C$14:$C$49,'Project Emission Distribution'!D49,'Air travel'!$M$14:'Air travel'!$M$49)</f>
        <v>0</v>
      </c>
      <c r="W49" s="874"/>
      <c r="X49" s="875"/>
      <c r="Y49" s="876">
        <f>SUMIFS('Wood &amp; Plywood '!$Q$18:$Q$77,'Wood &amp; Plywood '!$D$18:$D$77,'Project Emission Distribution'!$D49)+SUMIFS('Metals &amp; Acrylic'!$N$16:$N$75,'Metals &amp; Acrylic'!$D$16:$D$75,'Project Emission Distribution'!$D49)+SUMIFS('Metals &amp; Acrylic'!$O$16:$O$75,'Metals &amp; Acrylic'!$D$16:$D$75,'Project Emission Distribution'!$D49)+SUMIFS('Paint Consumption'!$AD$15:$AD$74,'Paint Consumption'!$D$15:$D$74,'Project Emission Distribution'!$D49)+SUMIFS('Packing material'!$K$15:$K$74,'Packing material'!$D$15:$D$74,'Project Emission Distribution'!$D49)</f>
        <v>0</v>
      </c>
      <c r="Z49" s="877"/>
      <c r="AA49" s="878"/>
      <c r="AB49" s="882">
        <f>SUMIFS(Frieght!$K$14:$K$73,Frieght!$D$14:$D$73,D49)</f>
        <v>0</v>
      </c>
      <c r="AC49" s="883"/>
      <c r="AD49" s="884"/>
      <c r="AE49" s="879">
        <f t="shared" si="0"/>
        <v>21.100355176521749</v>
      </c>
      <c r="AF49" s="880"/>
      <c r="AG49" s="881"/>
      <c r="AH49" s="840">
        <f>SUMIFS('Product Emissions'!$H$11:$H$70,'Product Emissions'!$C$11:$C$70,'Project Emission Distribution'!$D49)</f>
        <v>0</v>
      </c>
      <c r="AI49" s="193"/>
      <c r="AJ49" s="193"/>
      <c r="AK49" s="157"/>
    </row>
    <row r="50" spans="2:37" x14ac:dyDescent="0.25">
      <c r="B50" s="157"/>
      <c r="C50" s="157"/>
      <c r="D50" s="168" t="str">
        <f>'Project Details Entry'!C38</f>
        <v>AN26</v>
      </c>
      <c r="E50" s="169">
        <f>IF('Project Details Entry'!D38&gt;0,'Project Details Entry'!D38,"")</f>
        <v>44774</v>
      </c>
      <c r="F50" s="169">
        <f>IF('Project Details Entry'!E38&gt;0,'Project Details Entry'!E38,"")</f>
        <v>44926</v>
      </c>
      <c r="G50" s="858">
        <f>SUMIF('Electrical Energy Consumption'!$C$34:$C$69,'Project Emission Distribution'!D50,'Electrical Energy Consumption'!$F$34:'Electrical Energy Consumption'!$F$69)</f>
        <v>0</v>
      </c>
      <c r="H50" s="859"/>
      <c r="I50" s="860"/>
      <c r="J50" s="861">
        <f>SUMIF('Water Consumption'!$C$31:$C$66,'Project Emission Distribution'!D50,'Water Consumption'!$F$31:$F$66)</f>
        <v>2.4679691049522949</v>
      </c>
      <c r="K50" s="862"/>
      <c r="L50" s="863"/>
      <c r="M50" s="864">
        <f>SUMIF('Vehicles Emission'!$C$45:$C$80,'Project Emission Distribution'!D50,'Vehicles Emission'!$F$45:$F$80)</f>
        <v>0</v>
      </c>
      <c r="N50" s="865"/>
      <c r="O50" s="866"/>
      <c r="P50" s="867">
        <f>SUMIF('Employee Commute'!$C$36:$C$71,'Project Emission Distribution'!D50,'Employee Commute'!$F$36:$F$71)</f>
        <v>0</v>
      </c>
      <c r="Q50" s="868"/>
      <c r="R50" s="869"/>
      <c r="S50" s="870">
        <f>SUMIF('Waste Generation'!$C$31:$C$66,'Project Emission Distribution'!D50,'Waste Generation'!$F$31:$F$66)</f>
        <v>0</v>
      </c>
      <c r="T50" s="871"/>
      <c r="U50" s="872"/>
      <c r="V50" s="873">
        <f>SUMIF('Air travel'!$C$14:$C$49,'Project Emission Distribution'!D50,'Air travel'!$M$14:'Air travel'!$M$49)</f>
        <v>0</v>
      </c>
      <c r="W50" s="874"/>
      <c r="X50" s="875"/>
      <c r="Y50" s="876">
        <f>SUMIFS('Wood &amp; Plywood '!$Q$18:$Q$77,'Wood &amp; Plywood '!$D$18:$D$77,'Project Emission Distribution'!$D50)+SUMIFS('Metals &amp; Acrylic'!$N$16:$N$75,'Metals &amp; Acrylic'!$D$16:$D$75,'Project Emission Distribution'!$D50)+SUMIFS('Metals &amp; Acrylic'!$O$16:$O$75,'Metals &amp; Acrylic'!$D$16:$D$75,'Project Emission Distribution'!$D50)+SUMIFS('Paint Consumption'!$AD$15:$AD$74,'Paint Consumption'!$D$15:$D$74,'Project Emission Distribution'!$D50)+SUMIFS('Packing material'!$K$15:$K$74,'Packing material'!$D$15:$D$74,'Project Emission Distribution'!$D50)</f>
        <v>0</v>
      </c>
      <c r="Z50" s="877"/>
      <c r="AA50" s="878"/>
      <c r="AB50" s="882">
        <f>SUMIFS(Frieght!$K$14:$K$73,Frieght!$D$14:$D$73,D50)</f>
        <v>0</v>
      </c>
      <c r="AC50" s="883"/>
      <c r="AD50" s="884"/>
      <c r="AE50" s="879">
        <f t="shared" si="0"/>
        <v>2.4679691049522949</v>
      </c>
      <c r="AF50" s="880"/>
      <c r="AG50" s="881"/>
      <c r="AH50" s="840">
        <f>SUMIFS('Product Emissions'!$H$11:$H$70,'Product Emissions'!$C$11:$C$70,'Project Emission Distribution'!$D50)</f>
        <v>0</v>
      </c>
      <c r="AI50" s="193"/>
      <c r="AJ50" s="193"/>
      <c r="AK50" s="157"/>
    </row>
    <row r="51" spans="2:37" x14ac:dyDescent="0.25">
      <c r="B51" s="157"/>
      <c r="C51" s="157"/>
      <c r="D51" s="168" t="str">
        <f>'Project Details Entry'!C39</f>
        <v>AN27</v>
      </c>
      <c r="E51" s="169" t="str">
        <f>IF('Project Details Entry'!D39&gt;0,'Project Details Entry'!D39,"")</f>
        <v/>
      </c>
      <c r="F51" s="169" t="str">
        <f>IF('Project Details Entry'!E39&gt;0,'Project Details Entry'!E39,"")</f>
        <v/>
      </c>
      <c r="G51" s="858">
        <f>SUMIF('Electrical Energy Consumption'!$C$34:$C$69,'Project Emission Distribution'!D51,'Electrical Energy Consumption'!$F$34:'Electrical Energy Consumption'!$F$69)</f>
        <v>0</v>
      </c>
      <c r="H51" s="859"/>
      <c r="I51" s="860"/>
      <c r="J51" s="861">
        <f>SUMIF('Water Consumption'!$C$31:$C$66,'Project Emission Distribution'!D51,'Water Consumption'!$F$31:$F$66)</f>
        <v>0</v>
      </c>
      <c r="K51" s="862"/>
      <c r="L51" s="863"/>
      <c r="M51" s="864">
        <f>SUMIF('Vehicles Emission'!$C$45:$C$80,'Project Emission Distribution'!D51,'Vehicles Emission'!$F$45:$F$80)</f>
        <v>0</v>
      </c>
      <c r="N51" s="865"/>
      <c r="O51" s="866"/>
      <c r="P51" s="867">
        <f>SUMIF('Employee Commute'!$C$36:$C$71,'Project Emission Distribution'!D51,'Employee Commute'!$F$36:$F$71)</f>
        <v>0</v>
      </c>
      <c r="Q51" s="868"/>
      <c r="R51" s="869"/>
      <c r="S51" s="870">
        <f>SUMIF('Waste Generation'!$C$31:$C$66,'Project Emission Distribution'!D51,'Waste Generation'!$F$31:$F$66)</f>
        <v>0</v>
      </c>
      <c r="T51" s="871"/>
      <c r="U51" s="872"/>
      <c r="V51" s="873">
        <f>SUMIF('Air travel'!$C$14:$C$49,'Project Emission Distribution'!D51,'Air travel'!$M$14:'Air travel'!$M$49)</f>
        <v>0</v>
      </c>
      <c r="W51" s="874"/>
      <c r="X51" s="875"/>
      <c r="Y51" s="876">
        <f>SUMIFS('Wood &amp; Plywood '!$Q$18:$Q$77,'Wood &amp; Plywood '!$D$18:$D$77,'Project Emission Distribution'!$D51)+SUMIFS('Metals &amp; Acrylic'!$N$16:$N$75,'Metals &amp; Acrylic'!$D$16:$D$75,'Project Emission Distribution'!$D51)+SUMIFS('Metals &amp; Acrylic'!$O$16:$O$75,'Metals &amp; Acrylic'!$D$16:$D$75,'Project Emission Distribution'!$D51)+SUMIFS('Paint Consumption'!$AD$15:$AD$74,'Paint Consumption'!$D$15:$D$74,'Project Emission Distribution'!$D51)+SUMIFS('Packing material'!$K$15:$K$74,'Packing material'!$D$15:$D$74,'Project Emission Distribution'!$D51)</f>
        <v>0</v>
      </c>
      <c r="Z51" s="877"/>
      <c r="AA51" s="878"/>
      <c r="AB51" s="882">
        <f>SUMIFS(Frieght!$K$14:$K$73,Frieght!$D$14:$D$73,D51)</f>
        <v>0</v>
      </c>
      <c r="AC51" s="883"/>
      <c r="AD51" s="884"/>
      <c r="AE51" s="879">
        <f t="shared" si="0"/>
        <v>0</v>
      </c>
      <c r="AF51" s="880"/>
      <c r="AG51" s="881"/>
      <c r="AH51" s="840">
        <f>SUMIFS('Product Emissions'!$H$11:$H$70,'Product Emissions'!$C$11:$C$70,'Project Emission Distribution'!$D51)</f>
        <v>0</v>
      </c>
      <c r="AI51" s="193"/>
      <c r="AJ51" s="193"/>
      <c r="AK51" s="157"/>
    </row>
    <row r="52" spans="2:37" x14ac:dyDescent="0.25">
      <c r="B52" s="157"/>
      <c r="C52" s="157"/>
      <c r="D52" s="168" t="str">
        <f>'Project Details Entry'!C40</f>
        <v>AN28</v>
      </c>
      <c r="E52" s="169" t="str">
        <f>IF('Project Details Entry'!D40&gt;0,'Project Details Entry'!D40,"")</f>
        <v/>
      </c>
      <c r="F52" s="169" t="str">
        <f>IF('Project Details Entry'!E40&gt;0,'Project Details Entry'!E40,"")</f>
        <v/>
      </c>
      <c r="G52" s="858">
        <f>SUMIF('Electrical Energy Consumption'!$C$34:$C$69,'Project Emission Distribution'!D52,'Electrical Energy Consumption'!$F$34:'Electrical Energy Consumption'!$F$69)</f>
        <v>0</v>
      </c>
      <c r="H52" s="859"/>
      <c r="I52" s="860"/>
      <c r="J52" s="861">
        <f>SUMIF('Water Consumption'!$C$31:$C$66,'Project Emission Distribution'!D52,'Water Consumption'!$F$31:$F$66)</f>
        <v>0</v>
      </c>
      <c r="K52" s="862"/>
      <c r="L52" s="863"/>
      <c r="M52" s="864">
        <f>SUMIF('Vehicles Emission'!$C$45:$C$80,'Project Emission Distribution'!D52,'Vehicles Emission'!$F$45:$F$80)</f>
        <v>0</v>
      </c>
      <c r="N52" s="865"/>
      <c r="O52" s="866"/>
      <c r="P52" s="867">
        <f>SUMIF('Employee Commute'!$C$36:$C$71,'Project Emission Distribution'!D52,'Employee Commute'!$F$36:$F$71)</f>
        <v>0</v>
      </c>
      <c r="Q52" s="868"/>
      <c r="R52" s="869"/>
      <c r="S52" s="870">
        <f>SUMIF('Waste Generation'!$C$31:$C$66,'Project Emission Distribution'!D52,'Waste Generation'!$F$31:$F$66)</f>
        <v>0</v>
      </c>
      <c r="T52" s="871"/>
      <c r="U52" s="872"/>
      <c r="V52" s="873">
        <f>SUMIF('Air travel'!$C$14:$C$49,'Project Emission Distribution'!D52,'Air travel'!$M$14:'Air travel'!$M$49)</f>
        <v>0</v>
      </c>
      <c r="W52" s="874"/>
      <c r="X52" s="875"/>
      <c r="Y52" s="876">
        <f>SUMIFS('Wood &amp; Plywood '!$Q$18:$Q$77,'Wood &amp; Plywood '!$D$18:$D$77,'Project Emission Distribution'!$D52)+SUMIFS('Metals &amp; Acrylic'!$N$16:$N$75,'Metals &amp; Acrylic'!$D$16:$D$75,'Project Emission Distribution'!$D52)+SUMIFS('Metals &amp; Acrylic'!$O$16:$O$75,'Metals &amp; Acrylic'!$D$16:$D$75,'Project Emission Distribution'!$D52)+SUMIFS('Paint Consumption'!$AD$15:$AD$74,'Paint Consumption'!$D$15:$D$74,'Project Emission Distribution'!$D52)+SUMIFS('Packing material'!$K$15:$K$74,'Packing material'!$D$15:$D$74,'Project Emission Distribution'!$D52)</f>
        <v>0</v>
      </c>
      <c r="Z52" s="877"/>
      <c r="AA52" s="878"/>
      <c r="AB52" s="882">
        <f>SUMIFS(Frieght!$K$14:$K$73,Frieght!$D$14:$D$73,D52)</f>
        <v>0</v>
      </c>
      <c r="AC52" s="883"/>
      <c r="AD52" s="884"/>
      <c r="AE52" s="879">
        <f t="shared" si="0"/>
        <v>0</v>
      </c>
      <c r="AF52" s="880"/>
      <c r="AG52" s="881"/>
      <c r="AH52" s="840">
        <f>SUMIFS('Product Emissions'!$H$11:$H$70,'Product Emissions'!$C$11:$C$70,'Project Emission Distribution'!$D52)</f>
        <v>0</v>
      </c>
      <c r="AI52" s="193"/>
      <c r="AJ52" s="193"/>
      <c r="AK52" s="157"/>
    </row>
    <row r="53" spans="2:37" x14ac:dyDescent="0.25">
      <c r="B53" s="157"/>
      <c r="C53" s="157"/>
      <c r="D53" s="168" t="str">
        <f>'Project Details Entry'!C41</f>
        <v>AN29</v>
      </c>
      <c r="E53" s="169" t="str">
        <f>IF('Project Details Entry'!D41&gt;0,'Project Details Entry'!D41,"")</f>
        <v/>
      </c>
      <c r="F53" s="169" t="str">
        <f>IF('Project Details Entry'!E41&gt;0,'Project Details Entry'!E41,"")</f>
        <v/>
      </c>
      <c r="G53" s="858">
        <f>SUMIF('Electrical Energy Consumption'!$C$34:$C$69,'Project Emission Distribution'!D53,'Electrical Energy Consumption'!$F$34:'Electrical Energy Consumption'!$F$69)</f>
        <v>0</v>
      </c>
      <c r="H53" s="859"/>
      <c r="I53" s="860"/>
      <c r="J53" s="861">
        <f>SUMIF('Water Consumption'!$C$31:$C$66,'Project Emission Distribution'!D53,'Water Consumption'!$F$31:$F$66)</f>
        <v>0</v>
      </c>
      <c r="K53" s="862"/>
      <c r="L53" s="863"/>
      <c r="M53" s="864">
        <f>SUMIF('Vehicles Emission'!$C$45:$C$80,'Project Emission Distribution'!D53,'Vehicles Emission'!$F$45:$F$80)</f>
        <v>0</v>
      </c>
      <c r="N53" s="865"/>
      <c r="O53" s="866"/>
      <c r="P53" s="867">
        <f>SUMIF('Employee Commute'!$C$36:$C$71,'Project Emission Distribution'!D53,'Employee Commute'!$F$36:$F$71)</f>
        <v>0</v>
      </c>
      <c r="Q53" s="868"/>
      <c r="R53" s="869"/>
      <c r="S53" s="870">
        <f>SUMIF('Waste Generation'!$C$31:$C$66,'Project Emission Distribution'!D53,'Waste Generation'!$F$31:$F$66)</f>
        <v>0</v>
      </c>
      <c r="T53" s="871"/>
      <c r="U53" s="872"/>
      <c r="V53" s="873">
        <f>SUMIF('Air travel'!$C$14:$C$49,'Project Emission Distribution'!D53,'Air travel'!$M$14:'Air travel'!$M$49)</f>
        <v>0</v>
      </c>
      <c r="W53" s="874"/>
      <c r="X53" s="875"/>
      <c r="Y53" s="876">
        <f>SUMIFS('Wood &amp; Plywood '!$Q$18:$Q$77,'Wood &amp; Plywood '!$D$18:$D$77,'Project Emission Distribution'!$D53)+SUMIFS('Metals &amp; Acrylic'!$N$16:$N$75,'Metals &amp; Acrylic'!$D$16:$D$75,'Project Emission Distribution'!$D53)+SUMIFS('Metals &amp; Acrylic'!$O$16:$O$75,'Metals &amp; Acrylic'!$D$16:$D$75,'Project Emission Distribution'!$D53)+SUMIFS('Paint Consumption'!$AD$15:$AD$74,'Paint Consumption'!$D$15:$D$74,'Project Emission Distribution'!$D53)+SUMIFS('Packing material'!$K$15:$K$74,'Packing material'!$D$15:$D$74,'Project Emission Distribution'!$D53)</f>
        <v>0</v>
      </c>
      <c r="Z53" s="877"/>
      <c r="AA53" s="878"/>
      <c r="AB53" s="882">
        <f>SUMIFS(Frieght!$K$14:$K$73,Frieght!$D$14:$D$73,D53)</f>
        <v>0</v>
      </c>
      <c r="AC53" s="883"/>
      <c r="AD53" s="884"/>
      <c r="AE53" s="879">
        <f t="shared" si="0"/>
        <v>0</v>
      </c>
      <c r="AF53" s="880"/>
      <c r="AG53" s="881"/>
      <c r="AH53" s="840">
        <f>SUMIFS('Product Emissions'!$H$11:$H$70,'Product Emissions'!$C$11:$C$70,'Project Emission Distribution'!$D53)</f>
        <v>0</v>
      </c>
      <c r="AI53" s="193"/>
      <c r="AJ53" s="193"/>
      <c r="AK53" s="157"/>
    </row>
    <row r="54" spans="2:37" x14ac:dyDescent="0.25">
      <c r="B54" s="157"/>
      <c r="C54" s="157"/>
      <c r="D54" s="168" t="str">
        <f>'Project Details Entry'!C42</f>
        <v>AN30</v>
      </c>
      <c r="E54" s="169" t="str">
        <f>IF('Project Details Entry'!D42&gt;0,'Project Details Entry'!D42,"")</f>
        <v/>
      </c>
      <c r="F54" s="169" t="str">
        <f>IF('Project Details Entry'!E42&gt;0,'Project Details Entry'!E42,"")</f>
        <v/>
      </c>
      <c r="G54" s="858">
        <f>SUMIF('Electrical Energy Consumption'!$C$34:$C$69,'Project Emission Distribution'!D54,'Electrical Energy Consumption'!$F$34:'Electrical Energy Consumption'!$F$69)</f>
        <v>0</v>
      </c>
      <c r="H54" s="859"/>
      <c r="I54" s="860"/>
      <c r="J54" s="861">
        <f>SUMIF('Water Consumption'!$C$31:$C$66,'Project Emission Distribution'!D54,'Water Consumption'!$F$31:$F$66)</f>
        <v>0</v>
      </c>
      <c r="K54" s="862"/>
      <c r="L54" s="863"/>
      <c r="M54" s="864">
        <f>SUMIF('Vehicles Emission'!$C$45:$C$80,'Project Emission Distribution'!D54,'Vehicles Emission'!$F$45:$F$80)</f>
        <v>0</v>
      </c>
      <c r="N54" s="865"/>
      <c r="O54" s="866"/>
      <c r="P54" s="867">
        <f>SUMIF('Employee Commute'!$C$36:$C$71,'Project Emission Distribution'!D54,'Employee Commute'!$F$36:$F$71)</f>
        <v>0</v>
      </c>
      <c r="Q54" s="868"/>
      <c r="R54" s="869"/>
      <c r="S54" s="870">
        <f>SUMIF('Waste Generation'!$C$31:$C$66,'Project Emission Distribution'!D54,'Waste Generation'!$F$31:$F$66)</f>
        <v>0</v>
      </c>
      <c r="T54" s="871"/>
      <c r="U54" s="872"/>
      <c r="V54" s="873">
        <f>SUMIF('Air travel'!$C$14:$C$49,'Project Emission Distribution'!D54,'Air travel'!$M$14:'Air travel'!$M$49)</f>
        <v>0</v>
      </c>
      <c r="W54" s="874"/>
      <c r="X54" s="875"/>
      <c r="Y54" s="876">
        <f>SUMIFS('Wood &amp; Plywood '!$Q$18:$Q$77,'Wood &amp; Plywood '!$D$18:$D$77,'Project Emission Distribution'!$D54)+SUMIFS('Metals &amp; Acrylic'!$N$16:$N$75,'Metals &amp; Acrylic'!$D$16:$D$75,'Project Emission Distribution'!$D54)+SUMIFS('Metals &amp; Acrylic'!$O$16:$O$75,'Metals &amp; Acrylic'!$D$16:$D$75,'Project Emission Distribution'!$D54)+SUMIFS('Paint Consumption'!$AD$15:$AD$74,'Paint Consumption'!$D$15:$D$74,'Project Emission Distribution'!$D54)+SUMIFS('Packing material'!$K$15:$K$74,'Packing material'!$D$15:$D$74,'Project Emission Distribution'!$D54)</f>
        <v>0</v>
      </c>
      <c r="Z54" s="877"/>
      <c r="AA54" s="878"/>
      <c r="AB54" s="882">
        <f>SUMIFS(Frieght!$K$14:$K$73,Frieght!$D$14:$D$73,D54)</f>
        <v>0</v>
      </c>
      <c r="AC54" s="883"/>
      <c r="AD54" s="884"/>
      <c r="AE54" s="879">
        <f t="shared" si="0"/>
        <v>0</v>
      </c>
      <c r="AF54" s="880"/>
      <c r="AG54" s="881"/>
      <c r="AH54" s="840">
        <f>SUMIFS('Product Emissions'!$H$11:$H$70,'Product Emissions'!$C$11:$C$70,'Project Emission Distribution'!$D54)</f>
        <v>0</v>
      </c>
      <c r="AI54" s="193"/>
      <c r="AJ54" s="193"/>
      <c r="AK54" s="157"/>
    </row>
    <row r="55" spans="2:37" x14ac:dyDescent="0.25">
      <c r="B55" s="157"/>
      <c r="C55" s="157"/>
      <c r="D55" s="168" t="str">
        <f>'Project Details Entry'!C43</f>
        <v>AN31</v>
      </c>
      <c r="E55" s="169" t="str">
        <f>IF('Project Details Entry'!D43&gt;0,'Project Details Entry'!D43,"")</f>
        <v/>
      </c>
      <c r="F55" s="169" t="str">
        <f>IF('Project Details Entry'!E43&gt;0,'Project Details Entry'!E43,"")</f>
        <v/>
      </c>
      <c r="G55" s="858">
        <f>SUMIF('Electrical Energy Consumption'!$C$34:$C$69,'Project Emission Distribution'!D55,'Electrical Energy Consumption'!$F$34:'Electrical Energy Consumption'!$F$69)</f>
        <v>0</v>
      </c>
      <c r="H55" s="859"/>
      <c r="I55" s="860"/>
      <c r="J55" s="861">
        <f>SUMIF('Water Consumption'!$C$31:$C$66,'Project Emission Distribution'!D55,'Water Consumption'!$F$31:$F$66)</f>
        <v>0</v>
      </c>
      <c r="K55" s="862"/>
      <c r="L55" s="863"/>
      <c r="M55" s="864">
        <f>SUMIF('Vehicles Emission'!$C$45:$C$80,'Project Emission Distribution'!D55,'Vehicles Emission'!$F$45:$F$80)</f>
        <v>0</v>
      </c>
      <c r="N55" s="865"/>
      <c r="O55" s="866"/>
      <c r="P55" s="867">
        <f>SUMIF('Employee Commute'!$C$36:$C$71,'Project Emission Distribution'!D55,'Employee Commute'!$F$36:$F$71)</f>
        <v>0</v>
      </c>
      <c r="Q55" s="868"/>
      <c r="R55" s="869"/>
      <c r="S55" s="870">
        <f>SUMIF('Waste Generation'!$C$31:$C$66,'Project Emission Distribution'!D55,'Waste Generation'!$F$31:$F$66)</f>
        <v>0</v>
      </c>
      <c r="T55" s="871"/>
      <c r="U55" s="872"/>
      <c r="V55" s="873">
        <f>SUMIF('Air travel'!$C$14:$C$49,'Project Emission Distribution'!D55,'Air travel'!$M$14:'Air travel'!$M$49)</f>
        <v>0</v>
      </c>
      <c r="W55" s="874"/>
      <c r="X55" s="875"/>
      <c r="Y55" s="876">
        <f>SUMIFS('Wood &amp; Plywood '!$Q$18:$Q$77,'Wood &amp; Plywood '!$D$18:$D$77,'Project Emission Distribution'!$D55)+SUMIFS('Metals &amp; Acrylic'!$N$16:$N$75,'Metals &amp; Acrylic'!$D$16:$D$75,'Project Emission Distribution'!$D55)+SUMIFS('Metals &amp; Acrylic'!$O$16:$O$75,'Metals &amp; Acrylic'!$D$16:$D$75,'Project Emission Distribution'!$D55)+SUMIFS('Paint Consumption'!$AD$15:$AD$74,'Paint Consumption'!$D$15:$D$74,'Project Emission Distribution'!$D55)+SUMIFS('Packing material'!$K$15:$K$74,'Packing material'!$D$15:$D$74,'Project Emission Distribution'!$D55)</f>
        <v>0</v>
      </c>
      <c r="Z55" s="877"/>
      <c r="AA55" s="878"/>
      <c r="AB55" s="882">
        <f>SUMIFS(Frieght!$K$14:$K$73,Frieght!$D$14:$D$73,D55)</f>
        <v>0</v>
      </c>
      <c r="AC55" s="883"/>
      <c r="AD55" s="884"/>
      <c r="AE55" s="879">
        <f t="shared" si="0"/>
        <v>0</v>
      </c>
      <c r="AF55" s="880"/>
      <c r="AG55" s="881"/>
      <c r="AH55" s="840">
        <f>SUMIFS('Product Emissions'!$H$11:$H$70,'Product Emissions'!$C$11:$C$70,'Project Emission Distribution'!$D55)</f>
        <v>0</v>
      </c>
      <c r="AI55" s="193"/>
      <c r="AJ55" s="193"/>
      <c r="AK55" s="157"/>
    </row>
    <row r="56" spans="2:37" x14ac:dyDescent="0.25">
      <c r="B56" s="157"/>
      <c r="C56" s="157"/>
      <c r="D56" s="168" t="str">
        <f>'Project Details Entry'!C44</f>
        <v>AN32</v>
      </c>
      <c r="E56" s="169" t="str">
        <f>IF('Project Details Entry'!D44&gt;0,'Project Details Entry'!D44,"")</f>
        <v/>
      </c>
      <c r="F56" s="169" t="str">
        <f>IF('Project Details Entry'!E44&gt;0,'Project Details Entry'!E44,"")</f>
        <v/>
      </c>
      <c r="G56" s="858">
        <f>SUMIF('Electrical Energy Consumption'!$C$34:$C$69,'Project Emission Distribution'!D56,'Electrical Energy Consumption'!$F$34:'Electrical Energy Consumption'!$F$69)</f>
        <v>0</v>
      </c>
      <c r="H56" s="859"/>
      <c r="I56" s="860"/>
      <c r="J56" s="861">
        <f>SUMIF('Water Consumption'!$C$31:$C$66,'Project Emission Distribution'!D56,'Water Consumption'!$F$31:$F$66)</f>
        <v>0</v>
      </c>
      <c r="K56" s="862"/>
      <c r="L56" s="863"/>
      <c r="M56" s="864">
        <f>SUMIF('Vehicles Emission'!$C$45:$C$80,'Project Emission Distribution'!D56,'Vehicles Emission'!$F$45:$F$80)</f>
        <v>0</v>
      </c>
      <c r="N56" s="865"/>
      <c r="O56" s="866"/>
      <c r="P56" s="867">
        <f>SUMIF('Employee Commute'!$C$36:$C$71,'Project Emission Distribution'!D56,'Employee Commute'!$F$36:$F$71)</f>
        <v>0</v>
      </c>
      <c r="Q56" s="868"/>
      <c r="R56" s="869"/>
      <c r="S56" s="870">
        <f>SUMIF('Waste Generation'!$C$31:$C$66,'Project Emission Distribution'!D56,'Waste Generation'!$F$31:$F$66)</f>
        <v>0</v>
      </c>
      <c r="T56" s="871"/>
      <c r="U56" s="872"/>
      <c r="V56" s="873">
        <f>SUMIF('Air travel'!$C$14:$C$49,'Project Emission Distribution'!D56,'Air travel'!$M$14:'Air travel'!$M$49)</f>
        <v>0</v>
      </c>
      <c r="W56" s="874"/>
      <c r="X56" s="875"/>
      <c r="Y56" s="876">
        <f>SUMIFS('Wood &amp; Plywood '!$Q$18:$Q$77,'Wood &amp; Plywood '!$D$18:$D$77,'Project Emission Distribution'!$D56)+SUMIFS('Metals &amp; Acrylic'!$N$16:$N$75,'Metals &amp; Acrylic'!$D$16:$D$75,'Project Emission Distribution'!$D56)+SUMIFS('Metals &amp; Acrylic'!$O$16:$O$75,'Metals &amp; Acrylic'!$D$16:$D$75,'Project Emission Distribution'!$D56)+SUMIFS('Paint Consumption'!$AD$15:$AD$74,'Paint Consumption'!$D$15:$D$74,'Project Emission Distribution'!$D56)+SUMIFS('Packing material'!$K$15:$K$74,'Packing material'!$D$15:$D$74,'Project Emission Distribution'!$D56)</f>
        <v>0</v>
      </c>
      <c r="Z56" s="877"/>
      <c r="AA56" s="878"/>
      <c r="AB56" s="882">
        <f>SUMIFS(Frieght!$K$14:$K$73,Frieght!$D$14:$D$73,D56)</f>
        <v>0</v>
      </c>
      <c r="AC56" s="883"/>
      <c r="AD56" s="884"/>
      <c r="AE56" s="879">
        <f t="shared" si="0"/>
        <v>0</v>
      </c>
      <c r="AF56" s="880"/>
      <c r="AG56" s="881"/>
      <c r="AH56" s="840">
        <f>SUMIFS('Product Emissions'!$H$11:$H$70,'Product Emissions'!$C$11:$C$70,'Project Emission Distribution'!$D56)</f>
        <v>0</v>
      </c>
      <c r="AI56" s="193"/>
      <c r="AJ56" s="193"/>
      <c r="AK56" s="157"/>
    </row>
    <row r="57" spans="2:37" x14ac:dyDescent="0.25">
      <c r="B57" s="157"/>
      <c r="C57" s="157"/>
      <c r="D57" s="168" t="str">
        <f>'Project Details Entry'!C45</f>
        <v>AN33</v>
      </c>
      <c r="E57" s="169" t="str">
        <f>IF('Project Details Entry'!D45&gt;0,'Project Details Entry'!D45,"")</f>
        <v/>
      </c>
      <c r="F57" s="169" t="str">
        <f>IF('Project Details Entry'!E45&gt;0,'Project Details Entry'!E45,"")</f>
        <v/>
      </c>
      <c r="G57" s="858">
        <f>SUMIF('Electrical Energy Consumption'!$C$34:$C$69,'Project Emission Distribution'!D57,'Electrical Energy Consumption'!$F$34:'Electrical Energy Consumption'!$F$69)</f>
        <v>0</v>
      </c>
      <c r="H57" s="859"/>
      <c r="I57" s="860"/>
      <c r="J57" s="861">
        <f>SUMIF('Water Consumption'!$C$31:$C$66,'Project Emission Distribution'!D57,'Water Consumption'!$F$31:$F$66)</f>
        <v>0</v>
      </c>
      <c r="K57" s="862"/>
      <c r="L57" s="863"/>
      <c r="M57" s="864">
        <f>SUMIF('Vehicles Emission'!$C$45:$C$80,'Project Emission Distribution'!D57,'Vehicles Emission'!$F$45:$F$80)</f>
        <v>0</v>
      </c>
      <c r="N57" s="865"/>
      <c r="O57" s="866"/>
      <c r="P57" s="867">
        <f>SUMIF('Employee Commute'!$C$36:$C$71,'Project Emission Distribution'!D57,'Employee Commute'!$F$36:$F$71)</f>
        <v>0</v>
      </c>
      <c r="Q57" s="868"/>
      <c r="R57" s="869"/>
      <c r="S57" s="870">
        <f>SUMIF('Waste Generation'!$C$31:$C$66,'Project Emission Distribution'!D57,'Waste Generation'!$F$31:$F$66)</f>
        <v>0</v>
      </c>
      <c r="T57" s="871"/>
      <c r="U57" s="872"/>
      <c r="V57" s="873">
        <f>SUMIF('Air travel'!$C$14:$C$49,'Project Emission Distribution'!D57,'Air travel'!$M$14:'Air travel'!$M$49)</f>
        <v>0</v>
      </c>
      <c r="W57" s="874"/>
      <c r="X57" s="875"/>
      <c r="Y57" s="876">
        <f>SUMIFS('Wood &amp; Plywood '!$Q$18:$Q$77,'Wood &amp; Plywood '!$D$18:$D$77,'Project Emission Distribution'!$D57)+SUMIFS('Metals &amp; Acrylic'!$N$16:$N$75,'Metals &amp; Acrylic'!$D$16:$D$75,'Project Emission Distribution'!$D57)+SUMIFS('Metals &amp; Acrylic'!$O$16:$O$75,'Metals &amp; Acrylic'!$D$16:$D$75,'Project Emission Distribution'!$D57)+SUMIFS('Paint Consumption'!$AD$15:$AD$74,'Paint Consumption'!$D$15:$D$74,'Project Emission Distribution'!$D57)+SUMIFS('Packing material'!$K$15:$K$74,'Packing material'!$D$15:$D$74,'Project Emission Distribution'!$D57)</f>
        <v>0</v>
      </c>
      <c r="Z57" s="877"/>
      <c r="AA57" s="878"/>
      <c r="AB57" s="882">
        <f>SUMIFS(Frieght!$K$14:$K$73,Frieght!$D$14:$D$73,D57)</f>
        <v>0</v>
      </c>
      <c r="AC57" s="883"/>
      <c r="AD57" s="884"/>
      <c r="AE57" s="879">
        <f t="shared" si="0"/>
        <v>0</v>
      </c>
      <c r="AF57" s="880"/>
      <c r="AG57" s="881"/>
      <c r="AH57" s="840">
        <f>SUMIFS('Product Emissions'!$H$11:$H$70,'Product Emissions'!$C$11:$C$70,'Project Emission Distribution'!$D57)</f>
        <v>0</v>
      </c>
      <c r="AI57" s="193"/>
      <c r="AJ57" s="193"/>
      <c r="AK57" s="157"/>
    </row>
    <row r="58" spans="2:37" x14ac:dyDescent="0.25">
      <c r="B58" s="157"/>
      <c r="C58" s="157"/>
      <c r="D58" s="168" t="str">
        <f>'Project Details Entry'!C46</f>
        <v>AN34</v>
      </c>
      <c r="E58" s="169" t="str">
        <f>IF('Project Details Entry'!D46&gt;0,'Project Details Entry'!D46,"")</f>
        <v/>
      </c>
      <c r="F58" s="169" t="str">
        <f>IF('Project Details Entry'!E46&gt;0,'Project Details Entry'!E46,"")</f>
        <v/>
      </c>
      <c r="G58" s="858">
        <f>SUMIF('Electrical Energy Consumption'!$C$34:$C$69,'Project Emission Distribution'!D58,'Electrical Energy Consumption'!$F$34:'Electrical Energy Consumption'!$F$69)</f>
        <v>0</v>
      </c>
      <c r="H58" s="859"/>
      <c r="I58" s="860"/>
      <c r="J58" s="861">
        <f>SUMIF('Water Consumption'!$C$31:$C$66,'Project Emission Distribution'!D58,'Water Consumption'!$F$31:$F$66)</f>
        <v>0</v>
      </c>
      <c r="K58" s="862"/>
      <c r="L58" s="863"/>
      <c r="M58" s="864">
        <f>SUMIF('Vehicles Emission'!$C$45:$C$80,'Project Emission Distribution'!D58,'Vehicles Emission'!$F$45:$F$80)</f>
        <v>0</v>
      </c>
      <c r="N58" s="865"/>
      <c r="O58" s="866"/>
      <c r="P58" s="867">
        <f>SUMIF('Employee Commute'!$C$36:$C$71,'Project Emission Distribution'!D58,'Employee Commute'!$F$36:$F$71)</f>
        <v>0</v>
      </c>
      <c r="Q58" s="868"/>
      <c r="R58" s="869"/>
      <c r="S58" s="870">
        <f>SUMIF('Waste Generation'!$C$31:$C$66,'Project Emission Distribution'!D58,'Waste Generation'!$F$31:$F$66)</f>
        <v>0</v>
      </c>
      <c r="T58" s="871"/>
      <c r="U58" s="872"/>
      <c r="V58" s="873">
        <f>SUMIF('Air travel'!$C$14:$C$49,'Project Emission Distribution'!D58,'Air travel'!$M$14:'Air travel'!$M$49)</f>
        <v>0</v>
      </c>
      <c r="W58" s="874"/>
      <c r="X58" s="875"/>
      <c r="Y58" s="876">
        <f>SUMIFS('Wood &amp; Plywood '!$Q$18:$Q$77,'Wood &amp; Plywood '!$D$18:$D$77,'Project Emission Distribution'!$D58)+SUMIFS('Metals &amp; Acrylic'!$N$16:$N$75,'Metals &amp; Acrylic'!$D$16:$D$75,'Project Emission Distribution'!$D58)+SUMIFS('Metals &amp; Acrylic'!$O$16:$O$75,'Metals &amp; Acrylic'!$D$16:$D$75,'Project Emission Distribution'!$D58)+SUMIFS('Paint Consumption'!$AD$15:$AD$74,'Paint Consumption'!$D$15:$D$74,'Project Emission Distribution'!$D58)+SUMIFS('Packing material'!$K$15:$K$74,'Packing material'!$D$15:$D$74,'Project Emission Distribution'!$D58)</f>
        <v>0</v>
      </c>
      <c r="Z58" s="877"/>
      <c r="AA58" s="878"/>
      <c r="AB58" s="882">
        <f>SUMIFS(Frieght!$K$14:$K$73,Frieght!$D$14:$D$73,D58)</f>
        <v>0</v>
      </c>
      <c r="AC58" s="883"/>
      <c r="AD58" s="884"/>
      <c r="AE58" s="879">
        <f t="shared" si="0"/>
        <v>0</v>
      </c>
      <c r="AF58" s="880"/>
      <c r="AG58" s="881"/>
      <c r="AH58" s="840">
        <f>SUMIFS('Product Emissions'!$H$11:$H$70,'Product Emissions'!$C$11:$C$70,'Project Emission Distribution'!$D58)</f>
        <v>0</v>
      </c>
      <c r="AI58" s="193"/>
      <c r="AJ58" s="193"/>
      <c r="AK58" s="157"/>
    </row>
    <row r="59" spans="2:37" x14ac:dyDescent="0.25">
      <c r="B59" s="157"/>
      <c r="C59" s="157"/>
      <c r="D59" s="168" t="str">
        <f>'Project Details Entry'!C47</f>
        <v>AN35</v>
      </c>
      <c r="E59" s="169" t="str">
        <f>IF('Project Details Entry'!D47&gt;0,'Project Details Entry'!D47,"")</f>
        <v/>
      </c>
      <c r="F59" s="169" t="str">
        <f>IF('Project Details Entry'!E47&gt;0,'Project Details Entry'!E47,"")</f>
        <v/>
      </c>
      <c r="G59" s="858">
        <f>SUMIF('Electrical Energy Consumption'!$C$34:$C$69,'Project Emission Distribution'!D59,'Electrical Energy Consumption'!$F$34:'Electrical Energy Consumption'!$F$69)</f>
        <v>0</v>
      </c>
      <c r="H59" s="859"/>
      <c r="I59" s="860"/>
      <c r="J59" s="861">
        <f>SUMIF('Water Consumption'!$C$31:$C$66,'Project Emission Distribution'!D59,'Water Consumption'!$F$31:$F$66)</f>
        <v>0</v>
      </c>
      <c r="K59" s="862"/>
      <c r="L59" s="863"/>
      <c r="M59" s="864">
        <f>SUMIF('Vehicles Emission'!$C$45:$C$80,'Project Emission Distribution'!D59,'Vehicles Emission'!$F$45:$F$80)</f>
        <v>0</v>
      </c>
      <c r="N59" s="865"/>
      <c r="O59" s="866"/>
      <c r="P59" s="867">
        <f>SUMIF('Employee Commute'!$C$36:$C$71,'Project Emission Distribution'!D59,'Employee Commute'!$F$36:$F$71)</f>
        <v>0</v>
      </c>
      <c r="Q59" s="868"/>
      <c r="R59" s="869"/>
      <c r="S59" s="870">
        <f>SUMIF('Waste Generation'!$C$31:$C$66,'Project Emission Distribution'!D59,'Waste Generation'!$F$31:$F$66)</f>
        <v>0</v>
      </c>
      <c r="T59" s="871"/>
      <c r="U59" s="872"/>
      <c r="V59" s="873">
        <f>SUMIF('Air travel'!$C$14:$C$49,'Project Emission Distribution'!D59,'Air travel'!$M$14:'Air travel'!$M$49)</f>
        <v>0</v>
      </c>
      <c r="W59" s="874"/>
      <c r="X59" s="875"/>
      <c r="Y59" s="876">
        <f>SUMIFS('Wood &amp; Plywood '!$Q$18:$Q$77,'Wood &amp; Plywood '!$D$18:$D$77,'Project Emission Distribution'!$D59)+SUMIFS('Metals &amp; Acrylic'!$N$16:$N$75,'Metals &amp; Acrylic'!$D$16:$D$75,'Project Emission Distribution'!$D59)+SUMIFS('Metals &amp; Acrylic'!$O$16:$O$75,'Metals &amp; Acrylic'!$D$16:$D$75,'Project Emission Distribution'!$D59)+SUMIFS('Paint Consumption'!$AD$15:$AD$74,'Paint Consumption'!$D$15:$D$74,'Project Emission Distribution'!$D59)+SUMIFS('Packing material'!$K$15:$K$74,'Packing material'!$D$15:$D$74,'Project Emission Distribution'!$D59)</f>
        <v>0</v>
      </c>
      <c r="Z59" s="877"/>
      <c r="AA59" s="878"/>
      <c r="AB59" s="882">
        <f>SUMIFS(Frieght!$K$14:$K$73,Frieght!$D$14:$D$73,D59)</f>
        <v>0</v>
      </c>
      <c r="AC59" s="883"/>
      <c r="AD59" s="884"/>
      <c r="AE59" s="879">
        <f t="shared" si="0"/>
        <v>0</v>
      </c>
      <c r="AF59" s="880"/>
      <c r="AG59" s="881"/>
      <c r="AH59" s="840">
        <f>SUMIFS('Product Emissions'!$H$11:$H$70,'Product Emissions'!$C$11:$C$70,'Project Emission Distribution'!$D59)</f>
        <v>0</v>
      </c>
      <c r="AI59" s="193"/>
      <c r="AJ59" s="193"/>
      <c r="AK59" s="157"/>
    </row>
    <row r="60" spans="2:37" x14ac:dyDescent="0.25">
      <c r="B60" s="157"/>
      <c r="C60" s="157"/>
      <c r="D60" s="168" t="str">
        <f>'Project Details Entry'!C48</f>
        <v>AN36</v>
      </c>
      <c r="E60" s="169" t="str">
        <f>IF('Project Details Entry'!D48&gt;0,'Project Details Entry'!D48,"")</f>
        <v/>
      </c>
      <c r="F60" s="169" t="str">
        <f>IF('Project Details Entry'!E48&gt;0,'Project Details Entry'!E48,"")</f>
        <v/>
      </c>
      <c r="G60" s="858">
        <f>SUMIF('Electrical Energy Consumption'!$C$34:$C$69,'Project Emission Distribution'!D60,'Electrical Energy Consumption'!$F$34:'Electrical Energy Consumption'!$F$69)</f>
        <v>0</v>
      </c>
      <c r="H60" s="859"/>
      <c r="I60" s="860"/>
      <c r="J60" s="861">
        <f>SUMIF('Water Consumption'!$C$31:$C$66,'Project Emission Distribution'!D60,'Water Consumption'!$F$31:$F$66)</f>
        <v>0</v>
      </c>
      <c r="K60" s="862"/>
      <c r="L60" s="863"/>
      <c r="M60" s="864">
        <f>SUMIF('Vehicles Emission'!$C$45:$C$80,'Project Emission Distribution'!D60,'Vehicles Emission'!$F$45:$F$80)</f>
        <v>0</v>
      </c>
      <c r="N60" s="865"/>
      <c r="O60" s="866"/>
      <c r="P60" s="867">
        <f>SUMIF('Employee Commute'!$C$36:$C$71,'Project Emission Distribution'!D60,'Employee Commute'!$F$36:$F$71)</f>
        <v>0</v>
      </c>
      <c r="Q60" s="868"/>
      <c r="R60" s="869"/>
      <c r="S60" s="870">
        <f>SUMIF('Waste Generation'!$C$31:$C$66,'Project Emission Distribution'!D60,'Waste Generation'!$F$31:$F$66)</f>
        <v>0</v>
      </c>
      <c r="T60" s="871"/>
      <c r="U60" s="872"/>
      <c r="V60" s="873">
        <f>SUMIF('Air travel'!$C$14:$C$49,'Project Emission Distribution'!D60,'Air travel'!$M$14:'Air travel'!$M$49)</f>
        <v>0</v>
      </c>
      <c r="W60" s="874"/>
      <c r="X60" s="875"/>
      <c r="Y60" s="876">
        <f>SUMIFS('Wood &amp; Plywood '!$Q$18:$Q$77,'Wood &amp; Plywood '!$D$18:$D$77,'Project Emission Distribution'!$D60)+SUMIFS('Metals &amp; Acrylic'!$N$16:$N$75,'Metals &amp; Acrylic'!$D$16:$D$75,'Project Emission Distribution'!$D60)+SUMIFS('Metals &amp; Acrylic'!$O$16:$O$75,'Metals &amp; Acrylic'!$D$16:$D$75,'Project Emission Distribution'!$D60)+SUMIFS('Paint Consumption'!$AD$15:$AD$74,'Paint Consumption'!$D$15:$D$74,'Project Emission Distribution'!$D60)+SUMIFS('Packing material'!$K$15:$K$74,'Packing material'!$D$15:$D$74,'Project Emission Distribution'!$D60)</f>
        <v>0</v>
      </c>
      <c r="Z60" s="877"/>
      <c r="AA60" s="878"/>
      <c r="AB60" s="882">
        <f>SUMIFS(Frieght!$K$14:$K$73,Frieght!$D$14:$D$73,D60)</f>
        <v>0</v>
      </c>
      <c r="AC60" s="883"/>
      <c r="AD60" s="884"/>
      <c r="AE60" s="879">
        <f t="shared" si="0"/>
        <v>0</v>
      </c>
      <c r="AF60" s="880"/>
      <c r="AG60" s="881"/>
      <c r="AH60" s="840">
        <f>SUMIFS('Product Emissions'!$H$11:$H$70,'Product Emissions'!$C$11:$C$70,'Project Emission Distribution'!$D60)</f>
        <v>0</v>
      </c>
      <c r="AI60" s="193"/>
      <c r="AJ60" s="193"/>
      <c r="AK60" s="157"/>
    </row>
    <row r="61" spans="2:37" x14ac:dyDescent="0.25">
      <c r="B61" s="157"/>
      <c r="C61" s="157"/>
      <c r="D61" s="168" t="str">
        <f>'Project Details Entry'!C49</f>
        <v>AN37</v>
      </c>
      <c r="E61" s="169" t="str">
        <f>IF('Project Details Entry'!D49&gt;0,'Project Details Entry'!D49,"")</f>
        <v/>
      </c>
      <c r="F61" s="169" t="str">
        <f>IF('Project Details Entry'!E49&gt;0,'Project Details Entry'!E49,"")</f>
        <v/>
      </c>
      <c r="G61" s="858">
        <f>SUMIF('Electrical Energy Consumption'!$C$34:$C$69,'Project Emission Distribution'!D61,'Electrical Energy Consumption'!$F$34:'Electrical Energy Consumption'!$F$69)</f>
        <v>0</v>
      </c>
      <c r="H61" s="859"/>
      <c r="I61" s="860"/>
      <c r="J61" s="861">
        <f>SUMIF('Water Consumption'!$C$31:$C$66,'Project Emission Distribution'!D61,'Water Consumption'!$F$31:$F$66)</f>
        <v>0</v>
      </c>
      <c r="K61" s="862"/>
      <c r="L61" s="863"/>
      <c r="M61" s="864">
        <f>SUMIF('Vehicles Emission'!$C$45:$C$80,'Project Emission Distribution'!D61,'Vehicles Emission'!$F$45:$F$80)</f>
        <v>0</v>
      </c>
      <c r="N61" s="865"/>
      <c r="O61" s="866"/>
      <c r="P61" s="867">
        <f>SUMIF('Employee Commute'!$C$36:$C$71,'Project Emission Distribution'!D61,'Employee Commute'!$F$36:$F$71)</f>
        <v>0</v>
      </c>
      <c r="Q61" s="868"/>
      <c r="R61" s="869"/>
      <c r="S61" s="870">
        <f>SUMIF('Waste Generation'!$C$31:$C$66,'Project Emission Distribution'!D61,'Waste Generation'!$F$31:$F$66)</f>
        <v>0</v>
      </c>
      <c r="T61" s="871"/>
      <c r="U61" s="872"/>
      <c r="V61" s="873">
        <f>SUMIF('Air travel'!$C$14:$C$49,'Project Emission Distribution'!D61,'Air travel'!$M$14:'Air travel'!$M$49)</f>
        <v>0</v>
      </c>
      <c r="W61" s="874"/>
      <c r="X61" s="875"/>
      <c r="Y61" s="876">
        <f>SUMIFS('Wood &amp; Plywood '!$Q$18:$Q$77,'Wood &amp; Plywood '!$D$18:$D$77,'Project Emission Distribution'!$D61)+SUMIFS('Metals &amp; Acrylic'!$N$16:$N$75,'Metals &amp; Acrylic'!$D$16:$D$75,'Project Emission Distribution'!$D61)+SUMIFS('Metals &amp; Acrylic'!$O$16:$O$75,'Metals &amp; Acrylic'!$D$16:$D$75,'Project Emission Distribution'!$D61)+SUMIFS('Paint Consumption'!$AD$15:$AD$74,'Paint Consumption'!$D$15:$D$74,'Project Emission Distribution'!$D61)+SUMIFS('Packing material'!$K$15:$K$74,'Packing material'!$D$15:$D$74,'Project Emission Distribution'!$D61)</f>
        <v>0</v>
      </c>
      <c r="Z61" s="877"/>
      <c r="AA61" s="878"/>
      <c r="AB61" s="882">
        <f>SUMIFS(Frieght!$K$14:$K$73,Frieght!$D$14:$D$73,D61)</f>
        <v>0</v>
      </c>
      <c r="AC61" s="883"/>
      <c r="AD61" s="884"/>
      <c r="AE61" s="879">
        <f t="shared" si="0"/>
        <v>0</v>
      </c>
      <c r="AF61" s="880"/>
      <c r="AG61" s="881"/>
      <c r="AH61" s="840">
        <f>SUMIFS('Product Emissions'!$H$11:$H$70,'Product Emissions'!$C$11:$C$70,'Project Emission Distribution'!$D61)</f>
        <v>0</v>
      </c>
      <c r="AI61" s="193"/>
      <c r="AJ61" s="193"/>
      <c r="AK61" s="157"/>
    </row>
    <row r="62" spans="2:37" x14ac:dyDescent="0.25">
      <c r="B62" s="157"/>
      <c r="C62" s="157"/>
      <c r="D62" s="168" t="str">
        <f>'Project Details Entry'!C50</f>
        <v>AN38</v>
      </c>
      <c r="E62" s="169" t="str">
        <f>IF('Project Details Entry'!D50&gt;0,'Project Details Entry'!D50,"")</f>
        <v/>
      </c>
      <c r="F62" s="169" t="str">
        <f>IF('Project Details Entry'!E50&gt;0,'Project Details Entry'!E50,"")</f>
        <v/>
      </c>
      <c r="G62" s="858">
        <f>SUMIF('Electrical Energy Consumption'!$C$34:$C$69,'Project Emission Distribution'!D62,'Electrical Energy Consumption'!$F$34:'Electrical Energy Consumption'!$F$69)</f>
        <v>0</v>
      </c>
      <c r="H62" s="859"/>
      <c r="I62" s="860"/>
      <c r="J62" s="861">
        <f>SUMIF('Water Consumption'!$C$31:$C$66,'Project Emission Distribution'!D62,'Water Consumption'!$F$31:$F$66)</f>
        <v>0</v>
      </c>
      <c r="K62" s="862"/>
      <c r="L62" s="863"/>
      <c r="M62" s="864">
        <f>SUMIF('Vehicles Emission'!$C$45:$C$80,'Project Emission Distribution'!D62,'Vehicles Emission'!$F$45:$F$80)</f>
        <v>0</v>
      </c>
      <c r="N62" s="865"/>
      <c r="O62" s="866"/>
      <c r="P62" s="867">
        <f>SUMIF('Employee Commute'!$C$36:$C$71,'Project Emission Distribution'!D62,'Employee Commute'!$F$36:$F$71)</f>
        <v>0</v>
      </c>
      <c r="Q62" s="868"/>
      <c r="R62" s="869"/>
      <c r="S62" s="870">
        <f>SUMIF('Waste Generation'!$C$31:$C$66,'Project Emission Distribution'!D62,'Waste Generation'!$F$31:$F$66)</f>
        <v>0</v>
      </c>
      <c r="T62" s="871"/>
      <c r="U62" s="872"/>
      <c r="V62" s="873">
        <f>SUMIF('Air travel'!$C$14:$C$49,'Project Emission Distribution'!D62,'Air travel'!$M$14:'Air travel'!$M$49)</f>
        <v>0</v>
      </c>
      <c r="W62" s="874"/>
      <c r="X62" s="875"/>
      <c r="Y62" s="876">
        <f>SUMIFS('Wood &amp; Plywood '!$Q$18:$Q$77,'Wood &amp; Plywood '!$D$18:$D$77,'Project Emission Distribution'!$D62)+SUMIFS('Metals &amp; Acrylic'!$N$16:$N$75,'Metals &amp; Acrylic'!$D$16:$D$75,'Project Emission Distribution'!$D62)+SUMIFS('Metals &amp; Acrylic'!$O$16:$O$75,'Metals &amp; Acrylic'!$D$16:$D$75,'Project Emission Distribution'!$D62)+SUMIFS('Paint Consumption'!$AD$15:$AD$74,'Paint Consumption'!$D$15:$D$74,'Project Emission Distribution'!$D62)+SUMIFS('Packing material'!$K$15:$K$74,'Packing material'!$D$15:$D$74,'Project Emission Distribution'!$D62)</f>
        <v>0</v>
      </c>
      <c r="Z62" s="877"/>
      <c r="AA62" s="878"/>
      <c r="AB62" s="882">
        <f>SUMIFS(Frieght!$K$14:$K$73,Frieght!$D$14:$D$73,D62)</f>
        <v>0</v>
      </c>
      <c r="AC62" s="883"/>
      <c r="AD62" s="884"/>
      <c r="AE62" s="879">
        <f t="shared" si="0"/>
        <v>0</v>
      </c>
      <c r="AF62" s="880"/>
      <c r="AG62" s="881"/>
      <c r="AH62" s="840">
        <f>SUMIFS('Product Emissions'!$H$11:$H$70,'Product Emissions'!$C$11:$C$70,'Project Emission Distribution'!$D62)</f>
        <v>0</v>
      </c>
      <c r="AI62" s="193"/>
      <c r="AJ62" s="193"/>
      <c r="AK62" s="157"/>
    </row>
    <row r="63" spans="2:37" x14ac:dyDescent="0.25">
      <c r="B63" s="157"/>
      <c r="C63" s="157"/>
      <c r="D63" s="168" t="str">
        <f>'Project Details Entry'!C51</f>
        <v>AN39</v>
      </c>
      <c r="E63" s="169" t="str">
        <f>IF('Project Details Entry'!D51&gt;0,'Project Details Entry'!D51,"")</f>
        <v/>
      </c>
      <c r="F63" s="169" t="str">
        <f>IF('Project Details Entry'!E51&gt;0,'Project Details Entry'!E51,"")</f>
        <v/>
      </c>
      <c r="G63" s="858">
        <f>SUMIF('Electrical Energy Consumption'!$C$34:$C$69,'Project Emission Distribution'!D63,'Electrical Energy Consumption'!$F$34:'Electrical Energy Consumption'!$F$69)</f>
        <v>0</v>
      </c>
      <c r="H63" s="859"/>
      <c r="I63" s="860"/>
      <c r="J63" s="861">
        <f>SUMIF('Water Consumption'!$C$31:$C$66,'Project Emission Distribution'!D63,'Water Consumption'!$F$31:$F$66)</f>
        <v>0</v>
      </c>
      <c r="K63" s="862"/>
      <c r="L63" s="863"/>
      <c r="M63" s="864">
        <f>SUMIF('Vehicles Emission'!$C$45:$C$80,'Project Emission Distribution'!D63,'Vehicles Emission'!$F$45:$F$80)</f>
        <v>0</v>
      </c>
      <c r="N63" s="865"/>
      <c r="O63" s="866"/>
      <c r="P63" s="867">
        <f>SUMIF('Employee Commute'!$C$36:$C$71,'Project Emission Distribution'!D63,'Employee Commute'!$F$36:$F$71)</f>
        <v>0</v>
      </c>
      <c r="Q63" s="868"/>
      <c r="R63" s="869"/>
      <c r="S63" s="870">
        <f>SUMIF('Waste Generation'!$C$31:$C$66,'Project Emission Distribution'!D63,'Waste Generation'!$F$31:$F$66)</f>
        <v>0</v>
      </c>
      <c r="T63" s="871"/>
      <c r="U63" s="872"/>
      <c r="V63" s="873">
        <f>SUMIF('Air travel'!$C$14:$C$49,'Project Emission Distribution'!D63,'Air travel'!$M$14:'Air travel'!$M$49)</f>
        <v>0</v>
      </c>
      <c r="W63" s="874"/>
      <c r="X63" s="875"/>
      <c r="Y63" s="876">
        <f>SUMIFS('Wood &amp; Plywood '!$Q$18:$Q$77,'Wood &amp; Plywood '!$D$18:$D$77,'Project Emission Distribution'!$D63)+SUMIFS('Metals &amp; Acrylic'!$N$16:$N$75,'Metals &amp; Acrylic'!$D$16:$D$75,'Project Emission Distribution'!$D63)+SUMIFS('Metals &amp; Acrylic'!$O$16:$O$75,'Metals &amp; Acrylic'!$D$16:$D$75,'Project Emission Distribution'!$D63)+SUMIFS('Paint Consumption'!$AD$15:$AD$74,'Paint Consumption'!$D$15:$D$74,'Project Emission Distribution'!$D63)+SUMIFS('Packing material'!$K$15:$K$74,'Packing material'!$D$15:$D$74,'Project Emission Distribution'!$D63)</f>
        <v>0</v>
      </c>
      <c r="Z63" s="877"/>
      <c r="AA63" s="878"/>
      <c r="AB63" s="882">
        <f>SUMIFS(Frieght!$K$14:$K$73,Frieght!$D$14:$D$73,D63)</f>
        <v>0</v>
      </c>
      <c r="AC63" s="883"/>
      <c r="AD63" s="884"/>
      <c r="AE63" s="879">
        <f t="shared" si="0"/>
        <v>0</v>
      </c>
      <c r="AF63" s="880"/>
      <c r="AG63" s="881"/>
      <c r="AH63" s="840">
        <f>SUMIFS('Product Emissions'!$H$11:$H$70,'Product Emissions'!$C$11:$C$70,'Project Emission Distribution'!$D63)</f>
        <v>0</v>
      </c>
      <c r="AI63" s="193"/>
      <c r="AJ63" s="193"/>
      <c r="AK63" s="157"/>
    </row>
    <row r="64" spans="2:37" x14ac:dyDescent="0.25">
      <c r="B64" s="157"/>
      <c r="C64" s="157"/>
      <c r="D64" s="168" t="str">
        <f>'Project Details Entry'!C52</f>
        <v>AN40</v>
      </c>
      <c r="E64" s="169" t="str">
        <f>IF('Project Details Entry'!D52&gt;0,'Project Details Entry'!D52,"")</f>
        <v/>
      </c>
      <c r="F64" s="169" t="str">
        <f>IF('Project Details Entry'!E52&gt;0,'Project Details Entry'!E52,"")</f>
        <v/>
      </c>
      <c r="G64" s="858">
        <f>SUMIF('Electrical Energy Consumption'!$C$34:$C$69,'Project Emission Distribution'!D64,'Electrical Energy Consumption'!$F$34:'Electrical Energy Consumption'!$F$69)</f>
        <v>0</v>
      </c>
      <c r="H64" s="859"/>
      <c r="I64" s="860"/>
      <c r="J64" s="861">
        <f>SUMIF('Water Consumption'!$C$31:$C$66,'Project Emission Distribution'!D64,'Water Consumption'!$F$31:$F$66)</f>
        <v>0</v>
      </c>
      <c r="K64" s="862"/>
      <c r="L64" s="863"/>
      <c r="M64" s="864">
        <f>SUMIF('Vehicles Emission'!$C$45:$C$80,'Project Emission Distribution'!D64,'Vehicles Emission'!$F$45:$F$80)</f>
        <v>0</v>
      </c>
      <c r="N64" s="865"/>
      <c r="O64" s="866"/>
      <c r="P64" s="867">
        <f>SUMIF('Employee Commute'!$C$36:$C$71,'Project Emission Distribution'!D64,'Employee Commute'!$F$36:$F$71)</f>
        <v>0</v>
      </c>
      <c r="Q64" s="868"/>
      <c r="R64" s="869"/>
      <c r="S64" s="870">
        <f>SUMIF('Waste Generation'!$C$31:$C$66,'Project Emission Distribution'!D64,'Waste Generation'!$F$31:$F$66)</f>
        <v>0</v>
      </c>
      <c r="T64" s="871"/>
      <c r="U64" s="872"/>
      <c r="V64" s="873">
        <f>SUMIF('Air travel'!$C$14:$C$49,'Project Emission Distribution'!D64,'Air travel'!$M$14:'Air travel'!$M$49)</f>
        <v>0</v>
      </c>
      <c r="W64" s="874"/>
      <c r="X64" s="875"/>
      <c r="Y64" s="876">
        <f>SUMIFS('Wood &amp; Plywood '!$Q$18:$Q$77,'Wood &amp; Plywood '!$D$18:$D$77,'Project Emission Distribution'!$D64)+SUMIFS('Metals &amp; Acrylic'!$N$16:$N$75,'Metals &amp; Acrylic'!$D$16:$D$75,'Project Emission Distribution'!$D64)+SUMIFS('Metals &amp; Acrylic'!$O$16:$O$75,'Metals &amp; Acrylic'!$D$16:$D$75,'Project Emission Distribution'!$D64)+SUMIFS('Paint Consumption'!$AD$15:$AD$74,'Paint Consumption'!$D$15:$D$74,'Project Emission Distribution'!$D64)+SUMIFS('Packing material'!$K$15:$K$74,'Packing material'!$D$15:$D$74,'Project Emission Distribution'!$D64)</f>
        <v>0</v>
      </c>
      <c r="Z64" s="877"/>
      <c r="AA64" s="878"/>
      <c r="AB64" s="882">
        <f>SUMIFS(Frieght!$K$14:$K$73,Frieght!$D$14:$D$73,D64)</f>
        <v>0</v>
      </c>
      <c r="AC64" s="883"/>
      <c r="AD64" s="884"/>
      <c r="AE64" s="879">
        <f t="shared" si="0"/>
        <v>0</v>
      </c>
      <c r="AF64" s="880"/>
      <c r="AG64" s="881"/>
      <c r="AH64" s="840">
        <f>SUMIFS('Product Emissions'!$H$11:$H$70,'Product Emissions'!$C$11:$C$70,'Project Emission Distribution'!$D64)</f>
        <v>0</v>
      </c>
      <c r="AI64" s="193"/>
      <c r="AJ64" s="193"/>
      <c r="AK64" s="157"/>
    </row>
    <row r="65" spans="2:37" x14ac:dyDescent="0.25">
      <c r="B65" s="157"/>
      <c r="C65" s="157"/>
      <c r="D65" s="168" t="str">
        <f>'Project Details Entry'!C53</f>
        <v>AN41</v>
      </c>
      <c r="E65" s="169" t="str">
        <f>IF('Project Details Entry'!D53&gt;0,'Project Details Entry'!D53,"")</f>
        <v/>
      </c>
      <c r="F65" s="169" t="str">
        <f>IF('Project Details Entry'!E53&gt;0,'Project Details Entry'!E53,"")</f>
        <v/>
      </c>
      <c r="G65" s="858">
        <f>SUMIF('Electrical Energy Consumption'!$C$34:$C$69,'Project Emission Distribution'!D65,'Electrical Energy Consumption'!$F$34:'Electrical Energy Consumption'!$F$69)</f>
        <v>0</v>
      </c>
      <c r="H65" s="859"/>
      <c r="I65" s="860"/>
      <c r="J65" s="861">
        <f>SUMIF('Water Consumption'!$C$31:$C$66,'Project Emission Distribution'!D65,'Water Consumption'!$F$31:$F$66)</f>
        <v>0</v>
      </c>
      <c r="K65" s="862"/>
      <c r="L65" s="863"/>
      <c r="M65" s="864">
        <f>SUMIF('Vehicles Emission'!$C$45:$C$80,'Project Emission Distribution'!D65,'Vehicles Emission'!$F$45:$F$80)</f>
        <v>0</v>
      </c>
      <c r="N65" s="865"/>
      <c r="O65" s="866"/>
      <c r="P65" s="867">
        <f>SUMIF('Employee Commute'!$C$36:$C$71,'Project Emission Distribution'!D65,'Employee Commute'!$F$36:$F$71)</f>
        <v>0</v>
      </c>
      <c r="Q65" s="868"/>
      <c r="R65" s="869"/>
      <c r="S65" s="870">
        <f>SUMIF('Waste Generation'!$C$31:$C$66,'Project Emission Distribution'!D65,'Waste Generation'!$F$31:$F$66)</f>
        <v>0</v>
      </c>
      <c r="T65" s="871"/>
      <c r="U65" s="872"/>
      <c r="V65" s="873">
        <f>SUMIF('Air travel'!$C$14:$C$49,'Project Emission Distribution'!D65,'Air travel'!$M$14:'Air travel'!$M$49)</f>
        <v>0</v>
      </c>
      <c r="W65" s="874"/>
      <c r="X65" s="875"/>
      <c r="Y65" s="876">
        <f>SUMIFS('Wood &amp; Plywood '!$Q$18:$Q$77,'Wood &amp; Plywood '!$D$18:$D$77,'Project Emission Distribution'!$D65)+SUMIFS('Metals &amp; Acrylic'!$N$16:$N$75,'Metals &amp; Acrylic'!$D$16:$D$75,'Project Emission Distribution'!$D65)+SUMIFS('Metals &amp; Acrylic'!$O$16:$O$75,'Metals &amp; Acrylic'!$D$16:$D$75,'Project Emission Distribution'!$D65)+SUMIFS('Paint Consumption'!$AD$15:$AD$74,'Paint Consumption'!$D$15:$D$74,'Project Emission Distribution'!$D65)+SUMIFS('Packing material'!$K$15:$K$74,'Packing material'!$D$15:$D$74,'Project Emission Distribution'!$D65)</f>
        <v>0</v>
      </c>
      <c r="Z65" s="877"/>
      <c r="AA65" s="878"/>
      <c r="AB65" s="882">
        <f>SUMIFS(Frieght!$K$14:$K$73,Frieght!$D$14:$D$73,D65)</f>
        <v>0</v>
      </c>
      <c r="AC65" s="883"/>
      <c r="AD65" s="884"/>
      <c r="AE65" s="879">
        <f t="shared" si="0"/>
        <v>0</v>
      </c>
      <c r="AF65" s="880"/>
      <c r="AG65" s="881"/>
      <c r="AH65" s="840">
        <f>SUMIFS('Product Emissions'!$H$11:$H$70,'Product Emissions'!$C$11:$C$70,'Project Emission Distribution'!$D65)</f>
        <v>0</v>
      </c>
      <c r="AI65" s="193"/>
      <c r="AJ65" s="193"/>
      <c r="AK65" s="157"/>
    </row>
    <row r="66" spans="2:37" x14ac:dyDescent="0.25">
      <c r="B66" s="157"/>
      <c r="C66" s="157"/>
      <c r="D66" s="168" t="str">
        <f>'Project Details Entry'!C54</f>
        <v>AN42</v>
      </c>
      <c r="E66" s="169" t="str">
        <f>IF('Project Details Entry'!D54&gt;0,'Project Details Entry'!D54,"")</f>
        <v/>
      </c>
      <c r="F66" s="169" t="str">
        <f>IF('Project Details Entry'!E54&gt;0,'Project Details Entry'!E54,"")</f>
        <v/>
      </c>
      <c r="G66" s="858">
        <f>SUMIF('Electrical Energy Consumption'!$C$34:$C$69,'Project Emission Distribution'!D66,'Electrical Energy Consumption'!$F$34:'Electrical Energy Consumption'!$F$69)</f>
        <v>0</v>
      </c>
      <c r="H66" s="859"/>
      <c r="I66" s="860"/>
      <c r="J66" s="861">
        <f>SUMIF('Water Consumption'!$C$31:$C$66,'Project Emission Distribution'!D66,'Water Consumption'!$F$31:$F$66)</f>
        <v>0</v>
      </c>
      <c r="K66" s="862"/>
      <c r="L66" s="863"/>
      <c r="M66" s="864">
        <f>SUMIF('Vehicles Emission'!$C$45:$C$80,'Project Emission Distribution'!D66,'Vehicles Emission'!$F$45:$F$80)</f>
        <v>0</v>
      </c>
      <c r="N66" s="865"/>
      <c r="O66" s="866"/>
      <c r="P66" s="867">
        <f>SUMIF('Employee Commute'!$C$36:$C$71,'Project Emission Distribution'!D66,'Employee Commute'!$F$36:$F$71)</f>
        <v>0</v>
      </c>
      <c r="Q66" s="868"/>
      <c r="R66" s="869"/>
      <c r="S66" s="870">
        <f>SUMIF('Waste Generation'!$C$31:$C$66,'Project Emission Distribution'!D66,'Waste Generation'!$F$31:$F$66)</f>
        <v>0</v>
      </c>
      <c r="T66" s="871"/>
      <c r="U66" s="872"/>
      <c r="V66" s="873">
        <f>SUMIF('Air travel'!$C$14:$C$49,'Project Emission Distribution'!D66,'Air travel'!$M$14:'Air travel'!$M$49)</f>
        <v>0</v>
      </c>
      <c r="W66" s="874"/>
      <c r="X66" s="875"/>
      <c r="Y66" s="876">
        <f>SUMIFS('Wood &amp; Plywood '!$Q$18:$Q$77,'Wood &amp; Plywood '!$D$18:$D$77,'Project Emission Distribution'!$D66)+SUMIFS('Metals &amp; Acrylic'!$N$16:$N$75,'Metals &amp; Acrylic'!$D$16:$D$75,'Project Emission Distribution'!$D66)+SUMIFS('Metals &amp; Acrylic'!$O$16:$O$75,'Metals &amp; Acrylic'!$D$16:$D$75,'Project Emission Distribution'!$D66)+SUMIFS('Paint Consumption'!$AD$15:$AD$74,'Paint Consumption'!$D$15:$D$74,'Project Emission Distribution'!$D66)+SUMIFS('Packing material'!$K$15:$K$74,'Packing material'!$D$15:$D$74,'Project Emission Distribution'!$D66)</f>
        <v>0</v>
      </c>
      <c r="Z66" s="877"/>
      <c r="AA66" s="878"/>
      <c r="AB66" s="882">
        <f>SUMIFS(Frieght!$K$14:$K$73,Frieght!$D$14:$D$73,D66)</f>
        <v>0</v>
      </c>
      <c r="AC66" s="883"/>
      <c r="AD66" s="884"/>
      <c r="AE66" s="879">
        <f t="shared" si="0"/>
        <v>0</v>
      </c>
      <c r="AF66" s="880"/>
      <c r="AG66" s="881"/>
      <c r="AH66" s="840">
        <f>SUMIFS('Product Emissions'!$H$11:$H$70,'Product Emissions'!$C$11:$C$70,'Project Emission Distribution'!$D66)</f>
        <v>0</v>
      </c>
      <c r="AI66" s="193"/>
      <c r="AJ66" s="193"/>
      <c r="AK66" s="157"/>
    </row>
    <row r="67" spans="2:37" x14ac:dyDescent="0.25">
      <c r="B67" s="157"/>
      <c r="C67" s="157"/>
      <c r="D67" s="168" t="str">
        <f>'Project Details Entry'!C55</f>
        <v>AN43</v>
      </c>
      <c r="E67" s="169" t="str">
        <f>IF('Project Details Entry'!D55&gt;0,'Project Details Entry'!D55,"")</f>
        <v/>
      </c>
      <c r="F67" s="169" t="str">
        <f>IF('Project Details Entry'!E55&gt;0,'Project Details Entry'!E55,"")</f>
        <v/>
      </c>
      <c r="G67" s="858">
        <f>SUMIF('Electrical Energy Consumption'!$C$34:$C$69,'Project Emission Distribution'!D67,'Electrical Energy Consumption'!$F$34:'Electrical Energy Consumption'!$F$69)</f>
        <v>0</v>
      </c>
      <c r="H67" s="859"/>
      <c r="I67" s="860"/>
      <c r="J67" s="861">
        <f>SUMIF('Water Consumption'!$C$31:$C$66,'Project Emission Distribution'!D67,'Water Consumption'!$F$31:$F$66)</f>
        <v>0</v>
      </c>
      <c r="K67" s="862"/>
      <c r="L67" s="863"/>
      <c r="M67" s="864">
        <f>SUMIF('Vehicles Emission'!$C$45:$C$80,'Project Emission Distribution'!D67,'Vehicles Emission'!$F$45:$F$80)</f>
        <v>0</v>
      </c>
      <c r="N67" s="865"/>
      <c r="O67" s="866"/>
      <c r="P67" s="867">
        <f>SUMIF('Employee Commute'!$C$36:$C$71,'Project Emission Distribution'!D67,'Employee Commute'!$F$36:$F$71)</f>
        <v>0</v>
      </c>
      <c r="Q67" s="868"/>
      <c r="R67" s="869"/>
      <c r="S67" s="870">
        <f>SUMIF('Waste Generation'!$C$31:$C$66,'Project Emission Distribution'!D67,'Waste Generation'!$F$31:$F$66)</f>
        <v>0</v>
      </c>
      <c r="T67" s="871"/>
      <c r="U67" s="872"/>
      <c r="V67" s="873">
        <f>SUMIF('Air travel'!$C$14:$C$49,'Project Emission Distribution'!D67,'Air travel'!$M$14:'Air travel'!$M$49)</f>
        <v>0</v>
      </c>
      <c r="W67" s="874"/>
      <c r="X67" s="875"/>
      <c r="Y67" s="876">
        <f>SUMIFS('Wood &amp; Plywood '!$Q$18:$Q$77,'Wood &amp; Plywood '!$D$18:$D$77,'Project Emission Distribution'!$D67)+SUMIFS('Metals &amp; Acrylic'!$N$16:$N$75,'Metals &amp; Acrylic'!$D$16:$D$75,'Project Emission Distribution'!$D67)+SUMIFS('Metals &amp; Acrylic'!$O$16:$O$75,'Metals &amp; Acrylic'!$D$16:$D$75,'Project Emission Distribution'!$D67)+SUMIFS('Paint Consumption'!$AD$15:$AD$74,'Paint Consumption'!$D$15:$D$74,'Project Emission Distribution'!$D67)+SUMIFS('Packing material'!$K$15:$K$74,'Packing material'!$D$15:$D$74,'Project Emission Distribution'!$D67)</f>
        <v>0</v>
      </c>
      <c r="Z67" s="877"/>
      <c r="AA67" s="878"/>
      <c r="AB67" s="882">
        <f>SUMIFS(Frieght!$K$14:$K$73,Frieght!$D$14:$D$73,D67)</f>
        <v>0</v>
      </c>
      <c r="AC67" s="883"/>
      <c r="AD67" s="884"/>
      <c r="AE67" s="879">
        <f t="shared" si="0"/>
        <v>0</v>
      </c>
      <c r="AF67" s="880"/>
      <c r="AG67" s="881"/>
      <c r="AH67" s="840">
        <f>SUMIFS('Product Emissions'!$H$11:$H$70,'Product Emissions'!$C$11:$C$70,'Project Emission Distribution'!$D67)</f>
        <v>0</v>
      </c>
      <c r="AI67" s="193"/>
      <c r="AJ67" s="193"/>
      <c r="AK67" s="157"/>
    </row>
    <row r="68" spans="2:37" x14ac:dyDescent="0.25">
      <c r="B68" s="157"/>
      <c r="C68" s="157"/>
      <c r="D68" s="168" t="str">
        <f>'Project Details Entry'!C56</f>
        <v>AN44</v>
      </c>
      <c r="E68" s="169" t="str">
        <f>IF('Project Details Entry'!D56&gt;0,'Project Details Entry'!D56,"")</f>
        <v/>
      </c>
      <c r="F68" s="169" t="str">
        <f>IF('Project Details Entry'!E56&gt;0,'Project Details Entry'!E56,"")</f>
        <v/>
      </c>
      <c r="G68" s="858">
        <f>SUMIF('Electrical Energy Consumption'!$C$34:$C$69,'Project Emission Distribution'!D68,'Electrical Energy Consumption'!$F$34:'Electrical Energy Consumption'!$F$69)</f>
        <v>0</v>
      </c>
      <c r="H68" s="859"/>
      <c r="I68" s="860"/>
      <c r="J68" s="861">
        <f>SUMIF('Water Consumption'!$C$31:$C$66,'Project Emission Distribution'!D68,'Water Consumption'!$F$31:$F$66)</f>
        <v>0</v>
      </c>
      <c r="K68" s="862"/>
      <c r="L68" s="863"/>
      <c r="M68" s="864">
        <f>SUMIF('Vehicles Emission'!$C$45:$C$80,'Project Emission Distribution'!D68,'Vehicles Emission'!$F$45:$F$80)</f>
        <v>0</v>
      </c>
      <c r="N68" s="865"/>
      <c r="O68" s="866"/>
      <c r="P68" s="867">
        <f>SUMIF('Employee Commute'!$C$36:$C$71,'Project Emission Distribution'!D68,'Employee Commute'!$F$36:$F$71)</f>
        <v>0</v>
      </c>
      <c r="Q68" s="868"/>
      <c r="R68" s="869"/>
      <c r="S68" s="870">
        <f>SUMIF('Waste Generation'!$C$31:$C$66,'Project Emission Distribution'!D68,'Waste Generation'!$F$31:$F$66)</f>
        <v>0</v>
      </c>
      <c r="T68" s="871"/>
      <c r="U68" s="872"/>
      <c r="V68" s="873">
        <f>SUMIF('Air travel'!$C$14:$C$49,'Project Emission Distribution'!D68,'Air travel'!$M$14:'Air travel'!$M$49)</f>
        <v>0</v>
      </c>
      <c r="W68" s="874"/>
      <c r="X68" s="875"/>
      <c r="Y68" s="876">
        <f>SUMIFS('Wood &amp; Plywood '!$Q$18:$Q$77,'Wood &amp; Plywood '!$D$18:$D$77,'Project Emission Distribution'!$D68)+SUMIFS('Metals &amp; Acrylic'!$N$16:$N$75,'Metals &amp; Acrylic'!$D$16:$D$75,'Project Emission Distribution'!$D68)+SUMIFS('Metals &amp; Acrylic'!$O$16:$O$75,'Metals &amp; Acrylic'!$D$16:$D$75,'Project Emission Distribution'!$D68)+SUMIFS('Paint Consumption'!$AD$15:$AD$74,'Paint Consumption'!$D$15:$D$74,'Project Emission Distribution'!$D68)+SUMIFS('Packing material'!$K$15:$K$74,'Packing material'!$D$15:$D$74,'Project Emission Distribution'!$D68)</f>
        <v>0</v>
      </c>
      <c r="Z68" s="877"/>
      <c r="AA68" s="878"/>
      <c r="AB68" s="882">
        <f>SUMIFS(Frieght!$K$14:$K$73,Frieght!$D$14:$D$73,D68)</f>
        <v>0</v>
      </c>
      <c r="AC68" s="883"/>
      <c r="AD68" s="884"/>
      <c r="AE68" s="879">
        <f t="shared" si="0"/>
        <v>0</v>
      </c>
      <c r="AF68" s="880"/>
      <c r="AG68" s="881"/>
      <c r="AH68" s="840">
        <f>SUMIFS('Product Emissions'!$H$11:$H$70,'Product Emissions'!$C$11:$C$70,'Project Emission Distribution'!$D68)</f>
        <v>0</v>
      </c>
      <c r="AI68" s="193"/>
      <c r="AJ68" s="193"/>
      <c r="AK68" s="157"/>
    </row>
    <row r="69" spans="2:37" x14ac:dyDescent="0.25">
      <c r="B69" s="157"/>
      <c r="C69" s="157"/>
      <c r="D69" s="168" t="str">
        <f>'Project Details Entry'!C57</f>
        <v>AN45</v>
      </c>
      <c r="E69" s="169" t="str">
        <f>IF('Project Details Entry'!D57&gt;0,'Project Details Entry'!D57,"")</f>
        <v/>
      </c>
      <c r="F69" s="169" t="str">
        <f>IF('Project Details Entry'!E57&gt;0,'Project Details Entry'!E57,"")</f>
        <v/>
      </c>
      <c r="G69" s="858">
        <f>SUMIF('Electrical Energy Consumption'!$C$34:$C$69,'Project Emission Distribution'!D69,'Electrical Energy Consumption'!$F$34:'Electrical Energy Consumption'!$F$69)</f>
        <v>0</v>
      </c>
      <c r="H69" s="859"/>
      <c r="I69" s="860"/>
      <c r="J69" s="861">
        <f>SUMIF('Water Consumption'!$C$31:$C$66,'Project Emission Distribution'!D69,'Water Consumption'!$F$31:$F$66)</f>
        <v>0</v>
      </c>
      <c r="K69" s="862"/>
      <c r="L69" s="863"/>
      <c r="M69" s="864">
        <f>SUMIF('Vehicles Emission'!$C$45:$C$80,'Project Emission Distribution'!D69,'Vehicles Emission'!$F$45:$F$80)</f>
        <v>0</v>
      </c>
      <c r="N69" s="865"/>
      <c r="O69" s="866"/>
      <c r="P69" s="867">
        <f>SUMIF('Employee Commute'!$C$36:$C$71,'Project Emission Distribution'!D69,'Employee Commute'!$F$36:$F$71)</f>
        <v>0</v>
      </c>
      <c r="Q69" s="868"/>
      <c r="R69" s="869"/>
      <c r="S69" s="870">
        <f>SUMIF('Waste Generation'!$C$31:$C$66,'Project Emission Distribution'!D69,'Waste Generation'!$F$31:$F$66)</f>
        <v>0</v>
      </c>
      <c r="T69" s="871"/>
      <c r="U69" s="872"/>
      <c r="V69" s="873">
        <f>SUMIF('Air travel'!$C$14:$C$49,'Project Emission Distribution'!D69,'Air travel'!$M$14:'Air travel'!$M$49)</f>
        <v>0</v>
      </c>
      <c r="W69" s="874"/>
      <c r="X69" s="875"/>
      <c r="Y69" s="876">
        <f>SUMIFS('Wood &amp; Plywood '!$Q$18:$Q$77,'Wood &amp; Plywood '!$D$18:$D$77,'Project Emission Distribution'!$D69)+SUMIFS('Metals &amp; Acrylic'!$N$16:$N$75,'Metals &amp; Acrylic'!$D$16:$D$75,'Project Emission Distribution'!$D69)+SUMIFS('Metals &amp; Acrylic'!$O$16:$O$75,'Metals &amp; Acrylic'!$D$16:$D$75,'Project Emission Distribution'!$D69)+SUMIFS('Paint Consumption'!$AD$15:$AD$74,'Paint Consumption'!$D$15:$D$74,'Project Emission Distribution'!$D69)+SUMIFS('Packing material'!$K$15:$K$74,'Packing material'!$D$15:$D$74,'Project Emission Distribution'!$D69)</f>
        <v>0</v>
      </c>
      <c r="Z69" s="877"/>
      <c r="AA69" s="878"/>
      <c r="AB69" s="882">
        <f>SUMIFS(Frieght!$K$14:$K$73,Frieght!$D$14:$D$73,D69)</f>
        <v>0</v>
      </c>
      <c r="AC69" s="883"/>
      <c r="AD69" s="884"/>
      <c r="AE69" s="879">
        <f t="shared" si="0"/>
        <v>0</v>
      </c>
      <c r="AF69" s="880"/>
      <c r="AG69" s="881"/>
      <c r="AH69" s="840">
        <f>SUMIFS('Product Emissions'!$H$11:$H$70,'Product Emissions'!$C$11:$C$70,'Project Emission Distribution'!$D69)</f>
        <v>0</v>
      </c>
      <c r="AI69" s="193"/>
      <c r="AJ69" s="193"/>
      <c r="AK69" s="157"/>
    </row>
    <row r="70" spans="2:37" x14ac:dyDescent="0.25">
      <c r="B70" s="157"/>
      <c r="C70" s="157"/>
      <c r="D70" s="168" t="str">
        <f>'Project Details Entry'!C58</f>
        <v>AN46</v>
      </c>
      <c r="E70" s="169" t="str">
        <f>IF('Project Details Entry'!D58&gt;0,'Project Details Entry'!D58,"")</f>
        <v/>
      </c>
      <c r="F70" s="169" t="str">
        <f>IF('Project Details Entry'!E58&gt;0,'Project Details Entry'!E58,"")</f>
        <v/>
      </c>
      <c r="G70" s="858">
        <f>SUMIF('Electrical Energy Consumption'!$C$34:$C$69,'Project Emission Distribution'!D70,'Electrical Energy Consumption'!$F$34:'Electrical Energy Consumption'!$F$69)</f>
        <v>0</v>
      </c>
      <c r="H70" s="859"/>
      <c r="I70" s="860"/>
      <c r="J70" s="861">
        <f>SUMIF('Water Consumption'!$C$31:$C$66,'Project Emission Distribution'!D70,'Water Consumption'!$F$31:$F$66)</f>
        <v>0</v>
      </c>
      <c r="K70" s="862"/>
      <c r="L70" s="863"/>
      <c r="M70" s="864">
        <f>SUMIF('Vehicles Emission'!$C$45:$C$80,'Project Emission Distribution'!D70,'Vehicles Emission'!$F$45:$F$80)</f>
        <v>0</v>
      </c>
      <c r="N70" s="865"/>
      <c r="O70" s="866"/>
      <c r="P70" s="867">
        <f>SUMIF('Employee Commute'!$C$36:$C$71,'Project Emission Distribution'!D70,'Employee Commute'!$F$36:$F$71)</f>
        <v>0</v>
      </c>
      <c r="Q70" s="868"/>
      <c r="R70" s="869"/>
      <c r="S70" s="870">
        <f>SUMIF('Waste Generation'!$C$31:$C$66,'Project Emission Distribution'!D70,'Waste Generation'!$F$31:$F$66)</f>
        <v>0</v>
      </c>
      <c r="T70" s="871"/>
      <c r="U70" s="872"/>
      <c r="V70" s="873">
        <f>SUMIF('Air travel'!$C$14:$C$49,'Project Emission Distribution'!D70,'Air travel'!$M$14:'Air travel'!$M$49)</f>
        <v>0</v>
      </c>
      <c r="W70" s="874"/>
      <c r="X70" s="875"/>
      <c r="Y70" s="876">
        <f>SUMIFS('Wood &amp; Plywood '!$Q$18:$Q$77,'Wood &amp; Plywood '!$D$18:$D$77,'Project Emission Distribution'!$D70)+SUMIFS('Metals &amp; Acrylic'!$N$16:$N$75,'Metals &amp; Acrylic'!$D$16:$D$75,'Project Emission Distribution'!$D70)+SUMIFS('Metals &amp; Acrylic'!$O$16:$O$75,'Metals &amp; Acrylic'!$D$16:$D$75,'Project Emission Distribution'!$D70)+SUMIFS('Paint Consumption'!$AD$15:$AD$74,'Paint Consumption'!$D$15:$D$74,'Project Emission Distribution'!$D70)+SUMIFS('Packing material'!$K$15:$K$74,'Packing material'!$D$15:$D$74,'Project Emission Distribution'!$D70)</f>
        <v>0</v>
      </c>
      <c r="Z70" s="877"/>
      <c r="AA70" s="878"/>
      <c r="AB70" s="882">
        <f>SUMIFS(Frieght!$K$14:$K$73,Frieght!$D$14:$D$73,D70)</f>
        <v>0</v>
      </c>
      <c r="AC70" s="883"/>
      <c r="AD70" s="884"/>
      <c r="AE70" s="879">
        <f t="shared" si="0"/>
        <v>0</v>
      </c>
      <c r="AF70" s="880"/>
      <c r="AG70" s="881"/>
      <c r="AH70" s="840">
        <f>SUMIFS('Product Emissions'!$H$11:$H$70,'Product Emissions'!$C$11:$C$70,'Project Emission Distribution'!$D70)</f>
        <v>0</v>
      </c>
      <c r="AI70" s="193"/>
      <c r="AJ70" s="193"/>
      <c r="AK70" s="157"/>
    </row>
    <row r="71" spans="2:37" x14ac:dyDescent="0.25">
      <c r="B71" s="157"/>
      <c r="C71" s="157"/>
      <c r="D71" s="168" t="str">
        <f>'Project Details Entry'!C59</f>
        <v>AN47</v>
      </c>
      <c r="E71" s="169" t="str">
        <f>IF('Project Details Entry'!D59&gt;0,'Project Details Entry'!D59,"")</f>
        <v/>
      </c>
      <c r="F71" s="169" t="str">
        <f>IF('Project Details Entry'!E59&gt;0,'Project Details Entry'!E59,"")</f>
        <v/>
      </c>
      <c r="G71" s="858">
        <f>SUMIF('Electrical Energy Consumption'!$C$34:$C$69,'Project Emission Distribution'!D71,'Electrical Energy Consumption'!$F$34:'Electrical Energy Consumption'!$F$69)</f>
        <v>0</v>
      </c>
      <c r="H71" s="859"/>
      <c r="I71" s="860"/>
      <c r="J71" s="861">
        <f>SUMIF('Water Consumption'!$C$31:$C$66,'Project Emission Distribution'!D71,'Water Consumption'!$F$31:$F$66)</f>
        <v>0</v>
      </c>
      <c r="K71" s="862"/>
      <c r="L71" s="863"/>
      <c r="M71" s="864">
        <f>SUMIF('Vehicles Emission'!$C$45:$C$80,'Project Emission Distribution'!D71,'Vehicles Emission'!$F$45:$F$80)</f>
        <v>0</v>
      </c>
      <c r="N71" s="865"/>
      <c r="O71" s="866"/>
      <c r="P71" s="867">
        <f>SUMIF('Employee Commute'!$C$36:$C$71,'Project Emission Distribution'!D71,'Employee Commute'!$F$36:$F$71)</f>
        <v>0</v>
      </c>
      <c r="Q71" s="868"/>
      <c r="R71" s="869"/>
      <c r="S71" s="870">
        <f>SUMIF('Waste Generation'!$C$31:$C$66,'Project Emission Distribution'!D71,'Waste Generation'!$F$31:$F$66)</f>
        <v>0</v>
      </c>
      <c r="T71" s="871"/>
      <c r="U71" s="872"/>
      <c r="V71" s="873">
        <f>SUMIF('Air travel'!$C$14:$C$49,'Project Emission Distribution'!D71,'Air travel'!$M$14:'Air travel'!$M$49)</f>
        <v>0</v>
      </c>
      <c r="W71" s="874"/>
      <c r="X71" s="875"/>
      <c r="Y71" s="876">
        <f>SUMIFS('Wood &amp; Plywood '!$Q$18:$Q$77,'Wood &amp; Plywood '!$D$18:$D$77,'Project Emission Distribution'!$D71)+SUMIFS('Metals &amp; Acrylic'!$N$16:$N$75,'Metals &amp; Acrylic'!$D$16:$D$75,'Project Emission Distribution'!$D71)+SUMIFS('Metals &amp; Acrylic'!$O$16:$O$75,'Metals &amp; Acrylic'!$D$16:$D$75,'Project Emission Distribution'!$D71)+SUMIFS('Paint Consumption'!$AD$15:$AD$74,'Paint Consumption'!$D$15:$D$74,'Project Emission Distribution'!$D71)+SUMIFS('Packing material'!$K$15:$K$74,'Packing material'!$D$15:$D$74,'Project Emission Distribution'!$D71)</f>
        <v>0</v>
      </c>
      <c r="Z71" s="877"/>
      <c r="AA71" s="878"/>
      <c r="AB71" s="882">
        <f>SUMIFS(Frieght!$K$14:$K$73,Frieght!$D$14:$D$73,D71)</f>
        <v>0</v>
      </c>
      <c r="AC71" s="883"/>
      <c r="AD71" s="884"/>
      <c r="AE71" s="879">
        <f t="shared" si="0"/>
        <v>0</v>
      </c>
      <c r="AF71" s="880"/>
      <c r="AG71" s="881"/>
      <c r="AH71" s="840">
        <f>SUMIFS('Product Emissions'!$H$11:$H$70,'Product Emissions'!$C$11:$C$70,'Project Emission Distribution'!$D71)</f>
        <v>0</v>
      </c>
      <c r="AI71" s="193"/>
      <c r="AJ71" s="193"/>
      <c r="AK71" s="157"/>
    </row>
    <row r="72" spans="2:37" x14ac:dyDescent="0.25">
      <c r="B72" s="157"/>
      <c r="C72" s="157"/>
      <c r="D72" s="168" t="str">
        <f>'Project Details Entry'!C60</f>
        <v>AN48</v>
      </c>
      <c r="E72" s="169" t="str">
        <f>IF('Project Details Entry'!D60&gt;0,'Project Details Entry'!D60,"")</f>
        <v/>
      </c>
      <c r="F72" s="169" t="str">
        <f>IF('Project Details Entry'!E60&gt;0,'Project Details Entry'!E60,"")</f>
        <v/>
      </c>
      <c r="G72" s="858">
        <f>SUMIF('Electrical Energy Consumption'!$C$34:$C$69,'Project Emission Distribution'!D72,'Electrical Energy Consumption'!$F$34:'Electrical Energy Consumption'!$F$69)</f>
        <v>0</v>
      </c>
      <c r="H72" s="859"/>
      <c r="I72" s="860"/>
      <c r="J72" s="861">
        <f>SUMIF('Water Consumption'!$C$31:$C$66,'Project Emission Distribution'!D72,'Water Consumption'!$F$31:$F$66)</f>
        <v>0</v>
      </c>
      <c r="K72" s="862"/>
      <c r="L72" s="863"/>
      <c r="M72" s="864">
        <f>SUMIF('Vehicles Emission'!$C$45:$C$80,'Project Emission Distribution'!D72,'Vehicles Emission'!$F$45:$F$80)</f>
        <v>0</v>
      </c>
      <c r="N72" s="865"/>
      <c r="O72" s="866"/>
      <c r="P72" s="867">
        <f>SUMIF('Employee Commute'!$C$36:$C$71,'Project Emission Distribution'!D72,'Employee Commute'!$F$36:$F$71)</f>
        <v>0</v>
      </c>
      <c r="Q72" s="868"/>
      <c r="R72" s="869"/>
      <c r="S72" s="870">
        <f>SUMIF('Waste Generation'!$C$31:$C$66,'Project Emission Distribution'!D72,'Waste Generation'!$F$31:$F$66)</f>
        <v>0</v>
      </c>
      <c r="T72" s="871"/>
      <c r="U72" s="872"/>
      <c r="V72" s="873">
        <f>SUMIF('Air travel'!$C$14:$C$49,'Project Emission Distribution'!D72,'Air travel'!$M$14:'Air travel'!$M$49)</f>
        <v>0</v>
      </c>
      <c r="W72" s="874"/>
      <c r="X72" s="875"/>
      <c r="Y72" s="876">
        <f>SUMIFS('Wood &amp; Plywood '!$Q$18:$Q$77,'Wood &amp; Plywood '!$D$18:$D$77,'Project Emission Distribution'!$D72)+SUMIFS('Metals &amp; Acrylic'!$N$16:$N$75,'Metals &amp; Acrylic'!$D$16:$D$75,'Project Emission Distribution'!$D72)+SUMIFS('Metals &amp; Acrylic'!$O$16:$O$75,'Metals &amp; Acrylic'!$D$16:$D$75,'Project Emission Distribution'!$D72)+SUMIFS('Paint Consumption'!$AD$15:$AD$74,'Paint Consumption'!$D$15:$D$74,'Project Emission Distribution'!$D72)+SUMIFS('Packing material'!$K$15:$K$74,'Packing material'!$D$15:$D$74,'Project Emission Distribution'!$D72)</f>
        <v>0</v>
      </c>
      <c r="Z72" s="877"/>
      <c r="AA72" s="878"/>
      <c r="AB72" s="882">
        <f>SUMIFS(Frieght!$K$14:$K$73,Frieght!$D$14:$D$73,D72)</f>
        <v>0</v>
      </c>
      <c r="AC72" s="883"/>
      <c r="AD72" s="884"/>
      <c r="AE72" s="879">
        <f t="shared" si="0"/>
        <v>0</v>
      </c>
      <c r="AF72" s="880"/>
      <c r="AG72" s="881"/>
      <c r="AH72" s="840">
        <f>SUMIFS('Product Emissions'!$H$11:$H$70,'Product Emissions'!$C$11:$C$70,'Project Emission Distribution'!$D72)</f>
        <v>0</v>
      </c>
      <c r="AI72" s="193"/>
      <c r="AJ72" s="193"/>
      <c r="AK72" s="157"/>
    </row>
    <row r="73" spans="2:37" x14ac:dyDescent="0.25">
      <c r="B73" s="157"/>
      <c r="C73" s="157"/>
      <c r="D73" s="168" t="str">
        <f>'Project Details Entry'!C61</f>
        <v>AN49</v>
      </c>
      <c r="E73" s="169" t="str">
        <f>IF('Project Details Entry'!D61&gt;0,'Project Details Entry'!D61,"")</f>
        <v/>
      </c>
      <c r="F73" s="169" t="str">
        <f>IF('Project Details Entry'!E61&gt;0,'Project Details Entry'!E61,"")</f>
        <v/>
      </c>
      <c r="G73" s="858">
        <f>SUMIF('Electrical Energy Consumption'!$C$34:$C$69,'Project Emission Distribution'!D73,'Electrical Energy Consumption'!$F$34:'Electrical Energy Consumption'!$F$69)</f>
        <v>0</v>
      </c>
      <c r="H73" s="859"/>
      <c r="I73" s="860"/>
      <c r="J73" s="861">
        <f>SUMIF('Water Consumption'!$C$31:$C$66,'Project Emission Distribution'!D73,'Water Consumption'!$F$31:$F$66)</f>
        <v>0</v>
      </c>
      <c r="K73" s="862"/>
      <c r="L73" s="863"/>
      <c r="M73" s="864">
        <f>SUMIF('Vehicles Emission'!$C$45:$C$80,'Project Emission Distribution'!D73,'Vehicles Emission'!$F$45:$F$80)</f>
        <v>0</v>
      </c>
      <c r="N73" s="865"/>
      <c r="O73" s="866"/>
      <c r="P73" s="867">
        <f>SUMIF('Employee Commute'!$C$36:$C$71,'Project Emission Distribution'!D73,'Employee Commute'!$F$36:$F$71)</f>
        <v>0</v>
      </c>
      <c r="Q73" s="868"/>
      <c r="R73" s="869"/>
      <c r="S73" s="870">
        <f>SUMIF('Waste Generation'!$C$31:$C$66,'Project Emission Distribution'!D73,'Waste Generation'!$F$31:$F$66)</f>
        <v>0</v>
      </c>
      <c r="T73" s="871"/>
      <c r="U73" s="872"/>
      <c r="V73" s="873">
        <f>SUMIF('Air travel'!$C$14:$C$49,'Project Emission Distribution'!D73,'Air travel'!$M$14:'Air travel'!$M$49)</f>
        <v>0</v>
      </c>
      <c r="W73" s="874"/>
      <c r="X73" s="875"/>
      <c r="Y73" s="876">
        <f>SUMIFS('Wood &amp; Plywood '!$Q$18:$Q$77,'Wood &amp; Plywood '!$D$18:$D$77,'Project Emission Distribution'!$D73)+SUMIFS('Metals &amp; Acrylic'!$N$16:$N$75,'Metals &amp; Acrylic'!$D$16:$D$75,'Project Emission Distribution'!$D73)+SUMIFS('Metals &amp; Acrylic'!$O$16:$O$75,'Metals &amp; Acrylic'!$D$16:$D$75,'Project Emission Distribution'!$D73)+SUMIFS('Paint Consumption'!$AD$15:$AD$74,'Paint Consumption'!$D$15:$D$74,'Project Emission Distribution'!$D73)+SUMIFS('Packing material'!$K$15:$K$74,'Packing material'!$D$15:$D$74,'Project Emission Distribution'!$D73)</f>
        <v>0</v>
      </c>
      <c r="Z73" s="877"/>
      <c r="AA73" s="878"/>
      <c r="AB73" s="882">
        <f>SUMIFS(Frieght!$K$14:$K$73,Frieght!$D$14:$D$73,D73)</f>
        <v>0</v>
      </c>
      <c r="AC73" s="883"/>
      <c r="AD73" s="884"/>
      <c r="AE73" s="879">
        <f t="shared" si="0"/>
        <v>0</v>
      </c>
      <c r="AF73" s="880"/>
      <c r="AG73" s="881"/>
      <c r="AH73" s="840">
        <f>SUMIFS('Product Emissions'!$H$11:$H$70,'Product Emissions'!$C$11:$C$70,'Project Emission Distribution'!$D73)</f>
        <v>0</v>
      </c>
      <c r="AI73" s="193"/>
      <c r="AJ73" s="193"/>
      <c r="AK73" s="157"/>
    </row>
    <row r="74" spans="2:37" x14ac:dyDescent="0.25">
      <c r="B74" s="157"/>
      <c r="C74" s="157"/>
      <c r="D74" s="168" t="str">
        <f>'Project Details Entry'!C62</f>
        <v>AN50</v>
      </c>
      <c r="E74" s="169" t="str">
        <f>IF('Project Details Entry'!D62&gt;0,'Project Details Entry'!D62,"")</f>
        <v/>
      </c>
      <c r="F74" s="169" t="str">
        <f>IF('Project Details Entry'!E62&gt;0,'Project Details Entry'!E62,"")</f>
        <v/>
      </c>
      <c r="G74" s="858">
        <f>SUMIF('Electrical Energy Consumption'!$C$34:$C$69,'Project Emission Distribution'!D74,'Electrical Energy Consumption'!$F$34:'Electrical Energy Consumption'!$F$69)</f>
        <v>0</v>
      </c>
      <c r="H74" s="859"/>
      <c r="I74" s="860"/>
      <c r="J74" s="861">
        <f>SUMIF('Water Consumption'!$C$31:$C$66,'Project Emission Distribution'!D74,'Water Consumption'!$F$31:$F$66)</f>
        <v>0</v>
      </c>
      <c r="K74" s="862"/>
      <c r="L74" s="863"/>
      <c r="M74" s="864">
        <f>SUMIF('Vehicles Emission'!$C$45:$C$80,'Project Emission Distribution'!D74,'Vehicles Emission'!$F$45:$F$80)</f>
        <v>0</v>
      </c>
      <c r="N74" s="865"/>
      <c r="O74" s="866"/>
      <c r="P74" s="867">
        <f>SUMIF('Employee Commute'!$C$36:$C$71,'Project Emission Distribution'!D74,'Employee Commute'!$F$36:$F$71)</f>
        <v>0</v>
      </c>
      <c r="Q74" s="868"/>
      <c r="R74" s="869"/>
      <c r="S74" s="870">
        <f>SUMIF('Waste Generation'!$C$31:$C$66,'Project Emission Distribution'!D74,'Waste Generation'!$F$31:$F$66)</f>
        <v>0</v>
      </c>
      <c r="T74" s="871"/>
      <c r="U74" s="872"/>
      <c r="V74" s="873">
        <f>SUMIF('Air travel'!$C$14:$C$49,'Project Emission Distribution'!D74,'Air travel'!$M$14:'Air travel'!$M$49)</f>
        <v>0</v>
      </c>
      <c r="W74" s="874"/>
      <c r="X74" s="875"/>
      <c r="Y74" s="876">
        <f>SUMIFS('Wood &amp; Plywood '!$Q$18:$Q$77,'Wood &amp; Plywood '!$D$18:$D$77,'Project Emission Distribution'!$D74)+SUMIFS('Metals &amp; Acrylic'!$N$16:$N$75,'Metals &amp; Acrylic'!$D$16:$D$75,'Project Emission Distribution'!$D74)+SUMIFS('Metals &amp; Acrylic'!$O$16:$O$75,'Metals &amp; Acrylic'!$D$16:$D$75,'Project Emission Distribution'!$D74)+SUMIFS('Paint Consumption'!$AD$15:$AD$74,'Paint Consumption'!$D$15:$D$74,'Project Emission Distribution'!$D74)+SUMIFS('Packing material'!$K$15:$K$74,'Packing material'!$D$15:$D$74,'Project Emission Distribution'!$D74)</f>
        <v>0</v>
      </c>
      <c r="Z74" s="877"/>
      <c r="AA74" s="878"/>
      <c r="AB74" s="882">
        <f>SUMIFS(Frieght!$K$14:$K$73,Frieght!$D$14:$D$73,D74)</f>
        <v>0</v>
      </c>
      <c r="AC74" s="883"/>
      <c r="AD74" s="884"/>
      <c r="AE74" s="879">
        <f t="shared" si="0"/>
        <v>0</v>
      </c>
      <c r="AF74" s="880"/>
      <c r="AG74" s="881"/>
      <c r="AH74" s="840">
        <f>SUMIFS('Product Emissions'!$H$11:$H$70,'Product Emissions'!$C$11:$C$70,'Project Emission Distribution'!$D74)</f>
        <v>0</v>
      </c>
      <c r="AI74" s="193"/>
      <c r="AJ74" s="193"/>
      <c r="AK74" s="157"/>
    </row>
    <row r="75" spans="2:37" x14ac:dyDescent="0.25">
      <c r="B75" s="157"/>
      <c r="C75" s="157"/>
      <c r="D75" s="168" t="str">
        <f>'Project Details Entry'!C63</f>
        <v>AN51</v>
      </c>
      <c r="E75" s="169" t="str">
        <f>IF('Project Details Entry'!D63&gt;0,'Project Details Entry'!D63,"")</f>
        <v/>
      </c>
      <c r="F75" s="169" t="str">
        <f>IF('Project Details Entry'!E63&gt;0,'Project Details Entry'!E63,"")</f>
        <v/>
      </c>
      <c r="G75" s="858">
        <f>SUMIF('Electrical Energy Consumption'!$C$34:$C$69,'Project Emission Distribution'!D75,'Electrical Energy Consumption'!$F$34:'Electrical Energy Consumption'!$F$69)</f>
        <v>0</v>
      </c>
      <c r="H75" s="859"/>
      <c r="I75" s="860"/>
      <c r="J75" s="861">
        <f>SUMIF('Water Consumption'!$C$31:$C$66,'Project Emission Distribution'!D75,'Water Consumption'!$F$31:$F$66)</f>
        <v>0</v>
      </c>
      <c r="K75" s="862"/>
      <c r="L75" s="863"/>
      <c r="M75" s="864">
        <f>SUMIF('Vehicles Emission'!$C$45:$C$80,'Project Emission Distribution'!D75,'Vehicles Emission'!$F$45:$F$80)</f>
        <v>0</v>
      </c>
      <c r="N75" s="865"/>
      <c r="O75" s="866"/>
      <c r="P75" s="867">
        <f>SUMIF('Employee Commute'!$C$36:$C$71,'Project Emission Distribution'!D75,'Employee Commute'!$F$36:$F$71)</f>
        <v>0</v>
      </c>
      <c r="Q75" s="868"/>
      <c r="R75" s="869"/>
      <c r="S75" s="870">
        <f>SUMIF('Waste Generation'!$C$31:$C$66,'Project Emission Distribution'!D75,'Waste Generation'!$F$31:$F$66)</f>
        <v>0</v>
      </c>
      <c r="T75" s="871"/>
      <c r="U75" s="872"/>
      <c r="V75" s="873">
        <f>SUMIF('Air travel'!$C$14:$C$49,'Project Emission Distribution'!D75,'Air travel'!$M$14:'Air travel'!$M$49)</f>
        <v>0</v>
      </c>
      <c r="W75" s="874"/>
      <c r="X75" s="875"/>
      <c r="Y75" s="876">
        <f>SUMIFS('Wood &amp; Plywood '!$Q$18:$Q$77,'Wood &amp; Plywood '!$D$18:$D$77,'Project Emission Distribution'!$D75)+SUMIFS('Metals &amp; Acrylic'!$N$16:$N$75,'Metals &amp; Acrylic'!$D$16:$D$75,'Project Emission Distribution'!$D75)+SUMIFS('Metals &amp; Acrylic'!$O$16:$O$75,'Metals &amp; Acrylic'!$D$16:$D$75,'Project Emission Distribution'!$D75)+SUMIFS('Paint Consumption'!$AD$15:$AD$74,'Paint Consumption'!$D$15:$D$74,'Project Emission Distribution'!$D75)+SUMIFS('Packing material'!$K$15:$K$74,'Packing material'!$D$15:$D$74,'Project Emission Distribution'!$D75)</f>
        <v>0</v>
      </c>
      <c r="Z75" s="877"/>
      <c r="AA75" s="878"/>
      <c r="AB75" s="882">
        <f>SUMIFS(Frieght!$K$14:$K$73,Frieght!$D$14:$D$73,D75)</f>
        <v>0</v>
      </c>
      <c r="AC75" s="883"/>
      <c r="AD75" s="884"/>
      <c r="AE75" s="879">
        <f t="shared" si="0"/>
        <v>0</v>
      </c>
      <c r="AF75" s="880"/>
      <c r="AG75" s="881"/>
      <c r="AH75" s="840">
        <f>SUMIFS('Product Emissions'!$H$11:$H$70,'Product Emissions'!$C$11:$C$70,'Project Emission Distribution'!$D75)</f>
        <v>0</v>
      </c>
      <c r="AI75" s="193"/>
      <c r="AJ75" s="193"/>
      <c r="AK75" s="157"/>
    </row>
    <row r="76" spans="2:37" x14ac:dyDescent="0.25">
      <c r="B76" s="157"/>
      <c r="C76" s="157"/>
      <c r="D76" s="168" t="str">
        <f>'Project Details Entry'!C64</f>
        <v>AN52</v>
      </c>
      <c r="E76" s="169" t="str">
        <f>IF('Project Details Entry'!D64&gt;0,'Project Details Entry'!D64,"")</f>
        <v/>
      </c>
      <c r="F76" s="169" t="str">
        <f>IF('Project Details Entry'!E64&gt;0,'Project Details Entry'!E64,"")</f>
        <v/>
      </c>
      <c r="G76" s="858">
        <f>SUMIF('Electrical Energy Consumption'!$C$34:$C$69,'Project Emission Distribution'!D76,'Electrical Energy Consumption'!$F$34:'Electrical Energy Consumption'!$F$69)</f>
        <v>0</v>
      </c>
      <c r="H76" s="859"/>
      <c r="I76" s="860"/>
      <c r="J76" s="861">
        <f>SUMIF('Water Consumption'!$C$31:$C$66,'Project Emission Distribution'!D76,'Water Consumption'!$F$31:$F$66)</f>
        <v>0</v>
      </c>
      <c r="K76" s="862"/>
      <c r="L76" s="863"/>
      <c r="M76" s="864">
        <f>SUMIF('Vehicles Emission'!$C$45:$C$80,'Project Emission Distribution'!D76,'Vehicles Emission'!$F$45:$F$80)</f>
        <v>0</v>
      </c>
      <c r="N76" s="865"/>
      <c r="O76" s="866"/>
      <c r="P76" s="867">
        <f>SUMIF('Employee Commute'!$C$36:$C$71,'Project Emission Distribution'!D76,'Employee Commute'!$F$36:$F$71)</f>
        <v>0</v>
      </c>
      <c r="Q76" s="868"/>
      <c r="R76" s="869"/>
      <c r="S76" s="870">
        <f>SUMIF('Waste Generation'!$C$31:$C$66,'Project Emission Distribution'!D76,'Waste Generation'!$F$31:$F$66)</f>
        <v>0</v>
      </c>
      <c r="T76" s="871"/>
      <c r="U76" s="872"/>
      <c r="V76" s="873">
        <f>SUMIF('Air travel'!$C$14:$C$49,'Project Emission Distribution'!D76,'Air travel'!$M$14:'Air travel'!$M$49)</f>
        <v>0</v>
      </c>
      <c r="W76" s="874"/>
      <c r="X76" s="875"/>
      <c r="Y76" s="876">
        <f>SUMIFS('Wood &amp; Plywood '!$Q$18:$Q$77,'Wood &amp; Plywood '!$D$18:$D$77,'Project Emission Distribution'!$D76)+SUMIFS('Metals &amp; Acrylic'!$N$16:$N$75,'Metals &amp; Acrylic'!$D$16:$D$75,'Project Emission Distribution'!$D76)+SUMIFS('Metals &amp; Acrylic'!$O$16:$O$75,'Metals &amp; Acrylic'!$D$16:$D$75,'Project Emission Distribution'!$D76)+SUMIFS('Paint Consumption'!$AD$15:$AD$74,'Paint Consumption'!$D$15:$D$74,'Project Emission Distribution'!$D76)+SUMIFS('Packing material'!$K$15:$K$74,'Packing material'!$D$15:$D$74,'Project Emission Distribution'!$D76)</f>
        <v>0</v>
      </c>
      <c r="Z76" s="877"/>
      <c r="AA76" s="878"/>
      <c r="AB76" s="882">
        <f>SUMIFS(Frieght!$K$14:$K$73,Frieght!$D$14:$D$73,D76)</f>
        <v>0</v>
      </c>
      <c r="AC76" s="883"/>
      <c r="AD76" s="884"/>
      <c r="AE76" s="879">
        <f t="shared" si="0"/>
        <v>0</v>
      </c>
      <c r="AF76" s="880"/>
      <c r="AG76" s="881"/>
      <c r="AH76" s="840">
        <f>SUMIFS('Product Emissions'!$H$11:$H$70,'Product Emissions'!$C$11:$C$70,'Project Emission Distribution'!$D76)</f>
        <v>0</v>
      </c>
      <c r="AI76" s="193"/>
      <c r="AJ76" s="193"/>
      <c r="AK76" s="157"/>
    </row>
    <row r="77" spans="2:37" x14ac:dyDescent="0.25">
      <c r="B77" s="157"/>
      <c r="C77" s="157"/>
      <c r="D77" s="168" t="str">
        <f>'Project Details Entry'!C65</f>
        <v>AN53</v>
      </c>
      <c r="E77" s="169" t="str">
        <f>IF('Project Details Entry'!D65&gt;0,'Project Details Entry'!D65,"")</f>
        <v/>
      </c>
      <c r="F77" s="169" t="str">
        <f>IF('Project Details Entry'!E65&gt;0,'Project Details Entry'!E65,"")</f>
        <v/>
      </c>
      <c r="G77" s="858">
        <f>SUMIF('Electrical Energy Consumption'!$C$34:$C$69,'Project Emission Distribution'!D77,'Electrical Energy Consumption'!$F$34:'Electrical Energy Consumption'!$F$69)</f>
        <v>0</v>
      </c>
      <c r="H77" s="859"/>
      <c r="I77" s="860"/>
      <c r="J77" s="861">
        <f>SUMIF('Water Consumption'!$C$31:$C$66,'Project Emission Distribution'!D77,'Water Consumption'!$F$31:$F$66)</f>
        <v>0</v>
      </c>
      <c r="K77" s="862"/>
      <c r="L77" s="863"/>
      <c r="M77" s="864">
        <f>SUMIF('Vehicles Emission'!$C$45:$C$80,'Project Emission Distribution'!D77,'Vehicles Emission'!$F$45:$F$80)</f>
        <v>0</v>
      </c>
      <c r="N77" s="865"/>
      <c r="O77" s="866"/>
      <c r="P77" s="867">
        <f>SUMIF('Employee Commute'!$C$36:$C$71,'Project Emission Distribution'!D77,'Employee Commute'!$F$36:$F$71)</f>
        <v>0</v>
      </c>
      <c r="Q77" s="868"/>
      <c r="R77" s="869"/>
      <c r="S77" s="870">
        <f>SUMIF('Waste Generation'!$C$31:$C$66,'Project Emission Distribution'!D77,'Waste Generation'!$F$31:$F$66)</f>
        <v>0</v>
      </c>
      <c r="T77" s="871"/>
      <c r="U77" s="872"/>
      <c r="V77" s="873">
        <f>SUMIF('Air travel'!$C$14:$C$49,'Project Emission Distribution'!D77,'Air travel'!$M$14:'Air travel'!$M$49)</f>
        <v>0</v>
      </c>
      <c r="W77" s="874"/>
      <c r="X77" s="875"/>
      <c r="Y77" s="876">
        <f>SUMIFS('Wood &amp; Plywood '!$Q$18:$Q$77,'Wood &amp; Plywood '!$D$18:$D$77,'Project Emission Distribution'!$D77)+SUMIFS('Metals &amp; Acrylic'!$N$16:$N$75,'Metals &amp; Acrylic'!$D$16:$D$75,'Project Emission Distribution'!$D77)+SUMIFS('Metals &amp; Acrylic'!$O$16:$O$75,'Metals &amp; Acrylic'!$D$16:$D$75,'Project Emission Distribution'!$D77)+SUMIFS('Paint Consumption'!$AD$15:$AD$74,'Paint Consumption'!$D$15:$D$74,'Project Emission Distribution'!$D77)+SUMIFS('Packing material'!$K$15:$K$74,'Packing material'!$D$15:$D$74,'Project Emission Distribution'!$D77)</f>
        <v>0</v>
      </c>
      <c r="Z77" s="877"/>
      <c r="AA77" s="878"/>
      <c r="AB77" s="882">
        <f>SUMIFS(Frieght!$K$14:$K$73,Frieght!$D$14:$D$73,D77)</f>
        <v>0</v>
      </c>
      <c r="AC77" s="883"/>
      <c r="AD77" s="884"/>
      <c r="AE77" s="879">
        <f t="shared" si="0"/>
        <v>0</v>
      </c>
      <c r="AF77" s="880"/>
      <c r="AG77" s="881"/>
      <c r="AH77" s="840">
        <f>SUMIFS('Product Emissions'!$H$11:$H$70,'Product Emissions'!$C$11:$C$70,'Project Emission Distribution'!$D77)</f>
        <v>0</v>
      </c>
      <c r="AI77" s="193"/>
      <c r="AJ77" s="193"/>
      <c r="AK77" s="157"/>
    </row>
    <row r="78" spans="2:37" x14ac:dyDescent="0.25">
      <c r="B78" s="157"/>
      <c r="C78" s="157"/>
      <c r="D78" s="168" t="str">
        <f>'Project Details Entry'!C66</f>
        <v>AN54</v>
      </c>
      <c r="E78" s="169" t="str">
        <f>IF('Project Details Entry'!D66&gt;0,'Project Details Entry'!D66,"")</f>
        <v/>
      </c>
      <c r="F78" s="169" t="str">
        <f>IF('Project Details Entry'!E66&gt;0,'Project Details Entry'!E66,"")</f>
        <v/>
      </c>
      <c r="G78" s="858">
        <f>SUMIF('Electrical Energy Consumption'!$C$34:$C$69,'Project Emission Distribution'!D78,'Electrical Energy Consumption'!$F$34:'Electrical Energy Consumption'!$F$69)</f>
        <v>0</v>
      </c>
      <c r="H78" s="859"/>
      <c r="I78" s="860"/>
      <c r="J78" s="861">
        <f>SUMIF('Water Consumption'!$C$31:$C$66,'Project Emission Distribution'!D78,'Water Consumption'!$F$31:$F$66)</f>
        <v>0</v>
      </c>
      <c r="K78" s="862"/>
      <c r="L78" s="863"/>
      <c r="M78" s="864">
        <f>SUMIF('Vehicles Emission'!$C$45:$C$80,'Project Emission Distribution'!D78,'Vehicles Emission'!$F$45:$F$80)</f>
        <v>0</v>
      </c>
      <c r="N78" s="865"/>
      <c r="O78" s="866"/>
      <c r="P78" s="867">
        <f>SUMIF('Employee Commute'!$C$36:$C$71,'Project Emission Distribution'!D78,'Employee Commute'!$F$36:$F$71)</f>
        <v>0</v>
      </c>
      <c r="Q78" s="868"/>
      <c r="R78" s="869"/>
      <c r="S78" s="870">
        <f>SUMIF('Waste Generation'!$C$31:$C$66,'Project Emission Distribution'!D78,'Waste Generation'!$F$31:$F$66)</f>
        <v>0</v>
      </c>
      <c r="T78" s="871"/>
      <c r="U78" s="872"/>
      <c r="V78" s="873">
        <f>SUMIF('Air travel'!$C$14:$C$49,'Project Emission Distribution'!D78,'Air travel'!$M$14:'Air travel'!$M$49)</f>
        <v>0</v>
      </c>
      <c r="W78" s="874"/>
      <c r="X78" s="875"/>
      <c r="Y78" s="876">
        <f>SUMIFS('Wood &amp; Plywood '!$Q$18:$Q$77,'Wood &amp; Plywood '!$D$18:$D$77,'Project Emission Distribution'!$D78)+SUMIFS('Metals &amp; Acrylic'!$N$16:$N$75,'Metals &amp; Acrylic'!$D$16:$D$75,'Project Emission Distribution'!$D78)+SUMIFS('Metals &amp; Acrylic'!$O$16:$O$75,'Metals &amp; Acrylic'!$D$16:$D$75,'Project Emission Distribution'!$D78)+SUMIFS('Paint Consumption'!$AD$15:$AD$74,'Paint Consumption'!$D$15:$D$74,'Project Emission Distribution'!$D78)+SUMIFS('Packing material'!$K$15:$K$74,'Packing material'!$D$15:$D$74,'Project Emission Distribution'!$D78)</f>
        <v>0</v>
      </c>
      <c r="Z78" s="877"/>
      <c r="AA78" s="878"/>
      <c r="AB78" s="882">
        <f>SUMIFS(Frieght!$K$14:$K$73,Frieght!$D$14:$D$73,D78)</f>
        <v>0</v>
      </c>
      <c r="AC78" s="883"/>
      <c r="AD78" s="884"/>
      <c r="AE78" s="879">
        <f t="shared" si="0"/>
        <v>0</v>
      </c>
      <c r="AF78" s="880"/>
      <c r="AG78" s="881"/>
      <c r="AH78" s="840">
        <f>SUMIFS('Product Emissions'!$H$11:$H$70,'Product Emissions'!$C$11:$C$70,'Project Emission Distribution'!$D78)</f>
        <v>0</v>
      </c>
      <c r="AI78" s="193"/>
      <c r="AJ78" s="193"/>
      <c r="AK78" s="157"/>
    </row>
    <row r="79" spans="2:37" x14ac:dyDescent="0.25">
      <c r="B79" s="157"/>
      <c r="C79" s="157"/>
      <c r="D79" s="168" t="str">
        <f>'Project Details Entry'!C67</f>
        <v>AN55</v>
      </c>
      <c r="E79" s="169" t="str">
        <f>IF('Project Details Entry'!D67&gt;0,'Project Details Entry'!D67,"")</f>
        <v/>
      </c>
      <c r="F79" s="169" t="str">
        <f>IF('Project Details Entry'!E67&gt;0,'Project Details Entry'!E67,"")</f>
        <v/>
      </c>
      <c r="G79" s="858">
        <f>SUMIF('Electrical Energy Consumption'!$C$34:$C$69,'Project Emission Distribution'!D79,'Electrical Energy Consumption'!$F$34:'Electrical Energy Consumption'!$F$69)</f>
        <v>0</v>
      </c>
      <c r="H79" s="859"/>
      <c r="I79" s="860"/>
      <c r="J79" s="861">
        <f>SUMIF('Water Consumption'!$C$31:$C$66,'Project Emission Distribution'!D79,'Water Consumption'!$F$31:$F$66)</f>
        <v>0</v>
      </c>
      <c r="K79" s="862"/>
      <c r="L79" s="863"/>
      <c r="M79" s="864">
        <f>SUMIF('Vehicles Emission'!$C$45:$C$80,'Project Emission Distribution'!D79,'Vehicles Emission'!$F$45:$F$80)</f>
        <v>0</v>
      </c>
      <c r="N79" s="865"/>
      <c r="O79" s="866"/>
      <c r="P79" s="867">
        <f>SUMIF('Employee Commute'!$C$36:$C$71,'Project Emission Distribution'!D79,'Employee Commute'!$F$36:$F$71)</f>
        <v>0</v>
      </c>
      <c r="Q79" s="868"/>
      <c r="R79" s="869"/>
      <c r="S79" s="870">
        <f>SUMIF('Waste Generation'!$C$31:$C$66,'Project Emission Distribution'!D79,'Waste Generation'!$F$31:$F$66)</f>
        <v>0</v>
      </c>
      <c r="T79" s="871"/>
      <c r="U79" s="872"/>
      <c r="V79" s="873">
        <f>SUMIF('Air travel'!$C$14:$C$49,'Project Emission Distribution'!D79,'Air travel'!$M$14:'Air travel'!$M$49)</f>
        <v>0</v>
      </c>
      <c r="W79" s="874"/>
      <c r="X79" s="875"/>
      <c r="Y79" s="876">
        <f>SUMIFS('Wood &amp; Plywood '!$Q$18:$Q$77,'Wood &amp; Plywood '!$D$18:$D$77,'Project Emission Distribution'!$D79)+SUMIFS('Metals &amp; Acrylic'!$N$16:$N$75,'Metals &amp; Acrylic'!$D$16:$D$75,'Project Emission Distribution'!$D79)+SUMIFS('Metals &amp; Acrylic'!$O$16:$O$75,'Metals &amp; Acrylic'!$D$16:$D$75,'Project Emission Distribution'!$D79)+SUMIFS('Paint Consumption'!$AD$15:$AD$74,'Paint Consumption'!$D$15:$D$74,'Project Emission Distribution'!$D79)+SUMIFS('Packing material'!$K$15:$K$74,'Packing material'!$D$15:$D$74,'Project Emission Distribution'!$D79)</f>
        <v>0</v>
      </c>
      <c r="Z79" s="877"/>
      <c r="AA79" s="878"/>
      <c r="AB79" s="882">
        <f>SUMIFS(Frieght!$K$14:$K$73,Frieght!$D$14:$D$73,D79)</f>
        <v>0</v>
      </c>
      <c r="AC79" s="883"/>
      <c r="AD79" s="884"/>
      <c r="AE79" s="879">
        <f t="shared" si="0"/>
        <v>0</v>
      </c>
      <c r="AF79" s="880"/>
      <c r="AG79" s="881"/>
      <c r="AH79" s="840">
        <f>SUMIFS('Product Emissions'!$H$11:$H$70,'Product Emissions'!$C$11:$C$70,'Project Emission Distribution'!$D79)</f>
        <v>0</v>
      </c>
      <c r="AI79" s="193"/>
      <c r="AJ79" s="193"/>
      <c r="AK79" s="157"/>
    </row>
    <row r="80" spans="2:37" x14ac:dyDescent="0.25">
      <c r="B80" s="157"/>
      <c r="C80" s="157"/>
      <c r="D80" s="168" t="str">
        <f>'Project Details Entry'!C68</f>
        <v>AN56</v>
      </c>
      <c r="E80" s="169" t="str">
        <f>IF('Project Details Entry'!D68&gt;0,'Project Details Entry'!D68,"")</f>
        <v/>
      </c>
      <c r="F80" s="169" t="str">
        <f>IF('Project Details Entry'!E68&gt;0,'Project Details Entry'!E68,"")</f>
        <v/>
      </c>
      <c r="G80" s="858">
        <f>SUMIF('Electrical Energy Consumption'!$C$34:$C$69,'Project Emission Distribution'!D80,'Electrical Energy Consumption'!$F$34:'Electrical Energy Consumption'!$F$69)</f>
        <v>0</v>
      </c>
      <c r="H80" s="859"/>
      <c r="I80" s="860"/>
      <c r="J80" s="861">
        <f>SUMIF('Water Consumption'!$C$31:$C$66,'Project Emission Distribution'!D80,'Water Consumption'!$F$31:$F$66)</f>
        <v>0</v>
      </c>
      <c r="K80" s="862"/>
      <c r="L80" s="863"/>
      <c r="M80" s="864">
        <f>SUMIF('Vehicles Emission'!$C$45:$C$80,'Project Emission Distribution'!D80,'Vehicles Emission'!$F$45:$F$80)</f>
        <v>0</v>
      </c>
      <c r="N80" s="865"/>
      <c r="O80" s="866"/>
      <c r="P80" s="867">
        <f>SUMIF('Employee Commute'!$C$36:$C$71,'Project Emission Distribution'!D80,'Employee Commute'!$F$36:$F$71)</f>
        <v>0</v>
      </c>
      <c r="Q80" s="868"/>
      <c r="R80" s="869"/>
      <c r="S80" s="870">
        <f>SUMIF('Waste Generation'!$C$31:$C$66,'Project Emission Distribution'!D80,'Waste Generation'!$F$31:$F$66)</f>
        <v>0</v>
      </c>
      <c r="T80" s="871"/>
      <c r="U80" s="872"/>
      <c r="V80" s="873">
        <f>SUMIF('Air travel'!$C$14:$C$49,'Project Emission Distribution'!D80,'Air travel'!$M$14:'Air travel'!$M$49)</f>
        <v>0</v>
      </c>
      <c r="W80" s="874"/>
      <c r="X80" s="875"/>
      <c r="Y80" s="876">
        <f>SUMIFS('Wood &amp; Plywood '!$Q$18:$Q$77,'Wood &amp; Plywood '!$D$18:$D$77,'Project Emission Distribution'!$D80)+SUMIFS('Metals &amp; Acrylic'!$N$16:$N$75,'Metals &amp; Acrylic'!$D$16:$D$75,'Project Emission Distribution'!$D80)+SUMIFS('Metals &amp; Acrylic'!$O$16:$O$75,'Metals &amp; Acrylic'!$D$16:$D$75,'Project Emission Distribution'!$D80)+SUMIFS('Paint Consumption'!$AD$15:$AD$74,'Paint Consumption'!$D$15:$D$74,'Project Emission Distribution'!$D80)+SUMIFS('Packing material'!$K$15:$K$74,'Packing material'!$D$15:$D$74,'Project Emission Distribution'!$D80)</f>
        <v>0</v>
      </c>
      <c r="Z80" s="877"/>
      <c r="AA80" s="878"/>
      <c r="AB80" s="882">
        <f>SUMIFS(Frieght!$K$14:$K$73,Frieght!$D$14:$D$73,D80)</f>
        <v>0</v>
      </c>
      <c r="AC80" s="883"/>
      <c r="AD80" s="884"/>
      <c r="AE80" s="879">
        <f t="shared" si="0"/>
        <v>0</v>
      </c>
      <c r="AF80" s="880"/>
      <c r="AG80" s="881"/>
      <c r="AH80" s="840">
        <f>SUMIFS('Product Emissions'!$H$11:$H$70,'Product Emissions'!$C$11:$C$70,'Project Emission Distribution'!$D80)</f>
        <v>0</v>
      </c>
      <c r="AI80" s="193"/>
      <c r="AJ80" s="193"/>
      <c r="AK80" s="157"/>
    </row>
    <row r="81" spans="2:37" x14ac:dyDescent="0.25">
      <c r="B81" s="157"/>
      <c r="C81" s="157"/>
      <c r="D81" s="168" t="str">
        <f>'Project Details Entry'!C69</f>
        <v>AN57</v>
      </c>
      <c r="E81" s="169" t="str">
        <f>IF('Project Details Entry'!D69&gt;0,'Project Details Entry'!D69,"")</f>
        <v/>
      </c>
      <c r="F81" s="169" t="str">
        <f>IF('Project Details Entry'!E69&gt;0,'Project Details Entry'!E69,"")</f>
        <v/>
      </c>
      <c r="G81" s="858">
        <f>SUMIF('Electrical Energy Consumption'!$C$34:$C$69,'Project Emission Distribution'!D81,'Electrical Energy Consumption'!$F$34:'Electrical Energy Consumption'!$F$69)</f>
        <v>0</v>
      </c>
      <c r="H81" s="859"/>
      <c r="I81" s="860"/>
      <c r="J81" s="861">
        <f>SUMIF('Water Consumption'!$C$31:$C$66,'Project Emission Distribution'!D81,'Water Consumption'!$F$31:$F$66)</f>
        <v>0</v>
      </c>
      <c r="K81" s="862"/>
      <c r="L81" s="863"/>
      <c r="M81" s="864">
        <f>SUMIF('Vehicles Emission'!$C$45:$C$80,'Project Emission Distribution'!D81,'Vehicles Emission'!$F$45:$F$80)</f>
        <v>0</v>
      </c>
      <c r="N81" s="865"/>
      <c r="O81" s="866"/>
      <c r="P81" s="867">
        <f>SUMIF('Employee Commute'!$C$36:$C$71,'Project Emission Distribution'!D81,'Employee Commute'!$F$36:$F$71)</f>
        <v>0</v>
      </c>
      <c r="Q81" s="868"/>
      <c r="R81" s="869"/>
      <c r="S81" s="870">
        <f>SUMIF('Waste Generation'!$C$31:$C$66,'Project Emission Distribution'!D81,'Waste Generation'!$F$31:$F$66)</f>
        <v>0</v>
      </c>
      <c r="T81" s="871"/>
      <c r="U81" s="872"/>
      <c r="V81" s="873">
        <f>SUMIF('Air travel'!$C$14:$C$49,'Project Emission Distribution'!D81,'Air travel'!$M$14:'Air travel'!$M$49)</f>
        <v>0</v>
      </c>
      <c r="W81" s="874"/>
      <c r="X81" s="875"/>
      <c r="Y81" s="876">
        <f>SUMIFS('Wood &amp; Plywood '!$Q$18:$Q$77,'Wood &amp; Plywood '!$D$18:$D$77,'Project Emission Distribution'!$D81)+SUMIFS('Metals &amp; Acrylic'!$N$16:$N$75,'Metals &amp; Acrylic'!$D$16:$D$75,'Project Emission Distribution'!$D81)+SUMIFS('Metals &amp; Acrylic'!$O$16:$O$75,'Metals &amp; Acrylic'!$D$16:$D$75,'Project Emission Distribution'!$D81)+SUMIFS('Paint Consumption'!$AD$15:$AD$74,'Paint Consumption'!$D$15:$D$74,'Project Emission Distribution'!$D81)+SUMIFS('Packing material'!$K$15:$K$74,'Packing material'!$D$15:$D$74,'Project Emission Distribution'!$D81)</f>
        <v>0</v>
      </c>
      <c r="Z81" s="877"/>
      <c r="AA81" s="878"/>
      <c r="AB81" s="882">
        <f>SUMIFS(Frieght!$K$14:$K$73,Frieght!$D$14:$D$73,D81)</f>
        <v>0</v>
      </c>
      <c r="AC81" s="883"/>
      <c r="AD81" s="884"/>
      <c r="AE81" s="879">
        <f t="shared" si="0"/>
        <v>0</v>
      </c>
      <c r="AF81" s="880"/>
      <c r="AG81" s="881"/>
      <c r="AH81" s="840">
        <f>SUMIFS('Product Emissions'!$H$11:$H$70,'Product Emissions'!$C$11:$C$70,'Project Emission Distribution'!$D81)</f>
        <v>0</v>
      </c>
      <c r="AI81" s="193"/>
      <c r="AJ81" s="193"/>
      <c r="AK81" s="157"/>
    </row>
    <row r="82" spans="2:37" x14ac:dyDescent="0.25">
      <c r="B82" s="157"/>
      <c r="C82" s="157"/>
      <c r="D82" s="168" t="str">
        <f>'Project Details Entry'!C70</f>
        <v>AN58</v>
      </c>
      <c r="E82" s="169" t="str">
        <f>IF('Project Details Entry'!D70&gt;0,'Project Details Entry'!D70,"")</f>
        <v/>
      </c>
      <c r="F82" s="169" t="str">
        <f>IF('Project Details Entry'!E70&gt;0,'Project Details Entry'!E70,"")</f>
        <v/>
      </c>
      <c r="G82" s="858">
        <f>SUMIF('Electrical Energy Consumption'!$C$34:$C$69,'Project Emission Distribution'!D82,'Electrical Energy Consumption'!$F$34:'Electrical Energy Consumption'!$F$69)</f>
        <v>0</v>
      </c>
      <c r="H82" s="859"/>
      <c r="I82" s="860"/>
      <c r="J82" s="861">
        <f>SUMIF('Water Consumption'!$C$31:$C$66,'Project Emission Distribution'!D82,'Water Consumption'!$F$31:$F$66)</f>
        <v>0</v>
      </c>
      <c r="K82" s="862"/>
      <c r="L82" s="863"/>
      <c r="M82" s="864">
        <f>SUMIF('Vehicles Emission'!$C$45:$C$80,'Project Emission Distribution'!D82,'Vehicles Emission'!$F$45:$F$80)</f>
        <v>0</v>
      </c>
      <c r="N82" s="865"/>
      <c r="O82" s="866"/>
      <c r="P82" s="867">
        <f>SUMIF('Employee Commute'!$C$36:$C$71,'Project Emission Distribution'!D82,'Employee Commute'!$F$36:$F$71)</f>
        <v>0</v>
      </c>
      <c r="Q82" s="868"/>
      <c r="R82" s="869"/>
      <c r="S82" s="870">
        <f>SUMIF('Waste Generation'!$C$31:$C$66,'Project Emission Distribution'!D82,'Waste Generation'!$F$31:$F$66)</f>
        <v>0</v>
      </c>
      <c r="T82" s="871"/>
      <c r="U82" s="872"/>
      <c r="V82" s="873">
        <f>SUMIF('Air travel'!$C$14:$C$49,'Project Emission Distribution'!D82,'Air travel'!$M$14:'Air travel'!$M$49)</f>
        <v>0</v>
      </c>
      <c r="W82" s="874"/>
      <c r="X82" s="875"/>
      <c r="Y82" s="876">
        <f>SUMIFS('Wood &amp; Plywood '!$Q$18:$Q$77,'Wood &amp; Plywood '!$D$18:$D$77,'Project Emission Distribution'!$D82)+SUMIFS('Metals &amp; Acrylic'!$N$16:$N$75,'Metals &amp; Acrylic'!$D$16:$D$75,'Project Emission Distribution'!$D82)+SUMIFS('Metals &amp; Acrylic'!$O$16:$O$75,'Metals &amp; Acrylic'!$D$16:$D$75,'Project Emission Distribution'!$D82)+SUMIFS('Paint Consumption'!$AD$15:$AD$74,'Paint Consumption'!$D$15:$D$74,'Project Emission Distribution'!$D82)+SUMIFS('Packing material'!$K$15:$K$74,'Packing material'!$D$15:$D$74,'Project Emission Distribution'!$D82)</f>
        <v>0</v>
      </c>
      <c r="Z82" s="877"/>
      <c r="AA82" s="878"/>
      <c r="AB82" s="882">
        <f>SUMIFS(Frieght!$K$14:$K$73,Frieght!$D$14:$D$73,D82)</f>
        <v>0</v>
      </c>
      <c r="AC82" s="883"/>
      <c r="AD82" s="884"/>
      <c r="AE82" s="879">
        <f t="shared" si="0"/>
        <v>0</v>
      </c>
      <c r="AF82" s="880"/>
      <c r="AG82" s="881"/>
      <c r="AH82" s="840">
        <f>SUMIFS('Product Emissions'!$H$11:$H$70,'Product Emissions'!$C$11:$C$70,'Project Emission Distribution'!$D82)</f>
        <v>0</v>
      </c>
      <c r="AI82" s="193"/>
      <c r="AJ82" s="193"/>
      <c r="AK82" s="157"/>
    </row>
    <row r="83" spans="2:37" x14ac:dyDescent="0.25">
      <c r="B83" s="157"/>
      <c r="C83" s="157"/>
      <c r="D83" s="168" t="str">
        <f>'Project Details Entry'!C71</f>
        <v>AN59</v>
      </c>
      <c r="E83" s="169" t="str">
        <f>IF('Project Details Entry'!D71&gt;0,'Project Details Entry'!D71,"")</f>
        <v/>
      </c>
      <c r="F83" s="169" t="str">
        <f>IF('Project Details Entry'!E71&gt;0,'Project Details Entry'!E71,"")</f>
        <v/>
      </c>
      <c r="G83" s="858">
        <f>SUMIF('Electrical Energy Consumption'!$C$34:$C$69,'Project Emission Distribution'!D83,'Electrical Energy Consumption'!$F$34:'Electrical Energy Consumption'!$F$69)</f>
        <v>0</v>
      </c>
      <c r="H83" s="859"/>
      <c r="I83" s="860"/>
      <c r="J83" s="861">
        <f>SUMIF('Water Consumption'!$C$31:$C$66,'Project Emission Distribution'!D83,'Water Consumption'!$F$31:$F$66)</f>
        <v>0</v>
      </c>
      <c r="K83" s="862"/>
      <c r="L83" s="863"/>
      <c r="M83" s="864">
        <f>SUMIF('Vehicles Emission'!$C$45:$C$80,'Project Emission Distribution'!D83,'Vehicles Emission'!$F$45:$F$80)</f>
        <v>0</v>
      </c>
      <c r="N83" s="865"/>
      <c r="O83" s="866"/>
      <c r="P83" s="867">
        <f>SUMIF('Employee Commute'!$C$36:$C$71,'Project Emission Distribution'!D83,'Employee Commute'!$F$36:$F$71)</f>
        <v>0</v>
      </c>
      <c r="Q83" s="868"/>
      <c r="R83" s="869"/>
      <c r="S83" s="870">
        <f>SUMIF('Waste Generation'!$C$31:$C$66,'Project Emission Distribution'!D83,'Waste Generation'!$F$31:$F$66)</f>
        <v>0</v>
      </c>
      <c r="T83" s="871"/>
      <c r="U83" s="872"/>
      <c r="V83" s="873">
        <f>SUMIF('Air travel'!$C$14:$C$49,'Project Emission Distribution'!D83,'Air travel'!$M$14:'Air travel'!$M$49)</f>
        <v>0</v>
      </c>
      <c r="W83" s="874"/>
      <c r="X83" s="875"/>
      <c r="Y83" s="876">
        <f>SUMIFS('Wood &amp; Plywood '!$Q$18:$Q$77,'Wood &amp; Plywood '!$D$18:$D$77,'Project Emission Distribution'!$D83)+SUMIFS('Metals &amp; Acrylic'!$N$16:$N$75,'Metals &amp; Acrylic'!$D$16:$D$75,'Project Emission Distribution'!$D83)+SUMIFS('Metals &amp; Acrylic'!$O$16:$O$75,'Metals &amp; Acrylic'!$D$16:$D$75,'Project Emission Distribution'!$D83)+SUMIFS('Paint Consumption'!$AD$15:$AD$74,'Paint Consumption'!$D$15:$D$74,'Project Emission Distribution'!$D83)+SUMIFS('Packing material'!$K$15:$K$74,'Packing material'!$D$15:$D$74,'Project Emission Distribution'!$D83)</f>
        <v>0</v>
      </c>
      <c r="Z83" s="877"/>
      <c r="AA83" s="878"/>
      <c r="AB83" s="882">
        <f>SUMIFS(Frieght!$K$14:$K$73,Frieght!$D$14:$D$73,D83)</f>
        <v>0</v>
      </c>
      <c r="AC83" s="883"/>
      <c r="AD83" s="884"/>
      <c r="AE83" s="879">
        <f t="shared" si="0"/>
        <v>0</v>
      </c>
      <c r="AF83" s="880"/>
      <c r="AG83" s="881"/>
      <c r="AH83" s="840">
        <f>SUMIFS('Product Emissions'!$H$11:$H$70,'Product Emissions'!$C$11:$C$70,'Project Emission Distribution'!$D83)</f>
        <v>0</v>
      </c>
      <c r="AI83" s="193"/>
      <c r="AJ83" s="193"/>
      <c r="AK83" s="157"/>
    </row>
    <row r="84" spans="2:37" x14ac:dyDescent="0.25">
      <c r="B84" s="157"/>
      <c r="C84" s="157"/>
      <c r="D84" s="168" t="str">
        <f>'Project Details Entry'!C72</f>
        <v>AN60</v>
      </c>
      <c r="E84" s="169" t="str">
        <f>IF('Project Details Entry'!D72&gt;0,'Project Details Entry'!D72,"")</f>
        <v/>
      </c>
      <c r="F84" s="169" t="str">
        <f>IF('Project Details Entry'!E72&gt;0,'Project Details Entry'!E72,"")</f>
        <v/>
      </c>
      <c r="G84" s="858">
        <f>SUMIF('Electrical Energy Consumption'!$C$34:$C$69,'Project Emission Distribution'!D84,'Electrical Energy Consumption'!$F$34:'Electrical Energy Consumption'!$F$69)</f>
        <v>0</v>
      </c>
      <c r="H84" s="859"/>
      <c r="I84" s="860"/>
      <c r="J84" s="861">
        <f>SUMIF('Water Consumption'!$C$31:$C$66,'Project Emission Distribution'!D84,'Water Consumption'!$F$31:$F$66)</f>
        <v>0</v>
      </c>
      <c r="K84" s="862"/>
      <c r="L84" s="863"/>
      <c r="M84" s="864">
        <f>SUMIF('Vehicles Emission'!$C$45:$C$80,'Project Emission Distribution'!D84,'Vehicles Emission'!$F$45:$F$80)</f>
        <v>0</v>
      </c>
      <c r="N84" s="865"/>
      <c r="O84" s="866"/>
      <c r="P84" s="867">
        <f>SUMIF('Employee Commute'!$C$36:$C$71,'Project Emission Distribution'!D84,'Employee Commute'!$F$36:$F$71)</f>
        <v>0</v>
      </c>
      <c r="Q84" s="868"/>
      <c r="R84" s="869"/>
      <c r="S84" s="870">
        <f>SUMIF('Waste Generation'!$C$31:$C$66,'Project Emission Distribution'!D84,'Waste Generation'!$F$31:$F$66)</f>
        <v>0</v>
      </c>
      <c r="T84" s="871"/>
      <c r="U84" s="872"/>
      <c r="V84" s="873">
        <f>SUMIF('Air travel'!$C$14:$C$49,'Project Emission Distribution'!D84,'Air travel'!$M$14:'Air travel'!$M$49)</f>
        <v>0</v>
      </c>
      <c r="W84" s="874"/>
      <c r="X84" s="875"/>
      <c r="Y84" s="876">
        <f>SUMIFS('Wood &amp; Plywood '!$Q$18:$Q$77,'Wood &amp; Plywood '!$D$18:$D$77,'Project Emission Distribution'!$D84)+SUMIFS('Metals &amp; Acrylic'!$N$16:$N$75,'Metals &amp; Acrylic'!$D$16:$D$75,'Project Emission Distribution'!$D84)+SUMIFS('Metals &amp; Acrylic'!$O$16:$O$75,'Metals &amp; Acrylic'!$D$16:$D$75,'Project Emission Distribution'!$D84)+SUMIFS('Paint Consumption'!$AD$15:$AD$74,'Paint Consumption'!$D$15:$D$74,'Project Emission Distribution'!$D84)+SUMIFS('Packing material'!$K$15:$K$74,'Packing material'!$D$15:$D$74,'Project Emission Distribution'!$D84)</f>
        <v>0</v>
      </c>
      <c r="Z84" s="877"/>
      <c r="AA84" s="878"/>
      <c r="AB84" s="882">
        <f>SUMIFS(Frieght!$K$14:$K$73,Frieght!$D$14:$D$73,D84)</f>
        <v>0</v>
      </c>
      <c r="AC84" s="883"/>
      <c r="AD84" s="884"/>
      <c r="AE84" s="879">
        <f t="shared" si="0"/>
        <v>0</v>
      </c>
      <c r="AF84" s="880"/>
      <c r="AG84" s="881"/>
      <c r="AH84" s="840">
        <f>SUMIFS('Product Emissions'!$H$11:$H$70,'Product Emissions'!$C$11:$C$70,'Project Emission Distribution'!$D84)</f>
        <v>0</v>
      </c>
      <c r="AI84" s="193"/>
      <c r="AJ84" s="193"/>
      <c r="AK84" s="157"/>
    </row>
    <row r="85" spans="2:37" x14ac:dyDescent="0.25">
      <c r="B85" s="157"/>
      <c r="C85" s="157"/>
      <c r="D85" s="157"/>
      <c r="E85" s="157"/>
      <c r="F85" s="157"/>
      <c r="G85" s="194"/>
      <c r="H85" s="194"/>
      <c r="I85" s="194"/>
      <c r="J85" s="194"/>
      <c r="K85" s="194"/>
      <c r="L85" s="194"/>
      <c r="M85" s="194"/>
      <c r="N85" s="194"/>
      <c r="O85" s="194"/>
      <c r="P85" s="194"/>
      <c r="Q85" s="194"/>
      <c r="R85" s="194"/>
      <c r="S85" s="194"/>
      <c r="T85" s="194"/>
      <c r="U85" s="194"/>
      <c r="V85" s="194"/>
      <c r="W85" s="194"/>
      <c r="X85" s="194"/>
      <c r="Y85" s="194"/>
      <c r="Z85" s="194"/>
      <c r="AA85" s="194"/>
      <c r="AB85" s="194"/>
      <c r="AC85" s="194"/>
      <c r="AD85" s="194"/>
      <c r="AE85" s="157"/>
      <c r="AF85" s="157"/>
      <c r="AG85" s="157"/>
      <c r="AH85" s="157"/>
    </row>
    <row r="86" spans="2:37" x14ac:dyDescent="0.25">
      <c r="B86" s="157"/>
      <c r="C86" s="157"/>
      <c r="D86" s="157"/>
      <c r="E86" s="157"/>
      <c r="F86" s="157"/>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57"/>
      <c r="AF86" s="157"/>
      <c r="AG86" s="157"/>
      <c r="AH86" s="157"/>
    </row>
    <row r="87" spans="2:37" x14ac:dyDescent="0.25">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c r="AA87" s="157"/>
      <c r="AB87" s="157"/>
      <c r="AC87" s="157"/>
      <c r="AD87" s="157"/>
      <c r="AE87" s="157"/>
      <c r="AF87" s="157"/>
      <c r="AG87" s="157"/>
      <c r="AH87" s="157"/>
    </row>
    <row r="90" spans="2:37" x14ac:dyDescent="0.25">
      <c r="D90" s="116"/>
      <c r="E90" s="125"/>
    </row>
    <row r="91" spans="2:37" x14ac:dyDescent="0.25">
      <c r="D91" s="116"/>
      <c r="E91" s="125"/>
    </row>
    <row r="92" spans="2:37" x14ac:dyDescent="0.25">
      <c r="D92" s="116"/>
      <c r="E92" s="125"/>
    </row>
    <row r="93" spans="2:37" x14ac:dyDescent="0.25">
      <c r="D93" s="116"/>
      <c r="E93" s="125"/>
    </row>
    <row r="94" spans="2:37" x14ac:dyDescent="0.25">
      <c r="D94" s="116"/>
      <c r="E94" s="125"/>
    </row>
    <row r="95" spans="2:37" x14ac:dyDescent="0.25">
      <c r="D95" s="116"/>
      <c r="E95" s="125"/>
    </row>
    <row r="96" spans="2:37" x14ac:dyDescent="0.25">
      <c r="D96" s="116"/>
      <c r="E96" s="125"/>
    </row>
    <row r="97" spans="4:5" x14ac:dyDescent="0.25">
      <c r="D97" s="116"/>
      <c r="E97" s="125"/>
    </row>
    <row r="98" spans="4:5" x14ac:dyDescent="0.25">
      <c r="D98" s="116"/>
      <c r="E98" s="125"/>
    </row>
    <row r="99" spans="4:5" x14ac:dyDescent="0.25">
      <c r="D99" s="116"/>
      <c r="E99" s="125"/>
    </row>
    <row r="100" spans="4:5" x14ac:dyDescent="0.25">
      <c r="D100" s="116"/>
      <c r="E100" s="125"/>
    </row>
    <row r="101" spans="4:5" x14ac:dyDescent="0.25">
      <c r="D101" s="116"/>
      <c r="E101" s="125"/>
    </row>
    <row r="102" spans="4:5" x14ac:dyDescent="0.25">
      <c r="D102" s="116"/>
      <c r="E102" s="125"/>
    </row>
    <row r="103" spans="4:5" x14ac:dyDescent="0.25">
      <c r="D103" s="116"/>
      <c r="E103" s="125"/>
    </row>
    <row r="104" spans="4:5" x14ac:dyDescent="0.25">
      <c r="D104" s="116"/>
      <c r="E104" s="125"/>
    </row>
    <row r="105" spans="4:5" x14ac:dyDescent="0.25">
      <c r="D105" s="116"/>
      <c r="E105" s="125"/>
    </row>
    <row r="106" spans="4:5" x14ac:dyDescent="0.25">
      <c r="D106" s="116"/>
      <c r="E106" s="125"/>
    </row>
    <row r="107" spans="4:5" x14ac:dyDescent="0.25">
      <c r="D107" s="116"/>
      <c r="E107" s="125"/>
    </row>
    <row r="108" spans="4:5" x14ac:dyDescent="0.25">
      <c r="D108" s="116"/>
      <c r="E108" s="125"/>
    </row>
    <row r="109" spans="4:5" x14ac:dyDescent="0.25">
      <c r="D109" s="116"/>
      <c r="E109" s="125"/>
    </row>
    <row r="110" spans="4:5" x14ac:dyDescent="0.25">
      <c r="D110" s="116"/>
      <c r="E110" s="125"/>
    </row>
    <row r="111" spans="4:5" x14ac:dyDescent="0.25">
      <c r="D111" s="116"/>
      <c r="E111" s="125"/>
    </row>
    <row r="112" spans="4:5" x14ac:dyDescent="0.25">
      <c r="D112" s="116"/>
      <c r="E112" s="125"/>
    </row>
    <row r="113" spans="4:5" x14ac:dyDescent="0.25">
      <c r="D113" s="116"/>
      <c r="E113" s="125"/>
    </row>
    <row r="114" spans="4:5" x14ac:dyDescent="0.25">
      <c r="D114" s="116"/>
      <c r="E114" s="125"/>
    </row>
    <row r="115" spans="4:5" x14ac:dyDescent="0.25">
      <c r="D115" s="116"/>
      <c r="E115" s="125"/>
    </row>
    <row r="116" spans="4:5" x14ac:dyDescent="0.25">
      <c r="D116" s="116"/>
      <c r="E116" s="125"/>
    </row>
    <row r="117" spans="4:5" x14ac:dyDescent="0.25">
      <c r="D117" s="116"/>
      <c r="E117" s="125"/>
    </row>
    <row r="118" spans="4:5" x14ac:dyDescent="0.25">
      <c r="D118" s="116"/>
      <c r="E118" s="125"/>
    </row>
    <row r="119" spans="4:5" x14ac:dyDescent="0.25">
      <c r="D119" s="116"/>
      <c r="E119" s="125"/>
    </row>
    <row r="120" spans="4:5" x14ac:dyDescent="0.25">
      <c r="D120" s="116"/>
      <c r="E120" s="125"/>
    </row>
    <row r="121" spans="4:5" x14ac:dyDescent="0.25">
      <c r="D121" s="116"/>
      <c r="E121" s="125"/>
    </row>
    <row r="122" spans="4:5" x14ac:dyDescent="0.25">
      <c r="D122" s="116"/>
      <c r="E122" s="125"/>
    </row>
    <row r="123" spans="4:5" x14ac:dyDescent="0.25">
      <c r="D123" s="116"/>
      <c r="E123" s="125"/>
    </row>
    <row r="124" spans="4:5" x14ac:dyDescent="0.25">
      <c r="D124" s="116"/>
      <c r="E124" s="125"/>
    </row>
    <row r="125" spans="4:5" x14ac:dyDescent="0.25">
      <c r="D125" s="116"/>
      <c r="E125" s="125"/>
    </row>
    <row r="126" spans="4:5" x14ac:dyDescent="0.25">
      <c r="D126" s="116"/>
      <c r="E126" s="125"/>
    </row>
    <row r="127" spans="4:5" x14ac:dyDescent="0.25">
      <c r="D127" s="116"/>
      <c r="E127" s="125"/>
    </row>
    <row r="128" spans="4:5" x14ac:dyDescent="0.25">
      <c r="D128" s="116"/>
      <c r="E128" s="125"/>
    </row>
    <row r="129" spans="4:5" x14ac:dyDescent="0.25">
      <c r="D129" s="116"/>
      <c r="E129" s="125"/>
    </row>
    <row r="130" spans="4:5" x14ac:dyDescent="0.25">
      <c r="D130" s="116"/>
      <c r="E130" s="125"/>
    </row>
    <row r="131" spans="4:5" x14ac:dyDescent="0.25">
      <c r="D131" s="116"/>
      <c r="E131" s="125"/>
    </row>
    <row r="132" spans="4:5" x14ac:dyDescent="0.25">
      <c r="D132" s="116"/>
      <c r="E132" s="125"/>
    </row>
    <row r="133" spans="4:5" x14ac:dyDescent="0.25">
      <c r="D133" s="116"/>
      <c r="E133" s="125"/>
    </row>
    <row r="134" spans="4:5" x14ac:dyDescent="0.25">
      <c r="D134" s="116"/>
      <c r="E134" s="125"/>
    </row>
    <row r="135" spans="4:5" x14ac:dyDescent="0.25">
      <c r="D135" s="116"/>
      <c r="E135" s="125"/>
    </row>
    <row r="136" spans="4:5" x14ac:dyDescent="0.25">
      <c r="D136" s="116"/>
      <c r="E136" s="125"/>
    </row>
    <row r="137" spans="4:5" x14ac:dyDescent="0.25">
      <c r="D137" s="116"/>
      <c r="E137" s="125"/>
    </row>
    <row r="138" spans="4:5" x14ac:dyDescent="0.25">
      <c r="D138" s="116"/>
      <c r="E138" s="125"/>
    </row>
    <row r="139" spans="4:5" x14ac:dyDescent="0.25">
      <c r="D139" s="116"/>
      <c r="E139" s="125"/>
    </row>
    <row r="140" spans="4:5" x14ac:dyDescent="0.25">
      <c r="D140" s="116"/>
      <c r="E140" s="125"/>
    </row>
    <row r="141" spans="4:5" x14ac:dyDescent="0.25">
      <c r="D141" s="116"/>
      <c r="E141" s="125"/>
    </row>
    <row r="142" spans="4:5" x14ac:dyDescent="0.25">
      <c r="D142" s="116"/>
      <c r="E142" s="125"/>
    </row>
    <row r="143" spans="4:5" x14ac:dyDescent="0.25">
      <c r="D143" s="116"/>
      <c r="E143" s="125"/>
    </row>
    <row r="144" spans="4:5" x14ac:dyDescent="0.25">
      <c r="D144" s="116"/>
      <c r="E144" s="125"/>
    </row>
    <row r="145" spans="4:5" x14ac:dyDescent="0.25">
      <c r="D145" s="116"/>
      <c r="E145" s="125"/>
    </row>
    <row r="146" spans="4:5" x14ac:dyDescent="0.25">
      <c r="D146" s="116"/>
      <c r="E146" s="125"/>
    </row>
    <row r="147" spans="4:5" x14ac:dyDescent="0.25">
      <c r="D147" s="116"/>
      <c r="E147" s="125"/>
    </row>
    <row r="148" spans="4:5" x14ac:dyDescent="0.25">
      <c r="D148" s="116"/>
      <c r="E148" s="125"/>
    </row>
    <row r="149" spans="4:5" x14ac:dyDescent="0.25">
      <c r="D149" s="116"/>
      <c r="E149" s="125"/>
    </row>
    <row r="150" spans="4:5" x14ac:dyDescent="0.25">
      <c r="D150" s="116"/>
      <c r="E150" s="125"/>
    </row>
    <row r="151" spans="4:5" x14ac:dyDescent="0.25">
      <c r="D151" s="116"/>
      <c r="E151" s="125"/>
    </row>
    <row r="152" spans="4:5" x14ac:dyDescent="0.25">
      <c r="D152" s="116"/>
      <c r="E152" s="125"/>
    </row>
    <row r="153" spans="4:5" x14ac:dyDescent="0.25">
      <c r="D153" s="116"/>
      <c r="E153" s="125"/>
    </row>
    <row r="154" spans="4:5" x14ac:dyDescent="0.25">
      <c r="D154" s="116"/>
      <c r="E154" s="125"/>
    </row>
    <row r="155" spans="4:5" x14ac:dyDescent="0.25">
      <c r="D155" s="116"/>
      <c r="E155" s="125"/>
    </row>
    <row r="156" spans="4:5" x14ac:dyDescent="0.25">
      <c r="D156" s="116"/>
      <c r="E156" s="125"/>
    </row>
    <row r="157" spans="4:5" x14ac:dyDescent="0.25">
      <c r="D157" s="116"/>
      <c r="E157" s="125"/>
    </row>
    <row r="158" spans="4:5" x14ac:dyDescent="0.25">
      <c r="D158" s="116"/>
      <c r="E158" s="125"/>
    </row>
    <row r="159" spans="4:5" x14ac:dyDescent="0.25">
      <c r="D159" s="116"/>
      <c r="E159" s="125"/>
    </row>
    <row r="160" spans="4:5" x14ac:dyDescent="0.25">
      <c r="D160" s="116"/>
      <c r="E160" s="125"/>
    </row>
    <row r="161" spans="4:5" x14ac:dyDescent="0.25">
      <c r="D161" s="116"/>
      <c r="E161" s="125"/>
    </row>
    <row r="162" spans="4:5" x14ac:dyDescent="0.25">
      <c r="D162" s="116"/>
      <c r="E162" s="125"/>
    </row>
    <row r="163" spans="4:5" x14ac:dyDescent="0.25">
      <c r="D163" s="116"/>
      <c r="E163" s="125"/>
    </row>
    <row r="164" spans="4:5" x14ac:dyDescent="0.25">
      <c r="D164" s="116"/>
      <c r="E164" s="125"/>
    </row>
    <row r="165" spans="4:5" x14ac:dyDescent="0.25">
      <c r="D165" s="116"/>
      <c r="E165" s="125"/>
    </row>
    <row r="166" spans="4:5" x14ac:dyDescent="0.25">
      <c r="D166" s="116"/>
      <c r="E166" s="125"/>
    </row>
    <row r="167" spans="4:5" x14ac:dyDescent="0.25">
      <c r="D167" s="116"/>
      <c r="E167" s="125"/>
    </row>
    <row r="168" spans="4:5" x14ac:dyDescent="0.25">
      <c r="D168" s="116"/>
      <c r="E168" s="125"/>
    </row>
    <row r="169" spans="4:5" x14ac:dyDescent="0.25">
      <c r="D169" s="116"/>
      <c r="E169" s="125"/>
    </row>
    <row r="170" spans="4:5" x14ac:dyDescent="0.25">
      <c r="D170" s="116"/>
      <c r="E170" s="125"/>
    </row>
    <row r="171" spans="4:5" x14ac:dyDescent="0.25">
      <c r="D171" s="116"/>
      <c r="E171" s="125"/>
    </row>
    <row r="172" spans="4:5" x14ac:dyDescent="0.25">
      <c r="D172" s="116"/>
      <c r="E172" s="125"/>
    </row>
    <row r="173" spans="4:5" x14ac:dyDescent="0.25">
      <c r="D173" s="116"/>
      <c r="E173" s="125"/>
    </row>
    <row r="174" spans="4:5" x14ac:dyDescent="0.25">
      <c r="D174" s="116"/>
      <c r="E174" s="125"/>
    </row>
    <row r="175" spans="4:5" x14ac:dyDescent="0.25">
      <c r="D175" s="116"/>
      <c r="E175" s="125"/>
    </row>
    <row r="176" spans="4:5" x14ac:dyDescent="0.25">
      <c r="D176" s="116"/>
      <c r="E176" s="125"/>
    </row>
    <row r="177" spans="4:5" x14ac:dyDescent="0.25">
      <c r="D177" s="116"/>
      <c r="E177" s="125"/>
    </row>
    <row r="178" spans="4:5" x14ac:dyDescent="0.25">
      <c r="D178" s="116"/>
      <c r="E178" s="125"/>
    </row>
    <row r="179" spans="4:5" x14ac:dyDescent="0.25">
      <c r="D179" s="116"/>
      <c r="E179" s="125"/>
    </row>
    <row r="180" spans="4:5" x14ac:dyDescent="0.25">
      <c r="D180" s="116"/>
      <c r="E180" s="125"/>
    </row>
    <row r="181" spans="4:5" x14ac:dyDescent="0.25">
      <c r="D181" s="116"/>
      <c r="E181" s="125"/>
    </row>
    <row r="182" spans="4:5" x14ac:dyDescent="0.25">
      <c r="D182" s="116"/>
      <c r="E182" s="125"/>
    </row>
    <row r="183" spans="4:5" x14ac:dyDescent="0.25">
      <c r="D183" s="116"/>
      <c r="E183" s="125"/>
    </row>
    <row r="184" spans="4:5" x14ac:dyDescent="0.25">
      <c r="D184" s="116"/>
      <c r="E184" s="125"/>
    </row>
    <row r="185" spans="4:5" x14ac:dyDescent="0.25">
      <c r="D185" s="116"/>
      <c r="E185" s="125"/>
    </row>
    <row r="186" spans="4:5" x14ac:dyDescent="0.25">
      <c r="D186" s="116"/>
      <c r="E186" s="125"/>
    </row>
    <row r="187" spans="4:5" x14ac:dyDescent="0.25">
      <c r="D187" s="116"/>
      <c r="E187" s="125"/>
    </row>
    <row r="188" spans="4:5" x14ac:dyDescent="0.25">
      <c r="D188" s="116"/>
      <c r="E188" s="125"/>
    </row>
    <row r="189" spans="4:5" x14ac:dyDescent="0.25">
      <c r="D189" s="116"/>
      <c r="E189" s="125"/>
    </row>
    <row r="190" spans="4:5" x14ac:dyDescent="0.25">
      <c r="D190" s="116"/>
      <c r="E190" s="125"/>
    </row>
    <row r="191" spans="4:5" x14ac:dyDescent="0.25">
      <c r="D191" s="116"/>
      <c r="E191" s="125"/>
    </row>
    <row r="192" spans="4:5" x14ac:dyDescent="0.25">
      <c r="D192" s="116"/>
      <c r="E192" s="125"/>
    </row>
    <row r="193" spans="4:5" x14ac:dyDescent="0.25">
      <c r="D193" s="116"/>
      <c r="E193" s="125"/>
    </row>
    <row r="194" spans="4:5" x14ac:dyDescent="0.25">
      <c r="D194" s="116"/>
      <c r="E194" s="125"/>
    </row>
    <row r="195" spans="4:5" x14ac:dyDescent="0.25">
      <c r="D195" s="116"/>
      <c r="E195" s="125"/>
    </row>
    <row r="196" spans="4:5" x14ac:dyDescent="0.25">
      <c r="D196" s="116"/>
      <c r="E196" s="125"/>
    </row>
    <row r="197" spans="4:5" x14ac:dyDescent="0.25">
      <c r="D197" s="116"/>
      <c r="E197" s="125"/>
    </row>
    <row r="198" spans="4:5" x14ac:dyDescent="0.25">
      <c r="D198" s="116"/>
      <c r="E198" s="125"/>
    </row>
    <row r="199" spans="4:5" x14ac:dyDescent="0.25">
      <c r="D199" s="116"/>
      <c r="E199" s="125"/>
    </row>
    <row r="200" spans="4:5" x14ac:dyDescent="0.25">
      <c r="D200" s="116"/>
      <c r="E200" s="125"/>
    </row>
    <row r="201" spans="4:5" x14ac:dyDescent="0.25">
      <c r="D201" s="116"/>
      <c r="E201" s="125"/>
    </row>
    <row r="202" spans="4:5" x14ac:dyDescent="0.25">
      <c r="D202" s="116"/>
      <c r="E202" s="125"/>
    </row>
    <row r="203" spans="4:5" x14ac:dyDescent="0.25">
      <c r="D203" s="116"/>
      <c r="E203" s="125"/>
    </row>
    <row r="204" spans="4:5" x14ac:dyDescent="0.25">
      <c r="D204" s="116"/>
      <c r="E204" s="125"/>
    </row>
    <row r="205" spans="4:5" x14ac:dyDescent="0.25">
      <c r="D205" s="116"/>
      <c r="E205" s="125"/>
    </row>
    <row r="206" spans="4:5" x14ac:dyDescent="0.25">
      <c r="D206" s="116"/>
      <c r="E206" s="125"/>
    </row>
    <row r="207" spans="4:5" x14ac:dyDescent="0.25">
      <c r="D207" s="116"/>
      <c r="E207" s="125"/>
    </row>
    <row r="208" spans="4:5" x14ac:dyDescent="0.25">
      <c r="D208" s="116"/>
      <c r="E208" s="125"/>
    </row>
    <row r="209" spans="4:5" x14ac:dyDescent="0.25">
      <c r="D209" s="116"/>
      <c r="E209" s="125"/>
    </row>
    <row r="210" spans="4:5" x14ac:dyDescent="0.25">
      <c r="D210" s="116"/>
      <c r="E210" s="125"/>
    </row>
    <row r="211" spans="4:5" x14ac:dyDescent="0.25">
      <c r="D211" s="116"/>
      <c r="E211" s="125"/>
    </row>
    <row r="212" spans="4:5" x14ac:dyDescent="0.25">
      <c r="D212" s="116"/>
      <c r="E212" s="125"/>
    </row>
    <row r="213" spans="4:5" x14ac:dyDescent="0.25">
      <c r="D213" s="116"/>
      <c r="E213" s="125"/>
    </row>
    <row r="214" spans="4:5" x14ac:dyDescent="0.25">
      <c r="D214" s="116"/>
      <c r="E214" s="125"/>
    </row>
    <row r="215" spans="4:5" x14ac:dyDescent="0.25">
      <c r="D215" s="116"/>
      <c r="E215" s="125"/>
    </row>
    <row r="216" spans="4:5" x14ac:dyDescent="0.25">
      <c r="D216" s="116"/>
      <c r="E216" s="125"/>
    </row>
    <row r="217" spans="4:5" x14ac:dyDescent="0.25">
      <c r="D217" s="116"/>
      <c r="E217" s="125"/>
    </row>
    <row r="218" spans="4:5" x14ac:dyDescent="0.25">
      <c r="D218" s="116"/>
      <c r="E218" s="125"/>
    </row>
    <row r="219" spans="4:5" x14ac:dyDescent="0.25">
      <c r="D219" s="116"/>
      <c r="E219" s="125"/>
    </row>
    <row r="220" spans="4:5" x14ac:dyDescent="0.25">
      <c r="D220" s="116"/>
      <c r="E220" s="125"/>
    </row>
    <row r="221" spans="4:5" x14ac:dyDescent="0.25">
      <c r="D221" s="116"/>
      <c r="E221" s="125"/>
    </row>
    <row r="222" spans="4:5" x14ac:dyDescent="0.25">
      <c r="D222" s="116"/>
      <c r="E222" s="125"/>
    </row>
    <row r="223" spans="4:5" x14ac:dyDescent="0.25">
      <c r="D223" s="116"/>
      <c r="E223" s="125"/>
    </row>
    <row r="224" spans="4:5" x14ac:dyDescent="0.25">
      <c r="D224" s="116"/>
      <c r="E224" s="125"/>
    </row>
    <row r="225" spans="4:5" x14ac:dyDescent="0.25">
      <c r="D225" s="116"/>
      <c r="E225" s="125"/>
    </row>
    <row r="226" spans="4:5" x14ac:dyDescent="0.25">
      <c r="D226" s="116"/>
      <c r="E226" s="125"/>
    </row>
    <row r="227" spans="4:5" x14ac:dyDescent="0.25">
      <c r="D227" s="116"/>
      <c r="E227" s="125"/>
    </row>
    <row r="228" spans="4:5" x14ac:dyDescent="0.25">
      <c r="D228" s="116"/>
      <c r="E228" s="125"/>
    </row>
    <row r="229" spans="4:5" x14ac:dyDescent="0.25">
      <c r="D229" s="116"/>
      <c r="E229" s="125"/>
    </row>
    <row r="230" spans="4:5" x14ac:dyDescent="0.25">
      <c r="D230" s="116"/>
      <c r="E230" s="125"/>
    </row>
    <row r="231" spans="4:5" x14ac:dyDescent="0.25">
      <c r="D231" s="116"/>
      <c r="E231" s="125"/>
    </row>
    <row r="232" spans="4:5" x14ac:dyDescent="0.25">
      <c r="D232" s="116"/>
      <c r="E232" s="125"/>
    </row>
    <row r="233" spans="4:5" x14ac:dyDescent="0.25">
      <c r="D233" s="116"/>
      <c r="E233" s="125"/>
    </row>
    <row r="234" spans="4:5" x14ac:dyDescent="0.25">
      <c r="D234" s="116"/>
      <c r="E234" s="125"/>
    </row>
    <row r="235" spans="4:5" x14ac:dyDescent="0.25">
      <c r="D235" s="116"/>
      <c r="E235" s="125"/>
    </row>
    <row r="236" spans="4:5" x14ac:dyDescent="0.25">
      <c r="D236" s="116"/>
      <c r="E236" s="125"/>
    </row>
    <row r="237" spans="4:5" x14ac:dyDescent="0.25">
      <c r="D237" s="116"/>
      <c r="E237" s="125"/>
    </row>
    <row r="238" spans="4:5" x14ac:dyDescent="0.25">
      <c r="D238" s="116"/>
      <c r="E238" s="125"/>
    </row>
    <row r="239" spans="4:5" x14ac:dyDescent="0.25">
      <c r="D239" s="116"/>
      <c r="E239" s="125"/>
    </row>
    <row r="240" spans="4:5" x14ac:dyDescent="0.25">
      <c r="D240" s="116"/>
      <c r="E240" s="125"/>
    </row>
    <row r="241" spans="4:5" x14ac:dyDescent="0.25">
      <c r="D241" s="116"/>
      <c r="E241" s="125"/>
    </row>
    <row r="242" spans="4:5" x14ac:dyDescent="0.25">
      <c r="D242" s="116"/>
      <c r="E242" s="125"/>
    </row>
    <row r="243" spans="4:5" x14ac:dyDescent="0.25">
      <c r="D243" s="116"/>
      <c r="E243" s="125"/>
    </row>
    <row r="244" spans="4:5" x14ac:dyDescent="0.25">
      <c r="D244" s="116"/>
      <c r="E244" s="125"/>
    </row>
    <row r="245" spans="4:5" x14ac:dyDescent="0.25">
      <c r="D245" s="116"/>
      <c r="E245" s="125"/>
    </row>
    <row r="246" spans="4:5" x14ac:dyDescent="0.25">
      <c r="D246" s="116"/>
      <c r="E246" s="125"/>
    </row>
    <row r="247" spans="4:5" x14ac:dyDescent="0.25">
      <c r="D247" s="116"/>
      <c r="E247" s="125"/>
    </row>
    <row r="248" spans="4:5" x14ac:dyDescent="0.25">
      <c r="D248" s="116"/>
      <c r="E248" s="125"/>
    </row>
    <row r="249" spans="4:5" x14ac:dyDescent="0.25">
      <c r="D249" s="116"/>
      <c r="E249" s="125"/>
    </row>
    <row r="250" spans="4:5" x14ac:dyDescent="0.25">
      <c r="D250" s="116"/>
      <c r="E250" s="125"/>
    </row>
    <row r="251" spans="4:5" x14ac:dyDescent="0.25">
      <c r="D251" s="116"/>
      <c r="E251" s="125"/>
    </row>
    <row r="252" spans="4:5" x14ac:dyDescent="0.25">
      <c r="D252" s="116"/>
      <c r="E252" s="125"/>
    </row>
    <row r="253" spans="4:5" x14ac:dyDescent="0.25">
      <c r="D253" s="116"/>
      <c r="E253" s="125"/>
    </row>
    <row r="254" spans="4:5" x14ac:dyDescent="0.25">
      <c r="D254" s="116"/>
      <c r="E254" s="125"/>
    </row>
    <row r="255" spans="4:5" x14ac:dyDescent="0.25">
      <c r="D255" s="116"/>
      <c r="E255" s="125"/>
    </row>
    <row r="256" spans="4:5" x14ac:dyDescent="0.25">
      <c r="D256" s="116"/>
      <c r="E256" s="125"/>
    </row>
    <row r="257" spans="4:5" x14ac:dyDescent="0.25">
      <c r="D257" s="116"/>
      <c r="E257" s="125"/>
    </row>
    <row r="258" spans="4:5" x14ac:dyDescent="0.25">
      <c r="D258" s="116"/>
      <c r="E258" s="125"/>
    </row>
    <row r="259" spans="4:5" x14ac:dyDescent="0.25">
      <c r="D259" s="116"/>
      <c r="E259" s="125"/>
    </row>
    <row r="260" spans="4:5" x14ac:dyDescent="0.25">
      <c r="D260" s="116"/>
      <c r="E260" s="125"/>
    </row>
    <row r="261" spans="4:5" x14ac:dyDescent="0.25">
      <c r="D261" s="116"/>
      <c r="E261" s="125"/>
    </row>
    <row r="262" spans="4:5" x14ac:dyDescent="0.25">
      <c r="D262" s="116"/>
      <c r="E262" s="125"/>
    </row>
    <row r="263" spans="4:5" x14ac:dyDescent="0.25">
      <c r="D263" s="116"/>
      <c r="E263" s="125"/>
    </row>
    <row r="264" spans="4:5" x14ac:dyDescent="0.25">
      <c r="D264" s="116"/>
      <c r="E264" s="125"/>
    </row>
    <row r="265" spans="4:5" x14ac:dyDescent="0.25">
      <c r="D265" s="116"/>
      <c r="E265" s="125"/>
    </row>
    <row r="266" spans="4:5" x14ac:dyDescent="0.25">
      <c r="D266" s="116"/>
      <c r="E266" s="125"/>
    </row>
    <row r="267" spans="4:5" x14ac:dyDescent="0.25">
      <c r="D267" s="116"/>
      <c r="E267" s="125"/>
    </row>
    <row r="268" spans="4:5" x14ac:dyDescent="0.25">
      <c r="D268" s="116"/>
      <c r="E268" s="125"/>
    </row>
    <row r="269" spans="4:5" x14ac:dyDescent="0.25">
      <c r="D269" s="116"/>
      <c r="E269" s="125"/>
    </row>
    <row r="270" spans="4:5" x14ac:dyDescent="0.25">
      <c r="D270" s="116"/>
      <c r="E270" s="125"/>
    </row>
    <row r="271" spans="4:5" x14ac:dyDescent="0.25">
      <c r="D271" s="116"/>
      <c r="E271" s="125"/>
    </row>
    <row r="272" spans="4:5" x14ac:dyDescent="0.25">
      <c r="D272" s="116"/>
      <c r="E272" s="125"/>
    </row>
    <row r="273" spans="4:5" x14ac:dyDescent="0.25">
      <c r="D273" s="116"/>
      <c r="E273" s="125"/>
    </row>
    <row r="274" spans="4:5" x14ac:dyDescent="0.25">
      <c r="D274" s="116"/>
      <c r="E274" s="125"/>
    </row>
    <row r="275" spans="4:5" x14ac:dyDescent="0.25">
      <c r="D275" s="116"/>
      <c r="E275" s="125"/>
    </row>
    <row r="276" spans="4:5" x14ac:dyDescent="0.25">
      <c r="D276" s="116"/>
      <c r="E276" s="125"/>
    </row>
    <row r="277" spans="4:5" x14ac:dyDescent="0.25">
      <c r="D277" s="116"/>
      <c r="E277" s="125"/>
    </row>
    <row r="278" spans="4:5" x14ac:dyDescent="0.25">
      <c r="D278" s="116"/>
      <c r="E278" s="125"/>
    </row>
    <row r="279" spans="4:5" x14ac:dyDescent="0.25">
      <c r="D279" s="116"/>
      <c r="E279" s="125"/>
    </row>
    <row r="280" spans="4:5" x14ac:dyDescent="0.25">
      <c r="D280" s="116"/>
      <c r="E280" s="125"/>
    </row>
    <row r="281" spans="4:5" x14ac:dyDescent="0.25">
      <c r="D281" s="116"/>
      <c r="E281" s="125"/>
    </row>
    <row r="282" spans="4:5" x14ac:dyDescent="0.25">
      <c r="D282" s="116"/>
      <c r="E282" s="125"/>
    </row>
    <row r="283" spans="4:5" x14ac:dyDescent="0.25">
      <c r="D283" s="116"/>
      <c r="E283" s="125"/>
    </row>
    <row r="284" spans="4:5" x14ac:dyDescent="0.25">
      <c r="D284" s="116"/>
      <c r="E284" s="125"/>
    </row>
    <row r="285" spans="4:5" x14ac:dyDescent="0.25">
      <c r="D285" s="116"/>
      <c r="E285" s="125"/>
    </row>
    <row r="286" spans="4:5" x14ac:dyDescent="0.25">
      <c r="D286" s="116"/>
      <c r="E286" s="125"/>
    </row>
    <row r="287" spans="4:5" x14ac:dyDescent="0.25">
      <c r="D287" s="116"/>
      <c r="E287" s="125"/>
    </row>
    <row r="288" spans="4:5" x14ac:dyDescent="0.25">
      <c r="D288" s="116"/>
      <c r="E288" s="125"/>
    </row>
    <row r="289" spans="4:5" x14ac:dyDescent="0.25">
      <c r="D289" s="116"/>
      <c r="E289" s="125"/>
    </row>
    <row r="290" spans="4:5" x14ac:dyDescent="0.25">
      <c r="D290" s="116"/>
      <c r="E290" s="125"/>
    </row>
    <row r="291" spans="4:5" x14ac:dyDescent="0.25">
      <c r="D291" s="116"/>
    </row>
    <row r="292" spans="4:5" x14ac:dyDescent="0.25">
      <c r="D292" s="116"/>
    </row>
    <row r="293" spans="4:5" x14ac:dyDescent="0.25">
      <c r="D293" s="116"/>
    </row>
    <row r="294" spans="4:5" x14ac:dyDescent="0.25">
      <c r="D294" s="116"/>
    </row>
    <row r="295" spans="4:5" x14ac:dyDescent="0.25">
      <c r="D295" s="116"/>
    </row>
    <row r="296" spans="4:5" x14ac:dyDescent="0.25">
      <c r="D296" s="116"/>
    </row>
    <row r="297" spans="4:5" x14ac:dyDescent="0.25">
      <c r="D297" s="116"/>
    </row>
    <row r="298" spans="4:5" x14ac:dyDescent="0.25">
      <c r="D298" s="116"/>
    </row>
    <row r="299" spans="4:5" x14ac:dyDescent="0.25">
      <c r="D299" s="116"/>
    </row>
    <row r="300" spans="4:5" x14ac:dyDescent="0.25">
      <c r="D300" s="116"/>
    </row>
    <row r="301" spans="4:5" x14ac:dyDescent="0.25">
      <c r="D301" s="116"/>
    </row>
  </sheetData>
  <mergeCells count="554">
    <mergeCell ref="G23:AH23"/>
    <mergeCell ref="AB47:AD47"/>
    <mergeCell ref="AB48:AD48"/>
    <mergeCell ref="AB49:AD49"/>
    <mergeCell ref="AB50:AD50"/>
    <mergeCell ref="AB51:AD51"/>
    <mergeCell ref="AB52:AD52"/>
    <mergeCell ref="AB53:AD53"/>
    <mergeCell ref="AB54:AD54"/>
    <mergeCell ref="AB24:AD24"/>
    <mergeCell ref="AB25:AD25"/>
    <mergeCell ref="AB26:AD26"/>
    <mergeCell ref="AB27:AD27"/>
    <mergeCell ref="AB28:AD28"/>
    <mergeCell ref="AB29:AD29"/>
    <mergeCell ref="AB30:AD30"/>
    <mergeCell ref="AE53:AG53"/>
    <mergeCell ref="P51:R51"/>
    <mergeCell ref="P52:R52"/>
    <mergeCell ref="P53:R53"/>
    <mergeCell ref="P38:R38"/>
    <mergeCell ref="S38:U38"/>
    <mergeCell ref="V38:X38"/>
    <mergeCell ref="V28:X28"/>
    <mergeCell ref="AB55:AD55"/>
    <mergeCell ref="AB38:AD38"/>
    <mergeCell ref="AB39:AD39"/>
    <mergeCell ref="AB40:AD40"/>
    <mergeCell ref="AB41:AD41"/>
    <mergeCell ref="AB42:AD42"/>
    <mergeCell ref="AB43:AD43"/>
    <mergeCell ref="AB44:AD44"/>
    <mergeCell ref="AB45:AD45"/>
    <mergeCell ref="AB46:AD46"/>
    <mergeCell ref="V32:X32"/>
    <mergeCell ref="V33:X33"/>
    <mergeCell ref="V34:X34"/>
    <mergeCell ref="V35:X35"/>
    <mergeCell ref="V36:X36"/>
    <mergeCell ref="AE54:AG54"/>
    <mergeCell ref="Y51:AA51"/>
    <mergeCell ref="Y52:AA52"/>
    <mergeCell ref="Y53:AA53"/>
    <mergeCell ref="Y54:AA54"/>
    <mergeCell ref="V50:X50"/>
    <mergeCell ref="V51:X51"/>
    <mergeCell ref="V52:X52"/>
    <mergeCell ref="V53:X53"/>
    <mergeCell ref="V54:X54"/>
    <mergeCell ref="V42:X42"/>
    <mergeCell ref="AE37:AG37"/>
    <mergeCell ref="AB37:AD37"/>
    <mergeCell ref="V43:X43"/>
    <mergeCell ref="V44:X44"/>
    <mergeCell ref="V45:X45"/>
    <mergeCell ref="AE55:AG55"/>
    <mergeCell ref="AE56:AG56"/>
    <mergeCell ref="AE57:AG57"/>
    <mergeCell ref="AE44:AG44"/>
    <mergeCell ref="AE45:AG45"/>
    <mergeCell ref="AE46:AG46"/>
    <mergeCell ref="AE47:AG47"/>
    <mergeCell ref="AE48:AG48"/>
    <mergeCell ref="AE49:AG49"/>
    <mergeCell ref="AE50:AG50"/>
    <mergeCell ref="AE51:AG51"/>
    <mergeCell ref="AE52:AG52"/>
    <mergeCell ref="Y60:AA60"/>
    <mergeCell ref="AE60:AG60"/>
    <mergeCell ref="AE59:AG59"/>
    <mergeCell ref="AE58:AG58"/>
    <mergeCell ref="AB56:AD56"/>
    <mergeCell ref="AB57:AD57"/>
    <mergeCell ref="AB58:AD58"/>
    <mergeCell ref="AB59:AD59"/>
    <mergeCell ref="AB60:AD60"/>
    <mergeCell ref="Y55:AA55"/>
    <mergeCell ref="Y56:AA56"/>
    <mergeCell ref="Y57:AA57"/>
    <mergeCell ref="Y58:AA58"/>
    <mergeCell ref="Y59:AA59"/>
    <mergeCell ref="S56:U56"/>
    <mergeCell ref="S57:U57"/>
    <mergeCell ref="S58:U58"/>
    <mergeCell ref="S59:U59"/>
    <mergeCell ref="S60:U60"/>
    <mergeCell ref="Y38:AA38"/>
    <mergeCell ref="Y39:AA39"/>
    <mergeCell ref="AE38:AG38"/>
    <mergeCell ref="AE39:AG39"/>
    <mergeCell ref="AE40:AG40"/>
    <mergeCell ref="AE41:AG41"/>
    <mergeCell ref="AE42:AG42"/>
    <mergeCell ref="AE43:AG43"/>
    <mergeCell ref="Y40:AA40"/>
    <mergeCell ref="Y41:AA41"/>
    <mergeCell ref="Y42:AA42"/>
    <mergeCell ref="Y43:AA43"/>
    <mergeCell ref="Y44:AA44"/>
    <mergeCell ref="Y45:AA45"/>
    <mergeCell ref="Y46:AA46"/>
    <mergeCell ref="Y47:AA47"/>
    <mergeCell ref="Y48:AA48"/>
    <mergeCell ref="Y49:AA49"/>
    <mergeCell ref="Y50:AA50"/>
    <mergeCell ref="V55:X55"/>
    <mergeCell ref="V56:X56"/>
    <mergeCell ref="V48:X48"/>
    <mergeCell ref="V49:X49"/>
    <mergeCell ref="P50:R50"/>
    <mergeCell ref="V57:X57"/>
    <mergeCell ref="V58:X58"/>
    <mergeCell ref="V59:X59"/>
    <mergeCell ref="V60:X60"/>
    <mergeCell ref="S39:U39"/>
    <mergeCell ref="S40:U40"/>
    <mergeCell ref="S41:U41"/>
    <mergeCell ref="S42:U42"/>
    <mergeCell ref="S43:U43"/>
    <mergeCell ref="S44:U44"/>
    <mergeCell ref="S45:U45"/>
    <mergeCell ref="S46:U46"/>
    <mergeCell ref="S47:U47"/>
    <mergeCell ref="S48:U48"/>
    <mergeCell ref="S49:U49"/>
    <mergeCell ref="S50:U50"/>
    <mergeCell ref="S51:U51"/>
    <mergeCell ref="S52:U52"/>
    <mergeCell ref="S53:U53"/>
    <mergeCell ref="S54:U54"/>
    <mergeCell ref="S55:U55"/>
    <mergeCell ref="V46:X46"/>
    <mergeCell ref="V47:X47"/>
    <mergeCell ref="P34:R34"/>
    <mergeCell ref="S34:U34"/>
    <mergeCell ref="P30:R30"/>
    <mergeCell ref="P31:R31"/>
    <mergeCell ref="P32:R32"/>
    <mergeCell ref="S31:U31"/>
    <mergeCell ref="S32:U32"/>
    <mergeCell ref="S33:U33"/>
    <mergeCell ref="P33:R33"/>
    <mergeCell ref="V24:X24"/>
    <mergeCell ref="V25:X25"/>
    <mergeCell ref="V27:X27"/>
    <mergeCell ref="V26:X26"/>
    <mergeCell ref="Y24:AA24"/>
    <mergeCell ref="AE35:AG35"/>
    <mergeCell ref="AE36:AG36"/>
    <mergeCell ref="Y35:AA35"/>
    <mergeCell ref="AE24:AG24"/>
    <mergeCell ref="AE25:AG25"/>
    <mergeCell ref="AE26:AG26"/>
    <mergeCell ref="AE27:AG27"/>
    <mergeCell ref="AE28:AG28"/>
    <mergeCell ref="AE29:AG29"/>
    <mergeCell ref="AE30:AG30"/>
    <mergeCell ref="AB31:AD31"/>
    <mergeCell ref="AB32:AD32"/>
    <mergeCell ref="AB33:AD33"/>
    <mergeCell ref="AB34:AD34"/>
    <mergeCell ref="AB35:AD35"/>
    <mergeCell ref="AB36:AD36"/>
    <mergeCell ref="V29:X29"/>
    <mergeCell ref="V30:X30"/>
    <mergeCell ref="V31:X31"/>
    <mergeCell ref="S35:U35"/>
    <mergeCell ref="P36:R36"/>
    <mergeCell ref="S36:U36"/>
    <mergeCell ref="Y36:AA36"/>
    <mergeCell ref="P37:R37"/>
    <mergeCell ref="S37:U37"/>
    <mergeCell ref="Y37:AA37"/>
    <mergeCell ref="P39:R39"/>
    <mergeCell ref="P40:R40"/>
    <mergeCell ref="V37:X37"/>
    <mergeCell ref="M51:O51"/>
    <mergeCell ref="M52:O52"/>
    <mergeCell ref="M53:O53"/>
    <mergeCell ref="M54:O54"/>
    <mergeCell ref="M55:O55"/>
    <mergeCell ref="M56:O56"/>
    <mergeCell ref="M57:O57"/>
    <mergeCell ref="M58:O58"/>
    <mergeCell ref="P35:R35"/>
    <mergeCell ref="P41:R41"/>
    <mergeCell ref="P42:R42"/>
    <mergeCell ref="P43:R43"/>
    <mergeCell ref="P44:R44"/>
    <mergeCell ref="P45:R45"/>
    <mergeCell ref="P46:R46"/>
    <mergeCell ref="P47:R47"/>
    <mergeCell ref="P48:R48"/>
    <mergeCell ref="P49:R49"/>
    <mergeCell ref="P54:R54"/>
    <mergeCell ref="P55:R55"/>
    <mergeCell ref="P56:R56"/>
    <mergeCell ref="M42:O42"/>
    <mergeCell ref="M43:O43"/>
    <mergeCell ref="M44:O44"/>
    <mergeCell ref="M48:O48"/>
    <mergeCell ref="M49:O49"/>
    <mergeCell ref="M50:O50"/>
    <mergeCell ref="M33:O33"/>
    <mergeCell ref="M34:O34"/>
    <mergeCell ref="M35:O35"/>
    <mergeCell ref="M36:O36"/>
    <mergeCell ref="M37:O37"/>
    <mergeCell ref="M38:O38"/>
    <mergeCell ref="M39:O39"/>
    <mergeCell ref="M40:O40"/>
    <mergeCell ref="M41:O41"/>
    <mergeCell ref="M27:O27"/>
    <mergeCell ref="M28:O28"/>
    <mergeCell ref="M29:O29"/>
    <mergeCell ref="M30:O30"/>
    <mergeCell ref="S25:U25"/>
    <mergeCell ref="S26:U26"/>
    <mergeCell ref="Y25:AA25"/>
    <mergeCell ref="Y26:AA26"/>
    <mergeCell ref="Y27:AA27"/>
    <mergeCell ref="Y28:AA28"/>
    <mergeCell ref="Y29:AA29"/>
    <mergeCell ref="Y30:AA30"/>
    <mergeCell ref="S27:U27"/>
    <mergeCell ref="S28:U28"/>
    <mergeCell ref="S29:U29"/>
    <mergeCell ref="P28:R28"/>
    <mergeCell ref="P29:R29"/>
    <mergeCell ref="S30:U30"/>
    <mergeCell ref="P27:R27"/>
    <mergeCell ref="G57:I57"/>
    <mergeCell ref="G58:I58"/>
    <mergeCell ref="G60:I60"/>
    <mergeCell ref="G59:I59"/>
    <mergeCell ref="J25:L25"/>
    <mergeCell ref="M24:O24"/>
    <mergeCell ref="P24:R24"/>
    <mergeCell ref="S24:U24"/>
    <mergeCell ref="M25:O25"/>
    <mergeCell ref="M26:O26"/>
    <mergeCell ref="J26:L26"/>
    <mergeCell ref="J27:L27"/>
    <mergeCell ref="J28:L28"/>
    <mergeCell ref="J29:L29"/>
    <mergeCell ref="J30:L30"/>
    <mergeCell ref="J31:L31"/>
    <mergeCell ref="M31:O31"/>
    <mergeCell ref="J32:L32"/>
    <mergeCell ref="J33:L33"/>
    <mergeCell ref="J34:L34"/>
    <mergeCell ref="J35:L35"/>
    <mergeCell ref="J36:L36"/>
    <mergeCell ref="J37:L37"/>
    <mergeCell ref="J38:L38"/>
    <mergeCell ref="G48:I48"/>
    <mergeCell ref="G49:I49"/>
    <mergeCell ref="G50:I50"/>
    <mergeCell ref="G51:I51"/>
    <mergeCell ref="G52:I52"/>
    <mergeCell ref="G53:I53"/>
    <mergeCell ref="G54:I54"/>
    <mergeCell ref="G55:I55"/>
    <mergeCell ref="G56:I56"/>
    <mergeCell ref="G40:I40"/>
    <mergeCell ref="G41:I41"/>
    <mergeCell ref="G42:I42"/>
    <mergeCell ref="G43:I43"/>
    <mergeCell ref="G44:I44"/>
    <mergeCell ref="G45:I45"/>
    <mergeCell ref="G46:I46"/>
    <mergeCell ref="G47:I47"/>
    <mergeCell ref="J39:L39"/>
    <mergeCell ref="J40:L40"/>
    <mergeCell ref="J41:L41"/>
    <mergeCell ref="J42:L42"/>
    <mergeCell ref="J43:L43"/>
    <mergeCell ref="J44:L44"/>
    <mergeCell ref="J45:L45"/>
    <mergeCell ref="J46:L46"/>
    <mergeCell ref="J47:L47"/>
    <mergeCell ref="J58:L58"/>
    <mergeCell ref="J59:L59"/>
    <mergeCell ref="AE31:AG31"/>
    <mergeCell ref="AE32:AG32"/>
    <mergeCell ref="AE33:AG33"/>
    <mergeCell ref="AE34:AG34"/>
    <mergeCell ref="Y31:AA31"/>
    <mergeCell ref="Y32:AA32"/>
    <mergeCell ref="Y33:AA33"/>
    <mergeCell ref="Y34:AA34"/>
    <mergeCell ref="J48:L48"/>
    <mergeCell ref="J49:L49"/>
    <mergeCell ref="J50:L50"/>
    <mergeCell ref="J51:L51"/>
    <mergeCell ref="J52:L52"/>
    <mergeCell ref="J53:L53"/>
    <mergeCell ref="J54:L54"/>
    <mergeCell ref="J55:L55"/>
    <mergeCell ref="J56:L56"/>
    <mergeCell ref="J57:L57"/>
    <mergeCell ref="M32:O32"/>
    <mergeCell ref="M45:O45"/>
    <mergeCell ref="M46:O46"/>
    <mergeCell ref="M47:O47"/>
    <mergeCell ref="G32:I32"/>
    <mergeCell ref="G33:I33"/>
    <mergeCell ref="G34:I34"/>
    <mergeCell ref="G35:I35"/>
    <mergeCell ref="G36:I36"/>
    <mergeCell ref="G37:I37"/>
    <mergeCell ref="G38:I38"/>
    <mergeCell ref="G39:I39"/>
    <mergeCell ref="J24:L24"/>
    <mergeCell ref="G7:AE7"/>
    <mergeCell ref="D23:D24"/>
    <mergeCell ref="E23:E24"/>
    <mergeCell ref="F23:F24"/>
    <mergeCell ref="J60:L60"/>
    <mergeCell ref="M59:O59"/>
    <mergeCell ref="M60:O60"/>
    <mergeCell ref="P57:R57"/>
    <mergeCell ref="P58:R58"/>
    <mergeCell ref="P59:R59"/>
    <mergeCell ref="P60:R60"/>
    <mergeCell ref="G24:I24"/>
    <mergeCell ref="G25:I25"/>
    <mergeCell ref="G26:I26"/>
    <mergeCell ref="G27:I27"/>
    <mergeCell ref="G28:I28"/>
    <mergeCell ref="G29:I29"/>
    <mergeCell ref="G30:I30"/>
    <mergeCell ref="G31:I31"/>
    <mergeCell ref="P25:R25"/>
    <mergeCell ref="P26:R26"/>
    <mergeCell ref="V39:X39"/>
    <mergeCell ref="V40:X40"/>
    <mergeCell ref="V41:X41"/>
    <mergeCell ref="Y61:AA61"/>
    <mergeCell ref="AE61:AG61"/>
    <mergeCell ref="G62:I62"/>
    <mergeCell ref="J62:L62"/>
    <mergeCell ref="M62:O62"/>
    <mergeCell ref="P62:R62"/>
    <mergeCell ref="S62:U62"/>
    <mergeCell ref="V62:X62"/>
    <mergeCell ref="Y62:AA62"/>
    <mergeCell ref="AE62:AG62"/>
    <mergeCell ref="G61:I61"/>
    <mergeCell ref="J61:L61"/>
    <mergeCell ref="M61:O61"/>
    <mergeCell ref="P61:R61"/>
    <mergeCell ref="S61:U61"/>
    <mergeCell ref="V61:X61"/>
    <mergeCell ref="AB61:AD61"/>
    <mergeCell ref="AB62:AD62"/>
    <mergeCell ref="Y63:AA63"/>
    <mergeCell ref="AE63:AG63"/>
    <mergeCell ref="G64:I64"/>
    <mergeCell ref="J64:L64"/>
    <mergeCell ref="M64:O64"/>
    <mergeCell ref="P64:R64"/>
    <mergeCell ref="S64:U64"/>
    <mergeCell ref="V64:X64"/>
    <mergeCell ref="Y64:AA64"/>
    <mergeCell ref="AE64:AG64"/>
    <mergeCell ref="G63:I63"/>
    <mergeCell ref="J63:L63"/>
    <mergeCell ref="M63:O63"/>
    <mergeCell ref="P63:R63"/>
    <mergeCell ref="S63:U63"/>
    <mergeCell ref="V63:X63"/>
    <mergeCell ref="AB63:AD63"/>
    <mergeCell ref="AB64:AD64"/>
    <mergeCell ref="Y65:AA65"/>
    <mergeCell ref="AE65:AG65"/>
    <mergeCell ref="G66:I66"/>
    <mergeCell ref="J66:L66"/>
    <mergeCell ref="M66:O66"/>
    <mergeCell ref="P66:R66"/>
    <mergeCell ref="S66:U66"/>
    <mergeCell ref="V66:X66"/>
    <mergeCell ref="Y66:AA66"/>
    <mergeCell ref="AE66:AG66"/>
    <mergeCell ref="G65:I65"/>
    <mergeCell ref="J65:L65"/>
    <mergeCell ref="M65:O65"/>
    <mergeCell ref="P65:R65"/>
    <mergeCell ref="S65:U65"/>
    <mergeCell ref="V65:X65"/>
    <mergeCell ref="AB65:AD65"/>
    <mergeCell ref="AB66:AD66"/>
    <mergeCell ref="P67:R67"/>
    <mergeCell ref="S67:U67"/>
    <mergeCell ref="V67:X67"/>
    <mergeCell ref="Y67:AA67"/>
    <mergeCell ref="AE67:AG67"/>
    <mergeCell ref="G68:I68"/>
    <mergeCell ref="J68:L68"/>
    <mergeCell ref="M68:O68"/>
    <mergeCell ref="P68:R68"/>
    <mergeCell ref="S68:U68"/>
    <mergeCell ref="V68:X68"/>
    <mergeCell ref="Y68:AA68"/>
    <mergeCell ref="AE68:AG68"/>
    <mergeCell ref="G67:I67"/>
    <mergeCell ref="J67:L67"/>
    <mergeCell ref="M67:O67"/>
    <mergeCell ref="AB67:AD67"/>
    <mergeCell ref="AB68:AD68"/>
    <mergeCell ref="G69:I69"/>
    <mergeCell ref="J69:L69"/>
    <mergeCell ref="M69:O69"/>
    <mergeCell ref="P69:R69"/>
    <mergeCell ref="S69:U69"/>
    <mergeCell ref="V69:X69"/>
    <mergeCell ref="Y69:AA69"/>
    <mergeCell ref="AE69:AG69"/>
    <mergeCell ref="G70:I70"/>
    <mergeCell ref="J70:L70"/>
    <mergeCell ref="M70:O70"/>
    <mergeCell ref="P70:R70"/>
    <mergeCell ref="S70:U70"/>
    <mergeCell ref="V70:X70"/>
    <mergeCell ref="Y70:AA70"/>
    <mergeCell ref="AE70:AG70"/>
    <mergeCell ref="AB69:AD69"/>
    <mergeCell ref="AB70:AD70"/>
    <mergeCell ref="G71:I71"/>
    <mergeCell ref="J71:L71"/>
    <mergeCell ref="M71:O71"/>
    <mergeCell ref="P71:R71"/>
    <mergeCell ref="S71:U71"/>
    <mergeCell ref="V71:X71"/>
    <mergeCell ref="Y71:AA71"/>
    <mergeCell ref="AE71:AG71"/>
    <mergeCell ref="G72:I72"/>
    <mergeCell ref="J72:L72"/>
    <mergeCell ref="M72:O72"/>
    <mergeCell ref="P72:R72"/>
    <mergeCell ref="S72:U72"/>
    <mergeCell ref="V72:X72"/>
    <mergeCell ref="Y72:AA72"/>
    <mergeCell ref="AE72:AG72"/>
    <mergeCell ref="AB71:AD71"/>
    <mergeCell ref="AB72:AD72"/>
    <mergeCell ref="G73:I73"/>
    <mergeCell ref="J73:L73"/>
    <mergeCell ref="M73:O73"/>
    <mergeCell ref="P73:R73"/>
    <mergeCell ref="S73:U73"/>
    <mergeCell ref="V73:X73"/>
    <mergeCell ref="Y73:AA73"/>
    <mergeCell ref="AE73:AG73"/>
    <mergeCell ref="G74:I74"/>
    <mergeCell ref="J74:L74"/>
    <mergeCell ref="M74:O74"/>
    <mergeCell ref="P74:R74"/>
    <mergeCell ref="S74:U74"/>
    <mergeCell ref="V74:X74"/>
    <mergeCell ref="Y74:AA74"/>
    <mergeCell ref="AE74:AG74"/>
    <mergeCell ref="AB73:AD73"/>
    <mergeCell ref="AB74:AD74"/>
    <mergeCell ref="G75:I75"/>
    <mergeCell ref="J75:L75"/>
    <mergeCell ref="M75:O75"/>
    <mergeCell ref="P75:R75"/>
    <mergeCell ref="S75:U75"/>
    <mergeCell ref="V75:X75"/>
    <mergeCell ref="Y75:AA75"/>
    <mergeCell ref="AE75:AG75"/>
    <mergeCell ref="G76:I76"/>
    <mergeCell ref="J76:L76"/>
    <mergeCell ref="M76:O76"/>
    <mergeCell ref="P76:R76"/>
    <mergeCell ref="S76:U76"/>
    <mergeCell ref="V76:X76"/>
    <mergeCell ref="Y76:AA76"/>
    <mergeCell ref="AE76:AG76"/>
    <mergeCell ref="AB75:AD75"/>
    <mergeCell ref="AB76:AD76"/>
    <mergeCell ref="G77:I77"/>
    <mergeCell ref="J77:L77"/>
    <mergeCell ref="M77:O77"/>
    <mergeCell ref="P77:R77"/>
    <mergeCell ref="S77:U77"/>
    <mergeCell ref="V77:X77"/>
    <mergeCell ref="Y77:AA77"/>
    <mergeCell ref="AE77:AG77"/>
    <mergeCell ref="G78:I78"/>
    <mergeCell ref="J78:L78"/>
    <mergeCell ref="M78:O78"/>
    <mergeCell ref="P78:R78"/>
    <mergeCell ref="S78:U78"/>
    <mergeCell ref="V78:X78"/>
    <mergeCell ref="Y78:AA78"/>
    <mergeCell ref="AE78:AG78"/>
    <mergeCell ref="AB77:AD77"/>
    <mergeCell ref="AB78:AD78"/>
    <mergeCell ref="G79:I79"/>
    <mergeCell ref="J79:L79"/>
    <mergeCell ref="M79:O79"/>
    <mergeCell ref="P79:R79"/>
    <mergeCell ref="S79:U79"/>
    <mergeCell ref="V79:X79"/>
    <mergeCell ref="Y79:AA79"/>
    <mergeCell ref="AE79:AG79"/>
    <mergeCell ref="G80:I80"/>
    <mergeCell ref="J80:L80"/>
    <mergeCell ref="M80:O80"/>
    <mergeCell ref="P80:R80"/>
    <mergeCell ref="S80:U80"/>
    <mergeCell ref="V80:X80"/>
    <mergeCell ref="Y80:AA80"/>
    <mergeCell ref="AE80:AG80"/>
    <mergeCell ref="AB79:AD79"/>
    <mergeCell ref="AB80:AD80"/>
    <mergeCell ref="G81:I81"/>
    <mergeCell ref="J81:L81"/>
    <mergeCell ref="M81:O81"/>
    <mergeCell ref="P81:R81"/>
    <mergeCell ref="S81:U81"/>
    <mergeCell ref="V81:X81"/>
    <mergeCell ref="Y81:AA81"/>
    <mergeCell ref="AE81:AG81"/>
    <mergeCell ref="G82:I82"/>
    <mergeCell ref="J82:L82"/>
    <mergeCell ref="M82:O82"/>
    <mergeCell ref="P82:R82"/>
    <mergeCell ref="S82:U82"/>
    <mergeCell ref="V82:X82"/>
    <mergeCell ref="Y82:AA82"/>
    <mergeCell ref="AE82:AG82"/>
    <mergeCell ref="AB81:AD81"/>
    <mergeCell ref="AB82:AD82"/>
    <mergeCell ref="G83:I83"/>
    <mergeCell ref="J83:L83"/>
    <mergeCell ref="M83:O83"/>
    <mergeCell ref="P83:R83"/>
    <mergeCell ref="S83:U83"/>
    <mergeCell ref="V83:X83"/>
    <mergeCell ref="Y83:AA83"/>
    <mergeCell ref="AE83:AG83"/>
    <mergeCell ref="G84:I84"/>
    <mergeCell ref="J84:L84"/>
    <mergeCell ref="M84:O84"/>
    <mergeCell ref="P84:R84"/>
    <mergeCell ref="S84:U84"/>
    <mergeCell ref="V84:X84"/>
    <mergeCell ref="Y84:AA84"/>
    <mergeCell ref="AE84:AG84"/>
    <mergeCell ref="AB83:AD83"/>
    <mergeCell ref="AB84:AD84"/>
  </mergeCells>
  <phoneticPr fontId="35" type="noConversion"/>
  <dataValidations count="1">
    <dataValidation type="custom" allowBlank="1" showInputMessage="1" showErrorMessage="1" error="You have already entered the same Project Serial No" sqref="D25:D84" xr:uid="{4022AAD4-EB07-4462-882D-C6974852E04C}">
      <formula1>COUNTIF($D$25:$D$60,D25)&lt;=1</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DB373-FED4-4534-B4FC-E66962D75F83}">
  <dimension ref="A1:W352"/>
  <sheetViews>
    <sheetView topLeftCell="A10" workbookViewId="0">
      <selection activeCell="C12" sqref="C12:E12"/>
    </sheetView>
  </sheetViews>
  <sheetFormatPr defaultColWidth="8.5703125" defaultRowHeight="15" x14ac:dyDescent="0.25"/>
  <cols>
    <col min="1" max="1" width="5.7109375" style="111" customWidth="1"/>
    <col min="2" max="2" width="4.140625" style="111" customWidth="1"/>
    <col min="3" max="3" width="14.42578125" style="111" customWidth="1"/>
    <col min="4" max="5" width="17.140625" style="111" customWidth="1"/>
    <col min="6" max="7" width="12.5703125" style="111" customWidth="1"/>
    <col min="8" max="19" width="8" style="111" customWidth="1"/>
    <col min="20" max="20" width="2.42578125" style="111" customWidth="1"/>
    <col min="21" max="21" width="2.85546875" style="111" customWidth="1"/>
    <col min="22" max="22" width="2.5703125" style="111" customWidth="1"/>
    <col min="23" max="23" width="2" style="111" customWidth="1"/>
    <col min="24" max="47" width="4.85546875" style="111" customWidth="1"/>
    <col min="48" max="48" width="5.28515625" style="111" customWidth="1"/>
    <col min="49" max="49" width="4.7109375" style="111" customWidth="1"/>
    <col min="50" max="50" width="5.28515625" style="111" customWidth="1"/>
    <col min="51" max="51" width="5.5703125" style="111" customWidth="1"/>
    <col min="52" max="16384" width="8.5703125" style="111"/>
  </cols>
  <sheetData>
    <row r="1" spans="1:23" s="1" customFormat="1" ht="24.95" customHeight="1" x14ac:dyDescent="0.35">
      <c r="A1" s="375"/>
      <c r="B1" s="375"/>
      <c r="C1" s="375"/>
      <c r="D1" s="375"/>
      <c r="E1" s="376"/>
      <c r="F1" s="376"/>
      <c r="G1" s="376" t="s">
        <v>217</v>
      </c>
      <c r="H1" s="375"/>
      <c r="I1" s="375"/>
      <c r="J1" s="377"/>
      <c r="K1" s="376"/>
      <c r="L1" s="375"/>
      <c r="M1" s="375"/>
      <c r="N1" s="375"/>
      <c r="O1" s="375"/>
      <c r="P1" s="375"/>
      <c r="Q1" s="377"/>
      <c r="R1" s="375"/>
      <c r="S1" s="375"/>
      <c r="T1" s="375"/>
      <c r="U1" s="375"/>
      <c r="V1" s="375"/>
      <c r="W1" s="381"/>
    </row>
    <row r="2" spans="1:23" s="1" customFormat="1" ht="15" customHeight="1" x14ac:dyDescent="0.25"/>
    <row r="3" spans="1:23" s="1" customFormat="1" ht="12" customHeight="1" x14ac:dyDescent="0.25"/>
    <row r="4" spans="1:23" s="1" customFormat="1" ht="12" customHeight="1" x14ac:dyDescent="0.25"/>
    <row r="5" spans="1:23" s="1" customFormat="1" x14ac:dyDescent="0.25">
      <c r="D5" s="65"/>
      <c r="E5" s="137"/>
      <c r="F5" s="137"/>
      <c r="G5" s="137"/>
      <c r="H5" s="137"/>
      <c r="I5" s="137"/>
      <c r="J5" s="137"/>
      <c r="K5" s="135"/>
      <c r="L5" s="135"/>
      <c r="M5" s="135"/>
      <c r="N5" s="135"/>
      <c r="O5" s="135"/>
      <c r="P5" s="135"/>
      <c r="Q5" s="135"/>
      <c r="R5" s="135"/>
      <c r="S5" s="135"/>
    </row>
    <row r="6" spans="1:23" s="1" customFormat="1" x14ac:dyDescent="0.25">
      <c r="D6" s="65"/>
      <c r="E6" s="137"/>
      <c r="F6" s="137"/>
      <c r="G6" s="137"/>
      <c r="H6" s="137"/>
      <c r="I6" s="137"/>
      <c r="J6" s="137"/>
      <c r="K6" s="135"/>
      <c r="L6" s="135"/>
      <c r="M6" s="135"/>
      <c r="N6" s="135"/>
      <c r="O6" s="135"/>
      <c r="P6" s="135"/>
      <c r="Q6" s="135"/>
      <c r="R6" s="135"/>
      <c r="S6" s="135"/>
    </row>
    <row r="7" spans="1:23" s="1" customFormat="1" x14ac:dyDescent="0.25">
      <c r="D7" s="136"/>
      <c r="E7" s="137"/>
      <c r="F7" s="137"/>
      <c r="G7" s="137"/>
      <c r="H7" s="137"/>
      <c r="I7" s="137"/>
      <c r="J7" s="137"/>
      <c r="K7" s="135"/>
      <c r="L7" s="135"/>
      <c r="M7" s="135"/>
      <c r="N7" s="135"/>
      <c r="O7" s="135"/>
      <c r="P7" s="135"/>
      <c r="Q7" s="135"/>
      <c r="R7" s="135"/>
      <c r="S7" s="135"/>
    </row>
    <row r="8" spans="1:23" s="1" customFormat="1" x14ac:dyDescent="0.25">
      <c r="D8" s="136"/>
      <c r="E8" s="137"/>
      <c r="F8" s="137"/>
      <c r="G8" s="137"/>
      <c r="H8" s="137"/>
      <c r="I8" s="137"/>
      <c r="J8" s="137"/>
      <c r="K8" s="135"/>
      <c r="L8" s="135"/>
      <c r="M8" s="135"/>
      <c r="N8" s="135"/>
      <c r="O8" s="135"/>
      <c r="P8" s="135"/>
      <c r="Q8" s="135"/>
      <c r="R8" s="135"/>
      <c r="S8" s="135"/>
    </row>
    <row r="9" spans="1:23" x14ac:dyDescent="0.25">
      <c r="C9" s="112"/>
      <c r="D9" s="113"/>
      <c r="E9" s="113"/>
      <c r="F9" s="113"/>
      <c r="G9" s="113"/>
      <c r="H9" s="113"/>
      <c r="I9" s="113" t="str">
        <f>IF(AND((1-1-2022&gt;=D13),(31-1-2022&lt;=E13)),C13,"")</f>
        <v/>
      </c>
      <c r="J9" s="113"/>
      <c r="K9" s="113"/>
      <c r="L9" s="113"/>
      <c r="M9" s="113"/>
      <c r="N9" s="113"/>
      <c r="O9" s="113"/>
      <c r="P9" s="113"/>
      <c r="Q9" s="113"/>
      <c r="R9" s="113"/>
      <c r="S9" s="113"/>
    </row>
    <row r="10" spans="1:23" x14ac:dyDescent="0.25">
      <c r="C10" s="112"/>
      <c r="D10" s="113"/>
      <c r="E10" s="113"/>
      <c r="F10" s="113"/>
      <c r="G10" s="113"/>
      <c r="H10" s="113"/>
      <c r="I10" s="113"/>
      <c r="J10" s="113"/>
      <c r="K10" s="113"/>
      <c r="L10" s="113"/>
      <c r="M10" s="113"/>
      <c r="N10" s="113"/>
      <c r="O10" s="113"/>
      <c r="P10" s="113"/>
      <c r="Q10" s="113"/>
      <c r="R10" s="113"/>
      <c r="S10" s="113"/>
    </row>
    <row r="11" spans="1:23" x14ac:dyDescent="0.25">
      <c r="C11" s="258"/>
      <c r="D11" s="258"/>
      <c r="E11" s="258"/>
      <c r="F11" s="258"/>
      <c r="G11" s="258"/>
      <c r="H11" s="113"/>
      <c r="I11" s="113"/>
      <c r="J11" s="113"/>
      <c r="K11" s="113"/>
      <c r="L11" s="113"/>
      <c r="M11" s="113"/>
      <c r="N11" s="113"/>
      <c r="O11" s="113"/>
      <c r="P11" s="113"/>
      <c r="Q11" s="113"/>
      <c r="R11" s="113"/>
      <c r="S11" s="113"/>
    </row>
    <row r="12" spans="1:23" ht="44.25" customHeight="1" x14ac:dyDescent="0.25">
      <c r="C12" s="254" t="s">
        <v>158</v>
      </c>
      <c r="D12" s="254" t="s">
        <v>167</v>
      </c>
      <c r="E12" s="254" t="s">
        <v>150</v>
      </c>
      <c r="F12" s="247" t="s">
        <v>242</v>
      </c>
      <c r="G12" s="247" t="s">
        <v>246</v>
      </c>
      <c r="H12" s="246" t="s">
        <v>135</v>
      </c>
      <c r="I12" s="246" t="s">
        <v>136</v>
      </c>
      <c r="J12" s="246" t="s">
        <v>137</v>
      </c>
      <c r="K12" s="246" t="s">
        <v>138</v>
      </c>
      <c r="L12" s="246" t="s">
        <v>139</v>
      </c>
      <c r="M12" s="246" t="s">
        <v>140</v>
      </c>
      <c r="N12" s="246" t="s">
        <v>141</v>
      </c>
      <c r="O12" s="246" t="s">
        <v>142</v>
      </c>
      <c r="P12" s="246" t="s">
        <v>143</v>
      </c>
      <c r="Q12" s="246" t="s">
        <v>144</v>
      </c>
      <c r="R12" s="246" t="s">
        <v>145</v>
      </c>
      <c r="S12" s="246" t="s">
        <v>146</v>
      </c>
    </row>
    <row r="13" spans="1:23" ht="15.75" x14ac:dyDescent="0.25">
      <c r="C13" s="180" t="s">
        <v>2373</v>
      </c>
      <c r="D13" s="189">
        <v>44562</v>
      </c>
      <c r="E13" s="189">
        <v>44681</v>
      </c>
      <c r="F13" s="364">
        <f>IF(AND(D13&gt;0,E13&gt;0),12-COUNTBLANK(H13:S13)," ")</f>
        <v>4</v>
      </c>
      <c r="G13" s="364">
        <f>IF(AND(D13&gt;0,E13&gt;0),_xlfn.DAYS(E13,D13)," ")</f>
        <v>119</v>
      </c>
      <c r="H13" s="360" t="str">
        <f>IF(OR($D13&gt;0,$E13&gt;0),IF(AND($E$80&gt;=$D13,$E13&gt;=$E$80),C13,""),"")</f>
        <v>A201</v>
      </c>
      <c r="I13" s="360" t="str">
        <f>IF(OR($D13&gt;0,$E13&gt;0),IF(AND($E$81&gt;=$D13,$E13&gt;=$E$81),C13,""),"")</f>
        <v>A201</v>
      </c>
      <c r="J13" s="360" t="str">
        <f>IF(OR($D13&gt;0,$E13&gt;0),IF(AND($E$82&gt;=$D13,$E13&gt;=$E$82),C13,""),"")</f>
        <v>A201</v>
      </c>
      <c r="K13" s="360" t="str">
        <f>IF(OR($D13&gt;0,$E13&gt;0),IF(AND($E$83&gt;=$D13,$E13&gt;=$E$83),C13,""),"")</f>
        <v>A201</v>
      </c>
      <c r="L13" s="360" t="str">
        <f>IF(OR($D13&gt;0,$E13&gt;0),IF(AND($E$84&gt;=$D13,$E13&gt;=$E$84),C13,""),"")</f>
        <v/>
      </c>
      <c r="M13" s="360" t="str">
        <f>IF(OR($D13&gt;0,$E13&gt;0),IF(AND($D$85&gt;=$D13,$E13&gt;=$E$85),C13,""),"")</f>
        <v/>
      </c>
      <c r="N13" s="360" t="str">
        <f>IF(OR($D13&gt;0,$E13&gt;0),IF(AND($E$86&gt;=$D13,$E13&gt;=$E$86),C13,""),"")</f>
        <v/>
      </c>
      <c r="O13" s="360" t="str">
        <f>IF(OR($D13&gt;0,$E13&gt;0),IF(AND($E$87&gt;=$D13,$E13&gt;=$E$87),C13,""),"")</f>
        <v/>
      </c>
      <c r="P13" s="360" t="str">
        <f>IF(OR($D13&gt;0,$E13&gt;0),IF(AND($E$88&gt;=$D13,$E13&gt;=$E$88),C13,""),"")</f>
        <v/>
      </c>
      <c r="Q13" s="360" t="str">
        <f>IF(OR($D13&gt;0,$E13&gt;0),IF(AND($E$89&gt;=$D13,$E13&gt;=$E$89),C13,""),"")</f>
        <v/>
      </c>
      <c r="R13" s="360" t="str">
        <f>IF(OR($D13&gt;0,$E13&gt;0),IF(AND($E$90&gt;=$D13,$E13&gt;=$E$90),C13,""),"")</f>
        <v/>
      </c>
      <c r="S13" s="355" t="str">
        <f>IF(OR($D13&gt;0,$E13&gt;0),IF(AND($E$91&gt;=$D13,$E13&gt;=$E$91),C13,""),"")</f>
        <v/>
      </c>
    </row>
    <row r="14" spans="1:23" ht="15.75" x14ac:dyDescent="0.25">
      <c r="C14" s="180" t="s">
        <v>181</v>
      </c>
      <c r="D14" s="190">
        <v>44593</v>
      </c>
      <c r="E14" s="190">
        <v>44620</v>
      </c>
      <c r="F14" s="365">
        <f t="shared" ref="F14:F72" si="0">IF(AND(D14&gt;0,E14&gt;0),12-COUNTBLANK(H14:S14)," ")</f>
        <v>1</v>
      </c>
      <c r="G14" s="365">
        <f t="shared" ref="G14:G72" si="1">IF(AND(D14&gt;0,E14&gt;0),_xlfn.DAYS(E14,D14)," ")</f>
        <v>27</v>
      </c>
      <c r="H14" s="361" t="str">
        <f t="shared" ref="H14:H72" si="2">IF(OR($D14&gt;0,$E14&gt;0),IF(AND($E$80&gt;=$D14,$E14&gt;=$E$80),C14,""),"")</f>
        <v/>
      </c>
      <c r="I14" s="361" t="str">
        <f t="shared" ref="I14:I72" si="3">IF(OR($D14&gt;0,$E14&gt;0),IF(AND($E$81&gt;=$D14,$E14&gt;=$E$81),C14,""),"")</f>
        <v>AN02</v>
      </c>
      <c r="J14" s="361" t="str">
        <f t="shared" ref="J14:J72" si="4">IF(OR($D14&gt;0,$E14&gt;0),IF(AND($E$82&gt;=$D14,$E14&gt;=$E$82),C14,""),"")</f>
        <v/>
      </c>
      <c r="K14" s="361" t="str">
        <f t="shared" ref="K14:K72" si="5">IF(OR($D14&gt;0,$E14&gt;0),IF(AND($E$83&gt;=$D14,$E14&gt;=$E$83),C14,""),"")</f>
        <v/>
      </c>
      <c r="L14" s="361" t="str">
        <f t="shared" ref="L14:L72" si="6">IF(OR($D14&gt;0,$E14&gt;0),IF(AND($E$84&gt;=$D14,$E14&gt;=$E$84),C14,""),"")</f>
        <v/>
      </c>
      <c r="M14" s="361" t="str">
        <f t="shared" ref="M14:M72" si="7">IF(OR($D14&gt;0,$E14&gt;0),IF(AND($D$85&gt;=$D14,$E14&gt;=$E$85),C14,""),"")</f>
        <v/>
      </c>
      <c r="N14" s="361" t="str">
        <f t="shared" ref="N14:N72" si="8">IF(OR($D14&gt;0,$E14&gt;0),IF(AND($E$86&gt;=$D14,$E14&gt;=$E$86),C14,""),"")</f>
        <v/>
      </c>
      <c r="O14" s="361" t="str">
        <f t="shared" ref="O14:O72" si="9">IF(OR($D14&gt;0,$E14&gt;0),IF(AND($E$87&gt;=$D14,$E14&gt;=$E$87),C14,""),"")</f>
        <v/>
      </c>
      <c r="P14" s="361" t="str">
        <f t="shared" ref="P14:P72" si="10">IF(OR($D14&gt;0,$E14&gt;0),IF(AND($E$88&gt;=$D14,$E14&gt;=$E$88),C14,""),"")</f>
        <v/>
      </c>
      <c r="Q14" s="361" t="str">
        <f t="shared" ref="Q14:Q72" si="11">IF(OR($D14&gt;0,$E14&gt;0),IF(AND($E$89&gt;=$D14,$E14&gt;=$E$89),C14,""),"")</f>
        <v/>
      </c>
      <c r="R14" s="361" t="str">
        <f t="shared" ref="R14:R72" si="12">IF(OR($D14&gt;0,$E14&gt;0),IF(AND($E$90&gt;=$D14,$E14&gt;=$E$90),C14,""),"")</f>
        <v/>
      </c>
      <c r="S14" s="359" t="str">
        <f t="shared" ref="S14:S72" si="13">IF(OR($D14&gt;0,$E14&gt;0),IF(AND($E$91&gt;=$D14,$E14&gt;=$E$91),C14,""),"")</f>
        <v/>
      </c>
    </row>
    <row r="15" spans="1:23" ht="15.75" x14ac:dyDescent="0.25">
      <c r="C15" s="180" t="s">
        <v>179</v>
      </c>
      <c r="D15" s="189">
        <v>44593</v>
      </c>
      <c r="E15" s="189">
        <v>44781</v>
      </c>
      <c r="F15" s="366">
        <f t="shared" si="0"/>
        <v>6</v>
      </c>
      <c r="G15" s="366">
        <f t="shared" si="1"/>
        <v>188</v>
      </c>
      <c r="H15" s="362" t="str">
        <f t="shared" si="2"/>
        <v/>
      </c>
      <c r="I15" s="362" t="str">
        <f t="shared" si="3"/>
        <v>AN03</v>
      </c>
      <c r="J15" s="362" t="str">
        <f t="shared" si="4"/>
        <v>AN03</v>
      </c>
      <c r="K15" s="362" t="str">
        <f t="shared" si="5"/>
        <v>AN03</v>
      </c>
      <c r="L15" s="362" t="str">
        <f t="shared" si="6"/>
        <v>AN03</v>
      </c>
      <c r="M15" s="362" t="str">
        <f t="shared" si="7"/>
        <v>AN03</v>
      </c>
      <c r="N15" s="362" t="str">
        <f t="shared" si="8"/>
        <v>AN03</v>
      </c>
      <c r="O15" s="362" t="str">
        <f t="shared" si="9"/>
        <v/>
      </c>
      <c r="P15" s="362" t="str">
        <f t="shared" si="10"/>
        <v/>
      </c>
      <c r="Q15" s="362" t="str">
        <f t="shared" si="11"/>
        <v/>
      </c>
      <c r="R15" s="362" t="str">
        <f t="shared" si="12"/>
        <v/>
      </c>
      <c r="S15" s="357" t="str">
        <f t="shared" si="13"/>
        <v/>
      </c>
    </row>
    <row r="16" spans="1:23" ht="15.75" x14ac:dyDescent="0.25">
      <c r="C16" s="180" t="s">
        <v>180</v>
      </c>
      <c r="D16" s="190">
        <v>44583</v>
      </c>
      <c r="E16" s="190">
        <v>44635</v>
      </c>
      <c r="F16" s="367">
        <f t="shared" si="0"/>
        <v>2</v>
      </c>
      <c r="G16" s="367">
        <f t="shared" si="1"/>
        <v>52</v>
      </c>
      <c r="H16" s="363" t="str">
        <f t="shared" si="2"/>
        <v>AN04</v>
      </c>
      <c r="I16" s="363" t="str">
        <f t="shared" si="3"/>
        <v>AN04</v>
      </c>
      <c r="J16" s="363" t="str">
        <f t="shared" si="4"/>
        <v/>
      </c>
      <c r="K16" s="363" t="str">
        <f t="shared" si="5"/>
        <v/>
      </c>
      <c r="L16" s="363" t="str">
        <f t="shared" si="6"/>
        <v/>
      </c>
      <c r="M16" s="363" t="str">
        <f t="shared" si="7"/>
        <v/>
      </c>
      <c r="N16" s="363" t="str">
        <f t="shared" si="8"/>
        <v/>
      </c>
      <c r="O16" s="363" t="str">
        <f t="shared" si="9"/>
        <v/>
      </c>
      <c r="P16" s="363" t="str">
        <f t="shared" si="10"/>
        <v/>
      </c>
      <c r="Q16" s="363" t="str">
        <f t="shared" si="11"/>
        <v/>
      </c>
      <c r="R16" s="363" t="str">
        <f t="shared" si="12"/>
        <v/>
      </c>
      <c r="S16" s="356" t="str">
        <f t="shared" si="13"/>
        <v/>
      </c>
    </row>
    <row r="17" spans="3:19" ht="15.75" x14ac:dyDescent="0.25">
      <c r="C17" s="180" t="s">
        <v>178</v>
      </c>
      <c r="D17" s="189">
        <v>44614</v>
      </c>
      <c r="E17" s="189">
        <v>44770</v>
      </c>
      <c r="F17" s="366">
        <f t="shared" si="0"/>
        <v>5</v>
      </c>
      <c r="G17" s="366">
        <f t="shared" si="1"/>
        <v>156</v>
      </c>
      <c r="H17" s="362" t="str">
        <f t="shared" si="2"/>
        <v/>
      </c>
      <c r="I17" s="362" t="str">
        <f t="shared" si="3"/>
        <v>AN05</v>
      </c>
      <c r="J17" s="362" t="str">
        <f t="shared" si="4"/>
        <v>AN05</v>
      </c>
      <c r="K17" s="362" t="str">
        <f t="shared" si="5"/>
        <v>AN05</v>
      </c>
      <c r="L17" s="362" t="str">
        <f t="shared" si="6"/>
        <v>AN05</v>
      </c>
      <c r="M17" s="362" t="str">
        <f t="shared" si="7"/>
        <v>AN05</v>
      </c>
      <c r="N17" s="362" t="str">
        <f t="shared" si="8"/>
        <v/>
      </c>
      <c r="O17" s="362" t="str">
        <f t="shared" si="9"/>
        <v/>
      </c>
      <c r="P17" s="362" t="str">
        <f t="shared" si="10"/>
        <v/>
      </c>
      <c r="Q17" s="362" t="str">
        <f t="shared" si="11"/>
        <v/>
      </c>
      <c r="R17" s="362" t="str">
        <f t="shared" si="12"/>
        <v/>
      </c>
      <c r="S17" s="357" t="str">
        <f t="shared" si="13"/>
        <v/>
      </c>
    </row>
    <row r="18" spans="3:19" ht="15.75" x14ac:dyDescent="0.25">
      <c r="C18" s="180" t="s">
        <v>187</v>
      </c>
      <c r="D18" s="190">
        <v>44593</v>
      </c>
      <c r="E18" s="190">
        <v>44781</v>
      </c>
      <c r="F18" s="367">
        <f t="shared" si="0"/>
        <v>6</v>
      </c>
      <c r="G18" s="367">
        <f t="shared" si="1"/>
        <v>188</v>
      </c>
      <c r="H18" s="363" t="str">
        <f t="shared" si="2"/>
        <v/>
      </c>
      <c r="I18" s="363" t="str">
        <f t="shared" si="3"/>
        <v>AN06</v>
      </c>
      <c r="J18" s="363" t="str">
        <f t="shared" si="4"/>
        <v>AN06</v>
      </c>
      <c r="K18" s="363" t="str">
        <f t="shared" si="5"/>
        <v>AN06</v>
      </c>
      <c r="L18" s="363" t="str">
        <f t="shared" si="6"/>
        <v>AN06</v>
      </c>
      <c r="M18" s="363" t="str">
        <f t="shared" si="7"/>
        <v>AN06</v>
      </c>
      <c r="N18" s="363" t="str">
        <f t="shared" si="8"/>
        <v>AN06</v>
      </c>
      <c r="O18" s="363" t="str">
        <f t="shared" si="9"/>
        <v/>
      </c>
      <c r="P18" s="363" t="str">
        <f t="shared" si="10"/>
        <v/>
      </c>
      <c r="Q18" s="363" t="str">
        <f t="shared" si="11"/>
        <v/>
      </c>
      <c r="R18" s="363" t="str">
        <f t="shared" si="12"/>
        <v/>
      </c>
      <c r="S18" s="356" t="str">
        <f t="shared" si="13"/>
        <v/>
      </c>
    </row>
    <row r="19" spans="3:19" ht="15.75" x14ac:dyDescent="0.25">
      <c r="C19" s="180" t="s">
        <v>188</v>
      </c>
      <c r="D19" s="189">
        <v>44583</v>
      </c>
      <c r="E19" s="189">
        <v>44635</v>
      </c>
      <c r="F19" s="366">
        <f t="shared" si="0"/>
        <v>2</v>
      </c>
      <c r="G19" s="366">
        <f t="shared" si="1"/>
        <v>52</v>
      </c>
      <c r="H19" s="362" t="str">
        <f t="shared" si="2"/>
        <v>AN07</v>
      </c>
      <c r="I19" s="362" t="str">
        <f t="shared" si="3"/>
        <v>AN07</v>
      </c>
      <c r="J19" s="362" t="str">
        <f t="shared" si="4"/>
        <v/>
      </c>
      <c r="K19" s="362" t="str">
        <f t="shared" si="5"/>
        <v/>
      </c>
      <c r="L19" s="362" t="str">
        <f t="shared" si="6"/>
        <v/>
      </c>
      <c r="M19" s="362" t="str">
        <f t="shared" si="7"/>
        <v/>
      </c>
      <c r="N19" s="362" t="str">
        <f t="shared" si="8"/>
        <v/>
      </c>
      <c r="O19" s="362" t="str">
        <f t="shared" si="9"/>
        <v/>
      </c>
      <c r="P19" s="362" t="str">
        <f t="shared" si="10"/>
        <v/>
      </c>
      <c r="Q19" s="362" t="str">
        <f t="shared" si="11"/>
        <v/>
      </c>
      <c r="R19" s="362" t="str">
        <f t="shared" si="12"/>
        <v/>
      </c>
      <c r="S19" s="357" t="str">
        <f t="shared" si="13"/>
        <v/>
      </c>
    </row>
    <row r="20" spans="3:19" ht="15.75" x14ac:dyDescent="0.25">
      <c r="C20" s="180" t="s">
        <v>182</v>
      </c>
      <c r="D20" s="190">
        <v>44614</v>
      </c>
      <c r="E20" s="190">
        <v>44770</v>
      </c>
      <c r="F20" s="367">
        <f t="shared" si="0"/>
        <v>5</v>
      </c>
      <c r="G20" s="367">
        <f t="shared" si="1"/>
        <v>156</v>
      </c>
      <c r="H20" s="363" t="str">
        <f t="shared" si="2"/>
        <v/>
      </c>
      <c r="I20" s="363" t="str">
        <f t="shared" si="3"/>
        <v>AN08</v>
      </c>
      <c r="J20" s="363" t="str">
        <f t="shared" si="4"/>
        <v>AN08</v>
      </c>
      <c r="K20" s="363" t="str">
        <f t="shared" si="5"/>
        <v>AN08</v>
      </c>
      <c r="L20" s="363" t="str">
        <f t="shared" si="6"/>
        <v>AN08</v>
      </c>
      <c r="M20" s="363" t="str">
        <f t="shared" si="7"/>
        <v>AN08</v>
      </c>
      <c r="N20" s="363" t="str">
        <f t="shared" si="8"/>
        <v/>
      </c>
      <c r="O20" s="363" t="str">
        <f t="shared" si="9"/>
        <v/>
      </c>
      <c r="P20" s="363" t="str">
        <f t="shared" si="10"/>
        <v/>
      </c>
      <c r="Q20" s="363" t="str">
        <f t="shared" si="11"/>
        <v/>
      </c>
      <c r="R20" s="363" t="str">
        <f t="shared" si="12"/>
        <v/>
      </c>
      <c r="S20" s="356" t="str">
        <f t="shared" si="13"/>
        <v/>
      </c>
    </row>
    <row r="21" spans="3:19" ht="15.75" x14ac:dyDescent="0.25">
      <c r="C21" s="180" t="s">
        <v>189</v>
      </c>
      <c r="D21" s="189">
        <v>44593</v>
      </c>
      <c r="E21" s="189">
        <v>44781</v>
      </c>
      <c r="F21" s="366">
        <f t="shared" si="0"/>
        <v>6</v>
      </c>
      <c r="G21" s="366">
        <f t="shared" si="1"/>
        <v>188</v>
      </c>
      <c r="H21" s="362" t="str">
        <f t="shared" si="2"/>
        <v/>
      </c>
      <c r="I21" s="362" t="str">
        <f t="shared" si="3"/>
        <v>AN09</v>
      </c>
      <c r="J21" s="362" t="str">
        <f t="shared" si="4"/>
        <v>AN09</v>
      </c>
      <c r="K21" s="362" t="str">
        <f t="shared" si="5"/>
        <v>AN09</v>
      </c>
      <c r="L21" s="362" t="str">
        <f t="shared" si="6"/>
        <v>AN09</v>
      </c>
      <c r="M21" s="362" t="str">
        <f t="shared" si="7"/>
        <v>AN09</v>
      </c>
      <c r="N21" s="362" t="str">
        <f t="shared" si="8"/>
        <v>AN09</v>
      </c>
      <c r="O21" s="362" t="str">
        <f t="shared" si="9"/>
        <v/>
      </c>
      <c r="P21" s="362" t="str">
        <f t="shared" si="10"/>
        <v/>
      </c>
      <c r="Q21" s="362" t="str">
        <f t="shared" si="11"/>
        <v/>
      </c>
      <c r="R21" s="362" t="str">
        <f t="shared" si="12"/>
        <v/>
      </c>
      <c r="S21" s="357" t="str">
        <f t="shared" si="13"/>
        <v/>
      </c>
    </row>
    <row r="22" spans="3:19" ht="15.75" x14ac:dyDescent="0.25">
      <c r="C22" s="180" t="s">
        <v>190</v>
      </c>
      <c r="D22" s="190">
        <v>44583</v>
      </c>
      <c r="E22" s="190">
        <v>44635</v>
      </c>
      <c r="F22" s="367">
        <f t="shared" si="0"/>
        <v>2</v>
      </c>
      <c r="G22" s="367">
        <f t="shared" si="1"/>
        <v>52</v>
      </c>
      <c r="H22" s="363" t="str">
        <f t="shared" si="2"/>
        <v>AN10</v>
      </c>
      <c r="I22" s="363" t="str">
        <f t="shared" si="3"/>
        <v>AN10</v>
      </c>
      <c r="J22" s="363" t="str">
        <f t="shared" si="4"/>
        <v/>
      </c>
      <c r="K22" s="363" t="str">
        <f t="shared" si="5"/>
        <v/>
      </c>
      <c r="L22" s="363" t="str">
        <f t="shared" si="6"/>
        <v/>
      </c>
      <c r="M22" s="363" t="str">
        <f t="shared" si="7"/>
        <v/>
      </c>
      <c r="N22" s="363" t="str">
        <f t="shared" si="8"/>
        <v/>
      </c>
      <c r="O22" s="363" t="str">
        <f t="shared" si="9"/>
        <v/>
      </c>
      <c r="P22" s="363" t="str">
        <f t="shared" si="10"/>
        <v/>
      </c>
      <c r="Q22" s="363" t="str">
        <f t="shared" si="11"/>
        <v/>
      </c>
      <c r="R22" s="363" t="str">
        <f t="shared" si="12"/>
        <v/>
      </c>
      <c r="S22" s="356" t="str">
        <f t="shared" si="13"/>
        <v/>
      </c>
    </row>
    <row r="23" spans="3:19" ht="15.75" x14ac:dyDescent="0.25">
      <c r="C23" s="180" t="s">
        <v>191</v>
      </c>
      <c r="D23" s="189">
        <v>44614</v>
      </c>
      <c r="E23" s="189">
        <v>44770</v>
      </c>
      <c r="F23" s="366">
        <f t="shared" si="0"/>
        <v>5</v>
      </c>
      <c r="G23" s="366">
        <f t="shared" si="1"/>
        <v>156</v>
      </c>
      <c r="H23" s="362" t="str">
        <f t="shared" si="2"/>
        <v/>
      </c>
      <c r="I23" s="362" t="str">
        <f t="shared" si="3"/>
        <v>AN11</v>
      </c>
      <c r="J23" s="362" t="str">
        <f t="shared" si="4"/>
        <v>AN11</v>
      </c>
      <c r="K23" s="362" t="str">
        <f t="shared" si="5"/>
        <v>AN11</v>
      </c>
      <c r="L23" s="362" t="str">
        <f t="shared" si="6"/>
        <v>AN11</v>
      </c>
      <c r="M23" s="362" t="str">
        <f t="shared" si="7"/>
        <v>AN11</v>
      </c>
      <c r="N23" s="362" t="str">
        <f t="shared" si="8"/>
        <v/>
      </c>
      <c r="O23" s="362" t="str">
        <f t="shared" si="9"/>
        <v/>
      </c>
      <c r="P23" s="362" t="str">
        <f t="shared" si="10"/>
        <v/>
      </c>
      <c r="Q23" s="362" t="str">
        <f t="shared" si="11"/>
        <v/>
      </c>
      <c r="R23" s="362" t="str">
        <f t="shared" si="12"/>
        <v/>
      </c>
      <c r="S23" s="357" t="str">
        <f t="shared" si="13"/>
        <v/>
      </c>
    </row>
    <row r="24" spans="3:19" ht="15.75" x14ac:dyDescent="0.25">
      <c r="C24" s="180" t="s">
        <v>192</v>
      </c>
      <c r="D24" s="190">
        <v>44593</v>
      </c>
      <c r="E24" s="190">
        <v>44781</v>
      </c>
      <c r="F24" s="367">
        <f t="shared" si="0"/>
        <v>6</v>
      </c>
      <c r="G24" s="367">
        <f t="shared" si="1"/>
        <v>188</v>
      </c>
      <c r="H24" s="363" t="str">
        <f t="shared" si="2"/>
        <v/>
      </c>
      <c r="I24" s="363" t="str">
        <f t="shared" si="3"/>
        <v>AN12</v>
      </c>
      <c r="J24" s="363" t="str">
        <f t="shared" si="4"/>
        <v>AN12</v>
      </c>
      <c r="K24" s="363" t="str">
        <f t="shared" si="5"/>
        <v>AN12</v>
      </c>
      <c r="L24" s="363" t="str">
        <f t="shared" si="6"/>
        <v>AN12</v>
      </c>
      <c r="M24" s="363" t="str">
        <f t="shared" si="7"/>
        <v>AN12</v>
      </c>
      <c r="N24" s="363" t="str">
        <f t="shared" si="8"/>
        <v>AN12</v>
      </c>
      <c r="O24" s="363" t="str">
        <f t="shared" si="9"/>
        <v/>
      </c>
      <c r="P24" s="363" t="str">
        <f t="shared" si="10"/>
        <v/>
      </c>
      <c r="Q24" s="363" t="str">
        <f t="shared" si="11"/>
        <v/>
      </c>
      <c r="R24" s="363" t="str">
        <f t="shared" si="12"/>
        <v/>
      </c>
      <c r="S24" s="356" t="str">
        <f t="shared" si="13"/>
        <v/>
      </c>
    </row>
    <row r="25" spans="3:19" ht="15.75" x14ac:dyDescent="0.25">
      <c r="C25" s="180" t="s">
        <v>193</v>
      </c>
      <c r="D25" s="189">
        <v>44593</v>
      </c>
      <c r="E25" s="189">
        <v>44781</v>
      </c>
      <c r="F25" s="366">
        <f t="shared" si="0"/>
        <v>6</v>
      </c>
      <c r="G25" s="366">
        <f t="shared" si="1"/>
        <v>188</v>
      </c>
      <c r="H25" s="362" t="str">
        <f t="shared" si="2"/>
        <v/>
      </c>
      <c r="I25" s="362" t="str">
        <f t="shared" si="3"/>
        <v>AN13</v>
      </c>
      <c r="J25" s="362" t="str">
        <f t="shared" si="4"/>
        <v>AN13</v>
      </c>
      <c r="K25" s="362" t="str">
        <f t="shared" si="5"/>
        <v>AN13</v>
      </c>
      <c r="L25" s="362" t="str">
        <f t="shared" si="6"/>
        <v>AN13</v>
      </c>
      <c r="M25" s="362" t="str">
        <f t="shared" si="7"/>
        <v>AN13</v>
      </c>
      <c r="N25" s="362" t="str">
        <f t="shared" si="8"/>
        <v>AN13</v>
      </c>
      <c r="O25" s="362" t="str">
        <f t="shared" si="9"/>
        <v/>
      </c>
      <c r="P25" s="362" t="str">
        <f t="shared" si="10"/>
        <v/>
      </c>
      <c r="Q25" s="362" t="str">
        <f t="shared" si="11"/>
        <v/>
      </c>
      <c r="R25" s="362" t="str">
        <f t="shared" si="12"/>
        <v/>
      </c>
      <c r="S25" s="357" t="str">
        <f t="shared" si="13"/>
        <v/>
      </c>
    </row>
    <row r="26" spans="3:19" ht="15.75" x14ac:dyDescent="0.25">
      <c r="C26" s="180" t="s">
        <v>194</v>
      </c>
      <c r="D26" s="190">
        <v>44583</v>
      </c>
      <c r="E26" s="190">
        <v>44635</v>
      </c>
      <c r="F26" s="367">
        <f t="shared" si="0"/>
        <v>2</v>
      </c>
      <c r="G26" s="367">
        <f t="shared" si="1"/>
        <v>52</v>
      </c>
      <c r="H26" s="363" t="str">
        <f t="shared" si="2"/>
        <v>AN14</v>
      </c>
      <c r="I26" s="363" t="str">
        <f t="shared" si="3"/>
        <v>AN14</v>
      </c>
      <c r="J26" s="363" t="str">
        <f t="shared" si="4"/>
        <v/>
      </c>
      <c r="K26" s="363" t="str">
        <f t="shared" si="5"/>
        <v/>
      </c>
      <c r="L26" s="363" t="str">
        <f t="shared" si="6"/>
        <v/>
      </c>
      <c r="M26" s="363" t="str">
        <f t="shared" si="7"/>
        <v/>
      </c>
      <c r="N26" s="363" t="str">
        <f t="shared" si="8"/>
        <v/>
      </c>
      <c r="O26" s="363" t="str">
        <f t="shared" si="9"/>
        <v/>
      </c>
      <c r="P26" s="363" t="str">
        <f t="shared" si="10"/>
        <v/>
      </c>
      <c r="Q26" s="363" t="str">
        <f t="shared" si="11"/>
        <v/>
      </c>
      <c r="R26" s="363" t="str">
        <f t="shared" si="12"/>
        <v/>
      </c>
      <c r="S26" s="356" t="str">
        <f t="shared" si="13"/>
        <v/>
      </c>
    </row>
    <row r="27" spans="3:19" ht="15.75" x14ac:dyDescent="0.25">
      <c r="C27" s="180" t="s">
        <v>195</v>
      </c>
      <c r="D27" s="189">
        <v>44614</v>
      </c>
      <c r="E27" s="189">
        <v>44770</v>
      </c>
      <c r="F27" s="366">
        <f t="shared" si="0"/>
        <v>5</v>
      </c>
      <c r="G27" s="366">
        <f t="shared" si="1"/>
        <v>156</v>
      </c>
      <c r="H27" s="362" t="str">
        <f t="shared" si="2"/>
        <v/>
      </c>
      <c r="I27" s="362" t="str">
        <f t="shared" si="3"/>
        <v>AN15</v>
      </c>
      <c r="J27" s="362" t="str">
        <f t="shared" si="4"/>
        <v>AN15</v>
      </c>
      <c r="K27" s="362" t="str">
        <f t="shared" si="5"/>
        <v>AN15</v>
      </c>
      <c r="L27" s="362" t="str">
        <f t="shared" si="6"/>
        <v>AN15</v>
      </c>
      <c r="M27" s="362" t="str">
        <f t="shared" si="7"/>
        <v>AN15</v>
      </c>
      <c r="N27" s="362" t="str">
        <f t="shared" si="8"/>
        <v/>
      </c>
      <c r="O27" s="362" t="str">
        <f t="shared" si="9"/>
        <v/>
      </c>
      <c r="P27" s="362" t="str">
        <f t="shared" si="10"/>
        <v/>
      </c>
      <c r="Q27" s="362" t="str">
        <f t="shared" si="11"/>
        <v/>
      </c>
      <c r="R27" s="362" t="str">
        <f t="shared" si="12"/>
        <v/>
      </c>
      <c r="S27" s="357" t="str">
        <f t="shared" si="13"/>
        <v/>
      </c>
    </row>
    <row r="28" spans="3:19" ht="15.75" x14ac:dyDescent="0.25">
      <c r="C28" s="180" t="s">
        <v>196</v>
      </c>
      <c r="D28" s="190">
        <v>44593</v>
      </c>
      <c r="E28" s="190">
        <v>44781</v>
      </c>
      <c r="F28" s="367">
        <f t="shared" si="0"/>
        <v>6</v>
      </c>
      <c r="G28" s="367">
        <f t="shared" si="1"/>
        <v>188</v>
      </c>
      <c r="H28" s="363" t="str">
        <f t="shared" si="2"/>
        <v/>
      </c>
      <c r="I28" s="363" t="str">
        <f t="shared" si="3"/>
        <v>AN16</v>
      </c>
      <c r="J28" s="363" t="str">
        <f t="shared" si="4"/>
        <v>AN16</v>
      </c>
      <c r="K28" s="363" t="str">
        <f t="shared" si="5"/>
        <v>AN16</v>
      </c>
      <c r="L28" s="363" t="str">
        <f t="shared" si="6"/>
        <v>AN16</v>
      </c>
      <c r="M28" s="363" t="str">
        <f t="shared" si="7"/>
        <v>AN16</v>
      </c>
      <c r="N28" s="363" t="str">
        <f t="shared" si="8"/>
        <v>AN16</v>
      </c>
      <c r="O28" s="363" t="str">
        <f t="shared" si="9"/>
        <v/>
      </c>
      <c r="P28" s="363" t="str">
        <f t="shared" si="10"/>
        <v/>
      </c>
      <c r="Q28" s="363" t="str">
        <f t="shared" si="11"/>
        <v/>
      </c>
      <c r="R28" s="363" t="str">
        <f t="shared" si="12"/>
        <v/>
      </c>
      <c r="S28" s="356" t="str">
        <f t="shared" si="13"/>
        <v/>
      </c>
    </row>
    <row r="29" spans="3:19" ht="15.75" x14ac:dyDescent="0.25">
      <c r="C29" s="180" t="s">
        <v>197</v>
      </c>
      <c r="D29" s="189">
        <v>44583</v>
      </c>
      <c r="E29" s="189">
        <v>44635</v>
      </c>
      <c r="F29" s="366">
        <f t="shared" si="0"/>
        <v>2</v>
      </c>
      <c r="G29" s="366">
        <f t="shared" si="1"/>
        <v>52</v>
      </c>
      <c r="H29" s="362" t="str">
        <f t="shared" si="2"/>
        <v>AN17</v>
      </c>
      <c r="I29" s="362" t="str">
        <f t="shared" si="3"/>
        <v>AN17</v>
      </c>
      <c r="J29" s="362" t="str">
        <f t="shared" si="4"/>
        <v/>
      </c>
      <c r="K29" s="362" t="str">
        <f t="shared" si="5"/>
        <v/>
      </c>
      <c r="L29" s="362" t="str">
        <f t="shared" si="6"/>
        <v/>
      </c>
      <c r="M29" s="362" t="str">
        <f t="shared" si="7"/>
        <v/>
      </c>
      <c r="N29" s="362" t="str">
        <f t="shared" si="8"/>
        <v/>
      </c>
      <c r="O29" s="362" t="str">
        <f t="shared" si="9"/>
        <v/>
      </c>
      <c r="P29" s="362" t="str">
        <f t="shared" si="10"/>
        <v/>
      </c>
      <c r="Q29" s="362" t="str">
        <f t="shared" si="11"/>
        <v/>
      </c>
      <c r="R29" s="362" t="str">
        <f t="shared" si="12"/>
        <v/>
      </c>
      <c r="S29" s="357" t="str">
        <f t="shared" si="13"/>
        <v/>
      </c>
    </row>
    <row r="30" spans="3:19" ht="15.75" x14ac:dyDescent="0.25">
      <c r="C30" s="180" t="s">
        <v>198</v>
      </c>
      <c r="D30" s="190">
        <v>44614</v>
      </c>
      <c r="E30" s="190">
        <v>44770</v>
      </c>
      <c r="F30" s="367">
        <f t="shared" si="0"/>
        <v>5</v>
      </c>
      <c r="G30" s="367">
        <f t="shared" si="1"/>
        <v>156</v>
      </c>
      <c r="H30" s="363" t="str">
        <f t="shared" si="2"/>
        <v/>
      </c>
      <c r="I30" s="363" t="str">
        <f t="shared" si="3"/>
        <v>AN18</v>
      </c>
      <c r="J30" s="363" t="str">
        <f t="shared" si="4"/>
        <v>AN18</v>
      </c>
      <c r="K30" s="363" t="str">
        <f t="shared" si="5"/>
        <v>AN18</v>
      </c>
      <c r="L30" s="363" t="str">
        <f t="shared" si="6"/>
        <v>AN18</v>
      </c>
      <c r="M30" s="363" t="str">
        <f t="shared" si="7"/>
        <v>AN18</v>
      </c>
      <c r="N30" s="363" t="str">
        <f t="shared" si="8"/>
        <v/>
      </c>
      <c r="O30" s="363" t="str">
        <f t="shared" si="9"/>
        <v/>
      </c>
      <c r="P30" s="363" t="str">
        <f t="shared" si="10"/>
        <v/>
      </c>
      <c r="Q30" s="363" t="str">
        <f t="shared" si="11"/>
        <v/>
      </c>
      <c r="R30" s="363" t="str">
        <f t="shared" si="12"/>
        <v/>
      </c>
      <c r="S30" s="356" t="str">
        <f t="shared" si="13"/>
        <v/>
      </c>
    </row>
    <row r="31" spans="3:19" ht="15.75" x14ac:dyDescent="0.25">
      <c r="C31" s="180" t="s">
        <v>199</v>
      </c>
      <c r="D31" s="189">
        <v>44593</v>
      </c>
      <c r="E31" s="189">
        <v>44781</v>
      </c>
      <c r="F31" s="366">
        <f t="shared" si="0"/>
        <v>6</v>
      </c>
      <c r="G31" s="366">
        <f t="shared" si="1"/>
        <v>188</v>
      </c>
      <c r="H31" s="362" t="str">
        <f t="shared" si="2"/>
        <v/>
      </c>
      <c r="I31" s="362" t="str">
        <f t="shared" si="3"/>
        <v>AN19</v>
      </c>
      <c r="J31" s="362" t="str">
        <f t="shared" si="4"/>
        <v>AN19</v>
      </c>
      <c r="K31" s="362" t="str">
        <f t="shared" si="5"/>
        <v>AN19</v>
      </c>
      <c r="L31" s="362" t="str">
        <f t="shared" si="6"/>
        <v>AN19</v>
      </c>
      <c r="M31" s="362" t="str">
        <f t="shared" si="7"/>
        <v>AN19</v>
      </c>
      <c r="N31" s="362" t="str">
        <f t="shared" si="8"/>
        <v>AN19</v>
      </c>
      <c r="O31" s="362" t="str">
        <f t="shared" si="9"/>
        <v/>
      </c>
      <c r="P31" s="362" t="str">
        <f t="shared" si="10"/>
        <v/>
      </c>
      <c r="Q31" s="362" t="str">
        <f t="shared" si="11"/>
        <v/>
      </c>
      <c r="R31" s="362" t="str">
        <f t="shared" si="12"/>
        <v/>
      </c>
      <c r="S31" s="357" t="str">
        <f t="shared" si="13"/>
        <v/>
      </c>
    </row>
    <row r="32" spans="3:19" ht="15.75" x14ac:dyDescent="0.25">
      <c r="C32" s="180" t="s">
        <v>200</v>
      </c>
      <c r="D32" s="190">
        <v>44583</v>
      </c>
      <c r="E32" s="190">
        <v>44635</v>
      </c>
      <c r="F32" s="367">
        <f t="shared" si="0"/>
        <v>2</v>
      </c>
      <c r="G32" s="367">
        <f t="shared" si="1"/>
        <v>52</v>
      </c>
      <c r="H32" s="363" t="str">
        <f t="shared" si="2"/>
        <v>AN20</v>
      </c>
      <c r="I32" s="363" t="str">
        <f t="shared" si="3"/>
        <v>AN20</v>
      </c>
      <c r="J32" s="363" t="str">
        <f t="shared" si="4"/>
        <v/>
      </c>
      <c r="K32" s="363" t="str">
        <f t="shared" si="5"/>
        <v/>
      </c>
      <c r="L32" s="363" t="str">
        <f t="shared" si="6"/>
        <v/>
      </c>
      <c r="M32" s="363" t="str">
        <f t="shared" si="7"/>
        <v/>
      </c>
      <c r="N32" s="363" t="str">
        <f t="shared" si="8"/>
        <v/>
      </c>
      <c r="O32" s="363" t="str">
        <f t="shared" si="9"/>
        <v/>
      </c>
      <c r="P32" s="363" t="str">
        <f t="shared" si="10"/>
        <v/>
      </c>
      <c r="Q32" s="363" t="str">
        <f t="shared" si="11"/>
        <v/>
      </c>
      <c r="R32" s="363" t="str">
        <f t="shared" si="12"/>
        <v/>
      </c>
      <c r="S32" s="356" t="str">
        <f t="shared" si="13"/>
        <v/>
      </c>
    </row>
    <row r="33" spans="3:19" ht="15.75" x14ac:dyDescent="0.25">
      <c r="C33" s="180" t="s">
        <v>201</v>
      </c>
      <c r="D33" s="189">
        <v>44614</v>
      </c>
      <c r="E33" s="189">
        <v>44770</v>
      </c>
      <c r="F33" s="366">
        <f t="shared" si="0"/>
        <v>5</v>
      </c>
      <c r="G33" s="366">
        <f t="shared" si="1"/>
        <v>156</v>
      </c>
      <c r="H33" s="362" t="str">
        <f t="shared" si="2"/>
        <v/>
      </c>
      <c r="I33" s="362" t="str">
        <f t="shared" si="3"/>
        <v>AN21</v>
      </c>
      <c r="J33" s="362" t="str">
        <f t="shared" si="4"/>
        <v>AN21</v>
      </c>
      <c r="K33" s="362" t="str">
        <f t="shared" si="5"/>
        <v>AN21</v>
      </c>
      <c r="L33" s="362" t="str">
        <f t="shared" si="6"/>
        <v>AN21</v>
      </c>
      <c r="M33" s="362" t="str">
        <f t="shared" si="7"/>
        <v>AN21</v>
      </c>
      <c r="N33" s="362" t="str">
        <f t="shared" si="8"/>
        <v/>
      </c>
      <c r="O33" s="362" t="str">
        <f t="shared" si="9"/>
        <v/>
      </c>
      <c r="P33" s="362" t="str">
        <f t="shared" si="10"/>
        <v/>
      </c>
      <c r="Q33" s="362" t="str">
        <f t="shared" si="11"/>
        <v/>
      </c>
      <c r="R33" s="362" t="str">
        <f t="shared" si="12"/>
        <v/>
      </c>
      <c r="S33" s="357" t="str">
        <f t="shared" si="13"/>
        <v/>
      </c>
    </row>
    <row r="34" spans="3:19" ht="15.75" x14ac:dyDescent="0.25">
      <c r="C34" s="180" t="s">
        <v>202</v>
      </c>
      <c r="D34" s="190">
        <v>44562</v>
      </c>
      <c r="E34" s="190">
        <v>44781</v>
      </c>
      <c r="F34" s="367">
        <f t="shared" si="0"/>
        <v>7</v>
      </c>
      <c r="G34" s="367">
        <f t="shared" si="1"/>
        <v>219</v>
      </c>
      <c r="H34" s="363" t="str">
        <f t="shared" si="2"/>
        <v>AN22</v>
      </c>
      <c r="I34" s="363" t="str">
        <f t="shared" si="3"/>
        <v>AN22</v>
      </c>
      <c r="J34" s="363" t="str">
        <f t="shared" si="4"/>
        <v>AN22</v>
      </c>
      <c r="K34" s="363" t="str">
        <f t="shared" si="5"/>
        <v>AN22</v>
      </c>
      <c r="L34" s="363" t="str">
        <f t="shared" si="6"/>
        <v>AN22</v>
      </c>
      <c r="M34" s="363" t="str">
        <f t="shared" si="7"/>
        <v>AN22</v>
      </c>
      <c r="N34" s="363" t="str">
        <f t="shared" si="8"/>
        <v>AN22</v>
      </c>
      <c r="O34" s="363" t="str">
        <f t="shared" si="9"/>
        <v/>
      </c>
      <c r="P34" s="363" t="str">
        <f t="shared" si="10"/>
        <v/>
      </c>
      <c r="Q34" s="363" t="str">
        <f t="shared" si="11"/>
        <v/>
      </c>
      <c r="R34" s="363" t="str">
        <f t="shared" si="12"/>
        <v/>
      </c>
      <c r="S34" s="356" t="str">
        <f t="shared" si="13"/>
        <v/>
      </c>
    </row>
    <row r="35" spans="3:19" ht="15.75" x14ac:dyDescent="0.25">
      <c r="C35" s="180" t="s">
        <v>203</v>
      </c>
      <c r="D35" s="189">
        <v>44583</v>
      </c>
      <c r="E35" s="189">
        <v>44635</v>
      </c>
      <c r="F35" s="366">
        <f t="shared" si="0"/>
        <v>2</v>
      </c>
      <c r="G35" s="366">
        <f t="shared" si="1"/>
        <v>52</v>
      </c>
      <c r="H35" s="362" t="str">
        <f t="shared" si="2"/>
        <v>AN23</v>
      </c>
      <c r="I35" s="362" t="str">
        <f t="shared" si="3"/>
        <v>AN23</v>
      </c>
      <c r="J35" s="362" t="str">
        <f t="shared" si="4"/>
        <v/>
      </c>
      <c r="K35" s="362" t="str">
        <f t="shared" si="5"/>
        <v/>
      </c>
      <c r="L35" s="362" t="str">
        <f t="shared" si="6"/>
        <v/>
      </c>
      <c r="M35" s="362" t="str">
        <f t="shared" si="7"/>
        <v/>
      </c>
      <c r="N35" s="362" t="str">
        <f t="shared" si="8"/>
        <v/>
      </c>
      <c r="O35" s="362" t="str">
        <f t="shared" si="9"/>
        <v/>
      </c>
      <c r="P35" s="362" t="str">
        <f t="shared" si="10"/>
        <v/>
      </c>
      <c r="Q35" s="362" t="str">
        <f t="shared" si="11"/>
        <v/>
      </c>
      <c r="R35" s="362" t="str">
        <f t="shared" si="12"/>
        <v/>
      </c>
      <c r="S35" s="357" t="str">
        <f t="shared" si="13"/>
        <v/>
      </c>
    </row>
    <row r="36" spans="3:19" ht="15.75" x14ac:dyDescent="0.25">
      <c r="C36" s="180" t="s">
        <v>204</v>
      </c>
      <c r="D36" s="190">
        <v>44583</v>
      </c>
      <c r="E36" s="190">
        <v>44770</v>
      </c>
      <c r="F36" s="367">
        <f t="shared" si="0"/>
        <v>6</v>
      </c>
      <c r="G36" s="367">
        <f t="shared" si="1"/>
        <v>187</v>
      </c>
      <c r="H36" s="363" t="str">
        <f t="shared" si="2"/>
        <v>AN24</v>
      </c>
      <c r="I36" s="363" t="str">
        <f t="shared" si="3"/>
        <v>AN24</v>
      </c>
      <c r="J36" s="363" t="str">
        <f t="shared" si="4"/>
        <v>AN24</v>
      </c>
      <c r="K36" s="363" t="str">
        <f t="shared" si="5"/>
        <v>AN24</v>
      </c>
      <c r="L36" s="363" t="str">
        <f t="shared" si="6"/>
        <v>AN24</v>
      </c>
      <c r="M36" s="363" t="str">
        <f t="shared" si="7"/>
        <v>AN24</v>
      </c>
      <c r="N36" s="363" t="str">
        <f t="shared" si="8"/>
        <v/>
      </c>
      <c r="O36" s="363" t="str">
        <f t="shared" si="9"/>
        <v/>
      </c>
      <c r="P36" s="363" t="str">
        <f t="shared" si="10"/>
        <v/>
      </c>
      <c r="Q36" s="363" t="str">
        <f t="shared" si="11"/>
        <v/>
      </c>
      <c r="R36" s="363" t="str">
        <f t="shared" si="12"/>
        <v/>
      </c>
      <c r="S36" s="356" t="str">
        <f t="shared" si="13"/>
        <v/>
      </c>
    </row>
    <row r="37" spans="3:19" ht="15.75" x14ac:dyDescent="0.25">
      <c r="C37" s="180" t="s">
        <v>205</v>
      </c>
      <c r="D37" s="189">
        <v>44562</v>
      </c>
      <c r="E37" s="189">
        <v>44614</v>
      </c>
      <c r="F37" s="366">
        <f t="shared" si="0"/>
        <v>1</v>
      </c>
      <c r="G37" s="366">
        <f t="shared" si="1"/>
        <v>52</v>
      </c>
      <c r="H37" s="362" t="str">
        <f t="shared" si="2"/>
        <v>AN25</v>
      </c>
      <c r="I37" s="362" t="str">
        <f t="shared" si="3"/>
        <v/>
      </c>
      <c r="J37" s="362" t="str">
        <f t="shared" si="4"/>
        <v/>
      </c>
      <c r="K37" s="362" t="str">
        <f t="shared" si="5"/>
        <v/>
      </c>
      <c r="L37" s="362" t="str">
        <f t="shared" si="6"/>
        <v/>
      </c>
      <c r="M37" s="362" t="str">
        <f t="shared" si="7"/>
        <v/>
      </c>
      <c r="N37" s="362" t="str">
        <f t="shared" si="8"/>
        <v/>
      </c>
      <c r="O37" s="362" t="str">
        <f t="shared" si="9"/>
        <v/>
      </c>
      <c r="P37" s="362" t="str">
        <f t="shared" si="10"/>
        <v/>
      </c>
      <c r="Q37" s="362" t="str">
        <f t="shared" si="11"/>
        <v/>
      </c>
      <c r="R37" s="362" t="str">
        <f t="shared" si="12"/>
        <v/>
      </c>
      <c r="S37" s="357" t="str">
        <f t="shared" si="13"/>
        <v/>
      </c>
    </row>
    <row r="38" spans="3:19" ht="15.75" x14ac:dyDescent="0.25">
      <c r="C38" s="180" t="s">
        <v>206</v>
      </c>
      <c r="D38" s="190">
        <v>44774</v>
      </c>
      <c r="E38" s="190">
        <v>44926</v>
      </c>
      <c r="F38" s="367">
        <f t="shared" si="0"/>
        <v>5</v>
      </c>
      <c r="G38" s="367">
        <f t="shared" si="1"/>
        <v>152</v>
      </c>
      <c r="H38" s="363" t="str">
        <f t="shared" si="2"/>
        <v/>
      </c>
      <c r="I38" s="363" t="str">
        <f t="shared" si="3"/>
        <v/>
      </c>
      <c r="J38" s="363" t="str">
        <f t="shared" si="4"/>
        <v/>
      </c>
      <c r="K38" s="363" t="str">
        <f t="shared" si="5"/>
        <v/>
      </c>
      <c r="L38" s="363" t="str">
        <f t="shared" si="6"/>
        <v/>
      </c>
      <c r="M38" s="363" t="str">
        <f t="shared" si="7"/>
        <v/>
      </c>
      <c r="N38" s="363" t="str">
        <f t="shared" si="8"/>
        <v/>
      </c>
      <c r="O38" s="363" t="str">
        <f t="shared" si="9"/>
        <v>AN26</v>
      </c>
      <c r="P38" s="363" t="str">
        <f t="shared" si="10"/>
        <v>AN26</v>
      </c>
      <c r="Q38" s="363" t="str">
        <f t="shared" si="11"/>
        <v>AN26</v>
      </c>
      <c r="R38" s="363" t="str">
        <f t="shared" si="12"/>
        <v>AN26</v>
      </c>
      <c r="S38" s="356" t="str">
        <f t="shared" si="13"/>
        <v>AN26</v>
      </c>
    </row>
    <row r="39" spans="3:19" ht="15.75" x14ac:dyDescent="0.25">
      <c r="C39" s="180" t="s">
        <v>207</v>
      </c>
      <c r="D39" s="189"/>
      <c r="E39" s="189"/>
      <c r="F39" s="366" t="str">
        <f t="shared" si="0"/>
        <v xml:space="preserve"> </v>
      </c>
      <c r="G39" s="366" t="str">
        <f t="shared" si="1"/>
        <v xml:space="preserve"> </v>
      </c>
      <c r="H39" s="362" t="str">
        <f t="shared" si="2"/>
        <v/>
      </c>
      <c r="I39" s="362" t="str">
        <f t="shared" si="3"/>
        <v/>
      </c>
      <c r="J39" s="362" t="str">
        <f t="shared" si="4"/>
        <v/>
      </c>
      <c r="K39" s="362" t="str">
        <f t="shared" si="5"/>
        <v/>
      </c>
      <c r="L39" s="362" t="str">
        <f t="shared" si="6"/>
        <v/>
      </c>
      <c r="M39" s="362" t="str">
        <f t="shared" si="7"/>
        <v/>
      </c>
      <c r="N39" s="362" t="str">
        <f t="shared" si="8"/>
        <v/>
      </c>
      <c r="O39" s="362" t="str">
        <f t="shared" si="9"/>
        <v/>
      </c>
      <c r="P39" s="362" t="str">
        <f t="shared" si="10"/>
        <v/>
      </c>
      <c r="Q39" s="362" t="str">
        <f t="shared" si="11"/>
        <v/>
      </c>
      <c r="R39" s="362" t="str">
        <f t="shared" si="12"/>
        <v/>
      </c>
      <c r="S39" s="357" t="str">
        <f t="shared" si="13"/>
        <v/>
      </c>
    </row>
    <row r="40" spans="3:19" ht="15.75" x14ac:dyDescent="0.25">
      <c r="C40" s="180" t="s">
        <v>208</v>
      </c>
      <c r="D40" s="190"/>
      <c r="E40" s="190"/>
      <c r="F40" s="367" t="str">
        <f t="shared" si="0"/>
        <v xml:space="preserve"> </v>
      </c>
      <c r="G40" s="367" t="str">
        <f t="shared" si="1"/>
        <v xml:space="preserve"> </v>
      </c>
      <c r="H40" s="363" t="str">
        <f t="shared" si="2"/>
        <v/>
      </c>
      <c r="I40" s="363" t="str">
        <f t="shared" si="3"/>
        <v/>
      </c>
      <c r="J40" s="363" t="str">
        <f t="shared" si="4"/>
        <v/>
      </c>
      <c r="K40" s="363" t="str">
        <f t="shared" si="5"/>
        <v/>
      </c>
      <c r="L40" s="363" t="str">
        <f t="shared" si="6"/>
        <v/>
      </c>
      <c r="M40" s="363" t="str">
        <f t="shared" si="7"/>
        <v/>
      </c>
      <c r="N40" s="363" t="str">
        <f t="shared" si="8"/>
        <v/>
      </c>
      <c r="O40" s="363" t="str">
        <f t="shared" si="9"/>
        <v/>
      </c>
      <c r="P40" s="363" t="str">
        <f t="shared" si="10"/>
        <v/>
      </c>
      <c r="Q40" s="363" t="str">
        <f t="shared" si="11"/>
        <v/>
      </c>
      <c r="R40" s="363" t="str">
        <f t="shared" si="12"/>
        <v/>
      </c>
      <c r="S40" s="356" t="str">
        <f t="shared" si="13"/>
        <v/>
      </c>
    </row>
    <row r="41" spans="3:19" ht="15.75" x14ac:dyDescent="0.25">
      <c r="C41" s="180" t="s">
        <v>209</v>
      </c>
      <c r="D41" s="189"/>
      <c r="E41" s="189"/>
      <c r="F41" s="366" t="str">
        <f t="shared" si="0"/>
        <v xml:space="preserve"> </v>
      </c>
      <c r="G41" s="366" t="str">
        <f t="shared" si="1"/>
        <v xml:space="preserve"> </v>
      </c>
      <c r="H41" s="362" t="str">
        <f t="shared" si="2"/>
        <v/>
      </c>
      <c r="I41" s="362" t="str">
        <f t="shared" si="3"/>
        <v/>
      </c>
      <c r="J41" s="362" t="str">
        <f t="shared" si="4"/>
        <v/>
      </c>
      <c r="K41" s="362" t="str">
        <f t="shared" si="5"/>
        <v/>
      </c>
      <c r="L41" s="362" t="str">
        <f t="shared" si="6"/>
        <v/>
      </c>
      <c r="M41" s="362" t="str">
        <f t="shared" si="7"/>
        <v/>
      </c>
      <c r="N41" s="362" t="str">
        <f t="shared" si="8"/>
        <v/>
      </c>
      <c r="O41" s="362" t="str">
        <f t="shared" si="9"/>
        <v/>
      </c>
      <c r="P41" s="362" t="str">
        <f t="shared" si="10"/>
        <v/>
      </c>
      <c r="Q41" s="362" t="str">
        <f t="shared" si="11"/>
        <v/>
      </c>
      <c r="R41" s="362" t="str">
        <f t="shared" si="12"/>
        <v/>
      </c>
      <c r="S41" s="357" t="str">
        <f t="shared" si="13"/>
        <v/>
      </c>
    </row>
    <row r="42" spans="3:19" ht="15.75" x14ac:dyDescent="0.25">
      <c r="C42" s="180" t="s">
        <v>210</v>
      </c>
      <c r="D42" s="190"/>
      <c r="E42" s="190"/>
      <c r="F42" s="367" t="str">
        <f t="shared" si="0"/>
        <v xml:space="preserve"> </v>
      </c>
      <c r="G42" s="367" t="str">
        <f t="shared" si="1"/>
        <v xml:space="preserve"> </v>
      </c>
      <c r="H42" s="363" t="str">
        <f t="shared" si="2"/>
        <v/>
      </c>
      <c r="I42" s="363" t="str">
        <f t="shared" si="3"/>
        <v/>
      </c>
      <c r="J42" s="363" t="str">
        <f t="shared" si="4"/>
        <v/>
      </c>
      <c r="K42" s="363" t="str">
        <f t="shared" si="5"/>
        <v/>
      </c>
      <c r="L42" s="363" t="str">
        <f t="shared" si="6"/>
        <v/>
      </c>
      <c r="M42" s="363" t="str">
        <f t="shared" si="7"/>
        <v/>
      </c>
      <c r="N42" s="363" t="str">
        <f t="shared" si="8"/>
        <v/>
      </c>
      <c r="O42" s="363" t="str">
        <f t="shared" si="9"/>
        <v/>
      </c>
      <c r="P42" s="363" t="str">
        <f t="shared" si="10"/>
        <v/>
      </c>
      <c r="Q42" s="363" t="str">
        <f t="shared" si="11"/>
        <v/>
      </c>
      <c r="R42" s="363" t="str">
        <f t="shared" si="12"/>
        <v/>
      </c>
      <c r="S42" s="356" t="str">
        <f t="shared" si="13"/>
        <v/>
      </c>
    </row>
    <row r="43" spans="3:19" ht="15.75" x14ac:dyDescent="0.25">
      <c r="C43" s="180" t="s">
        <v>211</v>
      </c>
      <c r="D43" s="189"/>
      <c r="E43" s="189"/>
      <c r="F43" s="366" t="str">
        <f t="shared" si="0"/>
        <v xml:space="preserve"> </v>
      </c>
      <c r="G43" s="366" t="str">
        <f t="shared" si="1"/>
        <v xml:space="preserve"> </v>
      </c>
      <c r="H43" s="362" t="str">
        <f t="shared" si="2"/>
        <v/>
      </c>
      <c r="I43" s="362" t="str">
        <f t="shared" si="3"/>
        <v/>
      </c>
      <c r="J43" s="362" t="str">
        <f t="shared" si="4"/>
        <v/>
      </c>
      <c r="K43" s="362" t="str">
        <f t="shared" si="5"/>
        <v/>
      </c>
      <c r="L43" s="362" t="str">
        <f t="shared" si="6"/>
        <v/>
      </c>
      <c r="M43" s="362" t="str">
        <f t="shared" si="7"/>
        <v/>
      </c>
      <c r="N43" s="362" t="str">
        <f t="shared" si="8"/>
        <v/>
      </c>
      <c r="O43" s="362" t="str">
        <f t="shared" si="9"/>
        <v/>
      </c>
      <c r="P43" s="362" t="str">
        <f t="shared" si="10"/>
        <v/>
      </c>
      <c r="Q43" s="362" t="str">
        <f t="shared" si="11"/>
        <v/>
      </c>
      <c r="R43" s="362" t="str">
        <f t="shared" si="12"/>
        <v/>
      </c>
      <c r="S43" s="357" t="str">
        <f t="shared" si="13"/>
        <v/>
      </c>
    </row>
    <row r="44" spans="3:19" ht="15.75" x14ac:dyDescent="0.25">
      <c r="C44" s="180" t="s">
        <v>212</v>
      </c>
      <c r="D44" s="190"/>
      <c r="E44" s="190"/>
      <c r="F44" s="367" t="str">
        <f t="shared" si="0"/>
        <v xml:space="preserve"> </v>
      </c>
      <c r="G44" s="367" t="str">
        <f t="shared" si="1"/>
        <v xml:space="preserve"> </v>
      </c>
      <c r="H44" s="363" t="str">
        <f t="shared" si="2"/>
        <v/>
      </c>
      <c r="I44" s="363" t="str">
        <f t="shared" si="3"/>
        <v/>
      </c>
      <c r="J44" s="363" t="str">
        <f t="shared" si="4"/>
        <v/>
      </c>
      <c r="K44" s="363" t="str">
        <f t="shared" si="5"/>
        <v/>
      </c>
      <c r="L44" s="363" t="str">
        <f t="shared" si="6"/>
        <v/>
      </c>
      <c r="M44" s="363" t="str">
        <f t="shared" si="7"/>
        <v/>
      </c>
      <c r="N44" s="363" t="str">
        <f t="shared" si="8"/>
        <v/>
      </c>
      <c r="O44" s="363" t="str">
        <f t="shared" si="9"/>
        <v/>
      </c>
      <c r="P44" s="363" t="str">
        <f t="shared" si="10"/>
        <v/>
      </c>
      <c r="Q44" s="363" t="str">
        <f t="shared" si="11"/>
        <v/>
      </c>
      <c r="R44" s="363" t="str">
        <f t="shared" si="12"/>
        <v/>
      </c>
      <c r="S44" s="356" t="str">
        <f t="shared" si="13"/>
        <v/>
      </c>
    </row>
    <row r="45" spans="3:19" ht="15.75" x14ac:dyDescent="0.25">
      <c r="C45" s="180" t="s">
        <v>213</v>
      </c>
      <c r="D45" s="189"/>
      <c r="E45" s="189"/>
      <c r="F45" s="366" t="str">
        <f t="shared" si="0"/>
        <v xml:space="preserve"> </v>
      </c>
      <c r="G45" s="366" t="str">
        <f t="shared" si="1"/>
        <v xml:space="preserve"> </v>
      </c>
      <c r="H45" s="362" t="str">
        <f t="shared" si="2"/>
        <v/>
      </c>
      <c r="I45" s="362" t="str">
        <f t="shared" si="3"/>
        <v/>
      </c>
      <c r="J45" s="362" t="str">
        <f t="shared" si="4"/>
        <v/>
      </c>
      <c r="K45" s="362" t="str">
        <f t="shared" si="5"/>
        <v/>
      </c>
      <c r="L45" s="362" t="str">
        <f t="shared" si="6"/>
        <v/>
      </c>
      <c r="M45" s="362" t="str">
        <f t="shared" si="7"/>
        <v/>
      </c>
      <c r="N45" s="362" t="str">
        <f t="shared" si="8"/>
        <v/>
      </c>
      <c r="O45" s="362" t="str">
        <f t="shared" si="9"/>
        <v/>
      </c>
      <c r="P45" s="362" t="str">
        <f t="shared" si="10"/>
        <v/>
      </c>
      <c r="Q45" s="362" t="str">
        <f t="shared" si="11"/>
        <v/>
      </c>
      <c r="R45" s="362" t="str">
        <f t="shared" si="12"/>
        <v/>
      </c>
      <c r="S45" s="357" t="str">
        <f t="shared" si="13"/>
        <v/>
      </c>
    </row>
    <row r="46" spans="3:19" ht="15.75" x14ac:dyDescent="0.25">
      <c r="C46" s="180" t="s">
        <v>214</v>
      </c>
      <c r="D46" s="190"/>
      <c r="E46" s="190"/>
      <c r="F46" s="367" t="str">
        <f t="shared" si="0"/>
        <v xml:space="preserve"> </v>
      </c>
      <c r="G46" s="367" t="str">
        <f t="shared" si="1"/>
        <v xml:space="preserve"> </v>
      </c>
      <c r="H46" s="363" t="str">
        <f t="shared" si="2"/>
        <v/>
      </c>
      <c r="I46" s="363" t="str">
        <f t="shared" si="3"/>
        <v/>
      </c>
      <c r="J46" s="363" t="str">
        <f t="shared" si="4"/>
        <v/>
      </c>
      <c r="K46" s="363" t="str">
        <f t="shared" si="5"/>
        <v/>
      </c>
      <c r="L46" s="363" t="str">
        <f t="shared" si="6"/>
        <v/>
      </c>
      <c r="M46" s="363" t="str">
        <f t="shared" si="7"/>
        <v/>
      </c>
      <c r="N46" s="363" t="str">
        <f t="shared" si="8"/>
        <v/>
      </c>
      <c r="O46" s="363" t="str">
        <f t="shared" si="9"/>
        <v/>
      </c>
      <c r="P46" s="363" t="str">
        <f t="shared" si="10"/>
        <v/>
      </c>
      <c r="Q46" s="363" t="str">
        <f t="shared" si="11"/>
        <v/>
      </c>
      <c r="R46" s="363" t="str">
        <f t="shared" si="12"/>
        <v/>
      </c>
      <c r="S46" s="356" t="str">
        <f t="shared" si="13"/>
        <v/>
      </c>
    </row>
    <row r="47" spans="3:19" ht="15.75" x14ac:dyDescent="0.25">
      <c r="C47" s="180" t="s">
        <v>215</v>
      </c>
      <c r="D47" s="189"/>
      <c r="E47" s="189"/>
      <c r="F47" s="366" t="str">
        <f t="shared" si="0"/>
        <v xml:space="preserve"> </v>
      </c>
      <c r="G47" s="366" t="str">
        <f t="shared" si="1"/>
        <v xml:space="preserve"> </v>
      </c>
      <c r="H47" s="362" t="str">
        <f t="shared" si="2"/>
        <v/>
      </c>
      <c r="I47" s="362" t="str">
        <f t="shared" si="3"/>
        <v/>
      </c>
      <c r="J47" s="362" t="str">
        <f t="shared" si="4"/>
        <v/>
      </c>
      <c r="K47" s="362" t="str">
        <f t="shared" si="5"/>
        <v/>
      </c>
      <c r="L47" s="362" t="str">
        <f t="shared" si="6"/>
        <v/>
      </c>
      <c r="M47" s="362" t="str">
        <f t="shared" si="7"/>
        <v/>
      </c>
      <c r="N47" s="362" t="str">
        <f t="shared" si="8"/>
        <v/>
      </c>
      <c r="O47" s="362" t="str">
        <f t="shared" si="9"/>
        <v/>
      </c>
      <c r="P47" s="362" t="str">
        <f t="shared" si="10"/>
        <v/>
      </c>
      <c r="Q47" s="362" t="str">
        <f t="shared" si="11"/>
        <v/>
      </c>
      <c r="R47" s="362" t="str">
        <f t="shared" si="12"/>
        <v/>
      </c>
      <c r="S47" s="357" t="str">
        <f t="shared" si="13"/>
        <v/>
      </c>
    </row>
    <row r="48" spans="3:19" ht="15.75" x14ac:dyDescent="0.25">
      <c r="C48" s="180" t="s">
        <v>216</v>
      </c>
      <c r="D48" s="190"/>
      <c r="E48" s="190"/>
      <c r="F48" s="367" t="str">
        <f t="shared" si="0"/>
        <v xml:space="preserve"> </v>
      </c>
      <c r="G48" s="367" t="str">
        <f t="shared" si="1"/>
        <v xml:space="preserve"> </v>
      </c>
      <c r="H48" s="363" t="str">
        <f t="shared" si="2"/>
        <v/>
      </c>
      <c r="I48" s="363" t="str">
        <f t="shared" si="3"/>
        <v/>
      </c>
      <c r="J48" s="363" t="str">
        <f t="shared" si="4"/>
        <v/>
      </c>
      <c r="K48" s="363" t="str">
        <f t="shared" si="5"/>
        <v/>
      </c>
      <c r="L48" s="363" t="str">
        <f t="shared" si="6"/>
        <v/>
      </c>
      <c r="M48" s="363" t="str">
        <f t="shared" si="7"/>
        <v/>
      </c>
      <c r="N48" s="363" t="str">
        <f t="shared" si="8"/>
        <v/>
      </c>
      <c r="O48" s="363" t="str">
        <f t="shared" si="9"/>
        <v/>
      </c>
      <c r="P48" s="363" t="str">
        <f t="shared" si="10"/>
        <v/>
      </c>
      <c r="Q48" s="363" t="str">
        <f t="shared" si="11"/>
        <v/>
      </c>
      <c r="R48" s="363" t="str">
        <f t="shared" si="12"/>
        <v/>
      </c>
      <c r="S48" s="356" t="str">
        <f t="shared" si="13"/>
        <v/>
      </c>
    </row>
    <row r="49" spans="3:19" ht="15.75" x14ac:dyDescent="0.25">
      <c r="C49" s="180" t="s">
        <v>218</v>
      </c>
      <c r="D49" s="189"/>
      <c r="E49" s="189"/>
      <c r="F49" s="366" t="str">
        <f t="shared" si="0"/>
        <v xml:space="preserve"> </v>
      </c>
      <c r="G49" s="366" t="str">
        <f t="shared" si="1"/>
        <v xml:space="preserve"> </v>
      </c>
      <c r="H49" s="362" t="str">
        <f t="shared" si="2"/>
        <v/>
      </c>
      <c r="I49" s="362" t="str">
        <f t="shared" si="3"/>
        <v/>
      </c>
      <c r="J49" s="362" t="str">
        <f t="shared" si="4"/>
        <v/>
      </c>
      <c r="K49" s="362" t="str">
        <f t="shared" si="5"/>
        <v/>
      </c>
      <c r="L49" s="362" t="str">
        <f t="shared" si="6"/>
        <v/>
      </c>
      <c r="M49" s="362" t="str">
        <f t="shared" si="7"/>
        <v/>
      </c>
      <c r="N49" s="362" t="str">
        <f t="shared" si="8"/>
        <v/>
      </c>
      <c r="O49" s="362" t="str">
        <f t="shared" si="9"/>
        <v/>
      </c>
      <c r="P49" s="362" t="str">
        <f t="shared" si="10"/>
        <v/>
      </c>
      <c r="Q49" s="362" t="str">
        <f t="shared" si="11"/>
        <v/>
      </c>
      <c r="R49" s="362" t="str">
        <f t="shared" si="12"/>
        <v/>
      </c>
      <c r="S49" s="357" t="str">
        <f t="shared" si="13"/>
        <v/>
      </c>
    </row>
    <row r="50" spans="3:19" ht="15.75" x14ac:dyDescent="0.25">
      <c r="C50" s="180" t="s">
        <v>219</v>
      </c>
      <c r="D50" s="190"/>
      <c r="E50" s="190"/>
      <c r="F50" s="367" t="str">
        <f t="shared" si="0"/>
        <v xml:space="preserve"> </v>
      </c>
      <c r="G50" s="367" t="str">
        <f t="shared" si="1"/>
        <v xml:space="preserve"> </v>
      </c>
      <c r="H50" s="363" t="str">
        <f t="shared" si="2"/>
        <v/>
      </c>
      <c r="I50" s="363" t="str">
        <f t="shared" si="3"/>
        <v/>
      </c>
      <c r="J50" s="363" t="str">
        <f t="shared" si="4"/>
        <v/>
      </c>
      <c r="K50" s="363" t="str">
        <f t="shared" si="5"/>
        <v/>
      </c>
      <c r="L50" s="363" t="str">
        <f t="shared" si="6"/>
        <v/>
      </c>
      <c r="M50" s="363" t="str">
        <f t="shared" si="7"/>
        <v/>
      </c>
      <c r="N50" s="363" t="str">
        <f t="shared" si="8"/>
        <v/>
      </c>
      <c r="O50" s="363" t="str">
        <f t="shared" si="9"/>
        <v/>
      </c>
      <c r="P50" s="363" t="str">
        <f t="shared" si="10"/>
        <v/>
      </c>
      <c r="Q50" s="363" t="str">
        <f t="shared" si="11"/>
        <v/>
      </c>
      <c r="R50" s="363" t="str">
        <f t="shared" si="12"/>
        <v/>
      </c>
      <c r="S50" s="356" t="str">
        <f t="shared" si="13"/>
        <v/>
      </c>
    </row>
    <row r="51" spans="3:19" ht="15.75" x14ac:dyDescent="0.25">
      <c r="C51" s="180" t="s">
        <v>220</v>
      </c>
      <c r="D51" s="189"/>
      <c r="E51" s="189"/>
      <c r="F51" s="366" t="str">
        <f t="shared" si="0"/>
        <v xml:space="preserve"> </v>
      </c>
      <c r="G51" s="366" t="str">
        <f t="shared" si="1"/>
        <v xml:space="preserve"> </v>
      </c>
      <c r="H51" s="362" t="str">
        <f t="shared" si="2"/>
        <v/>
      </c>
      <c r="I51" s="362" t="str">
        <f t="shared" si="3"/>
        <v/>
      </c>
      <c r="J51" s="362" t="str">
        <f t="shared" si="4"/>
        <v/>
      </c>
      <c r="K51" s="362" t="str">
        <f t="shared" si="5"/>
        <v/>
      </c>
      <c r="L51" s="362" t="str">
        <f t="shared" si="6"/>
        <v/>
      </c>
      <c r="M51" s="362" t="str">
        <f t="shared" si="7"/>
        <v/>
      </c>
      <c r="N51" s="362" t="str">
        <f t="shared" si="8"/>
        <v/>
      </c>
      <c r="O51" s="362" t="str">
        <f t="shared" si="9"/>
        <v/>
      </c>
      <c r="P51" s="362" t="str">
        <f t="shared" si="10"/>
        <v/>
      </c>
      <c r="Q51" s="362" t="str">
        <f t="shared" si="11"/>
        <v/>
      </c>
      <c r="R51" s="362" t="str">
        <f t="shared" si="12"/>
        <v/>
      </c>
      <c r="S51" s="357" t="str">
        <f t="shared" si="13"/>
        <v/>
      </c>
    </row>
    <row r="52" spans="3:19" ht="15.75" x14ac:dyDescent="0.25">
      <c r="C52" s="180" t="s">
        <v>221</v>
      </c>
      <c r="D52" s="190"/>
      <c r="E52" s="190"/>
      <c r="F52" s="367" t="str">
        <f t="shared" si="0"/>
        <v xml:space="preserve"> </v>
      </c>
      <c r="G52" s="367" t="str">
        <f t="shared" si="1"/>
        <v xml:space="preserve"> </v>
      </c>
      <c r="H52" s="363" t="str">
        <f t="shared" si="2"/>
        <v/>
      </c>
      <c r="I52" s="363" t="str">
        <f t="shared" si="3"/>
        <v/>
      </c>
      <c r="J52" s="363" t="str">
        <f t="shared" si="4"/>
        <v/>
      </c>
      <c r="K52" s="363" t="str">
        <f t="shared" si="5"/>
        <v/>
      </c>
      <c r="L52" s="363" t="str">
        <f t="shared" si="6"/>
        <v/>
      </c>
      <c r="M52" s="363" t="str">
        <f t="shared" si="7"/>
        <v/>
      </c>
      <c r="N52" s="363" t="str">
        <f t="shared" si="8"/>
        <v/>
      </c>
      <c r="O52" s="363" t="str">
        <f t="shared" si="9"/>
        <v/>
      </c>
      <c r="P52" s="363" t="str">
        <f t="shared" si="10"/>
        <v/>
      </c>
      <c r="Q52" s="363" t="str">
        <f t="shared" si="11"/>
        <v/>
      </c>
      <c r="R52" s="363" t="str">
        <f t="shared" si="12"/>
        <v/>
      </c>
      <c r="S52" s="356" t="str">
        <f t="shared" si="13"/>
        <v/>
      </c>
    </row>
    <row r="53" spans="3:19" ht="15.75" x14ac:dyDescent="0.25">
      <c r="C53" s="180" t="s">
        <v>222</v>
      </c>
      <c r="D53" s="189"/>
      <c r="E53" s="189"/>
      <c r="F53" s="366" t="str">
        <f t="shared" si="0"/>
        <v xml:space="preserve"> </v>
      </c>
      <c r="G53" s="366" t="str">
        <f t="shared" si="1"/>
        <v xml:space="preserve"> </v>
      </c>
      <c r="H53" s="362" t="str">
        <f t="shared" si="2"/>
        <v/>
      </c>
      <c r="I53" s="362" t="str">
        <f t="shared" si="3"/>
        <v/>
      </c>
      <c r="J53" s="362" t="str">
        <f t="shared" si="4"/>
        <v/>
      </c>
      <c r="K53" s="362" t="str">
        <f t="shared" si="5"/>
        <v/>
      </c>
      <c r="L53" s="362" t="str">
        <f t="shared" si="6"/>
        <v/>
      </c>
      <c r="M53" s="362" t="str">
        <f t="shared" si="7"/>
        <v/>
      </c>
      <c r="N53" s="362" t="str">
        <f t="shared" si="8"/>
        <v/>
      </c>
      <c r="O53" s="362" t="str">
        <f t="shared" si="9"/>
        <v/>
      </c>
      <c r="P53" s="362" t="str">
        <f t="shared" si="10"/>
        <v/>
      </c>
      <c r="Q53" s="362" t="str">
        <f t="shared" si="11"/>
        <v/>
      </c>
      <c r="R53" s="362" t="str">
        <f t="shared" si="12"/>
        <v/>
      </c>
      <c r="S53" s="357" t="str">
        <f t="shared" si="13"/>
        <v/>
      </c>
    </row>
    <row r="54" spans="3:19" ht="15.75" x14ac:dyDescent="0.25">
      <c r="C54" s="180" t="s">
        <v>223</v>
      </c>
      <c r="D54" s="190"/>
      <c r="E54" s="190"/>
      <c r="F54" s="367" t="str">
        <f t="shared" si="0"/>
        <v xml:space="preserve"> </v>
      </c>
      <c r="G54" s="367" t="str">
        <f t="shared" si="1"/>
        <v xml:space="preserve"> </v>
      </c>
      <c r="H54" s="363" t="str">
        <f t="shared" si="2"/>
        <v/>
      </c>
      <c r="I54" s="363" t="str">
        <f t="shared" si="3"/>
        <v/>
      </c>
      <c r="J54" s="363" t="str">
        <f t="shared" si="4"/>
        <v/>
      </c>
      <c r="K54" s="363" t="str">
        <f t="shared" si="5"/>
        <v/>
      </c>
      <c r="L54" s="363" t="str">
        <f t="shared" si="6"/>
        <v/>
      </c>
      <c r="M54" s="363" t="str">
        <f t="shared" si="7"/>
        <v/>
      </c>
      <c r="N54" s="363" t="str">
        <f t="shared" si="8"/>
        <v/>
      </c>
      <c r="O54" s="363" t="str">
        <f t="shared" si="9"/>
        <v/>
      </c>
      <c r="P54" s="363" t="str">
        <f t="shared" si="10"/>
        <v/>
      </c>
      <c r="Q54" s="363" t="str">
        <f t="shared" si="11"/>
        <v/>
      </c>
      <c r="R54" s="363" t="str">
        <f t="shared" si="12"/>
        <v/>
      </c>
      <c r="S54" s="356" t="str">
        <f t="shared" si="13"/>
        <v/>
      </c>
    </row>
    <row r="55" spans="3:19" ht="15.75" x14ac:dyDescent="0.25">
      <c r="C55" s="180" t="s">
        <v>224</v>
      </c>
      <c r="D55" s="189"/>
      <c r="E55" s="189"/>
      <c r="F55" s="366" t="str">
        <f t="shared" si="0"/>
        <v xml:space="preserve"> </v>
      </c>
      <c r="G55" s="366" t="str">
        <f t="shared" si="1"/>
        <v xml:space="preserve"> </v>
      </c>
      <c r="H55" s="362" t="str">
        <f t="shared" si="2"/>
        <v/>
      </c>
      <c r="I55" s="362" t="str">
        <f t="shared" si="3"/>
        <v/>
      </c>
      <c r="J55" s="362" t="str">
        <f t="shared" si="4"/>
        <v/>
      </c>
      <c r="K55" s="362" t="str">
        <f t="shared" si="5"/>
        <v/>
      </c>
      <c r="L55" s="362" t="str">
        <f t="shared" si="6"/>
        <v/>
      </c>
      <c r="M55" s="362" t="str">
        <f t="shared" si="7"/>
        <v/>
      </c>
      <c r="N55" s="362" t="str">
        <f t="shared" si="8"/>
        <v/>
      </c>
      <c r="O55" s="362" t="str">
        <f t="shared" si="9"/>
        <v/>
      </c>
      <c r="P55" s="362" t="str">
        <f t="shared" si="10"/>
        <v/>
      </c>
      <c r="Q55" s="362" t="str">
        <f t="shared" si="11"/>
        <v/>
      </c>
      <c r="R55" s="362" t="str">
        <f t="shared" si="12"/>
        <v/>
      </c>
      <c r="S55" s="357" t="str">
        <f t="shared" si="13"/>
        <v/>
      </c>
    </row>
    <row r="56" spans="3:19" ht="15.75" x14ac:dyDescent="0.25">
      <c r="C56" s="180" t="s">
        <v>225</v>
      </c>
      <c r="D56" s="190"/>
      <c r="E56" s="190"/>
      <c r="F56" s="367" t="str">
        <f t="shared" si="0"/>
        <v xml:space="preserve"> </v>
      </c>
      <c r="G56" s="367" t="str">
        <f t="shared" si="1"/>
        <v xml:space="preserve"> </v>
      </c>
      <c r="H56" s="363" t="str">
        <f t="shared" si="2"/>
        <v/>
      </c>
      <c r="I56" s="363" t="str">
        <f t="shared" si="3"/>
        <v/>
      </c>
      <c r="J56" s="363" t="str">
        <f t="shared" si="4"/>
        <v/>
      </c>
      <c r="K56" s="363" t="str">
        <f t="shared" si="5"/>
        <v/>
      </c>
      <c r="L56" s="363" t="str">
        <f t="shared" si="6"/>
        <v/>
      </c>
      <c r="M56" s="363" t="str">
        <f t="shared" si="7"/>
        <v/>
      </c>
      <c r="N56" s="363" t="str">
        <f t="shared" si="8"/>
        <v/>
      </c>
      <c r="O56" s="363" t="str">
        <f t="shared" si="9"/>
        <v/>
      </c>
      <c r="P56" s="363" t="str">
        <f t="shared" si="10"/>
        <v/>
      </c>
      <c r="Q56" s="363" t="str">
        <f t="shared" si="11"/>
        <v/>
      </c>
      <c r="R56" s="363" t="str">
        <f t="shared" si="12"/>
        <v/>
      </c>
      <c r="S56" s="356" t="str">
        <f t="shared" si="13"/>
        <v/>
      </c>
    </row>
    <row r="57" spans="3:19" ht="15.75" x14ac:dyDescent="0.25">
      <c r="C57" s="180" t="s">
        <v>226</v>
      </c>
      <c r="D57" s="189"/>
      <c r="E57" s="189"/>
      <c r="F57" s="366" t="str">
        <f t="shared" si="0"/>
        <v xml:space="preserve"> </v>
      </c>
      <c r="G57" s="366" t="str">
        <f t="shared" si="1"/>
        <v xml:space="preserve"> </v>
      </c>
      <c r="H57" s="362" t="str">
        <f t="shared" si="2"/>
        <v/>
      </c>
      <c r="I57" s="362" t="str">
        <f t="shared" si="3"/>
        <v/>
      </c>
      <c r="J57" s="362" t="str">
        <f t="shared" si="4"/>
        <v/>
      </c>
      <c r="K57" s="362" t="str">
        <f t="shared" si="5"/>
        <v/>
      </c>
      <c r="L57" s="362" t="str">
        <f t="shared" si="6"/>
        <v/>
      </c>
      <c r="M57" s="362" t="str">
        <f t="shared" si="7"/>
        <v/>
      </c>
      <c r="N57" s="362" t="str">
        <f t="shared" si="8"/>
        <v/>
      </c>
      <c r="O57" s="362" t="str">
        <f t="shared" si="9"/>
        <v/>
      </c>
      <c r="P57" s="362" t="str">
        <f t="shared" si="10"/>
        <v/>
      </c>
      <c r="Q57" s="362" t="str">
        <f t="shared" si="11"/>
        <v/>
      </c>
      <c r="R57" s="362" t="str">
        <f t="shared" si="12"/>
        <v/>
      </c>
      <c r="S57" s="357" t="str">
        <f t="shared" si="13"/>
        <v/>
      </c>
    </row>
    <row r="58" spans="3:19" ht="15.75" x14ac:dyDescent="0.25">
      <c r="C58" s="180" t="s">
        <v>227</v>
      </c>
      <c r="D58" s="190"/>
      <c r="E58" s="190"/>
      <c r="F58" s="367" t="str">
        <f t="shared" si="0"/>
        <v xml:space="preserve"> </v>
      </c>
      <c r="G58" s="367" t="str">
        <f t="shared" si="1"/>
        <v xml:space="preserve"> </v>
      </c>
      <c r="H58" s="363" t="str">
        <f t="shared" si="2"/>
        <v/>
      </c>
      <c r="I58" s="363" t="str">
        <f t="shared" si="3"/>
        <v/>
      </c>
      <c r="J58" s="363" t="str">
        <f t="shared" si="4"/>
        <v/>
      </c>
      <c r="K58" s="363" t="str">
        <f t="shared" si="5"/>
        <v/>
      </c>
      <c r="L58" s="363" t="str">
        <f t="shared" si="6"/>
        <v/>
      </c>
      <c r="M58" s="363" t="str">
        <f t="shared" si="7"/>
        <v/>
      </c>
      <c r="N58" s="363" t="str">
        <f t="shared" si="8"/>
        <v/>
      </c>
      <c r="O58" s="363" t="str">
        <f t="shared" si="9"/>
        <v/>
      </c>
      <c r="P58" s="363" t="str">
        <f t="shared" si="10"/>
        <v/>
      </c>
      <c r="Q58" s="363" t="str">
        <f t="shared" si="11"/>
        <v/>
      </c>
      <c r="R58" s="363" t="str">
        <f t="shared" si="12"/>
        <v/>
      </c>
      <c r="S58" s="356" t="str">
        <f t="shared" si="13"/>
        <v/>
      </c>
    </row>
    <row r="59" spans="3:19" ht="15.75" x14ac:dyDescent="0.25">
      <c r="C59" s="180" t="s">
        <v>228</v>
      </c>
      <c r="D59" s="189"/>
      <c r="E59" s="189"/>
      <c r="F59" s="366" t="str">
        <f t="shared" si="0"/>
        <v xml:space="preserve"> </v>
      </c>
      <c r="G59" s="366" t="str">
        <f t="shared" si="1"/>
        <v xml:space="preserve"> </v>
      </c>
      <c r="H59" s="362" t="str">
        <f t="shared" si="2"/>
        <v/>
      </c>
      <c r="I59" s="362" t="str">
        <f t="shared" si="3"/>
        <v/>
      </c>
      <c r="J59" s="362" t="str">
        <f t="shared" si="4"/>
        <v/>
      </c>
      <c r="K59" s="362" t="str">
        <f t="shared" si="5"/>
        <v/>
      </c>
      <c r="L59" s="362" t="str">
        <f t="shared" si="6"/>
        <v/>
      </c>
      <c r="M59" s="362" t="str">
        <f t="shared" si="7"/>
        <v/>
      </c>
      <c r="N59" s="362" t="str">
        <f t="shared" si="8"/>
        <v/>
      </c>
      <c r="O59" s="362" t="str">
        <f t="shared" si="9"/>
        <v/>
      </c>
      <c r="P59" s="362" t="str">
        <f t="shared" si="10"/>
        <v/>
      </c>
      <c r="Q59" s="362" t="str">
        <f t="shared" si="11"/>
        <v/>
      </c>
      <c r="R59" s="362" t="str">
        <f t="shared" si="12"/>
        <v/>
      </c>
      <c r="S59" s="357" t="str">
        <f t="shared" si="13"/>
        <v/>
      </c>
    </row>
    <row r="60" spans="3:19" ht="15.75" x14ac:dyDescent="0.25">
      <c r="C60" s="180" t="s">
        <v>229</v>
      </c>
      <c r="D60" s="190"/>
      <c r="E60" s="190"/>
      <c r="F60" s="367" t="str">
        <f t="shared" si="0"/>
        <v xml:space="preserve"> </v>
      </c>
      <c r="G60" s="367" t="str">
        <f t="shared" si="1"/>
        <v xml:space="preserve"> </v>
      </c>
      <c r="H60" s="363" t="str">
        <f t="shared" si="2"/>
        <v/>
      </c>
      <c r="I60" s="363" t="str">
        <f t="shared" si="3"/>
        <v/>
      </c>
      <c r="J60" s="363" t="str">
        <f t="shared" si="4"/>
        <v/>
      </c>
      <c r="K60" s="363" t="str">
        <f t="shared" si="5"/>
        <v/>
      </c>
      <c r="L60" s="363" t="str">
        <f t="shared" si="6"/>
        <v/>
      </c>
      <c r="M60" s="363" t="str">
        <f t="shared" si="7"/>
        <v/>
      </c>
      <c r="N60" s="363" t="str">
        <f t="shared" si="8"/>
        <v/>
      </c>
      <c r="O60" s="363" t="str">
        <f t="shared" si="9"/>
        <v/>
      </c>
      <c r="P60" s="363" t="str">
        <f t="shared" si="10"/>
        <v/>
      </c>
      <c r="Q60" s="363" t="str">
        <f t="shared" si="11"/>
        <v/>
      </c>
      <c r="R60" s="363" t="str">
        <f t="shared" si="12"/>
        <v/>
      </c>
      <c r="S60" s="356" t="str">
        <f t="shared" si="13"/>
        <v/>
      </c>
    </row>
    <row r="61" spans="3:19" ht="15.75" x14ac:dyDescent="0.25">
      <c r="C61" s="180" t="s">
        <v>230</v>
      </c>
      <c r="D61" s="189"/>
      <c r="E61" s="189"/>
      <c r="F61" s="366" t="str">
        <f t="shared" si="0"/>
        <v xml:space="preserve"> </v>
      </c>
      <c r="G61" s="366" t="str">
        <f t="shared" si="1"/>
        <v xml:space="preserve"> </v>
      </c>
      <c r="H61" s="362" t="str">
        <f t="shared" si="2"/>
        <v/>
      </c>
      <c r="I61" s="362" t="str">
        <f t="shared" si="3"/>
        <v/>
      </c>
      <c r="J61" s="362" t="str">
        <f t="shared" si="4"/>
        <v/>
      </c>
      <c r="K61" s="362" t="str">
        <f t="shared" si="5"/>
        <v/>
      </c>
      <c r="L61" s="362" t="str">
        <f t="shared" si="6"/>
        <v/>
      </c>
      <c r="M61" s="362" t="str">
        <f t="shared" si="7"/>
        <v/>
      </c>
      <c r="N61" s="362" t="str">
        <f t="shared" si="8"/>
        <v/>
      </c>
      <c r="O61" s="362" t="str">
        <f t="shared" si="9"/>
        <v/>
      </c>
      <c r="P61" s="362" t="str">
        <f t="shared" si="10"/>
        <v/>
      </c>
      <c r="Q61" s="362" t="str">
        <f t="shared" si="11"/>
        <v/>
      </c>
      <c r="R61" s="362" t="str">
        <f t="shared" si="12"/>
        <v/>
      </c>
      <c r="S61" s="357" t="str">
        <f t="shared" si="13"/>
        <v/>
      </c>
    </row>
    <row r="62" spans="3:19" ht="15.75" x14ac:dyDescent="0.25">
      <c r="C62" s="180" t="s">
        <v>231</v>
      </c>
      <c r="D62" s="190"/>
      <c r="E62" s="190"/>
      <c r="F62" s="367" t="str">
        <f t="shared" si="0"/>
        <v xml:space="preserve"> </v>
      </c>
      <c r="G62" s="367" t="str">
        <f t="shared" si="1"/>
        <v xml:space="preserve"> </v>
      </c>
      <c r="H62" s="363" t="str">
        <f t="shared" si="2"/>
        <v/>
      </c>
      <c r="I62" s="363" t="str">
        <f t="shared" si="3"/>
        <v/>
      </c>
      <c r="J62" s="363" t="str">
        <f t="shared" si="4"/>
        <v/>
      </c>
      <c r="K62" s="363" t="str">
        <f t="shared" si="5"/>
        <v/>
      </c>
      <c r="L62" s="363" t="str">
        <f t="shared" si="6"/>
        <v/>
      </c>
      <c r="M62" s="363" t="str">
        <f t="shared" si="7"/>
        <v/>
      </c>
      <c r="N62" s="363" t="str">
        <f t="shared" si="8"/>
        <v/>
      </c>
      <c r="O62" s="363" t="str">
        <f t="shared" si="9"/>
        <v/>
      </c>
      <c r="P62" s="363" t="str">
        <f t="shared" si="10"/>
        <v/>
      </c>
      <c r="Q62" s="363" t="str">
        <f t="shared" si="11"/>
        <v/>
      </c>
      <c r="R62" s="363" t="str">
        <f t="shared" si="12"/>
        <v/>
      </c>
      <c r="S62" s="356" t="str">
        <f t="shared" si="13"/>
        <v/>
      </c>
    </row>
    <row r="63" spans="3:19" ht="15.75" x14ac:dyDescent="0.25">
      <c r="C63" s="180" t="s">
        <v>232</v>
      </c>
      <c r="D63" s="189"/>
      <c r="E63" s="189"/>
      <c r="F63" s="366" t="str">
        <f t="shared" si="0"/>
        <v xml:space="preserve"> </v>
      </c>
      <c r="G63" s="366" t="str">
        <f t="shared" si="1"/>
        <v xml:space="preserve"> </v>
      </c>
      <c r="H63" s="362" t="str">
        <f t="shared" si="2"/>
        <v/>
      </c>
      <c r="I63" s="362" t="str">
        <f t="shared" si="3"/>
        <v/>
      </c>
      <c r="J63" s="362" t="str">
        <f t="shared" si="4"/>
        <v/>
      </c>
      <c r="K63" s="362" t="str">
        <f t="shared" si="5"/>
        <v/>
      </c>
      <c r="L63" s="362" t="str">
        <f t="shared" si="6"/>
        <v/>
      </c>
      <c r="M63" s="362" t="str">
        <f t="shared" si="7"/>
        <v/>
      </c>
      <c r="N63" s="362" t="str">
        <f t="shared" si="8"/>
        <v/>
      </c>
      <c r="O63" s="362" t="str">
        <f t="shared" si="9"/>
        <v/>
      </c>
      <c r="P63" s="362" t="str">
        <f t="shared" si="10"/>
        <v/>
      </c>
      <c r="Q63" s="362" t="str">
        <f t="shared" si="11"/>
        <v/>
      </c>
      <c r="R63" s="362" t="str">
        <f t="shared" si="12"/>
        <v/>
      </c>
      <c r="S63" s="357" t="str">
        <f t="shared" si="13"/>
        <v/>
      </c>
    </row>
    <row r="64" spans="3:19" ht="15.75" x14ac:dyDescent="0.25">
      <c r="C64" s="180" t="s">
        <v>233</v>
      </c>
      <c r="D64" s="190"/>
      <c r="E64" s="190"/>
      <c r="F64" s="367" t="str">
        <f t="shared" si="0"/>
        <v xml:space="preserve"> </v>
      </c>
      <c r="G64" s="367" t="str">
        <f t="shared" si="1"/>
        <v xml:space="preserve"> </v>
      </c>
      <c r="H64" s="363" t="str">
        <f t="shared" si="2"/>
        <v/>
      </c>
      <c r="I64" s="363" t="str">
        <f t="shared" si="3"/>
        <v/>
      </c>
      <c r="J64" s="363" t="str">
        <f t="shared" si="4"/>
        <v/>
      </c>
      <c r="K64" s="363" t="str">
        <f t="shared" si="5"/>
        <v/>
      </c>
      <c r="L64" s="363" t="str">
        <f t="shared" si="6"/>
        <v/>
      </c>
      <c r="M64" s="363" t="str">
        <f t="shared" si="7"/>
        <v/>
      </c>
      <c r="N64" s="363" t="str">
        <f t="shared" si="8"/>
        <v/>
      </c>
      <c r="O64" s="363" t="str">
        <f t="shared" si="9"/>
        <v/>
      </c>
      <c r="P64" s="363" t="str">
        <f t="shared" si="10"/>
        <v/>
      </c>
      <c r="Q64" s="363" t="str">
        <f t="shared" si="11"/>
        <v/>
      </c>
      <c r="R64" s="363" t="str">
        <f t="shared" si="12"/>
        <v/>
      </c>
      <c r="S64" s="356" t="str">
        <f t="shared" si="13"/>
        <v/>
      </c>
    </row>
    <row r="65" spans="3:19" ht="15.75" x14ac:dyDescent="0.25">
      <c r="C65" s="180" t="s">
        <v>234</v>
      </c>
      <c r="D65" s="189"/>
      <c r="E65" s="189"/>
      <c r="F65" s="366" t="str">
        <f t="shared" si="0"/>
        <v xml:space="preserve"> </v>
      </c>
      <c r="G65" s="366" t="str">
        <f t="shared" si="1"/>
        <v xml:space="preserve"> </v>
      </c>
      <c r="H65" s="362" t="str">
        <f t="shared" si="2"/>
        <v/>
      </c>
      <c r="I65" s="362" t="str">
        <f t="shared" si="3"/>
        <v/>
      </c>
      <c r="J65" s="362" t="str">
        <f t="shared" si="4"/>
        <v/>
      </c>
      <c r="K65" s="362" t="str">
        <f t="shared" si="5"/>
        <v/>
      </c>
      <c r="L65" s="362" t="str">
        <f t="shared" si="6"/>
        <v/>
      </c>
      <c r="M65" s="362" t="str">
        <f t="shared" si="7"/>
        <v/>
      </c>
      <c r="N65" s="362" t="str">
        <f t="shared" si="8"/>
        <v/>
      </c>
      <c r="O65" s="362" t="str">
        <f t="shared" si="9"/>
        <v/>
      </c>
      <c r="P65" s="362" t="str">
        <f t="shared" si="10"/>
        <v/>
      </c>
      <c r="Q65" s="362" t="str">
        <f t="shared" si="11"/>
        <v/>
      </c>
      <c r="R65" s="362" t="str">
        <f t="shared" si="12"/>
        <v/>
      </c>
      <c r="S65" s="357" t="str">
        <f t="shared" si="13"/>
        <v/>
      </c>
    </row>
    <row r="66" spans="3:19" ht="15.75" x14ac:dyDescent="0.25">
      <c r="C66" s="180" t="s">
        <v>235</v>
      </c>
      <c r="D66" s="190"/>
      <c r="E66" s="190"/>
      <c r="F66" s="367" t="str">
        <f t="shared" si="0"/>
        <v xml:space="preserve"> </v>
      </c>
      <c r="G66" s="367" t="str">
        <f t="shared" si="1"/>
        <v xml:space="preserve"> </v>
      </c>
      <c r="H66" s="363" t="str">
        <f t="shared" si="2"/>
        <v/>
      </c>
      <c r="I66" s="363" t="str">
        <f t="shared" si="3"/>
        <v/>
      </c>
      <c r="J66" s="363" t="str">
        <f t="shared" si="4"/>
        <v/>
      </c>
      <c r="K66" s="363" t="str">
        <f t="shared" si="5"/>
        <v/>
      </c>
      <c r="L66" s="363" t="str">
        <f t="shared" si="6"/>
        <v/>
      </c>
      <c r="M66" s="363" t="str">
        <f t="shared" si="7"/>
        <v/>
      </c>
      <c r="N66" s="363" t="str">
        <f t="shared" si="8"/>
        <v/>
      </c>
      <c r="O66" s="363" t="str">
        <f t="shared" si="9"/>
        <v/>
      </c>
      <c r="P66" s="363" t="str">
        <f t="shared" si="10"/>
        <v/>
      </c>
      <c r="Q66" s="363" t="str">
        <f t="shared" si="11"/>
        <v/>
      </c>
      <c r="R66" s="363" t="str">
        <f t="shared" si="12"/>
        <v/>
      </c>
      <c r="S66" s="356" t="str">
        <f t="shared" si="13"/>
        <v/>
      </c>
    </row>
    <row r="67" spans="3:19" ht="15.75" x14ac:dyDescent="0.25">
      <c r="C67" s="180" t="s">
        <v>236</v>
      </c>
      <c r="D67" s="189"/>
      <c r="E67" s="189"/>
      <c r="F67" s="366" t="str">
        <f t="shared" si="0"/>
        <v xml:space="preserve"> </v>
      </c>
      <c r="G67" s="366" t="str">
        <f t="shared" si="1"/>
        <v xml:space="preserve"> </v>
      </c>
      <c r="H67" s="362" t="str">
        <f t="shared" si="2"/>
        <v/>
      </c>
      <c r="I67" s="362" t="str">
        <f t="shared" si="3"/>
        <v/>
      </c>
      <c r="J67" s="362" t="str">
        <f t="shared" si="4"/>
        <v/>
      </c>
      <c r="K67" s="362" t="str">
        <f t="shared" si="5"/>
        <v/>
      </c>
      <c r="L67" s="362" t="str">
        <f t="shared" si="6"/>
        <v/>
      </c>
      <c r="M67" s="362" t="str">
        <f t="shared" si="7"/>
        <v/>
      </c>
      <c r="N67" s="362" t="str">
        <f t="shared" si="8"/>
        <v/>
      </c>
      <c r="O67" s="362" t="str">
        <f t="shared" si="9"/>
        <v/>
      </c>
      <c r="P67" s="362" t="str">
        <f t="shared" si="10"/>
        <v/>
      </c>
      <c r="Q67" s="362" t="str">
        <f t="shared" si="11"/>
        <v/>
      </c>
      <c r="R67" s="362" t="str">
        <f t="shared" si="12"/>
        <v/>
      </c>
      <c r="S67" s="357" t="str">
        <f t="shared" si="13"/>
        <v/>
      </c>
    </row>
    <row r="68" spans="3:19" ht="15.75" x14ac:dyDescent="0.25">
      <c r="C68" s="180" t="s">
        <v>237</v>
      </c>
      <c r="D68" s="190"/>
      <c r="E68" s="190"/>
      <c r="F68" s="367" t="str">
        <f t="shared" si="0"/>
        <v xml:space="preserve"> </v>
      </c>
      <c r="G68" s="367" t="str">
        <f t="shared" si="1"/>
        <v xml:space="preserve"> </v>
      </c>
      <c r="H68" s="363" t="str">
        <f t="shared" si="2"/>
        <v/>
      </c>
      <c r="I68" s="363" t="str">
        <f t="shared" si="3"/>
        <v/>
      </c>
      <c r="J68" s="363" t="str">
        <f t="shared" si="4"/>
        <v/>
      </c>
      <c r="K68" s="363" t="str">
        <f t="shared" si="5"/>
        <v/>
      </c>
      <c r="L68" s="363" t="str">
        <f t="shared" si="6"/>
        <v/>
      </c>
      <c r="M68" s="363" t="str">
        <f t="shared" si="7"/>
        <v/>
      </c>
      <c r="N68" s="363" t="str">
        <f t="shared" si="8"/>
        <v/>
      </c>
      <c r="O68" s="363" t="str">
        <f t="shared" si="9"/>
        <v/>
      </c>
      <c r="P68" s="363" t="str">
        <f t="shared" si="10"/>
        <v/>
      </c>
      <c r="Q68" s="363" t="str">
        <f t="shared" si="11"/>
        <v/>
      </c>
      <c r="R68" s="363" t="str">
        <f t="shared" si="12"/>
        <v/>
      </c>
      <c r="S68" s="356" t="str">
        <f t="shared" si="13"/>
        <v/>
      </c>
    </row>
    <row r="69" spans="3:19" ht="15.75" x14ac:dyDescent="0.25">
      <c r="C69" s="180" t="s">
        <v>238</v>
      </c>
      <c r="D69" s="189"/>
      <c r="E69" s="189"/>
      <c r="F69" s="366" t="str">
        <f t="shared" si="0"/>
        <v xml:space="preserve"> </v>
      </c>
      <c r="G69" s="366" t="str">
        <f t="shared" si="1"/>
        <v xml:space="preserve"> </v>
      </c>
      <c r="H69" s="362" t="str">
        <f t="shared" si="2"/>
        <v/>
      </c>
      <c r="I69" s="362" t="str">
        <f t="shared" si="3"/>
        <v/>
      </c>
      <c r="J69" s="362" t="str">
        <f t="shared" si="4"/>
        <v/>
      </c>
      <c r="K69" s="362" t="str">
        <f t="shared" si="5"/>
        <v/>
      </c>
      <c r="L69" s="362" t="str">
        <f t="shared" si="6"/>
        <v/>
      </c>
      <c r="M69" s="362" t="str">
        <f t="shared" si="7"/>
        <v/>
      </c>
      <c r="N69" s="362" t="str">
        <f t="shared" si="8"/>
        <v/>
      </c>
      <c r="O69" s="362" t="str">
        <f t="shared" si="9"/>
        <v/>
      </c>
      <c r="P69" s="362" t="str">
        <f t="shared" si="10"/>
        <v/>
      </c>
      <c r="Q69" s="362" t="str">
        <f t="shared" si="11"/>
        <v/>
      </c>
      <c r="R69" s="362" t="str">
        <f t="shared" si="12"/>
        <v/>
      </c>
      <c r="S69" s="357" t="str">
        <f t="shared" si="13"/>
        <v/>
      </c>
    </row>
    <row r="70" spans="3:19" ht="15.75" x14ac:dyDescent="0.25">
      <c r="C70" s="180" t="s">
        <v>239</v>
      </c>
      <c r="D70" s="190"/>
      <c r="E70" s="190"/>
      <c r="F70" s="367" t="str">
        <f t="shared" si="0"/>
        <v xml:space="preserve"> </v>
      </c>
      <c r="G70" s="367" t="str">
        <f t="shared" si="1"/>
        <v xml:space="preserve"> </v>
      </c>
      <c r="H70" s="363" t="str">
        <f t="shared" si="2"/>
        <v/>
      </c>
      <c r="I70" s="363" t="str">
        <f t="shared" si="3"/>
        <v/>
      </c>
      <c r="J70" s="363" t="str">
        <f t="shared" si="4"/>
        <v/>
      </c>
      <c r="K70" s="363" t="str">
        <f t="shared" si="5"/>
        <v/>
      </c>
      <c r="L70" s="363" t="str">
        <f t="shared" si="6"/>
        <v/>
      </c>
      <c r="M70" s="363" t="str">
        <f t="shared" si="7"/>
        <v/>
      </c>
      <c r="N70" s="363" t="str">
        <f t="shared" si="8"/>
        <v/>
      </c>
      <c r="O70" s="363" t="str">
        <f t="shared" si="9"/>
        <v/>
      </c>
      <c r="P70" s="363" t="str">
        <f t="shared" si="10"/>
        <v/>
      </c>
      <c r="Q70" s="363" t="str">
        <f t="shared" si="11"/>
        <v/>
      </c>
      <c r="R70" s="363" t="str">
        <f t="shared" si="12"/>
        <v/>
      </c>
      <c r="S70" s="356" t="str">
        <f t="shared" si="13"/>
        <v/>
      </c>
    </row>
    <row r="71" spans="3:19" ht="15.75" x14ac:dyDescent="0.25">
      <c r="C71" s="180" t="s">
        <v>240</v>
      </c>
      <c r="D71" s="189"/>
      <c r="E71" s="189"/>
      <c r="F71" s="366" t="str">
        <f t="shared" si="0"/>
        <v xml:space="preserve"> </v>
      </c>
      <c r="G71" s="366" t="str">
        <f t="shared" si="1"/>
        <v xml:space="preserve"> </v>
      </c>
      <c r="H71" s="362" t="str">
        <f t="shared" si="2"/>
        <v/>
      </c>
      <c r="I71" s="362" t="str">
        <f t="shared" si="3"/>
        <v/>
      </c>
      <c r="J71" s="362" t="str">
        <f t="shared" si="4"/>
        <v/>
      </c>
      <c r="K71" s="362" t="str">
        <f t="shared" si="5"/>
        <v/>
      </c>
      <c r="L71" s="362" t="str">
        <f t="shared" si="6"/>
        <v/>
      </c>
      <c r="M71" s="362" t="str">
        <f t="shared" si="7"/>
        <v/>
      </c>
      <c r="N71" s="362" t="str">
        <f t="shared" si="8"/>
        <v/>
      </c>
      <c r="O71" s="362" t="str">
        <f t="shared" si="9"/>
        <v/>
      </c>
      <c r="P71" s="362" t="str">
        <f t="shared" si="10"/>
        <v/>
      </c>
      <c r="Q71" s="362" t="str">
        <f t="shared" si="11"/>
        <v/>
      </c>
      <c r="R71" s="362" t="str">
        <f t="shared" si="12"/>
        <v/>
      </c>
      <c r="S71" s="357" t="str">
        <f t="shared" si="13"/>
        <v/>
      </c>
    </row>
    <row r="72" spans="3:19" ht="15.75" x14ac:dyDescent="0.25">
      <c r="C72" s="180" t="s">
        <v>241</v>
      </c>
      <c r="D72" s="190"/>
      <c r="E72" s="190"/>
      <c r="F72" s="367" t="str">
        <f t="shared" si="0"/>
        <v xml:space="preserve"> </v>
      </c>
      <c r="G72" s="367" t="str">
        <f t="shared" si="1"/>
        <v xml:space="preserve"> </v>
      </c>
      <c r="H72" s="363" t="str">
        <f t="shared" si="2"/>
        <v/>
      </c>
      <c r="I72" s="363" t="str">
        <f t="shared" si="3"/>
        <v/>
      </c>
      <c r="J72" s="363" t="str">
        <f t="shared" si="4"/>
        <v/>
      </c>
      <c r="K72" s="363" t="str">
        <f t="shared" si="5"/>
        <v/>
      </c>
      <c r="L72" s="363" t="str">
        <f t="shared" si="6"/>
        <v/>
      </c>
      <c r="M72" s="363" t="str">
        <f t="shared" si="7"/>
        <v/>
      </c>
      <c r="N72" s="363" t="str">
        <f t="shared" si="8"/>
        <v/>
      </c>
      <c r="O72" s="363" t="str">
        <f t="shared" si="9"/>
        <v/>
      </c>
      <c r="P72" s="363" t="str">
        <f t="shared" si="10"/>
        <v/>
      </c>
      <c r="Q72" s="363" t="str">
        <f t="shared" si="11"/>
        <v/>
      </c>
      <c r="R72" s="363" t="str">
        <f t="shared" si="12"/>
        <v/>
      </c>
      <c r="S72" s="356" t="str">
        <f t="shared" si="13"/>
        <v/>
      </c>
    </row>
    <row r="73" spans="3:19" ht="15.75" x14ac:dyDescent="0.25">
      <c r="C73" s="350" t="s">
        <v>116</v>
      </c>
      <c r="D73" s="351">
        <f>COUNTA($C13:$C72)-COUNTBLANK(D13:D72)</f>
        <v>26</v>
      </c>
      <c r="E73" s="354">
        <f>COUNTA($C13:$C72)-COUNTBLANK(E13:E72)</f>
        <v>26</v>
      </c>
      <c r="F73" s="352"/>
      <c r="G73" s="352"/>
      <c r="H73" s="353">
        <f t="shared" ref="H73:S73" si="14">COUNTA($C13:$C72)-COUNTBLANK(H13:H72)</f>
        <v>11</v>
      </c>
      <c r="I73" s="353">
        <f t="shared" si="14"/>
        <v>24</v>
      </c>
      <c r="J73" s="353">
        <f t="shared" si="14"/>
        <v>16</v>
      </c>
      <c r="K73" s="353">
        <f t="shared" si="14"/>
        <v>16</v>
      </c>
      <c r="L73" s="353">
        <f t="shared" si="14"/>
        <v>15</v>
      </c>
      <c r="M73" s="353">
        <f t="shared" si="14"/>
        <v>15</v>
      </c>
      <c r="N73" s="353">
        <f t="shared" si="14"/>
        <v>8</v>
      </c>
      <c r="O73" s="353">
        <f t="shared" si="14"/>
        <v>1</v>
      </c>
      <c r="P73" s="353">
        <f t="shared" si="14"/>
        <v>1</v>
      </c>
      <c r="Q73" s="353">
        <f t="shared" si="14"/>
        <v>1</v>
      </c>
      <c r="R73" s="353">
        <f t="shared" si="14"/>
        <v>1</v>
      </c>
      <c r="S73" s="358">
        <f t="shared" si="14"/>
        <v>1</v>
      </c>
    </row>
    <row r="74" spans="3:19" x14ac:dyDescent="0.25">
      <c r="H74" s="178"/>
      <c r="I74" s="178"/>
      <c r="J74" s="178"/>
      <c r="K74" s="178"/>
      <c r="L74" s="178"/>
      <c r="M74" s="178"/>
      <c r="N74" s="178"/>
      <c r="O74" s="178"/>
      <c r="P74" s="178"/>
      <c r="Q74" s="178"/>
      <c r="R74" s="178"/>
      <c r="S74" s="178"/>
    </row>
    <row r="77" spans="3:19" hidden="1" x14ac:dyDescent="0.25"/>
    <row r="78" spans="3:19" hidden="1" x14ac:dyDescent="0.25">
      <c r="F78" s="132"/>
      <c r="G78" s="132"/>
    </row>
    <row r="79" spans="3:19" hidden="1" x14ac:dyDescent="0.25">
      <c r="D79" s="179" t="s">
        <v>167</v>
      </c>
      <c r="E79" s="185" t="s">
        <v>150</v>
      </c>
      <c r="F79" s="187"/>
      <c r="G79" s="187"/>
      <c r="H79" s="182" t="str" cm="1">
        <f t="array" ref="H79:H89">_xlfn._xlws.FILTER(H13:H72,H13:H72&lt;&gt;"")</f>
        <v>A201</v>
      </c>
      <c r="I79" s="182" t="str" cm="1">
        <f t="array" ref="I79:I102">_xlfn._xlws.FILTER(I13:I72,I13:I72&lt;&gt;"")</f>
        <v>A201</v>
      </c>
      <c r="J79" s="182" t="str" cm="1">
        <f t="array" ref="J79:J94">_xlfn._xlws.FILTER(J13:J72,J13:J72&lt;&gt;"")</f>
        <v>A201</v>
      </c>
      <c r="K79" s="182" t="str" cm="1">
        <f t="array" ref="K79:K94">_xlfn._xlws.FILTER(K13:K72,K13:K72&lt;&gt;"")</f>
        <v>A201</v>
      </c>
      <c r="L79" s="182" t="str" cm="1">
        <f t="array" ref="L79:L93">_xlfn._xlws.FILTER(L13:L72,L13:L72&lt;&gt;"")</f>
        <v>AN03</v>
      </c>
      <c r="M79" s="182" t="str" cm="1">
        <f t="array" ref="M79:M93">_xlfn._xlws.FILTER(M13:M72,M13:M72&lt;&gt;"")</f>
        <v>AN03</v>
      </c>
      <c r="N79" s="182" t="str" cm="1">
        <f t="array" ref="N79:N86">_xlfn._xlws.FILTER(N13:N72,N13:N72&lt;&gt;"")</f>
        <v>AN03</v>
      </c>
      <c r="O79" s="182" t="str" cm="1">
        <f t="array" ref="O79">_xlfn._xlws.FILTER(O13:O72,O13:O72&lt;&gt;"")</f>
        <v>AN26</v>
      </c>
      <c r="P79" s="182" t="str" cm="1">
        <f t="array" ref="P79">_xlfn._xlws.FILTER(P13:P72,P13:P72&lt;&gt;"")</f>
        <v>AN26</v>
      </c>
      <c r="Q79" s="182" t="str" cm="1">
        <f t="array" ref="Q79">_xlfn._xlws.FILTER(Q13:Q72,Q13:Q72&lt;&gt;"")</f>
        <v>AN26</v>
      </c>
      <c r="R79" s="182" t="str" cm="1">
        <f t="array" ref="R79">_xlfn._xlws.FILTER(R13:R72,R13:R72&lt;&gt;"")</f>
        <v>AN26</v>
      </c>
      <c r="S79" s="182" t="str" cm="1">
        <f t="array" ref="S79">_xlfn._xlws.FILTER(S13:S72,S13:S72&lt;&gt;"")</f>
        <v>AN26</v>
      </c>
    </row>
    <row r="80" spans="3:19" hidden="1" x14ac:dyDescent="0.25">
      <c r="C80" s="168" t="s">
        <v>135</v>
      </c>
      <c r="D80" s="176">
        <v>44562</v>
      </c>
      <c r="E80" s="183">
        <v>44592</v>
      </c>
      <c r="F80" s="188"/>
      <c r="G80" s="188"/>
      <c r="H80" s="182" t="str">
        <v>AN04</v>
      </c>
      <c r="I80" s="182" t="str">
        <v>AN02</v>
      </c>
      <c r="J80" s="182" t="str">
        <v>AN03</v>
      </c>
      <c r="K80" s="182" t="str">
        <v>AN03</v>
      </c>
      <c r="L80" s="182" t="str">
        <v>AN05</v>
      </c>
      <c r="M80" s="182" t="str">
        <v>AN05</v>
      </c>
      <c r="N80" s="182" t="str">
        <v>AN06</v>
      </c>
      <c r="O80" s="182"/>
      <c r="P80" s="182"/>
      <c r="Q80" s="182"/>
      <c r="R80" s="182"/>
      <c r="S80" s="182"/>
    </row>
    <row r="81" spans="3:19" hidden="1" x14ac:dyDescent="0.25">
      <c r="C81" s="181" t="s">
        <v>136</v>
      </c>
      <c r="D81" s="177">
        <v>44593</v>
      </c>
      <c r="E81" s="184">
        <v>44620</v>
      </c>
      <c r="F81" s="186"/>
      <c r="G81" s="186"/>
      <c r="H81" s="182" t="str">
        <v>AN07</v>
      </c>
      <c r="I81" s="182" t="str">
        <v>AN03</v>
      </c>
      <c r="J81" s="182" t="str">
        <v>AN05</v>
      </c>
      <c r="K81" s="182" t="str">
        <v>AN05</v>
      </c>
      <c r="L81" s="182" t="str">
        <v>AN06</v>
      </c>
      <c r="M81" s="182" t="str">
        <v>AN06</v>
      </c>
      <c r="N81" s="182" t="str">
        <v>AN09</v>
      </c>
      <c r="O81" s="182"/>
      <c r="P81" s="182"/>
      <c r="Q81" s="182"/>
      <c r="R81" s="182"/>
      <c r="S81" s="182"/>
    </row>
    <row r="82" spans="3:19" hidden="1" x14ac:dyDescent="0.25">
      <c r="C82" s="168" t="s">
        <v>137</v>
      </c>
      <c r="D82" s="176">
        <v>44621</v>
      </c>
      <c r="E82" s="183">
        <v>44651</v>
      </c>
      <c r="F82" s="186"/>
      <c r="G82" s="186"/>
      <c r="H82" s="182" t="str">
        <v>AN10</v>
      </c>
      <c r="I82" s="182" t="str">
        <v>AN04</v>
      </c>
      <c r="J82" s="182" t="str">
        <v>AN06</v>
      </c>
      <c r="K82" s="182" t="str">
        <v>AN06</v>
      </c>
      <c r="L82" s="182" t="str">
        <v>AN08</v>
      </c>
      <c r="M82" s="182" t="str">
        <v>AN08</v>
      </c>
      <c r="N82" s="182" t="str">
        <v>AN12</v>
      </c>
      <c r="O82" s="182"/>
      <c r="P82" s="182"/>
      <c r="Q82" s="182"/>
      <c r="R82" s="182"/>
      <c r="S82" s="182"/>
    </row>
    <row r="83" spans="3:19" hidden="1" x14ac:dyDescent="0.25">
      <c r="C83" s="181" t="s">
        <v>138</v>
      </c>
      <c r="D83" s="177">
        <v>44652</v>
      </c>
      <c r="E83" s="184">
        <v>44681</v>
      </c>
      <c r="F83" s="186"/>
      <c r="G83" s="186"/>
      <c r="H83" s="182" t="str">
        <v>AN14</v>
      </c>
      <c r="I83" s="182" t="str">
        <v>AN05</v>
      </c>
      <c r="J83" s="182" t="str">
        <v>AN08</v>
      </c>
      <c r="K83" s="182" t="str">
        <v>AN08</v>
      </c>
      <c r="L83" s="182" t="str">
        <v>AN09</v>
      </c>
      <c r="M83" s="182" t="str">
        <v>AN09</v>
      </c>
      <c r="N83" s="182" t="str">
        <v>AN13</v>
      </c>
      <c r="O83" s="182"/>
      <c r="P83" s="182"/>
      <c r="Q83" s="182"/>
      <c r="R83" s="182"/>
      <c r="S83" s="182"/>
    </row>
    <row r="84" spans="3:19" hidden="1" x14ac:dyDescent="0.25">
      <c r="C84" s="168" t="s">
        <v>139</v>
      </c>
      <c r="D84" s="176">
        <v>44682</v>
      </c>
      <c r="E84" s="183">
        <v>44712</v>
      </c>
      <c r="F84" s="186"/>
      <c r="G84" s="186"/>
      <c r="H84" s="182" t="str">
        <v>AN17</v>
      </c>
      <c r="I84" s="182" t="str">
        <v>AN06</v>
      </c>
      <c r="J84" s="182" t="str">
        <v>AN09</v>
      </c>
      <c r="K84" s="182" t="str">
        <v>AN09</v>
      </c>
      <c r="L84" s="182" t="str">
        <v>AN11</v>
      </c>
      <c r="M84" s="182" t="str">
        <v>AN11</v>
      </c>
      <c r="N84" s="182" t="str">
        <v>AN16</v>
      </c>
      <c r="O84" s="182"/>
      <c r="P84" s="182"/>
      <c r="Q84" s="182"/>
      <c r="R84" s="182"/>
      <c r="S84" s="182"/>
    </row>
    <row r="85" spans="3:19" hidden="1" x14ac:dyDescent="0.25">
      <c r="C85" s="181" t="s">
        <v>140</v>
      </c>
      <c r="D85" s="177">
        <v>44713</v>
      </c>
      <c r="E85" s="184">
        <v>44742</v>
      </c>
      <c r="F85" s="186"/>
      <c r="G85" s="186"/>
      <c r="H85" s="182" t="str">
        <v>AN20</v>
      </c>
      <c r="I85" s="182" t="str">
        <v>AN07</v>
      </c>
      <c r="J85" s="182" t="str">
        <v>AN11</v>
      </c>
      <c r="K85" s="182" t="str">
        <v>AN11</v>
      </c>
      <c r="L85" s="182" t="str">
        <v>AN12</v>
      </c>
      <c r="M85" s="182" t="str">
        <v>AN12</v>
      </c>
      <c r="N85" s="182" t="str">
        <v>AN19</v>
      </c>
      <c r="O85" s="182"/>
      <c r="P85" s="182"/>
      <c r="Q85" s="182"/>
      <c r="R85" s="182"/>
      <c r="S85" s="182"/>
    </row>
    <row r="86" spans="3:19" hidden="1" x14ac:dyDescent="0.25">
      <c r="C86" s="168" t="s">
        <v>141</v>
      </c>
      <c r="D86" s="176">
        <v>44743</v>
      </c>
      <c r="E86" s="183">
        <v>44773</v>
      </c>
      <c r="F86" s="186"/>
      <c r="G86" s="186"/>
      <c r="H86" s="182" t="str">
        <v>AN22</v>
      </c>
      <c r="I86" s="182" t="str">
        <v>AN08</v>
      </c>
      <c r="J86" s="182" t="str">
        <v>AN12</v>
      </c>
      <c r="K86" s="182" t="str">
        <v>AN12</v>
      </c>
      <c r="L86" s="182" t="str">
        <v>AN13</v>
      </c>
      <c r="M86" s="182" t="str">
        <v>AN13</v>
      </c>
      <c r="N86" s="182" t="str">
        <v>AN22</v>
      </c>
      <c r="O86" s="182"/>
      <c r="P86" s="182"/>
      <c r="Q86" s="182"/>
      <c r="R86" s="182"/>
      <c r="S86" s="182"/>
    </row>
    <row r="87" spans="3:19" hidden="1" x14ac:dyDescent="0.25">
      <c r="C87" s="181" t="s">
        <v>142</v>
      </c>
      <c r="D87" s="177">
        <v>44774</v>
      </c>
      <c r="E87" s="184">
        <v>44804</v>
      </c>
      <c r="F87" s="186"/>
      <c r="G87" s="186"/>
      <c r="H87" s="182" t="str">
        <v>AN23</v>
      </c>
      <c r="I87" s="182" t="str">
        <v>AN09</v>
      </c>
      <c r="J87" s="182" t="str">
        <v>AN13</v>
      </c>
      <c r="K87" s="182" t="str">
        <v>AN13</v>
      </c>
      <c r="L87" s="182" t="str">
        <v>AN15</v>
      </c>
      <c r="M87" s="182" t="str">
        <v>AN15</v>
      </c>
      <c r="N87" s="182"/>
      <c r="O87" s="182"/>
      <c r="P87" s="182"/>
      <c r="Q87" s="182"/>
      <c r="R87" s="182"/>
      <c r="S87" s="182"/>
    </row>
    <row r="88" spans="3:19" hidden="1" x14ac:dyDescent="0.25">
      <c r="C88" s="168" t="s">
        <v>143</v>
      </c>
      <c r="D88" s="176">
        <v>44805</v>
      </c>
      <c r="E88" s="183">
        <v>44834</v>
      </c>
      <c r="F88" s="186"/>
      <c r="G88" s="186"/>
      <c r="H88" s="182" t="str">
        <v>AN24</v>
      </c>
      <c r="I88" s="182" t="str">
        <v>AN10</v>
      </c>
      <c r="J88" s="182" t="str">
        <v>AN15</v>
      </c>
      <c r="K88" s="182" t="str">
        <v>AN15</v>
      </c>
      <c r="L88" s="182" t="str">
        <v>AN16</v>
      </c>
      <c r="M88" s="182" t="str">
        <v>AN16</v>
      </c>
      <c r="N88" s="182"/>
      <c r="O88" s="182"/>
      <c r="P88" s="182"/>
      <c r="Q88" s="182"/>
      <c r="R88" s="182"/>
      <c r="S88" s="182"/>
    </row>
    <row r="89" spans="3:19" hidden="1" x14ac:dyDescent="0.25">
      <c r="C89" s="181" t="s">
        <v>144</v>
      </c>
      <c r="D89" s="177">
        <v>44835</v>
      </c>
      <c r="E89" s="184">
        <v>44865</v>
      </c>
      <c r="F89" s="186"/>
      <c r="G89" s="186"/>
      <c r="H89" s="182" t="str">
        <v>AN25</v>
      </c>
      <c r="I89" s="182" t="str">
        <v>AN11</v>
      </c>
      <c r="J89" s="182" t="str">
        <v>AN16</v>
      </c>
      <c r="K89" s="182" t="str">
        <v>AN16</v>
      </c>
      <c r="L89" s="182" t="str">
        <v>AN18</v>
      </c>
      <c r="M89" s="182" t="str">
        <v>AN18</v>
      </c>
      <c r="N89" s="182"/>
      <c r="O89" s="182"/>
      <c r="P89" s="182"/>
      <c r="Q89" s="182"/>
      <c r="R89" s="182"/>
      <c r="S89" s="182"/>
    </row>
    <row r="90" spans="3:19" hidden="1" x14ac:dyDescent="0.25">
      <c r="C90" s="168" t="s">
        <v>145</v>
      </c>
      <c r="D90" s="176">
        <v>44866</v>
      </c>
      <c r="E90" s="183">
        <v>44895</v>
      </c>
      <c r="F90" s="186"/>
      <c r="G90" s="186"/>
      <c r="H90" s="182"/>
      <c r="I90" s="182" t="str">
        <v>AN12</v>
      </c>
      <c r="J90" s="182" t="str">
        <v>AN18</v>
      </c>
      <c r="K90" s="182" t="str">
        <v>AN18</v>
      </c>
      <c r="L90" s="182" t="str">
        <v>AN19</v>
      </c>
      <c r="M90" s="182" t="str">
        <v>AN19</v>
      </c>
      <c r="N90" s="182"/>
      <c r="O90" s="182"/>
      <c r="P90" s="182"/>
      <c r="Q90" s="182"/>
      <c r="R90" s="182"/>
      <c r="S90" s="182"/>
    </row>
    <row r="91" spans="3:19" hidden="1" x14ac:dyDescent="0.25">
      <c r="C91" s="181" t="s">
        <v>146</v>
      </c>
      <c r="D91" s="177">
        <v>44896</v>
      </c>
      <c r="E91" s="184">
        <v>44926</v>
      </c>
      <c r="F91" s="186"/>
      <c r="G91" s="186"/>
      <c r="H91" s="182"/>
      <c r="I91" s="182" t="str">
        <v>AN13</v>
      </c>
      <c r="J91" s="182" t="str">
        <v>AN19</v>
      </c>
      <c r="K91" s="182" t="str">
        <v>AN19</v>
      </c>
      <c r="L91" s="182" t="str">
        <v>AN21</v>
      </c>
      <c r="M91" s="182" t="str">
        <v>AN21</v>
      </c>
      <c r="N91" s="182"/>
      <c r="O91" s="182"/>
      <c r="P91" s="182"/>
      <c r="Q91" s="182"/>
      <c r="R91" s="182"/>
      <c r="S91" s="182"/>
    </row>
    <row r="92" spans="3:19" hidden="1" x14ac:dyDescent="0.25">
      <c r="C92" s="116"/>
      <c r="D92" s="125"/>
      <c r="H92" s="182"/>
      <c r="I92" s="182" t="str">
        <v>AN14</v>
      </c>
      <c r="J92" s="182" t="str">
        <v>AN21</v>
      </c>
      <c r="K92" s="182" t="str">
        <v>AN21</v>
      </c>
      <c r="L92" s="182" t="str">
        <v>AN22</v>
      </c>
      <c r="M92" s="182" t="str">
        <v>AN22</v>
      </c>
      <c r="N92" s="182"/>
      <c r="O92" s="182"/>
      <c r="P92" s="182"/>
      <c r="Q92" s="182"/>
      <c r="R92" s="182"/>
      <c r="S92" s="182"/>
    </row>
    <row r="93" spans="3:19" hidden="1" x14ac:dyDescent="0.25">
      <c r="C93" s="116"/>
      <c r="D93" s="125"/>
      <c r="H93" s="182"/>
      <c r="I93" s="182" t="str">
        <v>AN15</v>
      </c>
      <c r="J93" s="182" t="str">
        <v>AN22</v>
      </c>
      <c r="K93" s="182" t="str">
        <v>AN22</v>
      </c>
      <c r="L93" s="182" t="str">
        <v>AN24</v>
      </c>
      <c r="M93" s="182" t="str">
        <v>AN24</v>
      </c>
      <c r="N93" s="182"/>
      <c r="O93" s="182"/>
      <c r="P93" s="182"/>
      <c r="Q93" s="182"/>
      <c r="R93" s="182"/>
      <c r="S93" s="182"/>
    </row>
    <row r="94" spans="3:19" hidden="1" x14ac:dyDescent="0.25">
      <c r="C94" s="116"/>
      <c r="D94" s="125"/>
      <c r="H94" s="182"/>
      <c r="I94" s="182" t="str">
        <v>AN16</v>
      </c>
      <c r="J94" s="182" t="str">
        <v>AN24</v>
      </c>
      <c r="K94" s="182" t="str">
        <v>AN24</v>
      </c>
      <c r="L94" s="182"/>
      <c r="M94" s="182"/>
      <c r="N94" s="182"/>
      <c r="O94" s="182"/>
      <c r="P94" s="182"/>
      <c r="Q94" s="182"/>
      <c r="R94" s="182"/>
      <c r="S94" s="182"/>
    </row>
    <row r="95" spans="3:19" hidden="1" x14ac:dyDescent="0.25">
      <c r="C95" s="116"/>
      <c r="D95" s="125"/>
      <c r="H95" s="182"/>
      <c r="I95" s="182" t="str">
        <v>AN17</v>
      </c>
      <c r="J95" s="182"/>
      <c r="K95" s="182"/>
      <c r="L95" s="182"/>
      <c r="M95" s="182"/>
      <c r="N95" s="182"/>
      <c r="O95" s="182"/>
      <c r="P95" s="182"/>
      <c r="Q95" s="182"/>
      <c r="R95" s="182"/>
      <c r="S95" s="182"/>
    </row>
    <row r="96" spans="3:19" hidden="1" x14ac:dyDescent="0.25">
      <c r="C96" s="116"/>
      <c r="D96" s="125"/>
      <c r="H96" s="182"/>
      <c r="I96" s="182" t="str">
        <v>AN18</v>
      </c>
      <c r="J96" s="182"/>
      <c r="K96" s="182"/>
      <c r="L96" s="182"/>
      <c r="M96" s="182"/>
      <c r="N96" s="182"/>
      <c r="O96" s="182"/>
      <c r="P96" s="182"/>
      <c r="Q96" s="182"/>
      <c r="R96" s="182"/>
      <c r="S96" s="182"/>
    </row>
    <row r="97" spans="3:19" hidden="1" x14ac:dyDescent="0.25">
      <c r="C97" s="116"/>
      <c r="D97" s="125"/>
      <c r="H97" s="182"/>
      <c r="I97" s="182" t="str">
        <v>AN19</v>
      </c>
      <c r="J97" s="182"/>
      <c r="K97" s="182"/>
      <c r="L97" s="182"/>
      <c r="M97" s="182"/>
      <c r="N97" s="182"/>
      <c r="O97" s="182"/>
      <c r="P97" s="182"/>
      <c r="Q97" s="182"/>
      <c r="R97" s="182"/>
      <c r="S97" s="182"/>
    </row>
    <row r="98" spans="3:19" hidden="1" x14ac:dyDescent="0.25">
      <c r="C98" s="116"/>
      <c r="D98" s="125"/>
      <c r="H98" s="182"/>
      <c r="I98" s="182" t="str">
        <v>AN20</v>
      </c>
      <c r="J98" s="182"/>
      <c r="K98" s="182"/>
      <c r="L98" s="182"/>
      <c r="M98" s="182"/>
      <c r="N98" s="182"/>
      <c r="O98" s="182"/>
      <c r="P98" s="182"/>
      <c r="Q98" s="182"/>
      <c r="R98" s="182"/>
      <c r="S98" s="182"/>
    </row>
    <row r="99" spans="3:19" hidden="1" x14ac:dyDescent="0.25">
      <c r="C99" s="116"/>
      <c r="D99" s="125"/>
      <c r="H99" s="182"/>
      <c r="I99" s="182" t="str">
        <v>AN21</v>
      </c>
      <c r="J99" s="182"/>
      <c r="K99" s="182"/>
      <c r="L99" s="182"/>
      <c r="M99" s="182"/>
      <c r="N99" s="182"/>
      <c r="O99" s="182"/>
      <c r="P99" s="182"/>
      <c r="Q99" s="182"/>
      <c r="R99" s="182"/>
      <c r="S99" s="182"/>
    </row>
    <row r="100" spans="3:19" hidden="1" x14ac:dyDescent="0.25">
      <c r="C100" s="116"/>
      <c r="D100" s="125"/>
      <c r="H100" s="182"/>
      <c r="I100" s="182" t="str">
        <v>AN22</v>
      </c>
      <c r="J100" s="182"/>
      <c r="K100" s="182"/>
      <c r="L100" s="182"/>
      <c r="M100" s="182"/>
      <c r="N100" s="182"/>
      <c r="O100" s="182"/>
      <c r="P100" s="182"/>
      <c r="Q100" s="182"/>
      <c r="R100" s="182"/>
      <c r="S100" s="182"/>
    </row>
    <row r="101" spans="3:19" hidden="1" x14ac:dyDescent="0.25">
      <c r="C101" s="116"/>
      <c r="D101" s="125"/>
      <c r="H101" s="182"/>
      <c r="I101" s="182" t="str">
        <v>AN23</v>
      </c>
      <c r="J101" s="182"/>
      <c r="K101" s="182"/>
      <c r="L101" s="182"/>
      <c r="M101" s="182"/>
      <c r="N101" s="182"/>
      <c r="O101" s="182"/>
      <c r="P101" s="182"/>
      <c r="Q101" s="182"/>
      <c r="R101" s="182"/>
      <c r="S101" s="182"/>
    </row>
    <row r="102" spans="3:19" hidden="1" x14ac:dyDescent="0.25">
      <c r="C102" s="116"/>
      <c r="D102" s="125"/>
      <c r="H102" s="182"/>
      <c r="I102" s="182" t="str">
        <v>AN24</v>
      </c>
      <c r="J102" s="182"/>
      <c r="K102" s="182"/>
      <c r="L102" s="182"/>
      <c r="M102" s="182"/>
      <c r="N102" s="182"/>
      <c r="O102" s="182"/>
      <c r="P102" s="182"/>
      <c r="Q102" s="182"/>
      <c r="R102" s="182"/>
      <c r="S102" s="182"/>
    </row>
    <row r="103" spans="3:19" hidden="1" x14ac:dyDescent="0.25">
      <c r="C103" s="116"/>
      <c r="D103" s="125"/>
      <c r="H103" s="182"/>
      <c r="I103" s="182"/>
      <c r="J103" s="182"/>
      <c r="K103" s="182"/>
      <c r="L103" s="182"/>
      <c r="M103" s="182"/>
      <c r="N103" s="182"/>
      <c r="O103" s="182"/>
      <c r="P103" s="182"/>
      <c r="Q103" s="182"/>
      <c r="R103" s="182"/>
      <c r="S103" s="182"/>
    </row>
    <row r="104" spans="3:19" hidden="1" x14ac:dyDescent="0.25">
      <c r="C104" s="116"/>
      <c r="D104" s="125"/>
      <c r="H104" s="182"/>
      <c r="I104" s="182"/>
      <c r="J104" s="182"/>
      <c r="K104" s="182"/>
      <c r="L104" s="182"/>
      <c r="M104" s="182"/>
      <c r="N104" s="182"/>
      <c r="O104" s="182"/>
      <c r="P104" s="182"/>
      <c r="Q104" s="182"/>
      <c r="R104" s="182"/>
      <c r="S104" s="182"/>
    </row>
    <row r="105" spans="3:19" hidden="1" x14ac:dyDescent="0.25">
      <c r="C105" s="116"/>
      <c r="D105" s="125"/>
      <c r="H105" s="182"/>
      <c r="I105" s="182"/>
      <c r="J105" s="182"/>
      <c r="K105" s="182"/>
      <c r="L105" s="182"/>
      <c r="M105" s="182"/>
      <c r="N105" s="182"/>
      <c r="O105" s="182"/>
      <c r="P105" s="182"/>
      <c r="Q105" s="182"/>
      <c r="R105" s="182"/>
      <c r="S105" s="182"/>
    </row>
    <row r="106" spans="3:19" hidden="1" x14ac:dyDescent="0.25">
      <c r="C106" s="116"/>
      <c r="D106" s="125"/>
      <c r="H106" s="182"/>
      <c r="I106" s="182"/>
      <c r="J106" s="182"/>
      <c r="K106" s="182"/>
      <c r="L106" s="182"/>
      <c r="M106" s="182"/>
      <c r="N106" s="182"/>
      <c r="O106" s="182"/>
      <c r="P106" s="182"/>
      <c r="Q106" s="182"/>
      <c r="R106" s="182"/>
      <c r="S106" s="182"/>
    </row>
    <row r="107" spans="3:19" hidden="1" x14ac:dyDescent="0.25">
      <c r="C107" s="116"/>
      <c r="D107" s="125"/>
      <c r="H107" s="182"/>
      <c r="I107" s="182"/>
      <c r="J107" s="182"/>
      <c r="K107" s="182"/>
      <c r="L107" s="182"/>
      <c r="M107" s="182"/>
      <c r="N107" s="182"/>
      <c r="O107" s="182"/>
      <c r="P107" s="182"/>
      <c r="Q107" s="182"/>
      <c r="R107" s="182"/>
      <c r="S107" s="182"/>
    </row>
    <row r="108" spans="3:19" hidden="1" x14ac:dyDescent="0.25">
      <c r="C108" s="116"/>
      <c r="D108" s="125"/>
      <c r="H108" s="182"/>
      <c r="I108" s="182"/>
      <c r="J108" s="182"/>
      <c r="K108" s="182"/>
      <c r="L108" s="182"/>
      <c r="M108" s="182"/>
      <c r="N108" s="182"/>
      <c r="O108" s="182"/>
      <c r="P108" s="182"/>
      <c r="Q108" s="182"/>
      <c r="R108" s="182"/>
      <c r="S108" s="182"/>
    </row>
    <row r="109" spans="3:19" hidden="1" x14ac:dyDescent="0.25">
      <c r="C109" s="116"/>
      <c r="D109" s="125"/>
      <c r="H109" s="182"/>
      <c r="I109" s="182"/>
      <c r="J109" s="182"/>
      <c r="K109" s="182"/>
      <c r="L109" s="182"/>
      <c r="M109" s="182"/>
      <c r="N109" s="182"/>
      <c r="O109" s="182"/>
      <c r="P109" s="182"/>
      <c r="Q109" s="182"/>
      <c r="R109" s="182"/>
      <c r="S109" s="182"/>
    </row>
    <row r="110" spans="3:19" hidden="1" x14ac:dyDescent="0.25">
      <c r="C110" s="116"/>
      <c r="D110" s="125"/>
      <c r="H110" s="182"/>
      <c r="I110" s="182"/>
      <c r="J110" s="182"/>
      <c r="K110" s="182"/>
      <c r="L110" s="182"/>
      <c r="M110" s="182"/>
      <c r="N110" s="182"/>
      <c r="O110" s="182"/>
      <c r="P110" s="182"/>
      <c r="Q110" s="182"/>
      <c r="R110" s="182"/>
      <c r="S110" s="182"/>
    </row>
    <row r="111" spans="3:19" hidden="1" x14ac:dyDescent="0.25">
      <c r="C111" s="116"/>
      <c r="D111" s="125"/>
      <c r="H111" s="182"/>
      <c r="I111" s="182"/>
      <c r="J111" s="182"/>
      <c r="K111" s="182"/>
      <c r="L111" s="182"/>
      <c r="M111" s="182"/>
      <c r="N111" s="182"/>
      <c r="O111" s="182"/>
      <c r="P111" s="182"/>
      <c r="Q111" s="182"/>
      <c r="R111" s="182"/>
      <c r="S111" s="182"/>
    </row>
    <row r="112" spans="3:19" hidden="1" x14ac:dyDescent="0.25">
      <c r="C112" s="116"/>
      <c r="D112" s="125"/>
      <c r="H112" s="182"/>
      <c r="I112" s="182"/>
      <c r="J112" s="182"/>
      <c r="K112" s="182"/>
      <c r="L112" s="182"/>
      <c r="M112" s="182"/>
      <c r="N112" s="182"/>
      <c r="O112" s="182"/>
      <c r="P112" s="182"/>
      <c r="Q112" s="182"/>
      <c r="R112" s="182"/>
      <c r="S112" s="182"/>
    </row>
    <row r="113" spans="3:19" hidden="1" x14ac:dyDescent="0.25">
      <c r="C113" s="116"/>
      <c r="D113" s="125"/>
      <c r="H113" s="182"/>
      <c r="I113" s="182"/>
      <c r="J113" s="182"/>
      <c r="K113" s="182"/>
      <c r="L113" s="182"/>
      <c r="M113" s="182"/>
      <c r="N113" s="182"/>
      <c r="O113" s="182"/>
      <c r="P113" s="182"/>
      <c r="Q113" s="182"/>
      <c r="R113" s="182"/>
      <c r="S113" s="182"/>
    </row>
    <row r="114" spans="3:19" hidden="1" x14ac:dyDescent="0.25">
      <c r="C114" s="116"/>
      <c r="D114" s="125"/>
      <c r="H114" s="182"/>
      <c r="I114" s="182"/>
      <c r="J114" s="182"/>
      <c r="K114" s="182"/>
      <c r="L114" s="182"/>
      <c r="M114" s="182"/>
      <c r="N114" s="182"/>
      <c r="O114" s="182"/>
      <c r="P114" s="182"/>
      <c r="Q114" s="182"/>
      <c r="R114" s="182"/>
      <c r="S114" s="182"/>
    </row>
    <row r="115" spans="3:19" hidden="1" x14ac:dyDescent="0.25">
      <c r="C115" s="116"/>
      <c r="D115" s="125"/>
      <c r="H115" s="182"/>
      <c r="I115" s="182"/>
      <c r="J115" s="182"/>
      <c r="K115" s="182"/>
      <c r="L115" s="182"/>
      <c r="M115" s="182"/>
      <c r="N115" s="182"/>
      <c r="O115" s="182"/>
      <c r="P115" s="182"/>
      <c r="Q115" s="182"/>
      <c r="R115" s="182"/>
      <c r="S115" s="182"/>
    </row>
    <row r="116" spans="3:19" hidden="1" x14ac:dyDescent="0.25">
      <c r="C116" s="116"/>
      <c r="D116" s="125"/>
      <c r="H116" s="182"/>
      <c r="I116" s="182"/>
      <c r="J116" s="182"/>
      <c r="K116" s="182"/>
      <c r="L116" s="182"/>
      <c r="M116" s="182"/>
      <c r="N116" s="182"/>
      <c r="O116" s="182"/>
      <c r="P116" s="182"/>
      <c r="Q116" s="182"/>
      <c r="R116" s="182"/>
      <c r="S116" s="182"/>
    </row>
    <row r="117" spans="3:19" hidden="1" x14ac:dyDescent="0.25">
      <c r="C117" s="116"/>
      <c r="D117" s="125"/>
      <c r="H117" s="182"/>
      <c r="I117" s="182"/>
      <c r="J117" s="182"/>
      <c r="K117" s="182"/>
      <c r="L117" s="182"/>
      <c r="M117" s="182"/>
      <c r="N117" s="182"/>
      <c r="O117" s="182"/>
      <c r="P117" s="182"/>
      <c r="Q117" s="182"/>
      <c r="R117" s="182"/>
      <c r="S117" s="182"/>
    </row>
    <row r="118" spans="3:19" hidden="1" x14ac:dyDescent="0.25">
      <c r="C118" s="116"/>
      <c r="D118" s="125"/>
      <c r="H118" s="182"/>
      <c r="I118" s="182"/>
      <c r="J118" s="182"/>
      <c r="K118" s="182"/>
      <c r="L118" s="182"/>
      <c r="M118" s="182"/>
      <c r="N118" s="182"/>
      <c r="O118" s="182"/>
      <c r="P118" s="182"/>
      <c r="Q118" s="182"/>
      <c r="R118" s="182"/>
      <c r="S118" s="182"/>
    </row>
    <row r="119" spans="3:19" hidden="1" x14ac:dyDescent="0.25">
      <c r="C119" s="116"/>
      <c r="D119" s="125"/>
      <c r="H119" s="182"/>
      <c r="I119" s="182"/>
      <c r="J119" s="182"/>
      <c r="K119" s="182"/>
      <c r="L119" s="182"/>
      <c r="M119" s="182"/>
      <c r="N119" s="182"/>
      <c r="O119" s="182"/>
      <c r="P119" s="182"/>
      <c r="Q119" s="182"/>
      <c r="R119" s="182"/>
      <c r="S119" s="182"/>
    </row>
    <row r="120" spans="3:19" hidden="1" x14ac:dyDescent="0.25">
      <c r="C120" s="116"/>
      <c r="D120" s="125"/>
      <c r="H120" s="182"/>
      <c r="I120" s="182"/>
      <c r="J120" s="182"/>
      <c r="K120" s="182"/>
      <c r="L120" s="182"/>
      <c r="M120" s="182"/>
      <c r="N120" s="182"/>
      <c r="O120" s="182"/>
      <c r="P120" s="182"/>
      <c r="Q120" s="182"/>
      <c r="R120" s="182"/>
      <c r="S120" s="182"/>
    </row>
    <row r="121" spans="3:19" hidden="1" x14ac:dyDescent="0.25">
      <c r="C121" s="116"/>
      <c r="D121" s="125"/>
      <c r="H121" s="182"/>
      <c r="I121" s="182"/>
      <c r="J121" s="182"/>
      <c r="K121" s="182"/>
      <c r="L121" s="182"/>
      <c r="M121" s="182"/>
      <c r="N121" s="182"/>
      <c r="O121" s="182"/>
      <c r="P121" s="182"/>
      <c r="Q121" s="182"/>
      <c r="R121" s="182"/>
      <c r="S121" s="182"/>
    </row>
    <row r="122" spans="3:19" hidden="1" x14ac:dyDescent="0.25">
      <c r="C122" s="116"/>
      <c r="D122" s="125"/>
      <c r="H122" s="182"/>
      <c r="I122" s="182"/>
      <c r="J122" s="182"/>
      <c r="K122" s="182"/>
      <c r="L122" s="182"/>
      <c r="M122" s="182"/>
      <c r="N122" s="182"/>
      <c r="O122" s="182"/>
      <c r="P122" s="182"/>
      <c r="Q122" s="182"/>
      <c r="R122" s="182"/>
      <c r="S122" s="182"/>
    </row>
    <row r="123" spans="3:19" hidden="1" x14ac:dyDescent="0.25">
      <c r="C123" s="116"/>
      <c r="D123" s="125"/>
      <c r="H123" s="182"/>
      <c r="I123" s="182"/>
      <c r="J123" s="182"/>
      <c r="K123" s="182"/>
      <c r="L123" s="182"/>
      <c r="M123" s="182"/>
      <c r="N123" s="182"/>
      <c r="O123" s="182"/>
      <c r="P123" s="182"/>
      <c r="Q123" s="182"/>
      <c r="R123" s="182"/>
      <c r="S123" s="182"/>
    </row>
    <row r="124" spans="3:19" hidden="1" x14ac:dyDescent="0.25">
      <c r="C124" s="116"/>
      <c r="D124" s="125"/>
      <c r="H124" s="182"/>
      <c r="I124" s="182"/>
      <c r="J124" s="182"/>
      <c r="K124" s="182"/>
      <c r="L124" s="182"/>
      <c r="M124" s="182"/>
      <c r="N124" s="182"/>
      <c r="O124" s="182"/>
      <c r="P124" s="182"/>
      <c r="Q124" s="182"/>
      <c r="R124" s="182"/>
      <c r="S124" s="182"/>
    </row>
    <row r="125" spans="3:19" hidden="1" x14ac:dyDescent="0.25">
      <c r="C125" s="116"/>
      <c r="D125" s="125"/>
      <c r="H125" s="182"/>
      <c r="I125" s="182"/>
      <c r="J125" s="182"/>
      <c r="K125" s="182"/>
      <c r="L125" s="182"/>
      <c r="M125" s="182"/>
      <c r="N125" s="182"/>
      <c r="O125" s="182"/>
      <c r="P125" s="182"/>
      <c r="Q125" s="182"/>
      <c r="R125" s="182"/>
      <c r="S125" s="182"/>
    </row>
    <row r="126" spans="3:19" hidden="1" x14ac:dyDescent="0.25">
      <c r="C126" s="116"/>
      <c r="D126" s="125"/>
      <c r="H126" s="182"/>
      <c r="I126" s="182"/>
      <c r="J126" s="182"/>
      <c r="K126" s="182"/>
      <c r="L126" s="182"/>
      <c r="M126" s="182"/>
      <c r="N126" s="182"/>
      <c r="O126" s="182"/>
      <c r="P126" s="182"/>
      <c r="Q126" s="182"/>
      <c r="R126" s="182"/>
      <c r="S126" s="182"/>
    </row>
    <row r="127" spans="3:19" hidden="1" x14ac:dyDescent="0.25">
      <c r="C127" s="116"/>
      <c r="D127" s="125"/>
      <c r="H127" s="182"/>
      <c r="I127" s="182"/>
      <c r="J127" s="182"/>
      <c r="K127" s="182"/>
      <c r="L127" s="182"/>
      <c r="M127" s="182"/>
      <c r="N127" s="182"/>
      <c r="O127" s="182"/>
      <c r="P127" s="182"/>
      <c r="Q127" s="182"/>
      <c r="R127" s="182"/>
      <c r="S127" s="182"/>
    </row>
    <row r="128" spans="3:19" hidden="1" x14ac:dyDescent="0.25">
      <c r="C128" s="116"/>
      <c r="D128" s="125"/>
      <c r="H128" s="182"/>
      <c r="I128" s="182"/>
      <c r="J128" s="182"/>
      <c r="K128" s="182"/>
      <c r="L128" s="182"/>
      <c r="M128" s="182"/>
      <c r="N128" s="182"/>
      <c r="O128" s="182"/>
      <c r="P128" s="182"/>
      <c r="Q128" s="182"/>
      <c r="R128" s="182"/>
      <c r="S128" s="182"/>
    </row>
    <row r="129" spans="3:19" hidden="1" x14ac:dyDescent="0.25">
      <c r="C129" s="116"/>
      <c r="D129" s="125"/>
      <c r="H129" s="182"/>
      <c r="I129" s="182"/>
      <c r="J129" s="182"/>
      <c r="K129" s="182"/>
      <c r="L129" s="182"/>
      <c r="M129" s="182"/>
      <c r="N129" s="182"/>
      <c r="O129" s="182"/>
      <c r="P129" s="182"/>
      <c r="Q129" s="182"/>
      <c r="R129" s="182"/>
      <c r="S129" s="182"/>
    </row>
    <row r="130" spans="3:19" hidden="1" x14ac:dyDescent="0.25">
      <c r="C130" s="116"/>
      <c r="D130" s="125"/>
      <c r="H130" s="182"/>
      <c r="I130" s="182"/>
      <c r="J130" s="182"/>
      <c r="K130" s="182"/>
      <c r="L130" s="182"/>
      <c r="M130" s="182"/>
      <c r="N130" s="182"/>
      <c r="O130" s="182"/>
      <c r="P130" s="182"/>
      <c r="Q130" s="182"/>
      <c r="R130" s="182"/>
      <c r="S130" s="182"/>
    </row>
    <row r="131" spans="3:19" hidden="1" x14ac:dyDescent="0.25">
      <c r="C131" s="116"/>
      <c r="D131" s="125"/>
      <c r="H131" s="182"/>
      <c r="I131" s="182"/>
      <c r="J131" s="182"/>
      <c r="K131" s="182"/>
      <c r="L131" s="182"/>
      <c r="M131" s="182"/>
      <c r="N131" s="182"/>
      <c r="O131" s="182"/>
      <c r="P131" s="182"/>
      <c r="Q131" s="182"/>
      <c r="R131" s="182"/>
      <c r="S131" s="182"/>
    </row>
    <row r="132" spans="3:19" hidden="1" x14ac:dyDescent="0.25">
      <c r="C132" s="116"/>
      <c r="D132" s="125"/>
      <c r="H132" s="182"/>
      <c r="I132" s="182"/>
      <c r="J132" s="182"/>
      <c r="K132" s="182"/>
      <c r="L132" s="182"/>
      <c r="M132" s="182"/>
      <c r="N132" s="182"/>
      <c r="O132" s="182"/>
      <c r="P132" s="182"/>
      <c r="Q132" s="182"/>
      <c r="R132" s="182"/>
      <c r="S132" s="182"/>
    </row>
    <row r="133" spans="3:19" hidden="1" x14ac:dyDescent="0.25">
      <c r="C133" s="116"/>
      <c r="D133" s="125"/>
      <c r="H133" s="182"/>
      <c r="I133" s="182"/>
      <c r="J133" s="182"/>
      <c r="K133" s="182"/>
      <c r="L133" s="182"/>
      <c r="M133" s="182"/>
      <c r="N133" s="182"/>
      <c r="O133" s="182"/>
      <c r="P133" s="182"/>
      <c r="Q133" s="182"/>
      <c r="R133" s="182"/>
      <c r="S133" s="182"/>
    </row>
    <row r="134" spans="3:19" hidden="1" x14ac:dyDescent="0.25">
      <c r="C134" s="116"/>
      <c r="D134" s="125"/>
      <c r="H134" s="182"/>
      <c r="I134" s="182"/>
      <c r="J134" s="182"/>
      <c r="K134" s="182"/>
      <c r="L134" s="182"/>
      <c r="M134" s="182"/>
      <c r="N134" s="182"/>
      <c r="O134" s="182"/>
      <c r="P134" s="182"/>
      <c r="Q134" s="182"/>
      <c r="R134" s="182"/>
      <c r="S134" s="182"/>
    </row>
    <row r="135" spans="3:19" hidden="1" x14ac:dyDescent="0.25">
      <c r="C135" s="116"/>
      <c r="D135" s="125"/>
      <c r="H135" s="182"/>
      <c r="I135" s="182"/>
      <c r="J135" s="182"/>
      <c r="K135" s="182"/>
      <c r="L135" s="182"/>
      <c r="M135" s="182"/>
      <c r="N135" s="182"/>
      <c r="O135" s="182"/>
      <c r="P135" s="182"/>
      <c r="Q135" s="182"/>
      <c r="R135" s="182"/>
      <c r="S135" s="182"/>
    </row>
    <row r="136" spans="3:19" hidden="1" x14ac:dyDescent="0.25">
      <c r="C136" s="116"/>
      <c r="D136" s="125"/>
      <c r="H136" s="182"/>
      <c r="I136" s="182"/>
      <c r="J136" s="182"/>
      <c r="K136" s="182"/>
      <c r="L136" s="182"/>
      <c r="M136" s="182"/>
      <c r="N136" s="182"/>
      <c r="O136" s="182"/>
      <c r="P136" s="182"/>
      <c r="Q136" s="182"/>
      <c r="R136" s="182"/>
      <c r="S136" s="182"/>
    </row>
    <row r="137" spans="3:19" hidden="1" x14ac:dyDescent="0.25">
      <c r="C137" s="116"/>
      <c r="D137" s="125"/>
      <c r="H137" s="182"/>
      <c r="I137" s="182"/>
      <c r="J137" s="182"/>
      <c r="K137" s="182"/>
      <c r="L137" s="182"/>
      <c r="M137" s="182"/>
      <c r="N137" s="182"/>
      <c r="O137" s="182"/>
      <c r="P137" s="182"/>
      <c r="Q137" s="182"/>
      <c r="R137" s="182"/>
      <c r="S137" s="182"/>
    </row>
    <row r="138" spans="3:19" hidden="1" x14ac:dyDescent="0.25">
      <c r="C138" s="116"/>
      <c r="D138" s="125"/>
      <c r="H138" s="182"/>
      <c r="I138" s="182"/>
      <c r="J138" s="182"/>
      <c r="K138" s="182"/>
      <c r="L138" s="182"/>
      <c r="M138" s="182"/>
      <c r="N138" s="182"/>
      <c r="O138" s="182"/>
      <c r="P138" s="182"/>
      <c r="Q138" s="182"/>
      <c r="R138" s="182"/>
      <c r="S138" s="182"/>
    </row>
    <row r="139" spans="3:19" hidden="1" x14ac:dyDescent="0.25">
      <c r="C139" s="116"/>
      <c r="D139" s="125"/>
      <c r="H139" s="182"/>
      <c r="I139" s="182"/>
      <c r="J139" s="182"/>
      <c r="K139" s="182"/>
      <c r="L139" s="182"/>
      <c r="M139" s="182"/>
      <c r="N139" s="182"/>
      <c r="O139" s="182"/>
      <c r="P139" s="182"/>
      <c r="Q139" s="182"/>
      <c r="R139" s="182"/>
      <c r="S139" s="182"/>
    </row>
    <row r="140" spans="3:19" hidden="1" x14ac:dyDescent="0.25">
      <c r="C140" s="116"/>
      <c r="D140" s="125"/>
      <c r="H140" s="182"/>
      <c r="I140" s="182"/>
      <c r="J140" s="182"/>
      <c r="K140" s="182"/>
      <c r="L140" s="182"/>
      <c r="M140" s="182"/>
      <c r="N140" s="182"/>
      <c r="O140" s="182"/>
      <c r="P140" s="182"/>
      <c r="Q140" s="182"/>
      <c r="R140" s="182"/>
      <c r="S140" s="182"/>
    </row>
    <row r="141" spans="3:19" hidden="1" x14ac:dyDescent="0.25">
      <c r="C141" s="116"/>
      <c r="D141" s="125"/>
      <c r="H141" s="182"/>
      <c r="I141" s="182"/>
      <c r="J141" s="182"/>
      <c r="K141" s="182"/>
      <c r="L141" s="182"/>
      <c r="M141" s="182"/>
      <c r="N141" s="182"/>
      <c r="O141" s="182"/>
      <c r="P141" s="182"/>
      <c r="Q141" s="182"/>
      <c r="R141" s="182"/>
      <c r="S141" s="182"/>
    </row>
    <row r="142" spans="3:19" hidden="1" x14ac:dyDescent="0.25">
      <c r="C142" s="116"/>
      <c r="D142" s="125"/>
      <c r="H142" s="182"/>
      <c r="I142" s="182"/>
      <c r="J142" s="182"/>
      <c r="K142" s="182"/>
      <c r="L142" s="182"/>
      <c r="M142" s="182"/>
      <c r="N142" s="182"/>
      <c r="O142" s="182"/>
      <c r="P142" s="182"/>
      <c r="Q142" s="182"/>
      <c r="R142" s="182"/>
      <c r="S142" s="182"/>
    </row>
    <row r="143" spans="3:19" hidden="1" x14ac:dyDescent="0.25">
      <c r="C143" s="116"/>
      <c r="D143" s="125"/>
    </row>
    <row r="144" spans="3:19" hidden="1" x14ac:dyDescent="0.25">
      <c r="C144" s="116"/>
      <c r="D144" s="125"/>
    </row>
    <row r="145" spans="3:4" hidden="1" x14ac:dyDescent="0.25">
      <c r="C145" s="116"/>
      <c r="D145" s="125"/>
    </row>
    <row r="146" spans="3:4" hidden="1" x14ac:dyDescent="0.25">
      <c r="C146" s="116"/>
      <c r="D146" s="125"/>
    </row>
    <row r="147" spans="3:4" hidden="1" x14ac:dyDescent="0.25">
      <c r="C147" s="116"/>
      <c r="D147" s="125"/>
    </row>
    <row r="148" spans="3:4" hidden="1" x14ac:dyDescent="0.25">
      <c r="C148" s="116"/>
      <c r="D148" s="125"/>
    </row>
    <row r="149" spans="3:4" hidden="1" x14ac:dyDescent="0.25">
      <c r="C149" s="116"/>
      <c r="D149" s="125"/>
    </row>
    <row r="150" spans="3:4" hidden="1" x14ac:dyDescent="0.25">
      <c r="C150" s="116"/>
      <c r="D150" s="125"/>
    </row>
    <row r="151" spans="3:4" hidden="1" x14ac:dyDescent="0.25">
      <c r="C151" s="116"/>
      <c r="D151" s="125"/>
    </row>
    <row r="152" spans="3:4" hidden="1" x14ac:dyDescent="0.25">
      <c r="C152" s="116"/>
      <c r="D152" s="125"/>
    </row>
    <row r="153" spans="3:4" x14ac:dyDescent="0.25">
      <c r="C153" s="116"/>
      <c r="D153" s="125"/>
    </row>
    <row r="154" spans="3:4" x14ac:dyDescent="0.25">
      <c r="C154" s="116"/>
      <c r="D154" s="125"/>
    </row>
    <row r="155" spans="3:4" x14ac:dyDescent="0.25">
      <c r="C155" s="116"/>
      <c r="D155" s="125"/>
    </row>
    <row r="156" spans="3:4" x14ac:dyDescent="0.25">
      <c r="C156" s="116"/>
      <c r="D156" s="125"/>
    </row>
    <row r="157" spans="3:4" x14ac:dyDescent="0.25">
      <c r="C157" s="116"/>
      <c r="D157" s="125"/>
    </row>
    <row r="158" spans="3:4" x14ac:dyDescent="0.25">
      <c r="C158" s="116"/>
      <c r="D158" s="125"/>
    </row>
    <row r="159" spans="3:4" x14ac:dyDescent="0.25">
      <c r="C159" s="116"/>
      <c r="D159" s="125"/>
    </row>
    <row r="160" spans="3:4" x14ac:dyDescent="0.25">
      <c r="C160" s="116"/>
      <c r="D160" s="125"/>
    </row>
    <row r="161" spans="3:4" x14ac:dyDescent="0.25">
      <c r="C161" s="116"/>
      <c r="D161" s="125"/>
    </row>
    <row r="162" spans="3:4" x14ac:dyDescent="0.25">
      <c r="C162" s="116"/>
      <c r="D162" s="125"/>
    </row>
    <row r="163" spans="3:4" x14ac:dyDescent="0.25">
      <c r="C163" s="116"/>
      <c r="D163" s="125"/>
    </row>
    <row r="164" spans="3:4" x14ac:dyDescent="0.25">
      <c r="C164" s="116"/>
      <c r="D164" s="125"/>
    </row>
    <row r="165" spans="3:4" x14ac:dyDescent="0.25">
      <c r="C165" s="116"/>
      <c r="D165" s="125"/>
    </row>
    <row r="166" spans="3:4" x14ac:dyDescent="0.25">
      <c r="C166" s="116"/>
      <c r="D166" s="125"/>
    </row>
    <row r="167" spans="3:4" x14ac:dyDescent="0.25">
      <c r="C167" s="116"/>
      <c r="D167" s="125"/>
    </row>
    <row r="168" spans="3:4" x14ac:dyDescent="0.25">
      <c r="C168" s="116"/>
      <c r="D168" s="125"/>
    </row>
    <row r="169" spans="3:4" x14ac:dyDescent="0.25">
      <c r="C169" s="116"/>
      <c r="D169" s="125"/>
    </row>
    <row r="170" spans="3:4" x14ac:dyDescent="0.25">
      <c r="C170" s="116"/>
      <c r="D170" s="125"/>
    </row>
    <row r="171" spans="3:4" x14ac:dyDescent="0.25">
      <c r="C171" s="116"/>
      <c r="D171" s="125"/>
    </row>
    <row r="172" spans="3:4" x14ac:dyDescent="0.25">
      <c r="C172" s="116"/>
      <c r="D172" s="125"/>
    </row>
    <row r="173" spans="3:4" x14ac:dyDescent="0.25">
      <c r="C173" s="116"/>
      <c r="D173" s="125"/>
    </row>
    <row r="174" spans="3:4" x14ac:dyDescent="0.25">
      <c r="C174" s="116"/>
      <c r="D174" s="125"/>
    </row>
    <row r="175" spans="3:4" x14ac:dyDescent="0.25">
      <c r="C175" s="116"/>
      <c r="D175" s="125"/>
    </row>
    <row r="176" spans="3:4" x14ac:dyDescent="0.25">
      <c r="C176" s="116"/>
      <c r="D176" s="125"/>
    </row>
    <row r="177" spans="3:4" x14ac:dyDescent="0.25">
      <c r="C177" s="116"/>
      <c r="D177" s="125"/>
    </row>
    <row r="178" spans="3:4" x14ac:dyDescent="0.25">
      <c r="C178" s="116"/>
      <c r="D178" s="125"/>
    </row>
    <row r="179" spans="3:4" x14ac:dyDescent="0.25">
      <c r="C179" s="116"/>
      <c r="D179" s="125"/>
    </row>
    <row r="180" spans="3:4" x14ac:dyDescent="0.25">
      <c r="C180" s="116"/>
      <c r="D180" s="125"/>
    </row>
    <row r="181" spans="3:4" x14ac:dyDescent="0.25">
      <c r="C181" s="116"/>
      <c r="D181" s="125"/>
    </row>
    <row r="182" spans="3:4" x14ac:dyDescent="0.25">
      <c r="C182" s="116"/>
      <c r="D182" s="125"/>
    </row>
    <row r="183" spans="3:4" x14ac:dyDescent="0.25">
      <c r="C183" s="116"/>
      <c r="D183" s="125"/>
    </row>
    <row r="184" spans="3:4" x14ac:dyDescent="0.25">
      <c r="C184" s="116"/>
      <c r="D184" s="125"/>
    </row>
    <row r="185" spans="3:4" x14ac:dyDescent="0.25">
      <c r="C185" s="116"/>
      <c r="D185" s="125"/>
    </row>
    <row r="186" spans="3:4" x14ac:dyDescent="0.25">
      <c r="C186" s="116"/>
      <c r="D186" s="125"/>
    </row>
    <row r="187" spans="3:4" x14ac:dyDescent="0.25">
      <c r="C187" s="116"/>
      <c r="D187" s="125"/>
    </row>
    <row r="188" spans="3:4" x14ac:dyDescent="0.25">
      <c r="C188" s="116"/>
      <c r="D188" s="125"/>
    </row>
    <row r="189" spans="3:4" x14ac:dyDescent="0.25">
      <c r="C189" s="116"/>
      <c r="D189" s="125"/>
    </row>
    <row r="190" spans="3:4" x14ac:dyDescent="0.25">
      <c r="C190" s="116"/>
      <c r="D190" s="125"/>
    </row>
    <row r="191" spans="3:4" x14ac:dyDescent="0.25">
      <c r="C191" s="116"/>
      <c r="D191" s="125"/>
    </row>
    <row r="192" spans="3:4" x14ac:dyDescent="0.25">
      <c r="C192" s="116"/>
      <c r="D192" s="125"/>
    </row>
    <row r="193" spans="3:4" x14ac:dyDescent="0.25">
      <c r="C193" s="116"/>
      <c r="D193" s="125"/>
    </row>
    <row r="194" spans="3:4" x14ac:dyDescent="0.25">
      <c r="C194" s="116"/>
      <c r="D194" s="125"/>
    </row>
    <row r="195" spans="3:4" x14ac:dyDescent="0.25">
      <c r="C195" s="116"/>
      <c r="D195" s="125"/>
    </row>
    <row r="196" spans="3:4" x14ac:dyDescent="0.25">
      <c r="C196" s="116"/>
      <c r="D196" s="125"/>
    </row>
    <row r="197" spans="3:4" x14ac:dyDescent="0.25">
      <c r="C197" s="116"/>
      <c r="D197" s="125"/>
    </row>
    <row r="198" spans="3:4" x14ac:dyDescent="0.25">
      <c r="C198" s="116"/>
      <c r="D198" s="125"/>
    </row>
    <row r="199" spans="3:4" x14ac:dyDescent="0.25">
      <c r="C199" s="116"/>
      <c r="D199" s="125"/>
    </row>
    <row r="200" spans="3:4" x14ac:dyDescent="0.25">
      <c r="C200" s="116"/>
      <c r="D200" s="125"/>
    </row>
    <row r="201" spans="3:4" x14ac:dyDescent="0.25">
      <c r="C201" s="116"/>
      <c r="D201" s="125"/>
    </row>
    <row r="202" spans="3:4" x14ac:dyDescent="0.25">
      <c r="C202" s="116"/>
      <c r="D202" s="125"/>
    </row>
    <row r="203" spans="3:4" x14ac:dyDescent="0.25">
      <c r="C203" s="116"/>
      <c r="D203" s="125"/>
    </row>
    <row r="204" spans="3:4" x14ac:dyDescent="0.25">
      <c r="C204" s="116"/>
      <c r="D204" s="125"/>
    </row>
    <row r="205" spans="3:4" x14ac:dyDescent="0.25">
      <c r="C205" s="116"/>
      <c r="D205" s="125"/>
    </row>
    <row r="206" spans="3:4" x14ac:dyDescent="0.25">
      <c r="C206" s="116"/>
      <c r="D206" s="125"/>
    </row>
    <row r="207" spans="3:4" x14ac:dyDescent="0.25">
      <c r="C207" s="116"/>
      <c r="D207" s="125"/>
    </row>
    <row r="208" spans="3:4" x14ac:dyDescent="0.25">
      <c r="C208" s="116"/>
      <c r="D208" s="125"/>
    </row>
    <row r="209" spans="3:4" x14ac:dyDescent="0.25">
      <c r="C209" s="116"/>
      <c r="D209" s="125"/>
    </row>
    <row r="210" spans="3:4" x14ac:dyDescent="0.25">
      <c r="C210" s="116"/>
      <c r="D210" s="125"/>
    </row>
    <row r="211" spans="3:4" x14ac:dyDescent="0.25">
      <c r="C211" s="116"/>
      <c r="D211" s="125"/>
    </row>
    <row r="212" spans="3:4" x14ac:dyDescent="0.25">
      <c r="C212" s="116"/>
      <c r="D212" s="125"/>
    </row>
    <row r="213" spans="3:4" x14ac:dyDescent="0.25">
      <c r="C213" s="116"/>
      <c r="D213" s="125"/>
    </row>
    <row r="214" spans="3:4" x14ac:dyDescent="0.25">
      <c r="C214" s="116"/>
      <c r="D214" s="125"/>
    </row>
    <row r="215" spans="3:4" x14ac:dyDescent="0.25">
      <c r="C215" s="116"/>
      <c r="D215" s="125"/>
    </row>
    <row r="216" spans="3:4" x14ac:dyDescent="0.25">
      <c r="C216" s="116"/>
      <c r="D216" s="125"/>
    </row>
    <row r="217" spans="3:4" x14ac:dyDescent="0.25">
      <c r="C217" s="116"/>
      <c r="D217" s="125"/>
    </row>
    <row r="218" spans="3:4" x14ac:dyDescent="0.25">
      <c r="C218" s="116"/>
      <c r="D218" s="125"/>
    </row>
    <row r="219" spans="3:4" x14ac:dyDescent="0.25">
      <c r="C219" s="116"/>
      <c r="D219" s="125"/>
    </row>
    <row r="220" spans="3:4" x14ac:dyDescent="0.25">
      <c r="C220" s="116"/>
      <c r="D220" s="125"/>
    </row>
    <row r="221" spans="3:4" x14ac:dyDescent="0.25">
      <c r="C221" s="116"/>
      <c r="D221" s="125"/>
    </row>
    <row r="222" spans="3:4" x14ac:dyDescent="0.25">
      <c r="C222" s="116"/>
      <c r="D222" s="125"/>
    </row>
    <row r="223" spans="3:4" x14ac:dyDescent="0.25">
      <c r="C223" s="116"/>
      <c r="D223" s="125"/>
    </row>
    <row r="224" spans="3:4" x14ac:dyDescent="0.25">
      <c r="C224" s="116"/>
      <c r="D224" s="125"/>
    </row>
    <row r="225" spans="3:4" x14ac:dyDescent="0.25">
      <c r="C225" s="116"/>
      <c r="D225" s="125"/>
    </row>
    <row r="226" spans="3:4" x14ac:dyDescent="0.25">
      <c r="C226" s="116"/>
      <c r="D226" s="125"/>
    </row>
    <row r="227" spans="3:4" x14ac:dyDescent="0.25">
      <c r="C227" s="116"/>
      <c r="D227" s="125"/>
    </row>
    <row r="228" spans="3:4" x14ac:dyDescent="0.25">
      <c r="C228" s="116"/>
      <c r="D228" s="125"/>
    </row>
    <row r="229" spans="3:4" x14ac:dyDescent="0.25">
      <c r="C229" s="116"/>
      <c r="D229" s="125"/>
    </row>
    <row r="230" spans="3:4" x14ac:dyDescent="0.25">
      <c r="C230" s="116"/>
      <c r="D230" s="125"/>
    </row>
    <row r="231" spans="3:4" x14ac:dyDescent="0.25">
      <c r="C231" s="116"/>
      <c r="D231" s="125"/>
    </row>
    <row r="232" spans="3:4" x14ac:dyDescent="0.25">
      <c r="C232" s="116"/>
      <c r="D232" s="125"/>
    </row>
    <row r="233" spans="3:4" x14ac:dyDescent="0.25">
      <c r="C233" s="116"/>
      <c r="D233" s="125"/>
    </row>
    <row r="234" spans="3:4" x14ac:dyDescent="0.25">
      <c r="C234" s="116"/>
      <c r="D234" s="125"/>
    </row>
    <row r="235" spans="3:4" x14ac:dyDescent="0.25">
      <c r="C235" s="116"/>
      <c r="D235" s="125"/>
    </row>
    <row r="236" spans="3:4" x14ac:dyDescent="0.25">
      <c r="C236" s="116"/>
      <c r="D236" s="125"/>
    </row>
    <row r="237" spans="3:4" x14ac:dyDescent="0.25">
      <c r="C237" s="116"/>
      <c r="D237" s="125"/>
    </row>
    <row r="238" spans="3:4" x14ac:dyDescent="0.25">
      <c r="C238" s="116"/>
      <c r="D238" s="125"/>
    </row>
    <row r="239" spans="3:4" x14ac:dyDescent="0.25">
      <c r="C239" s="116"/>
      <c r="D239" s="125"/>
    </row>
    <row r="240" spans="3:4" x14ac:dyDescent="0.25">
      <c r="C240" s="116"/>
      <c r="D240" s="125"/>
    </row>
    <row r="241" spans="3:4" x14ac:dyDescent="0.25">
      <c r="C241" s="116"/>
      <c r="D241" s="125"/>
    </row>
    <row r="242" spans="3:4" x14ac:dyDescent="0.25">
      <c r="C242" s="116"/>
      <c r="D242" s="125"/>
    </row>
    <row r="243" spans="3:4" x14ac:dyDescent="0.25">
      <c r="C243" s="116"/>
      <c r="D243" s="125"/>
    </row>
    <row r="244" spans="3:4" x14ac:dyDescent="0.25">
      <c r="C244" s="116"/>
      <c r="D244" s="125"/>
    </row>
    <row r="245" spans="3:4" x14ac:dyDescent="0.25">
      <c r="C245" s="116"/>
      <c r="D245" s="125"/>
    </row>
    <row r="246" spans="3:4" x14ac:dyDescent="0.25">
      <c r="C246" s="116"/>
      <c r="D246" s="125"/>
    </row>
    <row r="247" spans="3:4" x14ac:dyDescent="0.25">
      <c r="C247" s="116"/>
      <c r="D247" s="125"/>
    </row>
    <row r="248" spans="3:4" x14ac:dyDescent="0.25">
      <c r="C248" s="116"/>
      <c r="D248" s="125"/>
    </row>
    <row r="249" spans="3:4" x14ac:dyDescent="0.25">
      <c r="C249" s="116"/>
      <c r="D249" s="125"/>
    </row>
    <row r="250" spans="3:4" x14ac:dyDescent="0.25">
      <c r="C250" s="116"/>
      <c r="D250" s="125"/>
    </row>
    <row r="251" spans="3:4" x14ac:dyDescent="0.25">
      <c r="C251" s="116"/>
      <c r="D251" s="125"/>
    </row>
    <row r="252" spans="3:4" x14ac:dyDescent="0.25">
      <c r="C252" s="116"/>
      <c r="D252" s="125"/>
    </row>
    <row r="253" spans="3:4" x14ac:dyDescent="0.25">
      <c r="C253" s="116"/>
      <c r="D253" s="125"/>
    </row>
    <row r="254" spans="3:4" x14ac:dyDescent="0.25">
      <c r="C254" s="116"/>
      <c r="D254" s="125"/>
    </row>
    <row r="255" spans="3:4" x14ac:dyDescent="0.25">
      <c r="C255" s="116"/>
      <c r="D255" s="125"/>
    </row>
    <row r="256" spans="3:4" x14ac:dyDescent="0.25">
      <c r="C256" s="116"/>
      <c r="D256" s="125"/>
    </row>
    <row r="257" spans="3:4" x14ac:dyDescent="0.25">
      <c r="C257" s="116"/>
      <c r="D257" s="125"/>
    </row>
    <row r="258" spans="3:4" x14ac:dyDescent="0.25">
      <c r="C258" s="116"/>
      <c r="D258" s="125"/>
    </row>
    <row r="259" spans="3:4" x14ac:dyDescent="0.25">
      <c r="C259" s="116"/>
      <c r="D259" s="125"/>
    </row>
    <row r="260" spans="3:4" x14ac:dyDescent="0.25">
      <c r="C260" s="116"/>
      <c r="D260" s="125"/>
    </row>
    <row r="261" spans="3:4" x14ac:dyDescent="0.25">
      <c r="C261" s="116"/>
      <c r="D261" s="125"/>
    </row>
    <row r="262" spans="3:4" x14ac:dyDescent="0.25">
      <c r="C262" s="116"/>
      <c r="D262" s="125"/>
    </row>
    <row r="263" spans="3:4" x14ac:dyDescent="0.25">
      <c r="C263" s="116"/>
      <c r="D263" s="125"/>
    </row>
    <row r="264" spans="3:4" x14ac:dyDescent="0.25">
      <c r="C264" s="116"/>
      <c r="D264" s="125"/>
    </row>
    <row r="265" spans="3:4" x14ac:dyDescent="0.25">
      <c r="C265" s="116"/>
      <c r="D265" s="125"/>
    </row>
    <row r="266" spans="3:4" x14ac:dyDescent="0.25">
      <c r="C266" s="116"/>
      <c r="D266" s="125"/>
    </row>
    <row r="267" spans="3:4" x14ac:dyDescent="0.25">
      <c r="C267" s="116"/>
      <c r="D267" s="125"/>
    </row>
    <row r="268" spans="3:4" x14ac:dyDescent="0.25">
      <c r="C268" s="116"/>
      <c r="D268" s="125"/>
    </row>
    <row r="269" spans="3:4" x14ac:dyDescent="0.25">
      <c r="C269" s="116"/>
      <c r="D269" s="125"/>
    </row>
    <row r="270" spans="3:4" x14ac:dyDescent="0.25">
      <c r="C270" s="116"/>
      <c r="D270" s="125"/>
    </row>
    <row r="271" spans="3:4" x14ac:dyDescent="0.25">
      <c r="C271" s="116"/>
      <c r="D271" s="125"/>
    </row>
    <row r="272" spans="3:4" x14ac:dyDescent="0.25">
      <c r="C272" s="116"/>
      <c r="D272" s="125"/>
    </row>
    <row r="273" spans="3:4" x14ac:dyDescent="0.25">
      <c r="C273" s="116"/>
      <c r="D273" s="125"/>
    </row>
    <row r="274" spans="3:4" x14ac:dyDescent="0.25">
      <c r="C274" s="116"/>
      <c r="D274" s="125"/>
    </row>
    <row r="275" spans="3:4" x14ac:dyDescent="0.25">
      <c r="C275" s="116"/>
      <c r="D275" s="125"/>
    </row>
    <row r="276" spans="3:4" x14ac:dyDescent="0.25">
      <c r="C276" s="116"/>
      <c r="D276" s="125"/>
    </row>
    <row r="277" spans="3:4" x14ac:dyDescent="0.25">
      <c r="C277" s="116"/>
      <c r="D277" s="125"/>
    </row>
    <row r="278" spans="3:4" x14ac:dyDescent="0.25">
      <c r="C278" s="116"/>
      <c r="D278" s="125"/>
    </row>
    <row r="279" spans="3:4" x14ac:dyDescent="0.25">
      <c r="C279" s="116"/>
      <c r="D279" s="125"/>
    </row>
    <row r="280" spans="3:4" x14ac:dyDescent="0.25">
      <c r="C280" s="116"/>
      <c r="D280" s="125"/>
    </row>
    <row r="281" spans="3:4" x14ac:dyDescent="0.25">
      <c r="C281" s="116"/>
      <c r="D281" s="125"/>
    </row>
    <row r="282" spans="3:4" x14ac:dyDescent="0.25">
      <c r="C282" s="116"/>
      <c r="D282" s="125"/>
    </row>
    <row r="283" spans="3:4" x14ac:dyDescent="0.25">
      <c r="C283" s="116"/>
      <c r="D283" s="125"/>
    </row>
    <row r="284" spans="3:4" x14ac:dyDescent="0.25">
      <c r="C284" s="116"/>
      <c r="D284" s="125"/>
    </row>
    <row r="285" spans="3:4" x14ac:dyDescent="0.25">
      <c r="C285" s="116"/>
      <c r="D285" s="125"/>
    </row>
    <row r="286" spans="3:4" x14ac:dyDescent="0.25">
      <c r="C286" s="116"/>
      <c r="D286" s="125"/>
    </row>
    <row r="287" spans="3:4" x14ac:dyDescent="0.25">
      <c r="C287" s="116"/>
      <c r="D287" s="125"/>
    </row>
    <row r="288" spans="3:4" x14ac:dyDescent="0.25">
      <c r="C288" s="116"/>
      <c r="D288" s="125"/>
    </row>
    <row r="289" spans="3:4" x14ac:dyDescent="0.25">
      <c r="C289" s="116"/>
      <c r="D289" s="125"/>
    </row>
    <row r="290" spans="3:4" x14ac:dyDescent="0.25">
      <c r="C290" s="116"/>
      <c r="D290" s="125"/>
    </row>
    <row r="291" spans="3:4" x14ac:dyDescent="0.25">
      <c r="C291" s="116"/>
      <c r="D291" s="125"/>
    </row>
    <row r="292" spans="3:4" x14ac:dyDescent="0.25">
      <c r="C292" s="116"/>
      <c r="D292" s="125"/>
    </row>
    <row r="293" spans="3:4" x14ac:dyDescent="0.25">
      <c r="C293" s="116"/>
      <c r="D293" s="125"/>
    </row>
    <row r="294" spans="3:4" x14ac:dyDescent="0.25">
      <c r="C294" s="116"/>
      <c r="D294" s="125"/>
    </row>
    <row r="295" spans="3:4" x14ac:dyDescent="0.25">
      <c r="C295" s="116"/>
      <c r="D295" s="125"/>
    </row>
    <row r="296" spans="3:4" x14ac:dyDescent="0.25">
      <c r="C296" s="116"/>
      <c r="D296" s="125"/>
    </row>
    <row r="297" spans="3:4" x14ac:dyDescent="0.25">
      <c r="C297" s="116"/>
      <c r="D297" s="125"/>
    </row>
    <row r="298" spans="3:4" x14ac:dyDescent="0.25">
      <c r="C298" s="116"/>
      <c r="D298" s="125"/>
    </row>
    <row r="299" spans="3:4" x14ac:dyDescent="0.25">
      <c r="C299" s="116"/>
      <c r="D299" s="125"/>
    </row>
    <row r="300" spans="3:4" x14ac:dyDescent="0.25">
      <c r="C300" s="116"/>
      <c r="D300" s="125"/>
    </row>
    <row r="301" spans="3:4" x14ac:dyDescent="0.25">
      <c r="C301" s="116"/>
      <c r="D301" s="125"/>
    </row>
    <row r="302" spans="3:4" x14ac:dyDescent="0.25">
      <c r="C302" s="116"/>
      <c r="D302" s="125"/>
    </row>
    <row r="303" spans="3:4" x14ac:dyDescent="0.25">
      <c r="C303" s="116"/>
      <c r="D303" s="125"/>
    </row>
    <row r="304" spans="3:4" x14ac:dyDescent="0.25">
      <c r="C304" s="116"/>
      <c r="D304" s="125"/>
    </row>
    <row r="305" spans="3:4" x14ac:dyDescent="0.25">
      <c r="C305" s="116"/>
      <c r="D305" s="125"/>
    </row>
    <row r="306" spans="3:4" x14ac:dyDescent="0.25">
      <c r="C306" s="116"/>
      <c r="D306" s="125"/>
    </row>
    <row r="307" spans="3:4" x14ac:dyDescent="0.25">
      <c r="C307" s="116"/>
      <c r="D307" s="125"/>
    </row>
    <row r="308" spans="3:4" x14ac:dyDescent="0.25">
      <c r="C308" s="116"/>
      <c r="D308" s="125"/>
    </row>
    <row r="309" spans="3:4" x14ac:dyDescent="0.25">
      <c r="C309" s="116"/>
      <c r="D309" s="125"/>
    </row>
    <row r="310" spans="3:4" x14ac:dyDescent="0.25">
      <c r="C310" s="116"/>
      <c r="D310" s="125"/>
    </row>
    <row r="311" spans="3:4" x14ac:dyDescent="0.25">
      <c r="C311" s="116"/>
      <c r="D311" s="125"/>
    </row>
    <row r="312" spans="3:4" x14ac:dyDescent="0.25">
      <c r="C312" s="116"/>
      <c r="D312" s="125"/>
    </row>
    <row r="313" spans="3:4" x14ac:dyDescent="0.25">
      <c r="C313" s="116"/>
      <c r="D313" s="125"/>
    </row>
    <row r="314" spans="3:4" x14ac:dyDescent="0.25">
      <c r="C314" s="116"/>
      <c r="D314" s="125"/>
    </row>
    <row r="315" spans="3:4" x14ac:dyDescent="0.25">
      <c r="C315" s="116"/>
      <c r="D315" s="125"/>
    </row>
    <row r="316" spans="3:4" x14ac:dyDescent="0.25">
      <c r="C316" s="116"/>
      <c r="D316" s="125"/>
    </row>
    <row r="317" spans="3:4" x14ac:dyDescent="0.25">
      <c r="C317" s="116"/>
      <c r="D317" s="125"/>
    </row>
    <row r="318" spans="3:4" x14ac:dyDescent="0.25">
      <c r="C318" s="116"/>
      <c r="D318" s="125"/>
    </row>
    <row r="319" spans="3:4" x14ac:dyDescent="0.25">
      <c r="C319" s="116"/>
      <c r="D319" s="125"/>
    </row>
    <row r="320" spans="3:4" x14ac:dyDescent="0.25">
      <c r="C320" s="116"/>
      <c r="D320" s="125"/>
    </row>
    <row r="321" spans="3:4" x14ac:dyDescent="0.25">
      <c r="C321" s="116"/>
      <c r="D321" s="125"/>
    </row>
    <row r="322" spans="3:4" x14ac:dyDescent="0.25">
      <c r="C322" s="116"/>
      <c r="D322" s="125"/>
    </row>
    <row r="323" spans="3:4" x14ac:dyDescent="0.25">
      <c r="C323" s="116"/>
      <c r="D323" s="125"/>
    </row>
    <row r="324" spans="3:4" x14ac:dyDescent="0.25">
      <c r="C324" s="116"/>
      <c r="D324" s="125"/>
    </row>
    <row r="325" spans="3:4" x14ac:dyDescent="0.25">
      <c r="C325" s="116"/>
      <c r="D325" s="125"/>
    </row>
    <row r="326" spans="3:4" x14ac:dyDescent="0.25">
      <c r="C326" s="116"/>
      <c r="D326" s="125"/>
    </row>
    <row r="327" spans="3:4" x14ac:dyDescent="0.25">
      <c r="C327" s="116"/>
      <c r="D327" s="125"/>
    </row>
    <row r="328" spans="3:4" x14ac:dyDescent="0.25">
      <c r="C328" s="116"/>
      <c r="D328" s="125"/>
    </row>
    <row r="329" spans="3:4" x14ac:dyDescent="0.25">
      <c r="C329" s="116"/>
      <c r="D329" s="125"/>
    </row>
    <row r="330" spans="3:4" x14ac:dyDescent="0.25">
      <c r="C330" s="116"/>
      <c r="D330" s="125"/>
    </row>
    <row r="331" spans="3:4" x14ac:dyDescent="0.25">
      <c r="C331" s="116"/>
      <c r="D331" s="125"/>
    </row>
    <row r="332" spans="3:4" x14ac:dyDescent="0.25">
      <c r="C332" s="116"/>
      <c r="D332" s="125"/>
    </row>
    <row r="333" spans="3:4" x14ac:dyDescent="0.25">
      <c r="C333" s="116"/>
      <c r="D333" s="125"/>
    </row>
    <row r="334" spans="3:4" x14ac:dyDescent="0.25">
      <c r="C334" s="116"/>
      <c r="D334" s="125"/>
    </row>
    <row r="335" spans="3:4" x14ac:dyDescent="0.25">
      <c r="C335" s="116"/>
      <c r="D335" s="125"/>
    </row>
    <row r="336" spans="3:4" x14ac:dyDescent="0.25">
      <c r="C336" s="116"/>
      <c r="D336" s="125"/>
    </row>
    <row r="337" spans="3:4" x14ac:dyDescent="0.25">
      <c r="C337" s="116"/>
      <c r="D337" s="125"/>
    </row>
    <row r="338" spans="3:4" x14ac:dyDescent="0.25">
      <c r="C338" s="116"/>
      <c r="D338" s="125"/>
    </row>
    <row r="339" spans="3:4" x14ac:dyDescent="0.25">
      <c r="C339" s="116"/>
      <c r="D339" s="125"/>
    </row>
    <row r="340" spans="3:4" x14ac:dyDescent="0.25">
      <c r="C340" s="116"/>
      <c r="D340" s="125"/>
    </row>
    <row r="341" spans="3:4" x14ac:dyDescent="0.25">
      <c r="C341" s="116"/>
      <c r="D341" s="125"/>
    </row>
    <row r="342" spans="3:4" x14ac:dyDescent="0.25">
      <c r="C342" s="116"/>
    </row>
    <row r="343" spans="3:4" x14ac:dyDescent="0.25">
      <c r="C343" s="116"/>
    </row>
    <row r="344" spans="3:4" x14ac:dyDescent="0.25">
      <c r="C344" s="116"/>
    </row>
    <row r="345" spans="3:4" x14ac:dyDescent="0.25">
      <c r="C345" s="116"/>
    </row>
    <row r="346" spans="3:4" x14ac:dyDescent="0.25">
      <c r="C346" s="116"/>
    </row>
    <row r="347" spans="3:4" x14ac:dyDescent="0.25">
      <c r="C347" s="116"/>
    </row>
    <row r="348" spans="3:4" x14ac:dyDescent="0.25">
      <c r="C348" s="116"/>
    </row>
    <row r="349" spans="3:4" x14ac:dyDescent="0.25">
      <c r="C349" s="116"/>
    </row>
    <row r="350" spans="3:4" x14ac:dyDescent="0.25">
      <c r="C350" s="116"/>
    </row>
    <row r="351" spans="3:4" x14ac:dyDescent="0.25">
      <c r="C351" s="116"/>
    </row>
    <row r="352" spans="3:4" x14ac:dyDescent="0.25">
      <c r="C352" s="116"/>
    </row>
  </sheetData>
  <sheetProtection algorithmName="SHA-512" hashValue="Sg0AiWGWIVFsZdfqjXE93Ex0fJyFQMK5BSkd7dhyJ3q9Z60rVJpmquNy6p2oOTq57MIG86jForYlgXmrFcu8sg==" saltValue="PBrpB8kNqxPXhR8eulVGQA==" spinCount="100000" sheet="1" objects="1" scenarios="1"/>
  <phoneticPr fontId="35" type="noConversion"/>
  <dataValidations count="4">
    <dataValidation type="custom" allowBlank="1" showInputMessage="1" showErrorMessage="1" error="You have already entered the same Project Serial No" sqref="C13:C72" xr:uid="{81F72739-670B-4B68-9B70-BCF87229E3B7}">
      <formula1>COUNTIF($C$13:$C$48,C13)&lt;=1</formula1>
    </dataValidation>
    <dataValidation type="date" operator="greaterThanOrEqual" allowBlank="1" showInputMessage="1" showErrorMessage="1" error="Please enter the Date higher than Start Date of the project." prompt="Please enter the Date higher than Start Date of the project." sqref="E80:G91 E13:E72" xr:uid="{EC641547-5AE0-4CFE-BD5B-F77CF1D45B34}">
      <formula1>D13</formula1>
    </dataValidation>
    <dataValidation allowBlank="1" showInputMessage="1" showErrorMessage="1" prompt="Please enter the Date." sqref="D80:D91 D13:D72" xr:uid="{4E2CF747-317D-4359-BE12-2B61AEEEDD17}"/>
    <dataValidation type="whole" operator="greaterThanOrEqual" allowBlank="1" error="Please enter the Date higher than Start Date of the project." prompt="Please enter the Date higher than Start Date of the project." sqref="F13:G72" xr:uid="{3784637F-7535-43A9-B887-1CD53C9FA0BB}">
      <formula1>0</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66FC3-29F3-4459-8F5B-3A478F2AAD04}">
  <dimension ref="A1:S479"/>
  <sheetViews>
    <sheetView topLeftCell="A4" zoomScaleNormal="100" workbookViewId="0">
      <selection activeCell="M19" sqref="M19"/>
    </sheetView>
  </sheetViews>
  <sheetFormatPr defaultColWidth="8.5703125" defaultRowHeight="15" x14ac:dyDescent="0.25"/>
  <cols>
    <col min="1" max="1" width="5.7109375" style="157" customWidth="1"/>
    <col min="2" max="2" width="5.85546875" style="157" customWidth="1"/>
    <col min="3" max="3" width="18.7109375" style="157" customWidth="1"/>
    <col min="4" max="4" width="14.140625" style="157" customWidth="1"/>
    <col min="5" max="5" width="14" style="157" customWidth="1"/>
    <col min="6" max="6" width="15.42578125" style="157" customWidth="1"/>
    <col min="7" max="15" width="11.7109375" style="157" customWidth="1"/>
    <col min="16" max="16" width="4.5703125" style="157" customWidth="1"/>
    <col min="17" max="17" width="4.42578125" style="157" customWidth="1"/>
    <col min="18" max="18" width="1" style="157" customWidth="1"/>
    <col min="19" max="16384" width="8.5703125" style="157"/>
  </cols>
  <sheetData>
    <row r="1" spans="1:19" s="154" customFormat="1" ht="24.95" customHeight="1" x14ac:dyDescent="0.25">
      <c r="A1" s="378"/>
      <c r="B1" s="378"/>
      <c r="C1" s="378"/>
      <c r="D1" s="378"/>
      <c r="E1" s="379"/>
      <c r="F1" s="378"/>
      <c r="G1" s="379" t="s">
        <v>266</v>
      </c>
      <c r="H1" s="379"/>
      <c r="I1" s="378"/>
      <c r="J1" s="378"/>
      <c r="K1" s="378"/>
      <c r="L1" s="378"/>
      <c r="M1" s="378"/>
      <c r="N1" s="378"/>
      <c r="O1" s="378"/>
      <c r="P1" s="378"/>
      <c r="Q1" s="378"/>
      <c r="R1" s="378"/>
      <c r="S1" s="153"/>
    </row>
    <row r="2" spans="1:19" s="154" customFormat="1" ht="20.100000000000001" customHeight="1" x14ac:dyDescent="0.25">
      <c r="A2" s="153"/>
      <c r="B2" s="153"/>
      <c r="C2" s="153"/>
      <c r="D2" s="153"/>
      <c r="E2" s="265"/>
      <c r="F2" s="153"/>
      <c r="G2" s="153"/>
      <c r="H2" s="265"/>
      <c r="I2" s="153"/>
      <c r="J2" s="153"/>
      <c r="K2" s="153"/>
      <c r="L2" s="153"/>
      <c r="M2" s="153"/>
      <c r="N2" s="153"/>
      <c r="O2" s="153"/>
      <c r="P2" s="153"/>
      <c r="Q2" s="153"/>
      <c r="R2" s="153"/>
      <c r="S2" s="153"/>
    </row>
    <row r="3" spans="1:19" s="154" customFormat="1" ht="15" customHeight="1" x14ac:dyDescent="0.25"/>
    <row r="4" spans="1:19" s="154" customFormat="1" ht="15" customHeight="1" x14ac:dyDescent="0.25"/>
    <row r="5" spans="1:19" s="154" customFormat="1" x14ac:dyDescent="0.25"/>
    <row r="6" spans="1:19" s="154" customFormat="1" ht="23.25" customHeight="1" x14ac:dyDescent="0.25">
      <c r="C6" s="205"/>
      <c r="D6" s="156"/>
      <c r="E6" s="156"/>
      <c r="F6" s="156"/>
      <c r="G6" s="156"/>
      <c r="H6" s="153"/>
      <c r="I6" s="153"/>
      <c r="J6" s="153"/>
      <c r="K6" s="153"/>
      <c r="L6" s="153"/>
      <c r="M6" s="153"/>
      <c r="N6" s="153"/>
      <c r="O6" s="153"/>
      <c r="P6" s="153"/>
    </row>
    <row r="7" spans="1:19" s="154" customFormat="1" ht="11.25" customHeight="1" x14ac:dyDescent="0.25">
      <c r="C7" s="155"/>
      <c r="D7" s="156"/>
      <c r="E7" s="156"/>
      <c r="F7" s="156"/>
      <c r="G7" s="156"/>
      <c r="H7" s="153"/>
      <c r="I7" s="153"/>
      <c r="J7" s="153"/>
      <c r="K7" s="153"/>
      <c r="L7" s="153"/>
      <c r="M7" s="153"/>
      <c r="N7" s="153"/>
      <c r="O7" s="153"/>
      <c r="P7" s="153"/>
    </row>
    <row r="8" spans="1:19" s="154" customFormat="1" ht="11.25" customHeight="1" x14ac:dyDescent="0.25">
      <c r="C8" s="155"/>
      <c r="D8" s="156"/>
      <c r="E8" s="156"/>
      <c r="F8" s="156"/>
      <c r="G8" s="156"/>
      <c r="H8" s="153"/>
      <c r="I8" s="153"/>
      <c r="J8" s="153"/>
      <c r="K8" s="153"/>
      <c r="L8" s="153"/>
      <c r="M8" s="153"/>
      <c r="N8" s="153"/>
      <c r="O8" s="153"/>
      <c r="P8" s="153"/>
    </row>
    <row r="9" spans="1:19" s="154" customFormat="1" ht="11.25" customHeight="1" x14ac:dyDescent="0.25">
      <c r="C9" s="155"/>
      <c r="D9" s="156"/>
      <c r="E9" s="156"/>
      <c r="F9" s="156"/>
      <c r="G9" s="156"/>
      <c r="H9" s="153"/>
      <c r="I9" s="153"/>
      <c r="J9" s="153"/>
      <c r="K9" s="153"/>
      <c r="L9" s="153"/>
      <c r="M9" s="153"/>
      <c r="N9" s="153"/>
      <c r="O9" s="153"/>
      <c r="P9" s="153"/>
    </row>
    <row r="10" spans="1:19" s="154" customFormat="1" ht="12.75" customHeight="1" x14ac:dyDescent="0.25">
      <c r="C10" s="155"/>
      <c r="D10" s="156"/>
      <c r="E10" s="156"/>
      <c r="F10" s="156"/>
      <c r="G10" s="156"/>
      <c r="H10" s="153"/>
      <c r="I10" s="153"/>
      <c r="J10" s="153"/>
      <c r="K10" s="153"/>
      <c r="L10" s="153"/>
      <c r="M10" s="153"/>
      <c r="N10" s="153"/>
      <c r="O10" s="153"/>
      <c r="P10" s="153"/>
    </row>
    <row r="11" spans="1:19" s="154" customFormat="1" ht="32.1" customHeight="1" x14ac:dyDescent="0.25">
      <c r="C11" s="239" t="s">
        <v>132</v>
      </c>
      <c r="D11" s="239" t="s">
        <v>250</v>
      </c>
      <c r="E11" s="239" t="s">
        <v>251</v>
      </c>
      <c r="F11" s="239" t="s">
        <v>252</v>
      </c>
      <c r="G11" s="239" t="s">
        <v>253</v>
      </c>
      <c r="H11" s="239" t="s">
        <v>139</v>
      </c>
      <c r="I11" s="239" t="s">
        <v>254</v>
      </c>
      <c r="J11" s="239" t="s">
        <v>255</v>
      </c>
      <c r="K11" s="239" t="s">
        <v>256</v>
      </c>
      <c r="L11" s="239" t="s">
        <v>257</v>
      </c>
      <c r="M11" s="239" t="s">
        <v>258</v>
      </c>
      <c r="N11" s="239" t="s">
        <v>259</v>
      </c>
      <c r="O11" s="239" t="s">
        <v>260</v>
      </c>
      <c r="P11" s="153"/>
    </row>
    <row r="12" spans="1:19" s="154" customFormat="1" ht="50.1" customHeight="1" x14ac:dyDescent="0.25">
      <c r="C12" s="231" t="s">
        <v>261</v>
      </c>
      <c r="D12" s="237">
        <v>20003</v>
      </c>
      <c r="E12" s="237">
        <v>100000</v>
      </c>
      <c r="F12" s="237">
        <v>200000</v>
      </c>
      <c r="G12" s="237">
        <v>20000</v>
      </c>
      <c r="H12" s="237">
        <v>20000</v>
      </c>
      <c r="I12" s="237">
        <v>30000</v>
      </c>
      <c r="J12" s="237">
        <v>20000</v>
      </c>
      <c r="K12" s="237"/>
      <c r="L12" s="237"/>
      <c r="M12" s="237"/>
      <c r="N12" s="237"/>
      <c r="O12" s="237"/>
      <c r="P12" s="153"/>
    </row>
    <row r="13" spans="1:19" s="154" customFormat="1" ht="11.25" customHeight="1" x14ac:dyDescent="0.25">
      <c r="C13" s="155"/>
      <c r="D13" s="156"/>
      <c r="E13" s="156"/>
      <c r="F13" s="156"/>
      <c r="G13" s="156"/>
      <c r="H13" s="153"/>
      <c r="I13" s="153"/>
      <c r="J13" s="153"/>
      <c r="K13" s="153"/>
      <c r="L13" s="153"/>
      <c r="M13" s="153"/>
      <c r="N13" s="153"/>
      <c r="O13" s="153"/>
      <c r="P13" s="153"/>
    </row>
    <row r="14" spans="1:19" s="154" customFormat="1" ht="11.25" customHeight="1" x14ac:dyDescent="0.25">
      <c r="C14" s="155"/>
      <c r="D14" s="156"/>
      <c r="E14" s="156"/>
      <c r="F14" s="156"/>
      <c r="G14" s="156"/>
      <c r="H14" s="153"/>
      <c r="I14" s="153"/>
      <c r="J14" s="153"/>
      <c r="K14" s="153"/>
      <c r="L14" s="153"/>
      <c r="M14" s="153"/>
      <c r="N14" s="153"/>
      <c r="O14" s="153"/>
      <c r="P14" s="153"/>
    </row>
    <row r="15" spans="1:19" x14ac:dyDescent="0.25">
      <c r="C15" s="153" t="s">
        <v>175</v>
      </c>
      <c r="D15" s="153"/>
      <c r="E15" s="158"/>
      <c r="F15" s="158"/>
      <c r="G15" s="158"/>
      <c r="H15" s="158"/>
      <c r="I15" s="158"/>
    </row>
    <row r="16" spans="1:19" s="159" customFormat="1" ht="77.25" customHeight="1" x14ac:dyDescent="0.25">
      <c r="C16" s="338" t="s">
        <v>132</v>
      </c>
      <c r="D16" s="339" t="s">
        <v>262</v>
      </c>
      <c r="E16" s="339" t="s">
        <v>147</v>
      </c>
      <c r="F16" s="339" t="s">
        <v>160</v>
      </c>
      <c r="G16" s="339" t="s">
        <v>159</v>
      </c>
      <c r="H16" s="340" t="s">
        <v>148</v>
      </c>
    </row>
    <row r="17" spans="3:13" x14ac:dyDescent="0.25">
      <c r="C17" s="346" t="s">
        <v>135</v>
      </c>
      <c r="D17" s="324">
        <f>D12</f>
        <v>20003</v>
      </c>
      <c r="E17" s="250">
        <f>D17*'GWP &amp; Emission Factors '!$D$5*'GWP &amp; Emission Factors '!$D$23</f>
        <v>8.3572533999999994</v>
      </c>
      <c r="F17" s="250">
        <f t="shared" ref="F17:F28" si="0">E17/I104</f>
        <v>0.26958881935483869</v>
      </c>
      <c r="G17" s="250">
        <f>IF((H17=0),0,(F17/H17))</f>
        <v>2.4508074486803519E-2</v>
      </c>
      <c r="H17" s="249">
        <f>'Project Emission Distribution'!F8</f>
        <v>11</v>
      </c>
    </row>
    <row r="18" spans="3:13" x14ac:dyDescent="0.25">
      <c r="C18" s="347" t="s">
        <v>136</v>
      </c>
      <c r="D18" s="329">
        <f>E12</f>
        <v>100000</v>
      </c>
      <c r="E18" s="348">
        <f>D18*'GWP &amp; Emission Factors '!$D$5*'GWP &amp; Emission Factors '!$D$23</f>
        <v>41.78</v>
      </c>
      <c r="F18" s="348">
        <f t="shared" si="0"/>
        <v>1.4921428571428572</v>
      </c>
      <c r="G18" s="348">
        <f t="shared" ref="G18:G28" si="1">IF((H18=0),0,(F18/H18))</f>
        <v>6.2172619047619053E-2</v>
      </c>
      <c r="H18" s="349">
        <f>'Project Emission Distribution'!F9</f>
        <v>24</v>
      </c>
    </row>
    <row r="19" spans="3:13" x14ac:dyDescent="0.25">
      <c r="C19" s="346" t="s">
        <v>137</v>
      </c>
      <c r="D19" s="324">
        <f>F12</f>
        <v>200000</v>
      </c>
      <c r="E19" s="250">
        <f>D19*'GWP &amp; Emission Factors '!$D$5*'GWP &amp; Emission Factors '!$D$23</f>
        <v>83.56</v>
      </c>
      <c r="F19" s="250">
        <f t="shared" si="0"/>
        <v>2.6954838709677422</v>
      </c>
      <c r="G19" s="250">
        <f t="shared" si="1"/>
        <v>0.16846774193548389</v>
      </c>
      <c r="H19" s="249">
        <f>'Project Emission Distribution'!F10</f>
        <v>16</v>
      </c>
      <c r="M19" s="228" t="s">
        <v>249</v>
      </c>
    </row>
    <row r="20" spans="3:13" x14ac:dyDescent="0.25">
      <c r="C20" s="347" t="s">
        <v>138</v>
      </c>
      <c r="D20" s="329">
        <f>G12</f>
        <v>20000</v>
      </c>
      <c r="E20" s="348">
        <f>D20*'GWP &amp; Emission Factors '!$D$5*'GWP &amp; Emission Factors '!$D$23</f>
        <v>8.3559999999999999</v>
      </c>
      <c r="F20" s="348">
        <f t="shared" si="0"/>
        <v>0.27853333333333335</v>
      </c>
      <c r="G20" s="348">
        <f t="shared" si="1"/>
        <v>1.7408333333333335E-2</v>
      </c>
      <c r="H20" s="349">
        <f>'Project Emission Distribution'!F11</f>
        <v>16</v>
      </c>
    </row>
    <row r="21" spans="3:13" x14ac:dyDescent="0.25">
      <c r="C21" s="346" t="s">
        <v>139</v>
      </c>
      <c r="D21" s="324">
        <f>H12</f>
        <v>20000</v>
      </c>
      <c r="E21" s="250">
        <f>D21*'GWP &amp; Emission Factors '!$D$5*'GWP &amp; Emission Factors '!$D$23</f>
        <v>8.3559999999999999</v>
      </c>
      <c r="F21" s="250">
        <f t="shared" si="0"/>
        <v>0.2695483870967742</v>
      </c>
      <c r="G21" s="250">
        <f t="shared" si="1"/>
        <v>1.7969892473118278E-2</v>
      </c>
      <c r="H21" s="249">
        <f>'Project Emission Distribution'!F12</f>
        <v>15</v>
      </c>
    </row>
    <row r="22" spans="3:13" x14ac:dyDescent="0.25">
      <c r="C22" s="347" t="s">
        <v>140</v>
      </c>
      <c r="D22" s="329">
        <f>I12</f>
        <v>30000</v>
      </c>
      <c r="E22" s="348">
        <f>D22*'GWP &amp; Emission Factors '!$D$5*'GWP &amp; Emission Factors '!$D$23</f>
        <v>12.534000000000001</v>
      </c>
      <c r="F22" s="348">
        <f t="shared" si="0"/>
        <v>0.4178</v>
      </c>
      <c r="G22" s="348">
        <f t="shared" si="1"/>
        <v>2.7853333333333334E-2</v>
      </c>
      <c r="H22" s="349">
        <f>'Project Emission Distribution'!F13</f>
        <v>15</v>
      </c>
    </row>
    <row r="23" spans="3:13" x14ac:dyDescent="0.25">
      <c r="C23" s="346" t="s">
        <v>141</v>
      </c>
      <c r="D23" s="324">
        <f>J12</f>
        <v>20000</v>
      </c>
      <c r="E23" s="250">
        <f>D23*'GWP &amp; Emission Factors '!$D$5*'GWP &amp; Emission Factors '!$D$23</f>
        <v>8.3559999999999999</v>
      </c>
      <c r="F23" s="250">
        <f t="shared" si="0"/>
        <v>0.2695483870967742</v>
      </c>
      <c r="G23" s="250">
        <f t="shared" si="1"/>
        <v>3.3693548387096775E-2</v>
      </c>
      <c r="H23" s="249">
        <f>'Project Emission Distribution'!F14</f>
        <v>8</v>
      </c>
    </row>
    <row r="24" spans="3:13" x14ac:dyDescent="0.25">
      <c r="C24" s="347" t="s">
        <v>142</v>
      </c>
      <c r="D24" s="329">
        <f>K12</f>
        <v>0</v>
      </c>
      <c r="E24" s="348">
        <f>D24*'GWP &amp; Emission Factors '!$D$5*'GWP &amp; Emission Factors '!$D$23</f>
        <v>0</v>
      </c>
      <c r="F24" s="348">
        <f t="shared" si="0"/>
        <v>0</v>
      </c>
      <c r="G24" s="348">
        <f t="shared" si="1"/>
        <v>0</v>
      </c>
      <c r="H24" s="349">
        <f>'Project Emission Distribution'!F15</f>
        <v>1</v>
      </c>
    </row>
    <row r="25" spans="3:13" x14ac:dyDescent="0.25">
      <c r="C25" s="346" t="s">
        <v>143</v>
      </c>
      <c r="D25" s="324">
        <f>L12</f>
        <v>0</v>
      </c>
      <c r="E25" s="250">
        <f>D25*'GWP &amp; Emission Factors '!$D$5*'GWP &amp; Emission Factors '!$D$23</f>
        <v>0</v>
      </c>
      <c r="F25" s="250">
        <f t="shared" si="0"/>
        <v>0</v>
      </c>
      <c r="G25" s="250">
        <f t="shared" si="1"/>
        <v>0</v>
      </c>
      <c r="H25" s="249">
        <f>'Project Emission Distribution'!F16</f>
        <v>1</v>
      </c>
    </row>
    <row r="26" spans="3:13" x14ac:dyDescent="0.25">
      <c r="C26" s="347" t="s">
        <v>144</v>
      </c>
      <c r="D26" s="329">
        <f>M12</f>
        <v>0</v>
      </c>
      <c r="E26" s="348">
        <f>D26*'GWP &amp; Emission Factors '!$D$5*'GWP &amp; Emission Factors '!$D$23</f>
        <v>0</v>
      </c>
      <c r="F26" s="348">
        <f t="shared" si="0"/>
        <v>0</v>
      </c>
      <c r="G26" s="348">
        <f t="shared" si="1"/>
        <v>0</v>
      </c>
      <c r="H26" s="349">
        <f>'Project Emission Distribution'!F17</f>
        <v>1</v>
      </c>
    </row>
    <row r="27" spans="3:13" x14ac:dyDescent="0.25">
      <c r="C27" s="346" t="s">
        <v>145</v>
      </c>
      <c r="D27" s="324">
        <f>N12</f>
        <v>0</v>
      </c>
      <c r="E27" s="250">
        <f>D27*'GWP &amp; Emission Factors '!$D$5*'GWP &amp; Emission Factors '!$D$23</f>
        <v>0</v>
      </c>
      <c r="F27" s="250">
        <f t="shared" si="0"/>
        <v>0</v>
      </c>
      <c r="G27" s="250">
        <f t="shared" si="1"/>
        <v>0</v>
      </c>
      <c r="H27" s="249">
        <f>'Project Emission Distribution'!F18</f>
        <v>1</v>
      </c>
    </row>
    <row r="28" spans="3:13" x14ac:dyDescent="0.25">
      <c r="C28" s="347" t="s">
        <v>146</v>
      </c>
      <c r="D28" s="329">
        <f>O12</f>
        <v>0</v>
      </c>
      <c r="E28" s="348">
        <f>D28*'GWP &amp; Emission Factors '!$D$5*'GWP &amp; Emission Factors '!$D$23</f>
        <v>0</v>
      </c>
      <c r="F28" s="348">
        <f t="shared" si="0"/>
        <v>0</v>
      </c>
      <c r="G28" s="348">
        <f t="shared" si="1"/>
        <v>0</v>
      </c>
      <c r="H28" s="349">
        <f>'Project Emission Distribution'!F19</f>
        <v>1</v>
      </c>
    </row>
    <row r="29" spans="3:13" x14ac:dyDescent="0.25">
      <c r="C29" s="341" t="s">
        <v>116</v>
      </c>
      <c r="D29" s="300">
        <f>SUM(D17:D28)</f>
        <v>410003</v>
      </c>
      <c r="E29" s="342">
        <f>SUM(E17:E28)</f>
        <v>171.29925339999997</v>
      </c>
      <c r="F29" s="343"/>
      <c r="G29" s="344"/>
      <c r="H29" s="345"/>
      <c r="I29" s="164"/>
    </row>
    <row r="30" spans="3:13" x14ac:dyDescent="0.25">
      <c r="C30" s="165"/>
      <c r="D30" s="166"/>
      <c r="E30" s="166"/>
      <c r="F30" s="166"/>
      <c r="G30" s="166"/>
      <c r="H30" s="166"/>
      <c r="I30" s="158"/>
    </row>
    <row r="31" spans="3:13" x14ac:dyDescent="0.25">
      <c r="C31" s="165"/>
      <c r="D31" s="166"/>
      <c r="E31" s="166"/>
      <c r="F31" s="166"/>
      <c r="G31" s="166"/>
      <c r="H31" s="166"/>
      <c r="I31" s="158"/>
    </row>
    <row r="32" spans="3:13" ht="15" customHeight="1" x14ac:dyDescent="0.25">
      <c r="C32" s="167"/>
      <c r="D32" s="167"/>
    </row>
    <row r="33" spans="3:6" ht="50.25" customHeight="1" x14ac:dyDescent="0.25">
      <c r="C33" s="213" t="s">
        <v>158</v>
      </c>
      <c r="D33" s="212" t="s">
        <v>149</v>
      </c>
      <c r="E33" s="212" t="s">
        <v>150</v>
      </c>
      <c r="F33" s="213" t="s">
        <v>168</v>
      </c>
    </row>
    <row r="34" spans="3:6" x14ac:dyDescent="0.25">
      <c r="C34" s="168" t="str">
        <f>'Project Emission Distribution'!D25</f>
        <v>A201</v>
      </c>
      <c r="D34" s="169">
        <f>IF('Project Details Entry'!D13&gt;0,'Project Details Entry'!D13,"")</f>
        <v>44562</v>
      </c>
      <c r="E34" s="169">
        <f>IF('Project Details Entry'!E13&gt;0,'Project Details Entry'!E13,"")</f>
        <v>44681</v>
      </c>
      <c r="F34" s="170">
        <f t="shared" ref="F34:F58" si="2">SUMIFS($D$104:$D$468,$C$104:$C$468,"&gt;="&amp;D34,$C$104:$C$468,"&lt;="&amp;E34)</f>
        <v>8.2453336424242547</v>
      </c>
    </row>
    <row r="35" spans="3:6" x14ac:dyDescent="0.25">
      <c r="C35" s="168" t="str">
        <f>'Project Emission Distribution'!D26</f>
        <v>AN02</v>
      </c>
      <c r="D35" s="169">
        <f>IF('Project Details Entry'!D14&gt;0,'Project Details Entry'!D14,"")</f>
        <v>44593</v>
      </c>
      <c r="E35" s="169">
        <f>IF('Project Details Entry'!E14&gt;0,'Project Details Entry'!E14,"")</f>
        <v>44620</v>
      </c>
      <c r="F35" s="170">
        <f t="shared" si="2"/>
        <v>1.7408333333333335</v>
      </c>
    </row>
    <row r="36" spans="3:6" x14ac:dyDescent="0.25">
      <c r="C36" s="168" t="str">
        <f>'Project Emission Distribution'!D27</f>
        <v>AN03</v>
      </c>
      <c r="D36" s="169">
        <f>IF('Project Details Entry'!D15&gt;0,'Project Details Entry'!D15,"")</f>
        <v>44593</v>
      </c>
      <c r="E36" s="169">
        <f>IF('Project Details Entry'!E15&gt;0,'Project Details Entry'!E15,"")</f>
        <v>44781</v>
      </c>
      <c r="F36" s="170">
        <f t="shared" si="2"/>
        <v>9.9227499999999953</v>
      </c>
    </row>
    <row r="37" spans="3:6" x14ac:dyDescent="0.25">
      <c r="C37" s="168" t="str">
        <f>'Project Emission Distribution'!D28</f>
        <v>AN04</v>
      </c>
      <c r="D37" s="169">
        <f>IF('Project Details Entry'!D16&gt;0,'Project Details Entry'!D16,"")</f>
        <v>44583</v>
      </c>
      <c r="E37" s="169">
        <f>IF('Project Details Entry'!E16&gt;0,'Project Details Entry'!E16,"")</f>
        <v>44635</v>
      </c>
      <c r="F37" s="170">
        <f t="shared" si="2"/>
        <v>4.5129302072336284</v>
      </c>
    </row>
    <row r="38" spans="3:6" x14ac:dyDescent="0.25">
      <c r="C38" s="168" t="str">
        <f>'Project Emission Distribution'!D29</f>
        <v>AN05</v>
      </c>
      <c r="D38" s="169">
        <f>IF('Project Details Entry'!D17&gt;0,'Project Details Entry'!D17,"")</f>
        <v>44614</v>
      </c>
      <c r="E38" s="169">
        <f>IF('Project Details Entry'!E17&gt;0,'Project Details Entry'!E17,"")</f>
        <v>44770</v>
      </c>
      <c r="F38" s="170">
        <f t="shared" si="2"/>
        <v>8.5160443548387281</v>
      </c>
    </row>
    <row r="39" spans="3:6" x14ac:dyDescent="0.25">
      <c r="C39" s="168" t="str">
        <f>'Project Emission Distribution'!D30</f>
        <v>AN06</v>
      </c>
      <c r="D39" s="169">
        <f>IF('Project Details Entry'!D18&gt;0,'Project Details Entry'!D18,"")</f>
        <v>44593</v>
      </c>
      <c r="E39" s="169">
        <f>IF('Project Details Entry'!E18&gt;0,'Project Details Entry'!E18,"")</f>
        <v>44781</v>
      </c>
      <c r="F39" s="170">
        <f t="shared" si="2"/>
        <v>9.9227499999999953</v>
      </c>
    </row>
    <row r="40" spans="3:6" x14ac:dyDescent="0.25">
      <c r="C40" s="168" t="str">
        <f>'Project Emission Distribution'!D31</f>
        <v>AN07</v>
      </c>
      <c r="D40" s="169">
        <f>IF('Project Details Entry'!D19&gt;0,'Project Details Entry'!D19,"")</f>
        <v>44583</v>
      </c>
      <c r="E40" s="169">
        <f>IF('Project Details Entry'!E19&gt;0,'Project Details Entry'!E19,"")</f>
        <v>44635</v>
      </c>
      <c r="F40" s="170">
        <f t="shared" si="2"/>
        <v>4.5129302072336284</v>
      </c>
    </row>
    <row r="41" spans="3:6" x14ac:dyDescent="0.25">
      <c r="C41" s="168" t="str">
        <f>'Project Emission Distribution'!D32</f>
        <v>AN08</v>
      </c>
      <c r="D41" s="169">
        <f>IF('Project Details Entry'!D20&gt;0,'Project Details Entry'!D20,"")</f>
        <v>44614</v>
      </c>
      <c r="E41" s="169">
        <f>IF('Project Details Entry'!E20&gt;0,'Project Details Entry'!E20,"")</f>
        <v>44770</v>
      </c>
      <c r="F41" s="170">
        <f t="shared" si="2"/>
        <v>8.5160443548387281</v>
      </c>
    </row>
    <row r="42" spans="3:6" x14ac:dyDescent="0.25">
      <c r="C42" s="168" t="str">
        <f>'Project Emission Distribution'!D33</f>
        <v>AN09</v>
      </c>
      <c r="D42" s="169">
        <f>IF('Project Details Entry'!D21&gt;0,'Project Details Entry'!D21,"")</f>
        <v>44593</v>
      </c>
      <c r="E42" s="169">
        <f>IF('Project Details Entry'!E21&gt;0,'Project Details Entry'!E21,"")</f>
        <v>44781</v>
      </c>
      <c r="F42" s="170">
        <f t="shared" si="2"/>
        <v>9.9227499999999953</v>
      </c>
    </row>
    <row r="43" spans="3:6" x14ac:dyDescent="0.25">
      <c r="C43" s="168" t="str">
        <f>'Project Emission Distribution'!D34</f>
        <v>AN10</v>
      </c>
      <c r="D43" s="169">
        <f>IF('Project Details Entry'!D22&gt;0,'Project Details Entry'!D22,"")</f>
        <v>44583</v>
      </c>
      <c r="E43" s="169">
        <f>IF('Project Details Entry'!E22&gt;0,'Project Details Entry'!E22,"")</f>
        <v>44635</v>
      </c>
      <c r="F43" s="170">
        <f t="shared" si="2"/>
        <v>4.5129302072336284</v>
      </c>
    </row>
    <row r="44" spans="3:6" x14ac:dyDescent="0.25">
      <c r="C44" s="168" t="str">
        <f>'Project Emission Distribution'!D35</f>
        <v>AN11</v>
      </c>
      <c r="D44" s="169">
        <f>IF('Project Details Entry'!D23&gt;0,'Project Details Entry'!D23,"")</f>
        <v>44614</v>
      </c>
      <c r="E44" s="169">
        <f>IF('Project Details Entry'!E23&gt;0,'Project Details Entry'!E23,"")</f>
        <v>44770</v>
      </c>
      <c r="F44" s="170">
        <f t="shared" si="2"/>
        <v>8.5160443548387281</v>
      </c>
    </row>
    <row r="45" spans="3:6" x14ac:dyDescent="0.25">
      <c r="C45" s="168" t="str">
        <f>'Project Emission Distribution'!D36</f>
        <v>AN12</v>
      </c>
      <c r="D45" s="169">
        <f>IF('Project Details Entry'!D24&gt;0,'Project Details Entry'!D24,"")</f>
        <v>44593</v>
      </c>
      <c r="E45" s="169">
        <f>IF('Project Details Entry'!E24&gt;0,'Project Details Entry'!E24,"")</f>
        <v>44781</v>
      </c>
      <c r="F45" s="170">
        <f t="shared" si="2"/>
        <v>9.9227499999999953</v>
      </c>
    </row>
    <row r="46" spans="3:6" x14ac:dyDescent="0.25">
      <c r="C46" s="168" t="str">
        <f>'Project Emission Distribution'!D37</f>
        <v>AN13</v>
      </c>
      <c r="D46" s="169">
        <f>IF('Project Details Entry'!D25&gt;0,'Project Details Entry'!D25,"")</f>
        <v>44593</v>
      </c>
      <c r="E46" s="169">
        <f>IF('Project Details Entry'!E25&gt;0,'Project Details Entry'!E25,"")</f>
        <v>44781</v>
      </c>
      <c r="F46" s="170">
        <f t="shared" si="2"/>
        <v>9.9227499999999953</v>
      </c>
    </row>
    <row r="47" spans="3:6" x14ac:dyDescent="0.25">
      <c r="C47" s="168" t="str">
        <f>'Project Emission Distribution'!D38</f>
        <v>AN14</v>
      </c>
      <c r="D47" s="169">
        <f>IF('Project Details Entry'!D26&gt;0,'Project Details Entry'!D26,"")</f>
        <v>44583</v>
      </c>
      <c r="E47" s="169">
        <f>IF('Project Details Entry'!E26&gt;0,'Project Details Entry'!E26,"")</f>
        <v>44635</v>
      </c>
      <c r="F47" s="170">
        <f t="shared" si="2"/>
        <v>4.5129302072336284</v>
      </c>
    </row>
    <row r="48" spans="3:6" x14ac:dyDescent="0.25">
      <c r="C48" s="168" t="str">
        <f>'Project Emission Distribution'!D39</f>
        <v>AN15</v>
      </c>
      <c r="D48" s="169">
        <f>IF('Project Details Entry'!D27&gt;0,'Project Details Entry'!D27,"")</f>
        <v>44614</v>
      </c>
      <c r="E48" s="169">
        <f>IF('Project Details Entry'!E27&gt;0,'Project Details Entry'!E27,"")</f>
        <v>44770</v>
      </c>
      <c r="F48" s="170">
        <f t="shared" si="2"/>
        <v>8.5160443548387281</v>
      </c>
    </row>
    <row r="49" spans="3:6" x14ac:dyDescent="0.25">
      <c r="C49" s="168" t="str">
        <f>'Project Emission Distribution'!D40</f>
        <v>AN16</v>
      </c>
      <c r="D49" s="169">
        <f>IF('Project Details Entry'!D28&gt;0,'Project Details Entry'!D28,"")</f>
        <v>44593</v>
      </c>
      <c r="E49" s="169">
        <f>IF('Project Details Entry'!E28&gt;0,'Project Details Entry'!E28,"")</f>
        <v>44781</v>
      </c>
      <c r="F49" s="170">
        <f t="shared" si="2"/>
        <v>9.9227499999999953</v>
      </c>
    </row>
    <row r="50" spans="3:6" x14ac:dyDescent="0.25">
      <c r="C50" s="168" t="str">
        <f>'Project Emission Distribution'!D41</f>
        <v>AN17</v>
      </c>
      <c r="D50" s="169">
        <f>IF('Project Details Entry'!D29&gt;0,'Project Details Entry'!D29,"")</f>
        <v>44583</v>
      </c>
      <c r="E50" s="169">
        <f>IF('Project Details Entry'!E29&gt;0,'Project Details Entry'!E29,"")</f>
        <v>44635</v>
      </c>
      <c r="F50" s="170">
        <f t="shared" si="2"/>
        <v>4.5129302072336284</v>
      </c>
    </row>
    <row r="51" spans="3:6" x14ac:dyDescent="0.25">
      <c r="C51" s="168" t="str">
        <f>'Project Emission Distribution'!D42</f>
        <v>AN18</v>
      </c>
      <c r="D51" s="169">
        <f>IF('Project Details Entry'!D30&gt;0,'Project Details Entry'!D30,"")</f>
        <v>44614</v>
      </c>
      <c r="E51" s="169">
        <f>IF('Project Details Entry'!E30&gt;0,'Project Details Entry'!E30,"")</f>
        <v>44770</v>
      </c>
      <c r="F51" s="170">
        <f t="shared" si="2"/>
        <v>8.5160443548387281</v>
      </c>
    </row>
    <row r="52" spans="3:6" x14ac:dyDescent="0.25">
      <c r="C52" s="168" t="str">
        <f>'Project Emission Distribution'!D43</f>
        <v>AN19</v>
      </c>
      <c r="D52" s="169">
        <f>IF('Project Details Entry'!D31&gt;0,'Project Details Entry'!D31,"")</f>
        <v>44593</v>
      </c>
      <c r="E52" s="169">
        <f>IF('Project Details Entry'!E31&gt;0,'Project Details Entry'!E31,"")</f>
        <v>44781</v>
      </c>
      <c r="F52" s="170">
        <f t="shared" si="2"/>
        <v>9.9227499999999953</v>
      </c>
    </row>
    <row r="53" spans="3:6" x14ac:dyDescent="0.25">
      <c r="C53" s="168" t="str">
        <f>'Project Emission Distribution'!D44</f>
        <v>AN20</v>
      </c>
      <c r="D53" s="169">
        <f>IF('Project Details Entry'!D32&gt;0,'Project Details Entry'!D32,"")</f>
        <v>44583</v>
      </c>
      <c r="E53" s="169">
        <f>IF('Project Details Entry'!E32&gt;0,'Project Details Entry'!E32,"")</f>
        <v>44635</v>
      </c>
      <c r="F53" s="170">
        <f t="shared" si="2"/>
        <v>4.5129302072336284</v>
      </c>
    </row>
    <row r="54" spans="3:6" x14ac:dyDescent="0.25">
      <c r="C54" s="168" t="str">
        <f>'Project Emission Distribution'!D45</f>
        <v>AN21</v>
      </c>
      <c r="D54" s="169">
        <f>IF('Project Details Entry'!D33&gt;0,'Project Details Entry'!D33,"")</f>
        <v>44614</v>
      </c>
      <c r="E54" s="169">
        <f>IF('Project Details Entry'!E33&gt;0,'Project Details Entry'!E33,"")</f>
        <v>44770</v>
      </c>
      <c r="F54" s="170">
        <f t="shared" si="2"/>
        <v>8.5160443548387281</v>
      </c>
    </row>
    <row r="55" spans="3:6" x14ac:dyDescent="0.25">
      <c r="C55" s="168" t="str">
        <f>'Project Emission Distribution'!D46</f>
        <v>AN22</v>
      </c>
      <c r="D55" s="169">
        <f>IF('Project Details Entry'!D34&gt;0,'Project Details Entry'!D34,"")</f>
        <v>44562</v>
      </c>
      <c r="E55" s="169">
        <f>IF('Project Details Entry'!E34&gt;0,'Project Details Entry'!E34,"")</f>
        <v>44781</v>
      </c>
      <c r="F55" s="170">
        <f t="shared" si="2"/>
        <v>10.682500309090919</v>
      </c>
    </row>
    <row r="56" spans="3:6" x14ac:dyDescent="0.25">
      <c r="C56" s="168" t="str">
        <f>'Project Emission Distribution'!D47</f>
        <v>AN23</v>
      </c>
      <c r="D56" s="169">
        <f>IF('Project Details Entry'!D35&gt;0,'Project Details Entry'!D35,"")</f>
        <v>44583</v>
      </c>
      <c r="E56" s="169">
        <f>IF('Project Details Entry'!E35&gt;0,'Project Details Entry'!E35,"")</f>
        <v>44635</v>
      </c>
      <c r="F56" s="170">
        <f t="shared" si="2"/>
        <v>4.5129302072336284</v>
      </c>
    </row>
    <row r="57" spans="3:6" x14ac:dyDescent="0.25">
      <c r="C57" s="168" t="str">
        <f>'Project Emission Distribution'!D48</f>
        <v>AN24</v>
      </c>
      <c r="D57" s="169">
        <f>IF('Project Details Entry'!D36&gt;0,'Project Details Entry'!D36,"")</f>
        <v>44583</v>
      </c>
      <c r="E57" s="169">
        <f>IF('Project Details Entry'!E36&gt;0,'Project Details Entry'!E36,"")</f>
        <v>44770</v>
      </c>
      <c r="F57" s="170">
        <f t="shared" si="2"/>
        <v>10.066750099706741</v>
      </c>
    </row>
    <row r="58" spans="3:6" x14ac:dyDescent="0.25">
      <c r="C58" s="168" t="str">
        <f>'Project Emission Distribution'!D49</f>
        <v>AN25</v>
      </c>
      <c r="D58" s="169">
        <f>IF('Project Details Entry'!D37&gt;0,'Project Details Entry'!D37,"")</f>
        <v>44562</v>
      </c>
      <c r="E58" s="169">
        <f>IF('Project Details Entry'!E37&gt;0,'Project Details Entry'!E37,"")</f>
        <v>44614</v>
      </c>
      <c r="F58" s="170">
        <f t="shared" si="2"/>
        <v>2.1275479281385277</v>
      </c>
    </row>
    <row r="59" spans="3:6" x14ac:dyDescent="0.25">
      <c r="C59" s="168" t="str">
        <f>'Project Emission Distribution'!D50</f>
        <v>AN26</v>
      </c>
      <c r="D59" s="169">
        <f>IF('Project Details Entry'!D38&gt;0,'Project Details Entry'!D38,"")</f>
        <v>44774</v>
      </c>
      <c r="E59" s="169">
        <f>IF('Project Details Entry'!E38&gt;0,'Project Details Entry'!E38,"")</f>
        <v>44926</v>
      </c>
      <c r="F59" s="170">
        <f t="shared" ref="F59:F93" si="3">SUMIFS($D$104:$D$468,$C$104:$C$468,"&gt;="&amp;D59,$C$104:$C$468,"&lt;="&amp;E59)</f>
        <v>0</v>
      </c>
    </row>
    <row r="60" spans="3:6" x14ac:dyDescent="0.25">
      <c r="C60" s="168" t="str">
        <f>'Project Emission Distribution'!D51</f>
        <v>AN27</v>
      </c>
      <c r="D60" s="169" t="str">
        <f>IF('Project Details Entry'!D39&gt;0,'Project Details Entry'!D39,"")</f>
        <v/>
      </c>
      <c r="E60" s="169" t="str">
        <f>IF('Project Details Entry'!E39&gt;0,'Project Details Entry'!E39,"")</f>
        <v/>
      </c>
      <c r="F60" s="170">
        <f t="shared" si="3"/>
        <v>0</v>
      </c>
    </row>
    <row r="61" spans="3:6" x14ac:dyDescent="0.25">
      <c r="C61" s="168" t="str">
        <f>'Project Emission Distribution'!D52</f>
        <v>AN28</v>
      </c>
      <c r="D61" s="169" t="str">
        <f>IF('Project Details Entry'!D40&gt;0,'Project Details Entry'!D40,"")</f>
        <v/>
      </c>
      <c r="E61" s="169" t="str">
        <f>IF('Project Details Entry'!E40&gt;0,'Project Details Entry'!E40,"")</f>
        <v/>
      </c>
      <c r="F61" s="170">
        <f t="shared" si="3"/>
        <v>0</v>
      </c>
    </row>
    <row r="62" spans="3:6" x14ac:dyDescent="0.25">
      <c r="C62" s="168" t="str">
        <f>'Project Emission Distribution'!D53</f>
        <v>AN29</v>
      </c>
      <c r="D62" s="169" t="str">
        <f>IF('Project Details Entry'!D41&gt;0,'Project Details Entry'!D41,"")</f>
        <v/>
      </c>
      <c r="E62" s="169" t="str">
        <f>IF('Project Details Entry'!E41&gt;0,'Project Details Entry'!E41,"")</f>
        <v/>
      </c>
      <c r="F62" s="170">
        <f t="shared" si="3"/>
        <v>0</v>
      </c>
    </row>
    <row r="63" spans="3:6" x14ac:dyDescent="0.25">
      <c r="C63" s="168" t="str">
        <f>'Project Emission Distribution'!D54</f>
        <v>AN30</v>
      </c>
      <c r="D63" s="169" t="str">
        <f>IF('Project Details Entry'!D42&gt;0,'Project Details Entry'!D42,"")</f>
        <v/>
      </c>
      <c r="E63" s="169" t="str">
        <f>IF('Project Details Entry'!E42&gt;0,'Project Details Entry'!E42,"")</f>
        <v/>
      </c>
      <c r="F63" s="170">
        <f t="shared" si="3"/>
        <v>0</v>
      </c>
    </row>
    <row r="64" spans="3:6" x14ac:dyDescent="0.25">
      <c r="C64" s="168" t="str">
        <f>'Project Emission Distribution'!D55</f>
        <v>AN31</v>
      </c>
      <c r="D64" s="169" t="str">
        <f>IF('Project Details Entry'!D43&gt;0,'Project Details Entry'!D43,"")</f>
        <v/>
      </c>
      <c r="E64" s="169" t="str">
        <f>IF('Project Details Entry'!E43&gt;0,'Project Details Entry'!E43,"")</f>
        <v/>
      </c>
      <c r="F64" s="170">
        <f t="shared" si="3"/>
        <v>0</v>
      </c>
    </row>
    <row r="65" spans="3:6" x14ac:dyDescent="0.25">
      <c r="C65" s="168" t="str">
        <f>'Project Emission Distribution'!D56</f>
        <v>AN32</v>
      </c>
      <c r="D65" s="169" t="str">
        <f>IF('Project Details Entry'!D44&gt;0,'Project Details Entry'!D44,"")</f>
        <v/>
      </c>
      <c r="E65" s="169" t="str">
        <f>IF('Project Details Entry'!E44&gt;0,'Project Details Entry'!E44,"")</f>
        <v/>
      </c>
      <c r="F65" s="170">
        <f t="shared" si="3"/>
        <v>0</v>
      </c>
    </row>
    <row r="66" spans="3:6" x14ac:dyDescent="0.25">
      <c r="C66" s="168" t="str">
        <f>'Project Emission Distribution'!D57</f>
        <v>AN33</v>
      </c>
      <c r="D66" s="169" t="str">
        <f>IF('Project Details Entry'!D45&gt;0,'Project Details Entry'!D45,"")</f>
        <v/>
      </c>
      <c r="E66" s="169" t="str">
        <f>IF('Project Details Entry'!E45&gt;0,'Project Details Entry'!E45,"")</f>
        <v/>
      </c>
      <c r="F66" s="170">
        <f t="shared" si="3"/>
        <v>0</v>
      </c>
    </row>
    <row r="67" spans="3:6" x14ac:dyDescent="0.25">
      <c r="C67" s="168" t="str">
        <f>'Project Emission Distribution'!D58</f>
        <v>AN34</v>
      </c>
      <c r="D67" s="169" t="str">
        <f>IF('Project Details Entry'!D46&gt;0,'Project Details Entry'!D46,"")</f>
        <v/>
      </c>
      <c r="E67" s="169" t="str">
        <f>IF('Project Details Entry'!E46&gt;0,'Project Details Entry'!E46,"")</f>
        <v/>
      </c>
      <c r="F67" s="170">
        <f t="shared" si="3"/>
        <v>0</v>
      </c>
    </row>
    <row r="68" spans="3:6" x14ac:dyDescent="0.25">
      <c r="C68" s="168" t="str">
        <f>'Project Emission Distribution'!D59</f>
        <v>AN35</v>
      </c>
      <c r="D68" s="169" t="str">
        <f>IF('Project Details Entry'!D47&gt;0,'Project Details Entry'!D47,"")</f>
        <v/>
      </c>
      <c r="E68" s="169" t="str">
        <f>IF('Project Details Entry'!E47&gt;0,'Project Details Entry'!E47,"")</f>
        <v/>
      </c>
      <c r="F68" s="170">
        <f t="shared" si="3"/>
        <v>0</v>
      </c>
    </row>
    <row r="69" spans="3:6" x14ac:dyDescent="0.25">
      <c r="C69" s="168" t="str">
        <f>'Project Emission Distribution'!D60</f>
        <v>AN36</v>
      </c>
      <c r="D69" s="169" t="str">
        <f>IF('Project Details Entry'!D48&gt;0,'Project Details Entry'!D48,"")</f>
        <v/>
      </c>
      <c r="E69" s="169" t="str">
        <f>IF('Project Details Entry'!E48&gt;0,'Project Details Entry'!E48,"")</f>
        <v/>
      </c>
      <c r="F69" s="170">
        <f t="shared" si="3"/>
        <v>0</v>
      </c>
    </row>
    <row r="70" spans="3:6" x14ac:dyDescent="0.25">
      <c r="C70" s="168" t="str">
        <f>'Project Emission Distribution'!D61</f>
        <v>AN37</v>
      </c>
      <c r="D70" s="169" t="str">
        <f>IF('Project Details Entry'!D49&gt;0,'Project Details Entry'!D49,"")</f>
        <v/>
      </c>
      <c r="E70" s="169" t="str">
        <f>IF('Project Details Entry'!E49&gt;0,'Project Details Entry'!E49,"")</f>
        <v/>
      </c>
      <c r="F70" s="170">
        <f t="shared" si="3"/>
        <v>0</v>
      </c>
    </row>
    <row r="71" spans="3:6" x14ac:dyDescent="0.25">
      <c r="C71" s="168" t="str">
        <f>'Project Emission Distribution'!D62</f>
        <v>AN38</v>
      </c>
      <c r="D71" s="169" t="str">
        <f>IF('Project Details Entry'!D50&gt;0,'Project Details Entry'!D50,"")</f>
        <v/>
      </c>
      <c r="E71" s="169" t="str">
        <f>IF('Project Details Entry'!E50&gt;0,'Project Details Entry'!E50,"")</f>
        <v/>
      </c>
      <c r="F71" s="170">
        <f t="shared" si="3"/>
        <v>0</v>
      </c>
    </row>
    <row r="72" spans="3:6" x14ac:dyDescent="0.25">
      <c r="C72" s="168" t="str">
        <f>'Project Emission Distribution'!D63</f>
        <v>AN39</v>
      </c>
      <c r="D72" s="169" t="str">
        <f>IF('Project Details Entry'!D51&gt;0,'Project Details Entry'!D51,"")</f>
        <v/>
      </c>
      <c r="E72" s="169" t="str">
        <f>IF('Project Details Entry'!E51&gt;0,'Project Details Entry'!E51,"")</f>
        <v/>
      </c>
      <c r="F72" s="170">
        <f t="shared" si="3"/>
        <v>0</v>
      </c>
    </row>
    <row r="73" spans="3:6" x14ac:dyDescent="0.25">
      <c r="C73" s="168" t="str">
        <f>'Project Emission Distribution'!D64</f>
        <v>AN40</v>
      </c>
      <c r="D73" s="169" t="str">
        <f>IF('Project Details Entry'!D52&gt;0,'Project Details Entry'!D52,"")</f>
        <v/>
      </c>
      <c r="E73" s="169" t="str">
        <f>IF('Project Details Entry'!E52&gt;0,'Project Details Entry'!E52,"")</f>
        <v/>
      </c>
      <c r="F73" s="170">
        <f t="shared" si="3"/>
        <v>0</v>
      </c>
    </row>
    <row r="74" spans="3:6" x14ac:dyDescent="0.25">
      <c r="C74" s="168" t="str">
        <f>'Project Emission Distribution'!D65</f>
        <v>AN41</v>
      </c>
      <c r="D74" s="169" t="str">
        <f>IF('Project Details Entry'!D53&gt;0,'Project Details Entry'!D53,"")</f>
        <v/>
      </c>
      <c r="E74" s="169" t="str">
        <f>IF('Project Details Entry'!E53&gt;0,'Project Details Entry'!E53,"")</f>
        <v/>
      </c>
      <c r="F74" s="170">
        <f t="shared" si="3"/>
        <v>0</v>
      </c>
    </row>
    <row r="75" spans="3:6" x14ac:dyDescent="0.25">
      <c r="C75" s="168" t="str">
        <f>'Project Emission Distribution'!D66</f>
        <v>AN42</v>
      </c>
      <c r="D75" s="169" t="str">
        <f>IF('Project Details Entry'!D54&gt;0,'Project Details Entry'!D54,"")</f>
        <v/>
      </c>
      <c r="E75" s="169" t="str">
        <f>IF('Project Details Entry'!E54&gt;0,'Project Details Entry'!E54,"")</f>
        <v/>
      </c>
      <c r="F75" s="170">
        <f t="shared" si="3"/>
        <v>0</v>
      </c>
    </row>
    <row r="76" spans="3:6" x14ac:dyDescent="0.25">
      <c r="C76" s="168" t="str">
        <f>'Project Emission Distribution'!D67</f>
        <v>AN43</v>
      </c>
      <c r="D76" s="169" t="str">
        <f>IF('Project Details Entry'!D55&gt;0,'Project Details Entry'!D55,"")</f>
        <v/>
      </c>
      <c r="E76" s="169" t="str">
        <f>IF('Project Details Entry'!E55&gt;0,'Project Details Entry'!E55,"")</f>
        <v/>
      </c>
      <c r="F76" s="170">
        <f t="shared" si="3"/>
        <v>0</v>
      </c>
    </row>
    <row r="77" spans="3:6" x14ac:dyDescent="0.25">
      <c r="C77" s="168" t="str">
        <f>'Project Emission Distribution'!D68</f>
        <v>AN44</v>
      </c>
      <c r="D77" s="169" t="str">
        <f>IF('Project Details Entry'!D56&gt;0,'Project Details Entry'!D56,"")</f>
        <v/>
      </c>
      <c r="E77" s="169" t="str">
        <f>IF('Project Details Entry'!E56&gt;0,'Project Details Entry'!E56,"")</f>
        <v/>
      </c>
      <c r="F77" s="170">
        <f t="shared" si="3"/>
        <v>0</v>
      </c>
    </row>
    <row r="78" spans="3:6" x14ac:dyDescent="0.25">
      <c r="C78" s="168" t="str">
        <f>'Project Emission Distribution'!D69</f>
        <v>AN45</v>
      </c>
      <c r="D78" s="169" t="str">
        <f>IF('Project Details Entry'!D57&gt;0,'Project Details Entry'!D57,"")</f>
        <v/>
      </c>
      <c r="E78" s="169" t="str">
        <f>IF('Project Details Entry'!E57&gt;0,'Project Details Entry'!E57,"")</f>
        <v/>
      </c>
      <c r="F78" s="170">
        <f t="shared" si="3"/>
        <v>0</v>
      </c>
    </row>
    <row r="79" spans="3:6" x14ac:dyDescent="0.25">
      <c r="C79" s="168" t="str">
        <f>'Project Emission Distribution'!D70</f>
        <v>AN46</v>
      </c>
      <c r="D79" s="169" t="str">
        <f>IF('Project Details Entry'!D58&gt;0,'Project Details Entry'!D58,"")</f>
        <v/>
      </c>
      <c r="E79" s="169" t="str">
        <f>IF('Project Details Entry'!E58&gt;0,'Project Details Entry'!E58,"")</f>
        <v/>
      </c>
      <c r="F79" s="170">
        <f t="shared" si="3"/>
        <v>0</v>
      </c>
    </row>
    <row r="80" spans="3:6" x14ac:dyDescent="0.25">
      <c r="C80" s="168" t="str">
        <f>'Project Emission Distribution'!D71</f>
        <v>AN47</v>
      </c>
      <c r="D80" s="169" t="str">
        <f>IF('Project Details Entry'!D59&gt;0,'Project Details Entry'!D59,"")</f>
        <v/>
      </c>
      <c r="E80" s="169" t="str">
        <f>IF('Project Details Entry'!E59&gt;0,'Project Details Entry'!E59,"")</f>
        <v/>
      </c>
      <c r="F80" s="170">
        <f t="shared" si="3"/>
        <v>0</v>
      </c>
    </row>
    <row r="81" spans="3:6" x14ac:dyDescent="0.25">
      <c r="C81" s="168" t="str">
        <f>'Project Emission Distribution'!D72</f>
        <v>AN48</v>
      </c>
      <c r="D81" s="169" t="str">
        <f>IF('Project Details Entry'!D60&gt;0,'Project Details Entry'!D60,"")</f>
        <v/>
      </c>
      <c r="E81" s="169" t="str">
        <f>IF('Project Details Entry'!E60&gt;0,'Project Details Entry'!E60,"")</f>
        <v/>
      </c>
      <c r="F81" s="170">
        <f t="shared" si="3"/>
        <v>0</v>
      </c>
    </row>
    <row r="82" spans="3:6" x14ac:dyDescent="0.25">
      <c r="C82" s="168" t="str">
        <f>'Project Emission Distribution'!D73</f>
        <v>AN49</v>
      </c>
      <c r="D82" s="169" t="str">
        <f>IF('Project Details Entry'!D61&gt;0,'Project Details Entry'!D61,"")</f>
        <v/>
      </c>
      <c r="E82" s="169" t="str">
        <f>IF('Project Details Entry'!E61&gt;0,'Project Details Entry'!E61,"")</f>
        <v/>
      </c>
      <c r="F82" s="170">
        <f t="shared" si="3"/>
        <v>0</v>
      </c>
    </row>
    <row r="83" spans="3:6" x14ac:dyDescent="0.25">
      <c r="C83" s="168" t="str">
        <f>'Project Emission Distribution'!D74</f>
        <v>AN50</v>
      </c>
      <c r="D83" s="169" t="str">
        <f>IF('Project Details Entry'!D62&gt;0,'Project Details Entry'!D62,"")</f>
        <v/>
      </c>
      <c r="E83" s="169" t="str">
        <f>IF('Project Details Entry'!E62&gt;0,'Project Details Entry'!E62,"")</f>
        <v/>
      </c>
      <c r="F83" s="170">
        <f t="shared" si="3"/>
        <v>0</v>
      </c>
    </row>
    <row r="84" spans="3:6" x14ac:dyDescent="0.25">
      <c r="C84" s="168" t="str">
        <f>'Project Emission Distribution'!D75</f>
        <v>AN51</v>
      </c>
      <c r="D84" s="169" t="str">
        <f>IF('Project Details Entry'!D63&gt;0,'Project Details Entry'!D63,"")</f>
        <v/>
      </c>
      <c r="E84" s="169" t="str">
        <f>IF('Project Details Entry'!E63&gt;0,'Project Details Entry'!E63,"")</f>
        <v/>
      </c>
      <c r="F84" s="170">
        <f t="shared" si="3"/>
        <v>0</v>
      </c>
    </row>
    <row r="85" spans="3:6" x14ac:dyDescent="0.25">
      <c r="C85" s="168" t="str">
        <f>'Project Emission Distribution'!D76</f>
        <v>AN52</v>
      </c>
      <c r="D85" s="169" t="str">
        <f>IF('Project Details Entry'!D64&gt;0,'Project Details Entry'!D64,"")</f>
        <v/>
      </c>
      <c r="E85" s="169" t="str">
        <f>IF('Project Details Entry'!E64&gt;0,'Project Details Entry'!E64,"")</f>
        <v/>
      </c>
      <c r="F85" s="170">
        <f t="shared" si="3"/>
        <v>0</v>
      </c>
    </row>
    <row r="86" spans="3:6" x14ac:dyDescent="0.25">
      <c r="C86" s="168" t="str">
        <f>'Project Emission Distribution'!D77</f>
        <v>AN53</v>
      </c>
      <c r="D86" s="169" t="str">
        <f>IF('Project Details Entry'!D65&gt;0,'Project Details Entry'!D65,"")</f>
        <v/>
      </c>
      <c r="E86" s="169" t="str">
        <f>IF('Project Details Entry'!E65&gt;0,'Project Details Entry'!E65,"")</f>
        <v/>
      </c>
      <c r="F86" s="170">
        <f t="shared" si="3"/>
        <v>0</v>
      </c>
    </row>
    <row r="87" spans="3:6" x14ac:dyDescent="0.25">
      <c r="C87" s="168" t="str">
        <f>'Project Emission Distribution'!D78</f>
        <v>AN54</v>
      </c>
      <c r="D87" s="169" t="str">
        <f>IF('Project Details Entry'!D66&gt;0,'Project Details Entry'!D66,"")</f>
        <v/>
      </c>
      <c r="E87" s="169" t="str">
        <f>IF('Project Details Entry'!E66&gt;0,'Project Details Entry'!E66,"")</f>
        <v/>
      </c>
      <c r="F87" s="170">
        <f t="shared" si="3"/>
        <v>0</v>
      </c>
    </row>
    <row r="88" spans="3:6" x14ac:dyDescent="0.25">
      <c r="C88" s="168" t="str">
        <f>'Project Emission Distribution'!D79</f>
        <v>AN55</v>
      </c>
      <c r="D88" s="169" t="str">
        <f>IF('Project Details Entry'!D67&gt;0,'Project Details Entry'!D67,"")</f>
        <v/>
      </c>
      <c r="E88" s="169" t="str">
        <f>IF('Project Details Entry'!E67&gt;0,'Project Details Entry'!E67,"")</f>
        <v/>
      </c>
      <c r="F88" s="170">
        <f t="shared" si="3"/>
        <v>0</v>
      </c>
    </row>
    <row r="89" spans="3:6" x14ac:dyDescent="0.25">
      <c r="C89" s="168" t="str">
        <f>'Project Emission Distribution'!D80</f>
        <v>AN56</v>
      </c>
      <c r="D89" s="169" t="str">
        <f>IF('Project Details Entry'!D68&gt;0,'Project Details Entry'!D68,"")</f>
        <v/>
      </c>
      <c r="E89" s="169" t="str">
        <f>IF('Project Details Entry'!E68&gt;0,'Project Details Entry'!E68,"")</f>
        <v/>
      </c>
      <c r="F89" s="170">
        <f t="shared" si="3"/>
        <v>0</v>
      </c>
    </row>
    <row r="90" spans="3:6" x14ac:dyDescent="0.25">
      <c r="C90" s="168" t="str">
        <f>'Project Emission Distribution'!D81</f>
        <v>AN57</v>
      </c>
      <c r="D90" s="169" t="str">
        <f>IF('Project Details Entry'!D69&gt;0,'Project Details Entry'!D69,"")</f>
        <v/>
      </c>
      <c r="E90" s="169" t="str">
        <f>IF('Project Details Entry'!E69&gt;0,'Project Details Entry'!E69,"")</f>
        <v/>
      </c>
      <c r="F90" s="170">
        <f t="shared" si="3"/>
        <v>0</v>
      </c>
    </row>
    <row r="91" spans="3:6" x14ac:dyDescent="0.25">
      <c r="C91" s="168" t="str">
        <f>'Project Emission Distribution'!D82</f>
        <v>AN58</v>
      </c>
      <c r="D91" s="169" t="str">
        <f>IF('Project Details Entry'!D70&gt;0,'Project Details Entry'!D70,"")</f>
        <v/>
      </c>
      <c r="E91" s="169" t="str">
        <f>IF('Project Details Entry'!E70&gt;0,'Project Details Entry'!E70,"")</f>
        <v/>
      </c>
      <c r="F91" s="170">
        <f t="shared" si="3"/>
        <v>0</v>
      </c>
    </row>
    <row r="92" spans="3:6" x14ac:dyDescent="0.25">
      <c r="C92" s="168" t="str">
        <f>'Project Emission Distribution'!D83</f>
        <v>AN59</v>
      </c>
      <c r="D92" s="169" t="str">
        <f>IF('Project Details Entry'!D71&gt;0,'Project Details Entry'!D71,"")</f>
        <v/>
      </c>
      <c r="E92" s="169" t="str">
        <f>IF('Project Details Entry'!E71&gt;0,'Project Details Entry'!E71,"")</f>
        <v/>
      </c>
      <c r="F92" s="170">
        <f t="shared" si="3"/>
        <v>0</v>
      </c>
    </row>
    <row r="93" spans="3:6" x14ac:dyDescent="0.25">
      <c r="C93" s="168" t="str">
        <f>'Project Emission Distribution'!D84</f>
        <v>AN60</v>
      </c>
      <c r="D93" s="169" t="str">
        <f>IF('Project Details Entry'!D72&gt;0,'Project Details Entry'!D72,"")</f>
        <v/>
      </c>
      <c r="E93" s="169" t="str">
        <f>IF('Project Details Entry'!E72&gt;0,'Project Details Entry'!E72,"")</f>
        <v/>
      </c>
      <c r="F93" s="170">
        <f t="shared" si="3"/>
        <v>0</v>
      </c>
    </row>
    <row r="103" spans="3:9" ht="60" x14ac:dyDescent="0.25">
      <c r="C103" s="229" t="s">
        <v>5</v>
      </c>
      <c r="D103" s="212" t="s">
        <v>159</v>
      </c>
      <c r="F103" s="230" t="s">
        <v>132</v>
      </c>
      <c r="G103" s="230" t="s">
        <v>244</v>
      </c>
      <c r="H103" s="230" t="s">
        <v>150</v>
      </c>
      <c r="I103" s="230" t="s">
        <v>245</v>
      </c>
    </row>
    <row r="104" spans="3:9" x14ac:dyDescent="0.25">
      <c r="C104" s="172">
        <v>44562</v>
      </c>
      <c r="D104" s="173">
        <f t="shared" ref="D104:D134" si="4">$G$17</f>
        <v>2.4508074486803519E-2</v>
      </c>
      <c r="F104" s="160" t="s">
        <v>135</v>
      </c>
      <c r="G104" s="195">
        <v>44562</v>
      </c>
      <c r="H104" s="195">
        <v>44592</v>
      </c>
      <c r="I104" s="197">
        <f>1+_xlfn.DAYS(H104,G104)</f>
        <v>31</v>
      </c>
    </row>
    <row r="105" spans="3:9" x14ac:dyDescent="0.25">
      <c r="C105" s="172">
        <v>44563</v>
      </c>
      <c r="D105" s="173">
        <f t="shared" si="4"/>
        <v>2.4508074486803519E-2</v>
      </c>
      <c r="F105" s="163" t="s">
        <v>136</v>
      </c>
      <c r="G105" s="196">
        <v>44593</v>
      </c>
      <c r="H105" s="196">
        <v>44620</v>
      </c>
      <c r="I105" s="197">
        <f t="shared" ref="I105:I115" si="5">1+_xlfn.DAYS(H105,G105)</f>
        <v>28</v>
      </c>
    </row>
    <row r="106" spans="3:9" x14ac:dyDescent="0.25">
      <c r="C106" s="172">
        <v>44564</v>
      </c>
      <c r="D106" s="173">
        <f t="shared" si="4"/>
        <v>2.4508074486803519E-2</v>
      </c>
      <c r="F106" s="160" t="s">
        <v>137</v>
      </c>
      <c r="G106" s="195">
        <v>44621</v>
      </c>
      <c r="H106" s="195">
        <v>44651</v>
      </c>
      <c r="I106" s="197">
        <f t="shared" si="5"/>
        <v>31</v>
      </c>
    </row>
    <row r="107" spans="3:9" x14ac:dyDescent="0.25">
      <c r="C107" s="172">
        <v>44565</v>
      </c>
      <c r="D107" s="173">
        <f t="shared" si="4"/>
        <v>2.4508074486803519E-2</v>
      </c>
      <c r="F107" s="163" t="s">
        <v>138</v>
      </c>
      <c r="G107" s="196">
        <v>44652</v>
      </c>
      <c r="H107" s="196">
        <v>44681</v>
      </c>
      <c r="I107" s="197">
        <f t="shared" si="5"/>
        <v>30</v>
      </c>
    </row>
    <row r="108" spans="3:9" x14ac:dyDescent="0.25">
      <c r="C108" s="172">
        <v>44566</v>
      </c>
      <c r="D108" s="173">
        <f t="shared" si="4"/>
        <v>2.4508074486803519E-2</v>
      </c>
      <c r="F108" s="160" t="s">
        <v>139</v>
      </c>
      <c r="G108" s="195">
        <v>44682</v>
      </c>
      <c r="H108" s="195">
        <v>44712</v>
      </c>
      <c r="I108" s="197">
        <f t="shared" si="5"/>
        <v>31</v>
      </c>
    </row>
    <row r="109" spans="3:9" x14ac:dyDescent="0.25">
      <c r="C109" s="172">
        <v>44567</v>
      </c>
      <c r="D109" s="173">
        <f t="shared" si="4"/>
        <v>2.4508074486803519E-2</v>
      </c>
      <c r="F109" s="163" t="s">
        <v>140</v>
      </c>
      <c r="G109" s="196">
        <v>44713</v>
      </c>
      <c r="H109" s="196">
        <v>44742</v>
      </c>
      <c r="I109" s="197">
        <f t="shared" si="5"/>
        <v>30</v>
      </c>
    </row>
    <row r="110" spans="3:9" x14ac:dyDescent="0.25">
      <c r="C110" s="172">
        <v>44568</v>
      </c>
      <c r="D110" s="173">
        <f t="shared" si="4"/>
        <v>2.4508074486803519E-2</v>
      </c>
      <c r="F110" s="160" t="s">
        <v>141</v>
      </c>
      <c r="G110" s="195">
        <v>44743</v>
      </c>
      <c r="H110" s="195">
        <v>44773</v>
      </c>
      <c r="I110" s="197">
        <f t="shared" si="5"/>
        <v>31</v>
      </c>
    </row>
    <row r="111" spans="3:9" x14ac:dyDescent="0.25">
      <c r="C111" s="172">
        <v>44569</v>
      </c>
      <c r="D111" s="173">
        <f t="shared" si="4"/>
        <v>2.4508074486803519E-2</v>
      </c>
      <c r="F111" s="163" t="s">
        <v>142</v>
      </c>
      <c r="G111" s="196">
        <v>44774</v>
      </c>
      <c r="H111" s="196">
        <v>44804</v>
      </c>
      <c r="I111" s="197">
        <f t="shared" si="5"/>
        <v>31</v>
      </c>
    </row>
    <row r="112" spans="3:9" x14ac:dyDescent="0.25">
      <c r="C112" s="172">
        <v>44570</v>
      </c>
      <c r="D112" s="173">
        <f t="shared" si="4"/>
        <v>2.4508074486803519E-2</v>
      </c>
      <c r="F112" s="160" t="s">
        <v>143</v>
      </c>
      <c r="G112" s="195">
        <v>44805</v>
      </c>
      <c r="H112" s="195">
        <v>44834</v>
      </c>
      <c r="I112" s="197">
        <f t="shared" si="5"/>
        <v>30</v>
      </c>
    </row>
    <row r="113" spans="3:9" x14ac:dyDescent="0.25">
      <c r="C113" s="172">
        <v>44571</v>
      </c>
      <c r="D113" s="173">
        <f t="shared" si="4"/>
        <v>2.4508074486803519E-2</v>
      </c>
      <c r="F113" s="163" t="s">
        <v>144</v>
      </c>
      <c r="G113" s="196">
        <v>44835</v>
      </c>
      <c r="H113" s="196">
        <v>44865</v>
      </c>
      <c r="I113" s="197">
        <f t="shared" si="5"/>
        <v>31</v>
      </c>
    </row>
    <row r="114" spans="3:9" x14ac:dyDescent="0.25">
      <c r="C114" s="172">
        <v>44572</v>
      </c>
      <c r="D114" s="173">
        <f t="shared" si="4"/>
        <v>2.4508074486803519E-2</v>
      </c>
      <c r="F114" s="160" t="s">
        <v>145</v>
      </c>
      <c r="G114" s="195">
        <v>44866</v>
      </c>
      <c r="H114" s="195">
        <v>44895</v>
      </c>
      <c r="I114" s="197">
        <f t="shared" si="5"/>
        <v>30</v>
      </c>
    </row>
    <row r="115" spans="3:9" x14ac:dyDescent="0.25">
      <c r="C115" s="172">
        <v>44573</v>
      </c>
      <c r="D115" s="173">
        <f t="shared" si="4"/>
        <v>2.4508074486803519E-2</v>
      </c>
      <c r="F115" s="163" t="s">
        <v>146</v>
      </c>
      <c r="G115" s="196">
        <v>44896</v>
      </c>
      <c r="H115" s="196">
        <v>44926</v>
      </c>
      <c r="I115" s="197">
        <f t="shared" si="5"/>
        <v>31</v>
      </c>
    </row>
    <row r="116" spans="3:9" x14ac:dyDescent="0.25">
      <c r="C116" s="172">
        <v>44574</v>
      </c>
      <c r="D116" s="173">
        <f t="shared" si="4"/>
        <v>2.4508074486803519E-2</v>
      </c>
    </row>
    <row r="117" spans="3:9" x14ac:dyDescent="0.25">
      <c r="C117" s="172">
        <v>44575</v>
      </c>
      <c r="D117" s="173">
        <f t="shared" si="4"/>
        <v>2.4508074486803519E-2</v>
      </c>
    </row>
    <row r="118" spans="3:9" x14ac:dyDescent="0.25">
      <c r="C118" s="172">
        <v>44576</v>
      </c>
      <c r="D118" s="173">
        <f t="shared" si="4"/>
        <v>2.4508074486803519E-2</v>
      </c>
    </row>
    <row r="119" spans="3:9" x14ac:dyDescent="0.25">
      <c r="C119" s="172">
        <v>44577</v>
      </c>
      <c r="D119" s="173">
        <f t="shared" si="4"/>
        <v>2.4508074486803519E-2</v>
      </c>
    </row>
    <row r="120" spans="3:9" x14ac:dyDescent="0.25">
      <c r="C120" s="172">
        <v>44578</v>
      </c>
      <c r="D120" s="173">
        <f t="shared" si="4"/>
        <v>2.4508074486803519E-2</v>
      </c>
    </row>
    <row r="121" spans="3:9" x14ac:dyDescent="0.25">
      <c r="C121" s="172">
        <v>44579</v>
      </c>
      <c r="D121" s="173">
        <f t="shared" si="4"/>
        <v>2.4508074486803519E-2</v>
      </c>
    </row>
    <row r="122" spans="3:9" x14ac:dyDescent="0.25">
      <c r="C122" s="172">
        <v>44580</v>
      </c>
      <c r="D122" s="173">
        <f t="shared" si="4"/>
        <v>2.4508074486803519E-2</v>
      </c>
    </row>
    <row r="123" spans="3:9" x14ac:dyDescent="0.25">
      <c r="C123" s="172">
        <v>44581</v>
      </c>
      <c r="D123" s="173">
        <f t="shared" si="4"/>
        <v>2.4508074486803519E-2</v>
      </c>
    </row>
    <row r="124" spans="3:9" x14ac:dyDescent="0.25">
      <c r="C124" s="172">
        <v>44582</v>
      </c>
      <c r="D124" s="173">
        <f t="shared" si="4"/>
        <v>2.4508074486803519E-2</v>
      </c>
    </row>
    <row r="125" spans="3:9" x14ac:dyDescent="0.25">
      <c r="C125" s="172">
        <v>44583</v>
      </c>
      <c r="D125" s="173">
        <f t="shared" si="4"/>
        <v>2.4508074486803519E-2</v>
      </c>
    </row>
    <row r="126" spans="3:9" x14ac:dyDescent="0.25">
      <c r="C126" s="172">
        <v>44584</v>
      </c>
      <c r="D126" s="173">
        <f t="shared" si="4"/>
        <v>2.4508074486803519E-2</v>
      </c>
    </row>
    <row r="127" spans="3:9" x14ac:dyDescent="0.25">
      <c r="C127" s="172">
        <v>44585</v>
      </c>
      <c r="D127" s="173">
        <f t="shared" si="4"/>
        <v>2.4508074486803519E-2</v>
      </c>
    </row>
    <row r="128" spans="3:9" x14ac:dyDescent="0.25">
      <c r="C128" s="172">
        <v>44586</v>
      </c>
      <c r="D128" s="173">
        <f t="shared" si="4"/>
        <v>2.4508074486803519E-2</v>
      </c>
    </row>
    <row r="129" spans="3:4" x14ac:dyDescent="0.25">
      <c r="C129" s="172">
        <v>44587</v>
      </c>
      <c r="D129" s="173">
        <f t="shared" si="4"/>
        <v>2.4508074486803519E-2</v>
      </c>
    </row>
    <row r="130" spans="3:4" x14ac:dyDescent="0.25">
      <c r="C130" s="172">
        <v>44588</v>
      </c>
      <c r="D130" s="173">
        <f t="shared" si="4"/>
        <v>2.4508074486803519E-2</v>
      </c>
    </row>
    <row r="131" spans="3:4" x14ac:dyDescent="0.25">
      <c r="C131" s="172">
        <v>44589</v>
      </c>
      <c r="D131" s="173">
        <f t="shared" si="4"/>
        <v>2.4508074486803519E-2</v>
      </c>
    </row>
    <row r="132" spans="3:4" x14ac:dyDescent="0.25">
      <c r="C132" s="172">
        <v>44590</v>
      </c>
      <c r="D132" s="173">
        <f t="shared" si="4"/>
        <v>2.4508074486803519E-2</v>
      </c>
    </row>
    <row r="133" spans="3:4" x14ac:dyDescent="0.25">
      <c r="C133" s="172">
        <v>44591</v>
      </c>
      <c r="D133" s="173">
        <f t="shared" si="4"/>
        <v>2.4508074486803519E-2</v>
      </c>
    </row>
    <row r="134" spans="3:4" x14ac:dyDescent="0.25">
      <c r="C134" s="172">
        <v>44592</v>
      </c>
      <c r="D134" s="173">
        <f t="shared" si="4"/>
        <v>2.4508074486803519E-2</v>
      </c>
    </row>
    <row r="135" spans="3:4" x14ac:dyDescent="0.25">
      <c r="C135" s="172">
        <v>44593</v>
      </c>
      <c r="D135" s="173">
        <f t="shared" ref="D135:D162" si="6">$G$18</f>
        <v>6.2172619047619053E-2</v>
      </c>
    </row>
    <row r="136" spans="3:4" x14ac:dyDescent="0.25">
      <c r="C136" s="172">
        <v>44594</v>
      </c>
      <c r="D136" s="173">
        <f t="shared" si="6"/>
        <v>6.2172619047619053E-2</v>
      </c>
    </row>
    <row r="137" spans="3:4" x14ac:dyDescent="0.25">
      <c r="C137" s="172">
        <v>44595</v>
      </c>
      <c r="D137" s="173">
        <f t="shared" si="6"/>
        <v>6.2172619047619053E-2</v>
      </c>
    </row>
    <row r="138" spans="3:4" x14ac:dyDescent="0.25">
      <c r="C138" s="172">
        <v>44596</v>
      </c>
      <c r="D138" s="173">
        <f t="shared" si="6"/>
        <v>6.2172619047619053E-2</v>
      </c>
    </row>
    <row r="139" spans="3:4" x14ac:dyDescent="0.25">
      <c r="C139" s="172">
        <v>44597</v>
      </c>
      <c r="D139" s="173">
        <f t="shared" si="6"/>
        <v>6.2172619047619053E-2</v>
      </c>
    </row>
    <row r="140" spans="3:4" x14ac:dyDescent="0.25">
      <c r="C140" s="172">
        <v>44598</v>
      </c>
      <c r="D140" s="173">
        <f t="shared" si="6"/>
        <v>6.2172619047619053E-2</v>
      </c>
    </row>
    <row r="141" spans="3:4" x14ac:dyDescent="0.25">
      <c r="C141" s="172">
        <v>44599</v>
      </c>
      <c r="D141" s="173">
        <f t="shared" si="6"/>
        <v>6.2172619047619053E-2</v>
      </c>
    </row>
    <row r="142" spans="3:4" x14ac:dyDescent="0.25">
      <c r="C142" s="172">
        <v>44600</v>
      </c>
      <c r="D142" s="173">
        <f t="shared" si="6"/>
        <v>6.2172619047619053E-2</v>
      </c>
    </row>
    <row r="143" spans="3:4" x14ac:dyDescent="0.25">
      <c r="C143" s="172">
        <v>44601</v>
      </c>
      <c r="D143" s="173">
        <f t="shared" si="6"/>
        <v>6.2172619047619053E-2</v>
      </c>
    </row>
    <row r="144" spans="3:4" x14ac:dyDescent="0.25">
      <c r="C144" s="172">
        <v>44602</v>
      </c>
      <c r="D144" s="173">
        <f t="shared" si="6"/>
        <v>6.2172619047619053E-2</v>
      </c>
    </row>
    <row r="145" spans="3:4" x14ac:dyDescent="0.25">
      <c r="C145" s="172">
        <v>44603</v>
      </c>
      <c r="D145" s="173">
        <f t="shared" si="6"/>
        <v>6.2172619047619053E-2</v>
      </c>
    </row>
    <row r="146" spans="3:4" x14ac:dyDescent="0.25">
      <c r="C146" s="172">
        <v>44604</v>
      </c>
      <c r="D146" s="173">
        <f t="shared" si="6"/>
        <v>6.2172619047619053E-2</v>
      </c>
    </row>
    <row r="147" spans="3:4" x14ac:dyDescent="0.25">
      <c r="C147" s="172">
        <v>44605</v>
      </c>
      <c r="D147" s="173">
        <f t="shared" si="6"/>
        <v>6.2172619047619053E-2</v>
      </c>
    </row>
    <row r="148" spans="3:4" x14ac:dyDescent="0.25">
      <c r="C148" s="172">
        <v>44606</v>
      </c>
      <c r="D148" s="173">
        <f t="shared" si="6"/>
        <v>6.2172619047619053E-2</v>
      </c>
    </row>
    <row r="149" spans="3:4" x14ac:dyDescent="0.25">
      <c r="C149" s="172">
        <v>44607</v>
      </c>
      <c r="D149" s="173">
        <f t="shared" si="6"/>
        <v>6.2172619047619053E-2</v>
      </c>
    </row>
    <row r="150" spans="3:4" x14ac:dyDescent="0.25">
      <c r="C150" s="172">
        <v>44608</v>
      </c>
      <c r="D150" s="173">
        <f t="shared" si="6"/>
        <v>6.2172619047619053E-2</v>
      </c>
    </row>
    <row r="151" spans="3:4" x14ac:dyDescent="0.25">
      <c r="C151" s="172">
        <v>44609</v>
      </c>
      <c r="D151" s="173">
        <f t="shared" si="6"/>
        <v>6.2172619047619053E-2</v>
      </c>
    </row>
    <row r="152" spans="3:4" x14ac:dyDescent="0.25">
      <c r="C152" s="172">
        <v>44610</v>
      </c>
      <c r="D152" s="173">
        <f t="shared" si="6"/>
        <v>6.2172619047619053E-2</v>
      </c>
    </row>
    <row r="153" spans="3:4" x14ac:dyDescent="0.25">
      <c r="C153" s="172">
        <v>44611</v>
      </c>
      <c r="D153" s="173">
        <f t="shared" si="6"/>
        <v>6.2172619047619053E-2</v>
      </c>
    </row>
    <row r="154" spans="3:4" x14ac:dyDescent="0.25">
      <c r="C154" s="172">
        <v>44612</v>
      </c>
      <c r="D154" s="173">
        <f t="shared" si="6"/>
        <v>6.2172619047619053E-2</v>
      </c>
    </row>
    <row r="155" spans="3:4" x14ac:dyDescent="0.25">
      <c r="C155" s="172">
        <v>44613</v>
      </c>
      <c r="D155" s="173">
        <f t="shared" si="6"/>
        <v>6.2172619047619053E-2</v>
      </c>
    </row>
    <row r="156" spans="3:4" x14ac:dyDescent="0.25">
      <c r="C156" s="172">
        <v>44614</v>
      </c>
      <c r="D156" s="173">
        <f t="shared" si="6"/>
        <v>6.2172619047619053E-2</v>
      </c>
    </row>
    <row r="157" spans="3:4" x14ac:dyDescent="0.25">
      <c r="C157" s="172">
        <v>44615</v>
      </c>
      <c r="D157" s="173">
        <f t="shared" si="6"/>
        <v>6.2172619047619053E-2</v>
      </c>
    </row>
    <row r="158" spans="3:4" x14ac:dyDescent="0.25">
      <c r="C158" s="172">
        <v>44616</v>
      </c>
      <c r="D158" s="173">
        <f t="shared" si="6"/>
        <v>6.2172619047619053E-2</v>
      </c>
    </row>
    <row r="159" spans="3:4" x14ac:dyDescent="0.25">
      <c r="C159" s="172">
        <v>44617</v>
      </c>
      <c r="D159" s="173">
        <f t="shared" si="6"/>
        <v>6.2172619047619053E-2</v>
      </c>
    </row>
    <row r="160" spans="3:4" x14ac:dyDescent="0.25">
      <c r="C160" s="172">
        <v>44618</v>
      </c>
      <c r="D160" s="173">
        <f t="shared" si="6"/>
        <v>6.2172619047619053E-2</v>
      </c>
    </row>
    <row r="161" spans="3:4" x14ac:dyDescent="0.25">
      <c r="C161" s="172">
        <v>44619</v>
      </c>
      <c r="D161" s="173">
        <f t="shared" si="6"/>
        <v>6.2172619047619053E-2</v>
      </c>
    </row>
    <row r="162" spans="3:4" x14ac:dyDescent="0.25">
      <c r="C162" s="172">
        <v>44620</v>
      </c>
      <c r="D162" s="173">
        <f t="shared" si="6"/>
        <v>6.2172619047619053E-2</v>
      </c>
    </row>
    <row r="163" spans="3:4" x14ac:dyDescent="0.25">
      <c r="C163" s="172">
        <v>44621</v>
      </c>
      <c r="D163" s="173">
        <f t="shared" ref="D163:D193" si="7">$G$19</f>
        <v>0.16846774193548389</v>
      </c>
    </row>
    <row r="164" spans="3:4" x14ac:dyDescent="0.25">
      <c r="C164" s="172">
        <v>44622</v>
      </c>
      <c r="D164" s="173">
        <f t="shared" si="7"/>
        <v>0.16846774193548389</v>
      </c>
    </row>
    <row r="165" spans="3:4" x14ac:dyDescent="0.25">
      <c r="C165" s="172">
        <v>44623</v>
      </c>
      <c r="D165" s="173">
        <f t="shared" si="7"/>
        <v>0.16846774193548389</v>
      </c>
    </row>
    <row r="166" spans="3:4" x14ac:dyDescent="0.25">
      <c r="C166" s="172">
        <v>44624</v>
      </c>
      <c r="D166" s="173">
        <f t="shared" si="7"/>
        <v>0.16846774193548389</v>
      </c>
    </row>
    <row r="167" spans="3:4" x14ac:dyDescent="0.25">
      <c r="C167" s="172">
        <v>44625</v>
      </c>
      <c r="D167" s="173">
        <f t="shared" si="7"/>
        <v>0.16846774193548389</v>
      </c>
    </row>
    <row r="168" spans="3:4" x14ac:dyDescent="0.25">
      <c r="C168" s="172">
        <v>44626</v>
      </c>
      <c r="D168" s="173">
        <f t="shared" si="7"/>
        <v>0.16846774193548389</v>
      </c>
    </row>
    <row r="169" spans="3:4" x14ac:dyDescent="0.25">
      <c r="C169" s="172">
        <v>44627</v>
      </c>
      <c r="D169" s="173">
        <f t="shared" si="7"/>
        <v>0.16846774193548389</v>
      </c>
    </row>
    <row r="170" spans="3:4" x14ac:dyDescent="0.25">
      <c r="C170" s="172">
        <v>44628</v>
      </c>
      <c r="D170" s="173">
        <f t="shared" si="7"/>
        <v>0.16846774193548389</v>
      </c>
    </row>
    <row r="171" spans="3:4" x14ac:dyDescent="0.25">
      <c r="C171" s="172">
        <v>44629</v>
      </c>
      <c r="D171" s="173">
        <f t="shared" si="7"/>
        <v>0.16846774193548389</v>
      </c>
    </row>
    <row r="172" spans="3:4" x14ac:dyDescent="0.25">
      <c r="C172" s="172">
        <v>44630</v>
      </c>
      <c r="D172" s="173">
        <f t="shared" si="7"/>
        <v>0.16846774193548389</v>
      </c>
    </row>
    <row r="173" spans="3:4" x14ac:dyDescent="0.25">
      <c r="C173" s="172">
        <v>44631</v>
      </c>
      <c r="D173" s="173">
        <f t="shared" si="7"/>
        <v>0.16846774193548389</v>
      </c>
    </row>
    <row r="174" spans="3:4" x14ac:dyDescent="0.25">
      <c r="C174" s="172">
        <v>44632</v>
      </c>
      <c r="D174" s="173">
        <f t="shared" si="7"/>
        <v>0.16846774193548389</v>
      </c>
    </row>
    <row r="175" spans="3:4" x14ac:dyDescent="0.25">
      <c r="C175" s="172">
        <v>44633</v>
      </c>
      <c r="D175" s="173">
        <f t="shared" si="7"/>
        <v>0.16846774193548389</v>
      </c>
    </row>
    <row r="176" spans="3:4" x14ac:dyDescent="0.25">
      <c r="C176" s="172">
        <v>44634</v>
      </c>
      <c r="D176" s="173">
        <f t="shared" si="7"/>
        <v>0.16846774193548389</v>
      </c>
    </row>
    <row r="177" spans="3:4" x14ac:dyDescent="0.25">
      <c r="C177" s="172">
        <v>44635</v>
      </c>
      <c r="D177" s="173">
        <f t="shared" si="7"/>
        <v>0.16846774193548389</v>
      </c>
    </row>
    <row r="178" spans="3:4" x14ac:dyDescent="0.25">
      <c r="C178" s="172">
        <v>44636</v>
      </c>
      <c r="D178" s="173">
        <f t="shared" si="7"/>
        <v>0.16846774193548389</v>
      </c>
    </row>
    <row r="179" spans="3:4" x14ac:dyDescent="0.25">
      <c r="C179" s="172">
        <v>44637</v>
      </c>
      <c r="D179" s="173">
        <f t="shared" si="7"/>
        <v>0.16846774193548389</v>
      </c>
    </row>
    <row r="180" spans="3:4" x14ac:dyDescent="0.25">
      <c r="C180" s="172">
        <v>44638</v>
      </c>
      <c r="D180" s="173">
        <f t="shared" si="7"/>
        <v>0.16846774193548389</v>
      </c>
    </row>
    <row r="181" spans="3:4" x14ac:dyDescent="0.25">
      <c r="C181" s="172">
        <v>44639</v>
      </c>
      <c r="D181" s="173">
        <f t="shared" si="7"/>
        <v>0.16846774193548389</v>
      </c>
    </row>
    <row r="182" spans="3:4" x14ac:dyDescent="0.25">
      <c r="C182" s="172">
        <v>44640</v>
      </c>
      <c r="D182" s="173">
        <f t="shared" si="7"/>
        <v>0.16846774193548389</v>
      </c>
    </row>
    <row r="183" spans="3:4" x14ac:dyDescent="0.25">
      <c r="C183" s="172">
        <v>44641</v>
      </c>
      <c r="D183" s="173">
        <f t="shared" si="7"/>
        <v>0.16846774193548389</v>
      </c>
    </row>
    <row r="184" spans="3:4" x14ac:dyDescent="0.25">
      <c r="C184" s="172">
        <v>44642</v>
      </c>
      <c r="D184" s="173">
        <f t="shared" si="7"/>
        <v>0.16846774193548389</v>
      </c>
    </row>
    <row r="185" spans="3:4" x14ac:dyDescent="0.25">
      <c r="C185" s="172">
        <v>44643</v>
      </c>
      <c r="D185" s="173">
        <f t="shared" si="7"/>
        <v>0.16846774193548389</v>
      </c>
    </row>
    <row r="186" spans="3:4" x14ac:dyDescent="0.25">
      <c r="C186" s="172">
        <v>44644</v>
      </c>
      <c r="D186" s="173">
        <f t="shared" si="7"/>
        <v>0.16846774193548389</v>
      </c>
    </row>
    <row r="187" spans="3:4" x14ac:dyDescent="0.25">
      <c r="C187" s="172">
        <v>44645</v>
      </c>
      <c r="D187" s="173">
        <f t="shared" si="7"/>
        <v>0.16846774193548389</v>
      </c>
    </row>
    <row r="188" spans="3:4" x14ac:dyDescent="0.25">
      <c r="C188" s="172">
        <v>44646</v>
      </c>
      <c r="D188" s="173">
        <f t="shared" si="7"/>
        <v>0.16846774193548389</v>
      </c>
    </row>
    <row r="189" spans="3:4" x14ac:dyDescent="0.25">
      <c r="C189" s="172">
        <v>44647</v>
      </c>
      <c r="D189" s="173">
        <f t="shared" si="7"/>
        <v>0.16846774193548389</v>
      </c>
    </row>
    <row r="190" spans="3:4" x14ac:dyDescent="0.25">
      <c r="C190" s="172">
        <v>44648</v>
      </c>
      <c r="D190" s="173">
        <f t="shared" si="7"/>
        <v>0.16846774193548389</v>
      </c>
    </row>
    <row r="191" spans="3:4" x14ac:dyDescent="0.25">
      <c r="C191" s="172">
        <v>44649</v>
      </c>
      <c r="D191" s="173">
        <f t="shared" si="7"/>
        <v>0.16846774193548389</v>
      </c>
    </row>
    <row r="192" spans="3:4" x14ac:dyDescent="0.25">
      <c r="C192" s="172">
        <v>44650</v>
      </c>
      <c r="D192" s="173">
        <f t="shared" si="7"/>
        <v>0.16846774193548389</v>
      </c>
    </row>
    <row r="193" spans="3:4" x14ac:dyDescent="0.25">
      <c r="C193" s="172">
        <v>44651</v>
      </c>
      <c r="D193" s="173">
        <f t="shared" si="7"/>
        <v>0.16846774193548389</v>
      </c>
    </row>
    <row r="194" spans="3:4" x14ac:dyDescent="0.25">
      <c r="C194" s="172">
        <v>44652</v>
      </c>
      <c r="D194" s="173">
        <f t="shared" ref="D194:D223" si="8">$G$20</f>
        <v>1.7408333333333335E-2</v>
      </c>
    </row>
    <row r="195" spans="3:4" x14ac:dyDescent="0.25">
      <c r="C195" s="172">
        <v>44653</v>
      </c>
      <c r="D195" s="173">
        <f t="shared" si="8"/>
        <v>1.7408333333333335E-2</v>
      </c>
    </row>
    <row r="196" spans="3:4" x14ac:dyDescent="0.25">
      <c r="C196" s="172">
        <v>44654</v>
      </c>
      <c r="D196" s="173">
        <f t="shared" si="8"/>
        <v>1.7408333333333335E-2</v>
      </c>
    </row>
    <row r="197" spans="3:4" x14ac:dyDescent="0.25">
      <c r="C197" s="172">
        <v>44655</v>
      </c>
      <c r="D197" s="173">
        <f t="shared" si="8"/>
        <v>1.7408333333333335E-2</v>
      </c>
    </row>
    <row r="198" spans="3:4" x14ac:dyDescent="0.25">
      <c r="C198" s="172">
        <v>44656</v>
      </c>
      <c r="D198" s="173">
        <f t="shared" si="8"/>
        <v>1.7408333333333335E-2</v>
      </c>
    </row>
    <row r="199" spans="3:4" x14ac:dyDescent="0.25">
      <c r="C199" s="172">
        <v>44657</v>
      </c>
      <c r="D199" s="173">
        <f t="shared" si="8"/>
        <v>1.7408333333333335E-2</v>
      </c>
    </row>
    <row r="200" spans="3:4" x14ac:dyDescent="0.25">
      <c r="C200" s="172">
        <v>44658</v>
      </c>
      <c r="D200" s="173">
        <f t="shared" si="8"/>
        <v>1.7408333333333335E-2</v>
      </c>
    </row>
    <row r="201" spans="3:4" x14ac:dyDescent="0.25">
      <c r="C201" s="172">
        <v>44659</v>
      </c>
      <c r="D201" s="173">
        <f t="shared" si="8"/>
        <v>1.7408333333333335E-2</v>
      </c>
    </row>
    <row r="202" spans="3:4" x14ac:dyDescent="0.25">
      <c r="C202" s="172">
        <v>44660</v>
      </c>
      <c r="D202" s="173">
        <f t="shared" si="8"/>
        <v>1.7408333333333335E-2</v>
      </c>
    </row>
    <row r="203" spans="3:4" x14ac:dyDescent="0.25">
      <c r="C203" s="172">
        <v>44661</v>
      </c>
      <c r="D203" s="173">
        <f t="shared" si="8"/>
        <v>1.7408333333333335E-2</v>
      </c>
    </row>
    <row r="204" spans="3:4" x14ac:dyDescent="0.25">
      <c r="C204" s="172">
        <v>44662</v>
      </c>
      <c r="D204" s="173">
        <f t="shared" si="8"/>
        <v>1.7408333333333335E-2</v>
      </c>
    </row>
    <row r="205" spans="3:4" x14ac:dyDescent="0.25">
      <c r="C205" s="172">
        <v>44663</v>
      </c>
      <c r="D205" s="173">
        <f t="shared" si="8"/>
        <v>1.7408333333333335E-2</v>
      </c>
    </row>
    <row r="206" spans="3:4" x14ac:dyDescent="0.25">
      <c r="C206" s="172">
        <v>44664</v>
      </c>
      <c r="D206" s="173">
        <f t="shared" si="8"/>
        <v>1.7408333333333335E-2</v>
      </c>
    </row>
    <row r="207" spans="3:4" x14ac:dyDescent="0.25">
      <c r="C207" s="172">
        <v>44665</v>
      </c>
      <c r="D207" s="173">
        <f t="shared" si="8"/>
        <v>1.7408333333333335E-2</v>
      </c>
    </row>
    <row r="208" spans="3:4" x14ac:dyDescent="0.25">
      <c r="C208" s="172">
        <v>44666</v>
      </c>
      <c r="D208" s="173">
        <f t="shared" si="8"/>
        <v>1.7408333333333335E-2</v>
      </c>
    </row>
    <row r="209" spans="3:4" x14ac:dyDescent="0.25">
      <c r="C209" s="172">
        <v>44667</v>
      </c>
      <c r="D209" s="173">
        <f t="shared" si="8"/>
        <v>1.7408333333333335E-2</v>
      </c>
    </row>
    <row r="210" spans="3:4" x14ac:dyDescent="0.25">
      <c r="C210" s="172">
        <v>44668</v>
      </c>
      <c r="D210" s="173">
        <f t="shared" si="8"/>
        <v>1.7408333333333335E-2</v>
      </c>
    </row>
    <row r="211" spans="3:4" x14ac:dyDescent="0.25">
      <c r="C211" s="172">
        <v>44669</v>
      </c>
      <c r="D211" s="173">
        <f t="shared" si="8"/>
        <v>1.7408333333333335E-2</v>
      </c>
    </row>
    <row r="212" spans="3:4" x14ac:dyDescent="0.25">
      <c r="C212" s="172">
        <v>44670</v>
      </c>
      <c r="D212" s="173">
        <f t="shared" si="8"/>
        <v>1.7408333333333335E-2</v>
      </c>
    </row>
    <row r="213" spans="3:4" x14ac:dyDescent="0.25">
      <c r="C213" s="172">
        <v>44671</v>
      </c>
      <c r="D213" s="173">
        <f t="shared" si="8"/>
        <v>1.7408333333333335E-2</v>
      </c>
    </row>
    <row r="214" spans="3:4" x14ac:dyDescent="0.25">
      <c r="C214" s="172">
        <v>44672</v>
      </c>
      <c r="D214" s="173">
        <f t="shared" si="8"/>
        <v>1.7408333333333335E-2</v>
      </c>
    </row>
    <row r="215" spans="3:4" x14ac:dyDescent="0.25">
      <c r="C215" s="172">
        <v>44673</v>
      </c>
      <c r="D215" s="173">
        <f t="shared" si="8"/>
        <v>1.7408333333333335E-2</v>
      </c>
    </row>
    <row r="216" spans="3:4" x14ac:dyDescent="0.25">
      <c r="C216" s="172">
        <v>44674</v>
      </c>
      <c r="D216" s="173">
        <f t="shared" si="8"/>
        <v>1.7408333333333335E-2</v>
      </c>
    </row>
    <row r="217" spans="3:4" x14ac:dyDescent="0.25">
      <c r="C217" s="172">
        <v>44675</v>
      </c>
      <c r="D217" s="173">
        <f t="shared" si="8"/>
        <v>1.7408333333333335E-2</v>
      </c>
    </row>
    <row r="218" spans="3:4" x14ac:dyDescent="0.25">
      <c r="C218" s="172">
        <v>44676</v>
      </c>
      <c r="D218" s="173">
        <f t="shared" si="8"/>
        <v>1.7408333333333335E-2</v>
      </c>
    </row>
    <row r="219" spans="3:4" x14ac:dyDescent="0.25">
      <c r="C219" s="172">
        <v>44677</v>
      </c>
      <c r="D219" s="173">
        <f t="shared" si="8"/>
        <v>1.7408333333333335E-2</v>
      </c>
    </row>
    <row r="220" spans="3:4" x14ac:dyDescent="0.25">
      <c r="C220" s="172">
        <v>44678</v>
      </c>
      <c r="D220" s="173">
        <f t="shared" si="8"/>
        <v>1.7408333333333335E-2</v>
      </c>
    </row>
    <row r="221" spans="3:4" x14ac:dyDescent="0.25">
      <c r="C221" s="172">
        <v>44679</v>
      </c>
      <c r="D221" s="173">
        <f t="shared" si="8"/>
        <v>1.7408333333333335E-2</v>
      </c>
    </row>
    <row r="222" spans="3:4" x14ac:dyDescent="0.25">
      <c r="C222" s="172">
        <v>44680</v>
      </c>
      <c r="D222" s="173">
        <f t="shared" si="8"/>
        <v>1.7408333333333335E-2</v>
      </c>
    </row>
    <row r="223" spans="3:4" x14ac:dyDescent="0.25">
      <c r="C223" s="172">
        <v>44681</v>
      </c>
      <c r="D223" s="173">
        <f t="shared" si="8"/>
        <v>1.7408333333333335E-2</v>
      </c>
    </row>
    <row r="224" spans="3:4" x14ac:dyDescent="0.25">
      <c r="C224" s="172">
        <v>44682</v>
      </c>
      <c r="D224" s="173">
        <f t="shared" ref="D224:D254" si="9">$G$21</f>
        <v>1.7969892473118278E-2</v>
      </c>
    </row>
    <row r="225" spans="3:4" x14ac:dyDescent="0.25">
      <c r="C225" s="172">
        <v>44683</v>
      </c>
      <c r="D225" s="173">
        <f t="shared" si="9"/>
        <v>1.7969892473118278E-2</v>
      </c>
    </row>
    <row r="226" spans="3:4" x14ac:dyDescent="0.25">
      <c r="C226" s="172">
        <v>44684</v>
      </c>
      <c r="D226" s="173">
        <f t="shared" si="9"/>
        <v>1.7969892473118278E-2</v>
      </c>
    </row>
    <row r="227" spans="3:4" x14ac:dyDescent="0.25">
      <c r="C227" s="172">
        <v>44685</v>
      </c>
      <c r="D227" s="173">
        <f t="shared" si="9"/>
        <v>1.7969892473118278E-2</v>
      </c>
    </row>
    <row r="228" spans="3:4" x14ac:dyDescent="0.25">
      <c r="C228" s="172">
        <v>44686</v>
      </c>
      <c r="D228" s="173">
        <f t="shared" si="9"/>
        <v>1.7969892473118278E-2</v>
      </c>
    </row>
    <row r="229" spans="3:4" x14ac:dyDescent="0.25">
      <c r="C229" s="172">
        <v>44687</v>
      </c>
      <c r="D229" s="173">
        <f t="shared" si="9"/>
        <v>1.7969892473118278E-2</v>
      </c>
    </row>
    <row r="230" spans="3:4" x14ac:dyDescent="0.25">
      <c r="C230" s="172">
        <v>44688</v>
      </c>
      <c r="D230" s="173">
        <f t="shared" si="9"/>
        <v>1.7969892473118278E-2</v>
      </c>
    </row>
    <row r="231" spans="3:4" x14ac:dyDescent="0.25">
      <c r="C231" s="172">
        <v>44689</v>
      </c>
      <c r="D231" s="173">
        <f t="shared" si="9"/>
        <v>1.7969892473118278E-2</v>
      </c>
    </row>
    <row r="232" spans="3:4" x14ac:dyDescent="0.25">
      <c r="C232" s="172">
        <v>44690</v>
      </c>
      <c r="D232" s="173">
        <f t="shared" si="9"/>
        <v>1.7969892473118278E-2</v>
      </c>
    </row>
    <row r="233" spans="3:4" x14ac:dyDescent="0.25">
      <c r="C233" s="172">
        <v>44691</v>
      </c>
      <c r="D233" s="173">
        <f t="shared" si="9"/>
        <v>1.7969892473118278E-2</v>
      </c>
    </row>
    <row r="234" spans="3:4" x14ac:dyDescent="0.25">
      <c r="C234" s="172">
        <v>44692</v>
      </c>
      <c r="D234" s="173">
        <f t="shared" si="9"/>
        <v>1.7969892473118278E-2</v>
      </c>
    </row>
    <row r="235" spans="3:4" x14ac:dyDescent="0.25">
      <c r="C235" s="172">
        <v>44693</v>
      </c>
      <c r="D235" s="173">
        <f t="shared" si="9"/>
        <v>1.7969892473118278E-2</v>
      </c>
    </row>
    <row r="236" spans="3:4" x14ac:dyDescent="0.25">
      <c r="C236" s="172">
        <v>44694</v>
      </c>
      <c r="D236" s="173">
        <f t="shared" si="9"/>
        <v>1.7969892473118278E-2</v>
      </c>
    </row>
    <row r="237" spans="3:4" x14ac:dyDescent="0.25">
      <c r="C237" s="172">
        <v>44695</v>
      </c>
      <c r="D237" s="173">
        <f t="shared" si="9"/>
        <v>1.7969892473118278E-2</v>
      </c>
    </row>
    <row r="238" spans="3:4" x14ac:dyDescent="0.25">
      <c r="C238" s="172">
        <v>44696</v>
      </c>
      <c r="D238" s="173">
        <f t="shared" si="9"/>
        <v>1.7969892473118278E-2</v>
      </c>
    </row>
    <row r="239" spans="3:4" x14ac:dyDescent="0.25">
      <c r="C239" s="172">
        <v>44697</v>
      </c>
      <c r="D239" s="173">
        <f t="shared" si="9"/>
        <v>1.7969892473118278E-2</v>
      </c>
    </row>
    <row r="240" spans="3:4" x14ac:dyDescent="0.25">
      <c r="C240" s="172">
        <v>44698</v>
      </c>
      <c r="D240" s="173">
        <f t="shared" si="9"/>
        <v>1.7969892473118278E-2</v>
      </c>
    </row>
    <row r="241" spans="3:4" x14ac:dyDescent="0.25">
      <c r="C241" s="172">
        <v>44699</v>
      </c>
      <c r="D241" s="173">
        <f t="shared" si="9"/>
        <v>1.7969892473118278E-2</v>
      </c>
    </row>
    <row r="242" spans="3:4" x14ac:dyDescent="0.25">
      <c r="C242" s="172">
        <v>44700</v>
      </c>
      <c r="D242" s="173">
        <f t="shared" si="9"/>
        <v>1.7969892473118278E-2</v>
      </c>
    </row>
    <row r="243" spans="3:4" x14ac:dyDescent="0.25">
      <c r="C243" s="172">
        <v>44701</v>
      </c>
      <c r="D243" s="173">
        <f t="shared" si="9"/>
        <v>1.7969892473118278E-2</v>
      </c>
    </row>
    <row r="244" spans="3:4" x14ac:dyDescent="0.25">
      <c r="C244" s="172">
        <v>44702</v>
      </c>
      <c r="D244" s="173">
        <f t="shared" si="9"/>
        <v>1.7969892473118278E-2</v>
      </c>
    </row>
    <row r="245" spans="3:4" x14ac:dyDescent="0.25">
      <c r="C245" s="172">
        <v>44703</v>
      </c>
      <c r="D245" s="173">
        <f t="shared" si="9"/>
        <v>1.7969892473118278E-2</v>
      </c>
    </row>
    <row r="246" spans="3:4" x14ac:dyDescent="0.25">
      <c r="C246" s="172">
        <v>44704</v>
      </c>
      <c r="D246" s="173">
        <f t="shared" si="9"/>
        <v>1.7969892473118278E-2</v>
      </c>
    </row>
    <row r="247" spans="3:4" x14ac:dyDescent="0.25">
      <c r="C247" s="172">
        <v>44705</v>
      </c>
      <c r="D247" s="173">
        <f t="shared" si="9"/>
        <v>1.7969892473118278E-2</v>
      </c>
    </row>
    <row r="248" spans="3:4" x14ac:dyDescent="0.25">
      <c r="C248" s="172">
        <v>44706</v>
      </c>
      <c r="D248" s="173">
        <f t="shared" si="9"/>
        <v>1.7969892473118278E-2</v>
      </c>
    </row>
    <row r="249" spans="3:4" x14ac:dyDescent="0.25">
      <c r="C249" s="172">
        <v>44707</v>
      </c>
      <c r="D249" s="173">
        <f t="shared" si="9"/>
        <v>1.7969892473118278E-2</v>
      </c>
    </row>
    <row r="250" spans="3:4" x14ac:dyDescent="0.25">
      <c r="C250" s="172">
        <v>44708</v>
      </c>
      <c r="D250" s="173">
        <f t="shared" si="9"/>
        <v>1.7969892473118278E-2</v>
      </c>
    </row>
    <row r="251" spans="3:4" x14ac:dyDescent="0.25">
      <c r="C251" s="172">
        <v>44709</v>
      </c>
      <c r="D251" s="173">
        <f t="shared" si="9"/>
        <v>1.7969892473118278E-2</v>
      </c>
    </row>
    <row r="252" spans="3:4" x14ac:dyDescent="0.25">
      <c r="C252" s="172">
        <v>44710</v>
      </c>
      <c r="D252" s="173">
        <f t="shared" si="9"/>
        <v>1.7969892473118278E-2</v>
      </c>
    </row>
    <row r="253" spans="3:4" x14ac:dyDescent="0.25">
      <c r="C253" s="172">
        <v>44711</v>
      </c>
      <c r="D253" s="173">
        <f t="shared" si="9"/>
        <v>1.7969892473118278E-2</v>
      </c>
    </row>
    <row r="254" spans="3:4" x14ac:dyDescent="0.25">
      <c r="C254" s="172">
        <v>44712</v>
      </c>
      <c r="D254" s="173">
        <f t="shared" si="9"/>
        <v>1.7969892473118278E-2</v>
      </c>
    </row>
    <row r="255" spans="3:4" x14ac:dyDescent="0.25">
      <c r="C255" s="172">
        <v>44713</v>
      </c>
      <c r="D255" s="173">
        <f t="shared" ref="D255:D284" si="10">$G$22</f>
        <v>2.7853333333333334E-2</v>
      </c>
    </row>
    <row r="256" spans="3:4" x14ac:dyDescent="0.25">
      <c r="C256" s="172">
        <v>44714</v>
      </c>
      <c r="D256" s="173">
        <f t="shared" si="10"/>
        <v>2.7853333333333334E-2</v>
      </c>
    </row>
    <row r="257" spans="3:4" x14ac:dyDescent="0.25">
      <c r="C257" s="172">
        <v>44715</v>
      </c>
      <c r="D257" s="173">
        <f t="shared" si="10"/>
        <v>2.7853333333333334E-2</v>
      </c>
    </row>
    <row r="258" spans="3:4" x14ac:dyDescent="0.25">
      <c r="C258" s="172">
        <v>44716</v>
      </c>
      <c r="D258" s="173">
        <f t="shared" si="10"/>
        <v>2.7853333333333334E-2</v>
      </c>
    </row>
    <row r="259" spans="3:4" x14ac:dyDescent="0.25">
      <c r="C259" s="172">
        <v>44717</v>
      </c>
      <c r="D259" s="173">
        <f t="shared" si="10"/>
        <v>2.7853333333333334E-2</v>
      </c>
    </row>
    <row r="260" spans="3:4" x14ac:dyDescent="0.25">
      <c r="C260" s="172">
        <v>44718</v>
      </c>
      <c r="D260" s="173">
        <f t="shared" si="10"/>
        <v>2.7853333333333334E-2</v>
      </c>
    </row>
    <row r="261" spans="3:4" x14ac:dyDescent="0.25">
      <c r="C261" s="172">
        <v>44719</v>
      </c>
      <c r="D261" s="173">
        <f t="shared" si="10"/>
        <v>2.7853333333333334E-2</v>
      </c>
    </row>
    <row r="262" spans="3:4" x14ac:dyDescent="0.25">
      <c r="C262" s="172">
        <v>44720</v>
      </c>
      <c r="D262" s="173">
        <f t="shared" si="10"/>
        <v>2.7853333333333334E-2</v>
      </c>
    </row>
    <row r="263" spans="3:4" x14ac:dyDescent="0.25">
      <c r="C263" s="172">
        <v>44721</v>
      </c>
      <c r="D263" s="173">
        <f t="shared" si="10"/>
        <v>2.7853333333333334E-2</v>
      </c>
    </row>
    <row r="264" spans="3:4" x14ac:dyDescent="0.25">
      <c r="C264" s="172">
        <v>44722</v>
      </c>
      <c r="D264" s="173">
        <f t="shared" si="10"/>
        <v>2.7853333333333334E-2</v>
      </c>
    </row>
    <row r="265" spans="3:4" x14ac:dyDescent="0.25">
      <c r="C265" s="172">
        <v>44723</v>
      </c>
      <c r="D265" s="173">
        <f t="shared" si="10"/>
        <v>2.7853333333333334E-2</v>
      </c>
    </row>
    <row r="266" spans="3:4" x14ac:dyDescent="0.25">
      <c r="C266" s="172">
        <v>44724</v>
      </c>
      <c r="D266" s="173">
        <f t="shared" si="10"/>
        <v>2.7853333333333334E-2</v>
      </c>
    </row>
    <row r="267" spans="3:4" x14ac:dyDescent="0.25">
      <c r="C267" s="172">
        <v>44725</v>
      </c>
      <c r="D267" s="173">
        <f t="shared" si="10"/>
        <v>2.7853333333333334E-2</v>
      </c>
    </row>
    <row r="268" spans="3:4" x14ac:dyDescent="0.25">
      <c r="C268" s="172">
        <v>44726</v>
      </c>
      <c r="D268" s="173">
        <f t="shared" si="10"/>
        <v>2.7853333333333334E-2</v>
      </c>
    </row>
    <row r="269" spans="3:4" x14ac:dyDescent="0.25">
      <c r="C269" s="172">
        <v>44727</v>
      </c>
      <c r="D269" s="173">
        <f t="shared" si="10"/>
        <v>2.7853333333333334E-2</v>
      </c>
    </row>
    <row r="270" spans="3:4" x14ac:dyDescent="0.25">
      <c r="C270" s="172">
        <v>44728</v>
      </c>
      <c r="D270" s="173">
        <f t="shared" si="10"/>
        <v>2.7853333333333334E-2</v>
      </c>
    </row>
    <row r="271" spans="3:4" x14ac:dyDescent="0.25">
      <c r="C271" s="172">
        <v>44729</v>
      </c>
      <c r="D271" s="173">
        <f t="shared" si="10"/>
        <v>2.7853333333333334E-2</v>
      </c>
    </row>
    <row r="272" spans="3:4" x14ac:dyDescent="0.25">
      <c r="C272" s="172">
        <v>44730</v>
      </c>
      <c r="D272" s="173">
        <f t="shared" si="10"/>
        <v>2.7853333333333334E-2</v>
      </c>
    </row>
    <row r="273" spans="3:4" x14ac:dyDescent="0.25">
      <c r="C273" s="172">
        <v>44731</v>
      </c>
      <c r="D273" s="173">
        <f t="shared" si="10"/>
        <v>2.7853333333333334E-2</v>
      </c>
    </row>
    <row r="274" spans="3:4" x14ac:dyDescent="0.25">
      <c r="C274" s="172">
        <v>44732</v>
      </c>
      <c r="D274" s="173">
        <f t="shared" si="10"/>
        <v>2.7853333333333334E-2</v>
      </c>
    </row>
    <row r="275" spans="3:4" x14ac:dyDescent="0.25">
      <c r="C275" s="172">
        <v>44733</v>
      </c>
      <c r="D275" s="173">
        <f t="shared" si="10"/>
        <v>2.7853333333333334E-2</v>
      </c>
    </row>
    <row r="276" spans="3:4" x14ac:dyDescent="0.25">
      <c r="C276" s="172">
        <v>44734</v>
      </c>
      <c r="D276" s="173">
        <f t="shared" si="10"/>
        <v>2.7853333333333334E-2</v>
      </c>
    </row>
    <row r="277" spans="3:4" x14ac:dyDescent="0.25">
      <c r="C277" s="172">
        <v>44735</v>
      </c>
      <c r="D277" s="173">
        <f t="shared" si="10"/>
        <v>2.7853333333333334E-2</v>
      </c>
    </row>
    <row r="278" spans="3:4" x14ac:dyDescent="0.25">
      <c r="C278" s="172">
        <v>44736</v>
      </c>
      <c r="D278" s="173">
        <f t="shared" si="10"/>
        <v>2.7853333333333334E-2</v>
      </c>
    </row>
    <row r="279" spans="3:4" x14ac:dyDescent="0.25">
      <c r="C279" s="172">
        <v>44737</v>
      </c>
      <c r="D279" s="173">
        <f t="shared" si="10"/>
        <v>2.7853333333333334E-2</v>
      </c>
    </row>
    <row r="280" spans="3:4" x14ac:dyDescent="0.25">
      <c r="C280" s="172">
        <v>44738</v>
      </c>
      <c r="D280" s="173">
        <f t="shared" si="10"/>
        <v>2.7853333333333334E-2</v>
      </c>
    </row>
    <row r="281" spans="3:4" x14ac:dyDescent="0.25">
      <c r="C281" s="172">
        <v>44739</v>
      </c>
      <c r="D281" s="173">
        <f t="shared" si="10"/>
        <v>2.7853333333333334E-2</v>
      </c>
    </row>
    <row r="282" spans="3:4" x14ac:dyDescent="0.25">
      <c r="C282" s="172">
        <v>44740</v>
      </c>
      <c r="D282" s="173">
        <f t="shared" si="10"/>
        <v>2.7853333333333334E-2</v>
      </c>
    </row>
    <row r="283" spans="3:4" x14ac:dyDescent="0.25">
      <c r="C283" s="172">
        <v>44741</v>
      </c>
      <c r="D283" s="173">
        <f t="shared" si="10"/>
        <v>2.7853333333333334E-2</v>
      </c>
    </row>
    <row r="284" spans="3:4" x14ac:dyDescent="0.25">
      <c r="C284" s="172">
        <v>44742</v>
      </c>
      <c r="D284" s="173">
        <f t="shared" si="10"/>
        <v>2.7853333333333334E-2</v>
      </c>
    </row>
    <row r="285" spans="3:4" x14ac:dyDescent="0.25">
      <c r="C285" s="172">
        <v>44743</v>
      </c>
      <c r="D285" s="173">
        <f t="shared" ref="D285:D315" si="11">$G$23</f>
        <v>3.3693548387096775E-2</v>
      </c>
    </row>
    <row r="286" spans="3:4" x14ac:dyDescent="0.25">
      <c r="C286" s="172">
        <v>44744</v>
      </c>
      <c r="D286" s="173">
        <f t="shared" si="11"/>
        <v>3.3693548387096775E-2</v>
      </c>
    </row>
    <row r="287" spans="3:4" x14ac:dyDescent="0.25">
      <c r="C287" s="172">
        <v>44745</v>
      </c>
      <c r="D287" s="173">
        <f t="shared" si="11"/>
        <v>3.3693548387096775E-2</v>
      </c>
    </row>
    <row r="288" spans="3:4" x14ac:dyDescent="0.25">
      <c r="C288" s="172">
        <v>44746</v>
      </c>
      <c r="D288" s="173">
        <f t="shared" si="11"/>
        <v>3.3693548387096775E-2</v>
      </c>
    </row>
    <row r="289" spans="3:4" x14ac:dyDescent="0.25">
      <c r="C289" s="172">
        <v>44747</v>
      </c>
      <c r="D289" s="173">
        <f t="shared" si="11"/>
        <v>3.3693548387096775E-2</v>
      </c>
    </row>
    <row r="290" spans="3:4" x14ac:dyDescent="0.25">
      <c r="C290" s="172">
        <v>44748</v>
      </c>
      <c r="D290" s="173">
        <f t="shared" si="11"/>
        <v>3.3693548387096775E-2</v>
      </c>
    </row>
    <row r="291" spans="3:4" x14ac:dyDescent="0.25">
      <c r="C291" s="172">
        <v>44749</v>
      </c>
      <c r="D291" s="173">
        <f t="shared" si="11"/>
        <v>3.3693548387096775E-2</v>
      </c>
    </row>
    <row r="292" spans="3:4" x14ac:dyDescent="0.25">
      <c r="C292" s="172">
        <v>44750</v>
      </c>
      <c r="D292" s="173">
        <f t="shared" si="11"/>
        <v>3.3693548387096775E-2</v>
      </c>
    </row>
    <row r="293" spans="3:4" x14ac:dyDescent="0.25">
      <c r="C293" s="172">
        <v>44751</v>
      </c>
      <c r="D293" s="173">
        <f t="shared" si="11"/>
        <v>3.3693548387096775E-2</v>
      </c>
    </row>
    <row r="294" spans="3:4" x14ac:dyDescent="0.25">
      <c r="C294" s="172">
        <v>44752</v>
      </c>
      <c r="D294" s="173">
        <f t="shared" si="11"/>
        <v>3.3693548387096775E-2</v>
      </c>
    </row>
    <row r="295" spans="3:4" x14ac:dyDescent="0.25">
      <c r="C295" s="172">
        <v>44753</v>
      </c>
      <c r="D295" s="173">
        <f t="shared" si="11"/>
        <v>3.3693548387096775E-2</v>
      </c>
    </row>
    <row r="296" spans="3:4" x14ac:dyDescent="0.25">
      <c r="C296" s="172">
        <v>44754</v>
      </c>
      <c r="D296" s="173">
        <f t="shared" si="11"/>
        <v>3.3693548387096775E-2</v>
      </c>
    </row>
    <row r="297" spans="3:4" x14ac:dyDescent="0.25">
      <c r="C297" s="172">
        <v>44755</v>
      </c>
      <c r="D297" s="173">
        <f t="shared" si="11"/>
        <v>3.3693548387096775E-2</v>
      </c>
    </row>
    <row r="298" spans="3:4" x14ac:dyDescent="0.25">
      <c r="C298" s="172">
        <v>44756</v>
      </c>
      <c r="D298" s="173">
        <f t="shared" si="11"/>
        <v>3.3693548387096775E-2</v>
      </c>
    </row>
    <row r="299" spans="3:4" x14ac:dyDescent="0.25">
      <c r="C299" s="172">
        <v>44757</v>
      </c>
      <c r="D299" s="173">
        <f t="shared" si="11"/>
        <v>3.3693548387096775E-2</v>
      </c>
    </row>
    <row r="300" spans="3:4" x14ac:dyDescent="0.25">
      <c r="C300" s="172">
        <v>44758</v>
      </c>
      <c r="D300" s="173">
        <f t="shared" si="11"/>
        <v>3.3693548387096775E-2</v>
      </c>
    </row>
    <row r="301" spans="3:4" x14ac:dyDescent="0.25">
      <c r="C301" s="172">
        <v>44759</v>
      </c>
      <c r="D301" s="173">
        <f t="shared" si="11"/>
        <v>3.3693548387096775E-2</v>
      </c>
    </row>
    <row r="302" spans="3:4" x14ac:dyDescent="0.25">
      <c r="C302" s="172">
        <v>44760</v>
      </c>
      <c r="D302" s="173">
        <f t="shared" si="11"/>
        <v>3.3693548387096775E-2</v>
      </c>
    </row>
    <row r="303" spans="3:4" x14ac:dyDescent="0.25">
      <c r="C303" s="172">
        <v>44761</v>
      </c>
      <c r="D303" s="173">
        <f t="shared" si="11"/>
        <v>3.3693548387096775E-2</v>
      </c>
    </row>
    <row r="304" spans="3:4" x14ac:dyDescent="0.25">
      <c r="C304" s="172">
        <v>44762</v>
      </c>
      <c r="D304" s="173">
        <f t="shared" si="11"/>
        <v>3.3693548387096775E-2</v>
      </c>
    </row>
    <row r="305" spans="3:4" x14ac:dyDescent="0.25">
      <c r="C305" s="172">
        <v>44763</v>
      </c>
      <c r="D305" s="173">
        <f t="shared" si="11"/>
        <v>3.3693548387096775E-2</v>
      </c>
    </row>
    <row r="306" spans="3:4" x14ac:dyDescent="0.25">
      <c r="C306" s="172">
        <v>44764</v>
      </c>
      <c r="D306" s="173">
        <f t="shared" si="11"/>
        <v>3.3693548387096775E-2</v>
      </c>
    </row>
    <row r="307" spans="3:4" x14ac:dyDescent="0.25">
      <c r="C307" s="172">
        <v>44765</v>
      </c>
      <c r="D307" s="173">
        <f t="shared" si="11"/>
        <v>3.3693548387096775E-2</v>
      </c>
    </row>
    <row r="308" spans="3:4" x14ac:dyDescent="0.25">
      <c r="C308" s="172">
        <v>44766</v>
      </c>
      <c r="D308" s="173">
        <f t="shared" si="11"/>
        <v>3.3693548387096775E-2</v>
      </c>
    </row>
    <row r="309" spans="3:4" x14ac:dyDescent="0.25">
      <c r="C309" s="172">
        <v>44767</v>
      </c>
      <c r="D309" s="173">
        <f t="shared" si="11"/>
        <v>3.3693548387096775E-2</v>
      </c>
    </row>
    <row r="310" spans="3:4" x14ac:dyDescent="0.25">
      <c r="C310" s="172">
        <v>44768</v>
      </c>
      <c r="D310" s="173">
        <f t="shared" si="11"/>
        <v>3.3693548387096775E-2</v>
      </c>
    </row>
    <row r="311" spans="3:4" x14ac:dyDescent="0.25">
      <c r="C311" s="172">
        <v>44769</v>
      </c>
      <c r="D311" s="173">
        <f t="shared" si="11"/>
        <v>3.3693548387096775E-2</v>
      </c>
    </row>
    <row r="312" spans="3:4" x14ac:dyDescent="0.25">
      <c r="C312" s="172">
        <v>44770</v>
      </c>
      <c r="D312" s="173">
        <f t="shared" si="11"/>
        <v>3.3693548387096775E-2</v>
      </c>
    </row>
    <row r="313" spans="3:4" x14ac:dyDescent="0.25">
      <c r="C313" s="172">
        <v>44771</v>
      </c>
      <c r="D313" s="173">
        <f t="shared" si="11"/>
        <v>3.3693548387096775E-2</v>
      </c>
    </row>
    <row r="314" spans="3:4" x14ac:dyDescent="0.25">
      <c r="C314" s="172">
        <v>44772</v>
      </c>
      <c r="D314" s="173">
        <f t="shared" si="11"/>
        <v>3.3693548387096775E-2</v>
      </c>
    </row>
    <row r="315" spans="3:4" x14ac:dyDescent="0.25">
      <c r="C315" s="172">
        <v>44773</v>
      </c>
      <c r="D315" s="173">
        <f t="shared" si="11"/>
        <v>3.3693548387096775E-2</v>
      </c>
    </row>
    <row r="316" spans="3:4" x14ac:dyDescent="0.25">
      <c r="C316" s="172">
        <v>44774</v>
      </c>
      <c r="D316" s="173">
        <f t="shared" ref="D316:D346" si="12">$G$24</f>
        <v>0</v>
      </c>
    </row>
    <row r="317" spans="3:4" x14ac:dyDescent="0.25">
      <c r="C317" s="172">
        <v>44775</v>
      </c>
      <c r="D317" s="173">
        <f t="shared" si="12"/>
        <v>0</v>
      </c>
    </row>
    <row r="318" spans="3:4" x14ac:dyDescent="0.25">
      <c r="C318" s="172">
        <v>44776</v>
      </c>
      <c r="D318" s="173">
        <f t="shared" si="12"/>
        <v>0</v>
      </c>
    </row>
    <row r="319" spans="3:4" x14ac:dyDescent="0.25">
      <c r="C319" s="172">
        <v>44777</v>
      </c>
      <c r="D319" s="173">
        <f t="shared" si="12"/>
        <v>0</v>
      </c>
    </row>
    <row r="320" spans="3:4" x14ac:dyDescent="0.25">
      <c r="C320" s="172">
        <v>44778</v>
      </c>
      <c r="D320" s="173">
        <f t="shared" si="12"/>
        <v>0</v>
      </c>
    </row>
    <row r="321" spans="3:4" x14ac:dyDescent="0.25">
      <c r="C321" s="172">
        <v>44779</v>
      </c>
      <c r="D321" s="173">
        <f t="shared" si="12"/>
        <v>0</v>
      </c>
    </row>
    <row r="322" spans="3:4" x14ac:dyDescent="0.25">
      <c r="C322" s="172">
        <v>44780</v>
      </c>
      <c r="D322" s="173">
        <f t="shared" si="12"/>
        <v>0</v>
      </c>
    </row>
    <row r="323" spans="3:4" x14ac:dyDescent="0.25">
      <c r="C323" s="172">
        <v>44781</v>
      </c>
      <c r="D323" s="173">
        <f t="shared" si="12"/>
        <v>0</v>
      </c>
    </row>
    <row r="324" spans="3:4" x14ac:dyDescent="0.25">
      <c r="C324" s="172">
        <v>44782</v>
      </c>
      <c r="D324" s="173">
        <f t="shared" si="12"/>
        <v>0</v>
      </c>
    </row>
    <row r="325" spans="3:4" x14ac:dyDescent="0.25">
      <c r="C325" s="172">
        <v>44783</v>
      </c>
      <c r="D325" s="173">
        <f t="shared" si="12"/>
        <v>0</v>
      </c>
    </row>
    <row r="326" spans="3:4" x14ac:dyDescent="0.25">
      <c r="C326" s="172">
        <v>44784</v>
      </c>
      <c r="D326" s="173">
        <f t="shared" si="12"/>
        <v>0</v>
      </c>
    </row>
    <row r="327" spans="3:4" x14ac:dyDescent="0.25">
      <c r="C327" s="172">
        <v>44785</v>
      </c>
      <c r="D327" s="173">
        <f t="shared" si="12"/>
        <v>0</v>
      </c>
    </row>
    <row r="328" spans="3:4" x14ac:dyDescent="0.25">
      <c r="C328" s="172">
        <v>44786</v>
      </c>
      <c r="D328" s="173">
        <f t="shared" si="12"/>
        <v>0</v>
      </c>
    </row>
    <row r="329" spans="3:4" x14ac:dyDescent="0.25">
      <c r="C329" s="172">
        <v>44787</v>
      </c>
      <c r="D329" s="173">
        <f t="shared" si="12"/>
        <v>0</v>
      </c>
    </row>
    <row r="330" spans="3:4" x14ac:dyDescent="0.25">
      <c r="C330" s="172">
        <v>44788</v>
      </c>
      <c r="D330" s="173">
        <f t="shared" si="12"/>
        <v>0</v>
      </c>
    </row>
    <row r="331" spans="3:4" x14ac:dyDescent="0.25">
      <c r="C331" s="172">
        <v>44789</v>
      </c>
      <c r="D331" s="173">
        <f t="shared" si="12"/>
        <v>0</v>
      </c>
    </row>
    <row r="332" spans="3:4" x14ac:dyDescent="0.25">
      <c r="C332" s="172">
        <v>44790</v>
      </c>
      <c r="D332" s="173">
        <f t="shared" si="12"/>
        <v>0</v>
      </c>
    </row>
    <row r="333" spans="3:4" x14ac:dyDescent="0.25">
      <c r="C333" s="172">
        <v>44791</v>
      </c>
      <c r="D333" s="173">
        <f t="shared" si="12"/>
        <v>0</v>
      </c>
    </row>
    <row r="334" spans="3:4" x14ac:dyDescent="0.25">
      <c r="C334" s="172">
        <v>44792</v>
      </c>
      <c r="D334" s="173">
        <f t="shared" si="12"/>
        <v>0</v>
      </c>
    </row>
    <row r="335" spans="3:4" x14ac:dyDescent="0.25">
      <c r="C335" s="172">
        <v>44793</v>
      </c>
      <c r="D335" s="173">
        <f t="shared" si="12"/>
        <v>0</v>
      </c>
    </row>
    <row r="336" spans="3:4" x14ac:dyDescent="0.25">
      <c r="C336" s="172">
        <v>44794</v>
      </c>
      <c r="D336" s="173">
        <f t="shared" si="12"/>
        <v>0</v>
      </c>
    </row>
    <row r="337" spans="3:4" x14ac:dyDescent="0.25">
      <c r="C337" s="172">
        <v>44795</v>
      </c>
      <c r="D337" s="173">
        <f t="shared" si="12"/>
        <v>0</v>
      </c>
    </row>
    <row r="338" spans="3:4" x14ac:dyDescent="0.25">
      <c r="C338" s="172">
        <v>44796</v>
      </c>
      <c r="D338" s="173">
        <f t="shared" si="12"/>
        <v>0</v>
      </c>
    </row>
    <row r="339" spans="3:4" x14ac:dyDescent="0.25">
      <c r="C339" s="172">
        <v>44797</v>
      </c>
      <c r="D339" s="173">
        <f t="shared" si="12"/>
        <v>0</v>
      </c>
    </row>
    <row r="340" spans="3:4" x14ac:dyDescent="0.25">
      <c r="C340" s="172">
        <v>44798</v>
      </c>
      <c r="D340" s="173">
        <f t="shared" si="12"/>
        <v>0</v>
      </c>
    </row>
    <row r="341" spans="3:4" x14ac:dyDescent="0.25">
      <c r="C341" s="172">
        <v>44799</v>
      </c>
      <c r="D341" s="173">
        <f t="shared" si="12"/>
        <v>0</v>
      </c>
    </row>
    <row r="342" spans="3:4" x14ac:dyDescent="0.25">
      <c r="C342" s="172">
        <v>44800</v>
      </c>
      <c r="D342" s="173">
        <f t="shared" si="12"/>
        <v>0</v>
      </c>
    </row>
    <row r="343" spans="3:4" x14ac:dyDescent="0.25">
      <c r="C343" s="172">
        <v>44801</v>
      </c>
      <c r="D343" s="173">
        <f t="shared" si="12"/>
        <v>0</v>
      </c>
    </row>
    <row r="344" spans="3:4" x14ac:dyDescent="0.25">
      <c r="C344" s="172">
        <v>44802</v>
      </c>
      <c r="D344" s="173">
        <f t="shared" si="12"/>
        <v>0</v>
      </c>
    </row>
    <row r="345" spans="3:4" x14ac:dyDescent="0.25">
      <c r="C345" s="172">
        <v>44803</v>
      </c>
      <c r="D345" s="173">
        <f t="shared" si="12"/>
        <v>0</v>
      </c>
    </row>
    <row r="346" spans="3:4" x14ac:dyDescent="0.25">
      <c r="C346" s="172">
        <v>44804</v>
      </c>
      <c r="D346" s="173">
        <f t="shared" si="12"/>
        <v>0</v>
      </c>
    </row>
    <row r="347" spans="3:4" x14ac:dyDescent="0.25">
      <c r="C347" s="172">
        <v>44805</v>
      </c>
      <c r="D347" s="173">
        <f t="shared" ref="D347:D376" si="13">$G$25</f>
        <v>0</v>
      </c>
    </row>
    <row r="348" spans="3:4" x14ac:dyDescent="0.25">
      <c r="C348" s="172">
        <v>44806</v>
      </c>
      <c r="D348" s="173">
        <f t="shared" si="13"/>
        <v>0</v>
      </c>
    </row>
    <row r="349" spans="3:4" x14ac:dyDescent="0.25">
      <c r="C349" s="172">
        <v>44807</v>
      </c>
      <c r="D349" s="173">
        <f t="shared" si="13"/>
        <v>0</v>
      </c>
    </row>
    <row r="350" spans="3:4" x14ac:dyDescent="0.25">
      <c r="C350" s="172">
        <v>44808</v>
      </c>
      <c r="D350" s="173">
        <f t="shared" si="13"/>
        <v>0</v>
      </c>
    </row>
    <row r="351" spans="3:4" x14ac:dyDescent="0.25">
      <c r="C351" s="172">
        <v>44809</v>
      </c>
      <c r="D351" s="173">
        <f t="shared" si="13"/>
        <v>0</v>
      </c>
    </row>
    <row r="352" spans="3:4" x14ac:dyDescent="0.25">
      <c r="C352" s="172">
        <v>44810</v>
      </c>
      <c r="D352" s="173">
        <f t="shared" si="13"/>
        <v>0</v>
      </c>
    </row>
    <row r="353" spans="3:4" x14ac:dyDescent="0.25">
      <c r="C353" s="172">
        <v>44811</v>
      </c>
      <c r="D353" s="173">
        <f t="shared" si="13"/>
        <v>0</v>
      </c>
    </row>
    <row r="354" spans="3:4" x14ac:dyDescent="0.25">
      <c r="C354" s="172">
        <v>44812</v>
      </c>
      <c r="D354" s="173">
        <f t="shared" si="13"/>
        <v>0</v>
      </c>
    </row>
    <row r="355" spans="3:4" x14ac:dyDescent="0.25">
      <c r="C355" s="172">
        <v>44813</v>
      </c>
      <c r="D355" s="173">
        <f t="shared" si="13"/>
        <v>0</v>
      </c>
    </row>
    <row r="356" spans="3:4" x14ac:dyDescent="0.25">
      <c r="C356" s="172">
        <v>44814</v>
      </c>
      <c r="D356" s="173">
        <f t="shared" si="13"/>
        <v>0</v>
      </c>
    </row>
    <row r="357" spans="3:4" x14ac:dyDescent="0.25">
      <c r="C357" s="172">
        <v>44815</v>
      </c>
      <c r="D357" s="173">
        <f t="shared" si="13"/>
        <v>0</v>
      </c>
    </row>
    <row r="358" spans="3:4" x14ac:dyDescent="0.25">
      <c r="C358" s="172">
        <v>44816</v>
      </c>
      <c r="D358" s="173">
        <f t="shared" si="13"/>
        <v>0</v>
      </c>
    </row>
    <row r="359" spans="3:4" x14ac:dyDescent="0.25">
      <c r="C359" s="172">
        <v>44817</v>
      </c>
      <c r="D359" s="173">
        <f t="shared" si="13"/>
        <v>0</v>
      </c>
    </row>
    <row r="360" spans="3:4" x14ac:dyDescent="0.25">
      <c r="C360" s="172">
        <v>44818</v>
      </c>
      <c r="D360" s="173">
        <f t="shared" si="13"/>
        <v>0</v>
      </c>
    </row>
    <row r="361" spans="3:4" x14ac:dyDescent="0.25">
      <c r="C361" s="172">
        <v>44819</v>
      </c>
      <c r="D361" s="173">
        <f t="shared" si="13"/>
        <v>0</v>
      </c>
    </row>
    <row r="362" spans="3:4" x14ac:dyDescent="0.25">
      <c r="C362" s="172">
        <v>44820</v>
      </c>
      <c r="D362" s="173">
        <f t="shared" si="13"/>
        <v>0</v>
      </c>
    </row>
    <row r="363" spans="3:4" x14ac:dyDescent="0.25">
      <c r="C363" s="172">
        <v>44821</v>
      </c>
      <c r="D363" s="173">
        <f t="shared" si="13"/>
        <v>0</v>
      </c>
    </row>
    <row r="364" spans="3:4" x14ac:dyDescent="0.25">
      <c r="C364" s="172">
        <v>44822</v>
      </c>
      <c r="D364" s="173">
        <f t="shared" si="13"/>
        <v>0</v>
      </c>
    </row>
    <row r="365" spans="3:4" x14ac:dyDescent="0.25">
      <c r="C365" s="172">
        <v>44823</v>
      </c>
      <c r="D365" s="173">
        <f t="shared" si="13"/>
        <v>0</v>
      </c>
    </row>
    <row r="366" spans="3:4" x14ac:dyDescent="0.25">
      <c r="C366" s="172">
        <v>44824</v>
      </c>
      <c r="D366" s="173">
        <f t="shared" si="13"/>
        <v>0</v>
      </c>
    </row>
    <row r="367" spans="3:4" x14ac:dyDescent="0.25">
      <c r="C367" s="172">
        <v>44825</v>
      </c>
      <c r="D367" s="173">
        <f t="shared" si="13"/>
        <v>0</v>
      </c>
    </row>
    <row r="368" spans="3:4" x14ac:dyDescent="0.25">
      <c r="C368" s="172">
        <v>44826</v>
      </c>
      <c r="D368" s="173">
        <f t="shared" si="13"/>
        <v>0</v>
      </c>
    </row>
    <row r="369" spans="3:4" x14ac:dyDescent="0.25">
      <c r="C369" s="172">
        <v>44827</v>
      </c>
      <c r="D369" s="173">
        <f t="shared" si="13"/>
        <v>0</v>
      </c>
    </row>
    <row r="370" spans="3:4" x14ac:dyDescent="0.25">
      <c r="C370" s="172">
        <v>44828</v>
      </c>
      <c r="D370" s="173">
        <f t="shared" si="13"/>
        <v>0</v>
      </c>
    </row>
    <row r="371" spans="3:4" x14ac:dyDescent="0.25">
      <c r="C371" s="172">
        <v>44829</v>
      </c>
      <c r="D371" s="173">
        <f t="shared" si="13"/>
        <v>0</v>
      </c>
    </row>
    <row r="372" spans="3:4" x14ac:dyDescent="0.25">
      <c r="C372" s="172">
        <v>44830</v>
      </c>
      <c r="D372" s="173">
        <f t="shared" si="13"/>
        <v>0</v>
      </c>
    </row>
    <row r="373" spans="3:4" x14ac:dyDescent="0.25">
      <c r="C373" s="172">
        <v>44831</v>
      </c>
      <c r="D373" s="173">
        <f t="shared" si="13"/>
        <v>0</v>
      </c>
    </row>
    <row r="374" spans="3:4" x14ac:dyDescent="0.25">
      <c r="C374" s="172">
        <v>44832</v>
      </c>
      <c r="D374" s="173">
        <f t="shared" si="13"/>
        <v>0</v>
      </c>
    </row>
    <row r="375" spans="3:4" x14ac:dyDescent="0.25">
      <c r="C375" s="172">
        <v>44833</v>
      </c>
      <c r="D375" s="173">
        <f t="shared" si="13"/>
        <v>0</v>
      </c>
    </row>
    <row r="376" spans="3:4" x14ac:dyDescent="0.25">
      <c r="C376" s="172">
        <v>44834</v>
      </c>
      <c r="D376" s="173">
        <f t="shared" si="13"/>
        <v>0</v>
      </c>
    </row>
    <row r="377" spans="3:4" x14ac:dyDescent="0.25">
      <c r="C377" s="172">
        <v>44835</v>
      </c>
      <c r="D377" s="173">
        <f t="shared" ref="D377:D407" si="14">$G$26</f>
        <v>0</v>
      </c>
    </row>
    <row r="378" spans="3:4" x14ac:dyDescent="0.25">
      <c r="C378" s="172">
        <v>44836</v>
      </c>
      <c r="D378" s="173">
        <f t="shared" si="14"/>
        <v>0</v>
      </c>
    </row>
    <row r="379" spans="3:4" x14ac:dyDescent="0.25">
      <c r="C379" s="172">
        <v>44837</v>
      </c>
      <c r="D379" s="173">
        <f t="shared" si="14"/>
        <v>0</v>
      </c>
    </row>
    <row r="380" spans="3:4" x14ac:dyDescent="0.25">
      <c r="C380" s="172">
        <v>44838</v>
      </c>
      <c r="D380" s="173">
        <f t="shared" si="14"/>
        <v>0</v>
      </c>
    </row>
    <row r="381" spans="3:4" x14ac:dyDescent="0.25">
      <c r="C381" s="172">
        <v>44839</v>
      </c>
      <c r="D381" s="173">
        <f t="shared" si="14"/>
        <v>0</v>
      </c>
    </row>
    <row r="382" spans="3:4" x14ac:dyDescent="0.25">
      <c r="C382" s="172">
        <v>44840</v>
      </c>
      <c r="D382" s="173">
        <f t="shared" si="14"/>
        <v>0</v>
      </c>
    </row>
    <row r="383" spans="3:4" x14ac:dyDescent="0.25">
      <c r="C383" s="172">
        <v>44841</v>
      </c>
      <c r="D383" s="173">
        <f t="shared" si="14"/>
        <v>0</v>
      </c>
    </row>
    <row r="384" spans="3:4" x14ac:dyDescent="0.25">
      <c r="C384" s="172">
        <v>44842</v>
      </c>
      <c r="D384" s="173">
        <f t="shared" si="14"/>
        <v>0</v>
      </c>
    </row>
    <row r="385" spans="3:4" x14ac:dyDescent="0.25">
      <c r="C385" s="172">
        <v>44843</v>
      </c>
      <c r="D385" s="173">
        <f t="shared" si="14"/>
        <v>0</v>
      </c>
    </row>
    <row r="386" spans="3:4" x14ac:dyDescent="0.25">
      <c r="C386" s="172">
        <v>44844</v>
      </c>
      <c r="D386" s="173">
        <f t="shared" si="14"/>
        <v>0</v>
      </c>
    </row>
    <row r="387" spans="3:4" x14ac:dyDescent="0.25">
      <c r="C387" s="172">
        <v>44845</v>
      </c>
      <c r="D387" s="173">
        <f t="shared" si="14"/>
        <v>0</v>
      </c>
    </row>
    <row r="388" spans="3:4" x14ac:dyDescent="0.25">
      <c r="C388" s="172">
        <v>44846</v>
      </c>
      <c r="D388" s="173">
        <f t="shared" si="14"/>
        <v>0</v>
      </c>
    </row>
    <row r="389" spans="3:4" x14ac:dyDescent="0.25">
      <c r="C389" s="172">
        <v>44847</v>
      </c>
      <c r="D389" s="173">
        <f t="shared" si="14"/>
        <v>0</v>
      </c>
    </row>
    <row r="390" spans="3:4" x14ac:dyDescent="0.25">
      <c r="C390" s="172">
        <v>44848</v>
      </c>
      <c r="D390" s="173">
        <f t="shared" si="14"/>
        <v>0</v>
      </c>
    </row>
    <row r="391" spans="3:4" x14ac:dyDescent="0.25">
      <c r="C391" s="172">
        <v>44849</v>
      </c>
      <c r="D391" s="173">
        <f t="shared" si="14"/>
        <v>0</v>
      </c>
    </row>
    <row r="392" spans="3:4" x14ac:dyDescent="0.25">
      <c r="C392" s="172">
        <v>44850</v>
      </c>
      <c r="D392" s="173">
        <f t="shared" si="14"/>
        <v>0</v>
      </c>
    </row>
    <row r="393" spans="3:4" x14ac:dyDescent="0.25">
      <c r="C393" s="172">
        <v>44851</v>
      </c>
      <c r="D393" s="173">
        <f t="shared" si="14"/>
        <v>0</v>
      </c>
    </row>
    <row r="394" spans="3:4" x14ac:dyDescent="0.25">
      <c r="C394" s="172">
        <v>44852</v>
      </c>
      <c r="D394" s="173">
        <f t="shared" si="14"/>
        <v>0</v>
      </c>
    </row>
    <row r="395" spans="3:4" x14ac:dyDescent="0.25">
      <c r="C395" s="172">
        <v>44853</v>
      </c>
      <c r="D395" s="173">
        <f t="shared" si="14"/>
        <v>0</v>
      </c>
    </row>
    <row r="396" spans="3:4" x14ac:dyDescent="0.25">
      <c r="C396" s="172">
        <v>44854</v>
      </c>
      <c r="D396" s="173">
        <f t="shared" si="14"/>
        <v>0</v>
      </c>
    </row>
    <row r="397" spans="3:4" x14ac:dyDescent="0.25">
      <c r="C397" s="172">
        <v>44855</v>
      </c>
      <c r="D397" s="173">
        <f t="shared" si="14"/>
        <v>0</v>
      </c>
    </row>
    <row r="398" spans="3:4" x14ac:dyDescent="0.25">
      <c r="C398" s="172">
        <v>44856</v>
      </c>
      <c r="D398" s="173">
        <f t="shared" si="14"/>
        <v>0</v>
      </c>
    </row>
    <row r="399" spans="3:4" x14ac:dyDescent="0.25">
      <c r="C399" s="172">
        <v>44857</v>
      </c>
      <c r="D399" s="173">
        <f t="shared" si="14"/>
        <v>0</v>
      </c>
    </row>
    <row r="400" spans="3:4" x14ac:dyDescent="0.25">
      <c r="C400" s="172">
        <v>44858</v>
      </c>
      <c r="D400" s="173">
        <f t="shared" si="14"/>
        <v>0</v>
      </c>
    </row>
    <row r="401" spans="3:4" x14ac:dyDescent="0.25">
      <c r="C401" s="172">
        <v>44859</v>
      </c>
      <c r="D401" s="173">
        <f t="shared" si="14"/>
        <v>0</v>
      </c>
    </row>
    <row r="402" spans="3:4" x14ac:dyDescent="0.25">
      <c r="C402" s="172">
        <v>44860</v>
      </c>
      <c r="D402" s="173">
        <f t="shared" si="14"/>
        <v>0</v>
      </c>
    </row>
    <row r="403" spans="3:4" x14ac:dyDescent="0.25">
      <c r="C403" s="172">
        <v>44861</v>
      </c>
      <c r="D403" s="173">
        <f t="shared" si="14"/>
        <v>0</v>
      </c>
    </row>
    <row r="404" spans="3:4" x14ac:dyDescent="0.25">
      <c r="C404" s="172">
        <v>44862</v>
      </c>
      <c r="D404" s="173">
        <f t="shared" si="14"/>
        <v>0</v>
      </c>
    </row>
    <row r="405" spans="3:4" x14ac:dyDescent="0.25">
      <c r="C405" s="172">
        <v>44863</v>
      </c>
      <c r="D405" s="173">
        <f t="shared" si="14"/>
        <v>0</v>
      </c>
    </row>
    <row r="406" spans="3:4" x14ac:dyDescent="0.25">
      <c r="C406" s="172">
        <v>44864</v>
      </c>
      <c r="D406" s="173">
        <f t="shared" si="14"/>
        <v>0</v>
      </c>
    </row>
    <row r="407" spans="3:4" x14ac:dyDescent="0.25">
      <c r="C407" s="172">
        <v>44865</v>
      </c>
      <c r="D407" s="173">
        <f t="shared" si="14"/>
        <v>0</v>
      </c>
    </row>
    <row r="408" spans="3:4" x14ac:dyDescent="0.25">
      <c r="C408" s="172">
        <v>44866</v>
      </c>
      <c r="D408" s="173">
        <f t="shared" ref="D408:D437" si="15">$G$27</f>
        <v>0</v>
      </c>
    </row>
    <row r="409" spans="3:4" x14ac:dyDescent="0.25">
      <c r="C409" s="172">
        <v>44867</v>
      </c>
      <c r="D409" s="173">
        <f t="shared" si="15"/>
        <v>0</v>
      </c>
    </row>
    <row r="410" spans="3:4" x14ac:dyDescent="0.25">
      <c r="C410" s="172">
        <v>44868</v>
      </c>
      <c r="D410" s="173">
        <f t="shared" si="15"/>
        <v>0</v>
      </c>
    </row>
    <row r="411" spans="3:4" x14ac:dyDescent="0.25">
      <c r="C411" s="172">
        <v>44869</v>
      </c>
      <c r="D411" s="173">
        <f t="shared" si="15"/>
        <v>0</v>
      </c>
    </row>
    <row r="412" spans="3:4" x14ac:dyDescent="0.25">
      <c r="C412" s="172">
        <v>44870</v>
      </c>
      <c r="D412" s="173">
        <f t="shared" si="15"/>
        <v>0</v>
      </c>
    </row>
    <row r="413" spans="3:4" x14ac:dyDescent="0.25">
      <c r="C413" s="172">
        <v>44871</v>
      </c>
      <c r="D413" s="173">
        <f t="shared" si="15"/>
        <v>0</v>
      </c>
    </row>
    <row r="414" spans="3:4" x14ac:dyDescent="0.25">
      <c r="C414" s="172">
        <v>44872</v>
      </c>
      <c r="D414" s="173">
        <f t="shared" si="15"/>
        <v>0</v>
      </c>
    </row>
    <row r="415" spans="3:4" x14ac:dyDescent="0.25">
      <c r="C415" s="172">
        <v>44873</v>
      </c>
      <c r="D415" s="173">
        <f t="shared" si="15"/>
        <v>0</v>
      </c>
    </row>
    <row r="416" spans="3:4" x14ac:dyDescent="0.25">
      <c r="C416" s="172">
        <v>44874</v>
      </c>
      <c r="D416" s="173">
        <f t="shared" si="15"/>
        <v>0</v>
      </c>
    </row>
    <row r="417" spans="3:4" x14ac:dyDescent="0.25">
      <c r="C417" s="172">
        <v>44875</v>
      </c>
      <c r="D417" s="173">
        <f t="shared" si="15"/>
        <v>0</v>
      </c>
    </row>
    <row r="418" spans="3:4" x14ac:dyDescent="0.25">
      <c r="C418" s="172">
        <v>44876</v>
      </c>
      <c r="D418" s="173">
        <f t="shared" si="15"/>
        <v>0</v>
      </c>
    </row>
    <row r="419" spans="3:4" x14ac:dyDescent="0.25">
      <c r="C419" s="172">
        <v>44877</v>
      </c>
      <c r="D419" s="173">
        <f t="shared" si="15"/>
        <v>0</v>
      </c>
    </row>
    <row r="420" spans="3:4" x14ac:dyDescent="0.25">
      <c r="C420" s="172">
        <v>44878</v>
      </c>
      <c r="D420" s="173">
        <f t="shared" si="15"/>
        <v>0</v>
      </c>
    </row>
    <row r="421" spans="3:4" x14ac:dyDescent="0.25">
      <c r="C421" s="172">
        <v>44879</v>
      </c>
      <c r="D421" s="173">
        <f t="shared" si="15"/>
        <v>0</v>
      </c>
    </row>
    <row r="422" spans="3:4" x14ac:dyDescent="0.25">
      <c r="C422" s="172">
        <v>44880</v>
      </c>
      <c r="D422" s="173">
        <f t="shared" si="15"/>
        <v>0</v>
      </c>
    </row>
    <row r="423" spans="3:4" x14ac:dyDescent="0.25">
      <c r="C423" s="172">
        <v>44881</v>
      </c>
      <c r="D423" s="173">
        <f t="shared" si="15"/>
        <v>0</v>
      </c>
    </row>
    <row r="424" spans="3:4" x14ac:dyDescent="0.25">
      <c r="C424" s="172">
        <v>44882</v>
      </c>
      <c r="D424" s="173">
        <f t="shared" si="15"/>
        <v>0</v>
      </c>
    </row>
    <row r="425" spans="3:4" x14ac:dyDescent="0.25">
      <c r="C425" s="172">
        <v>44883</v>
      </c>
      <c r="D425" s="173">
        <f t="shared" si="15"/>
        <v>0</v>
      </c>
    </row>
    <row r="426" spans="3:4" x14ac:dyDescent="0.25">
      <c r="C426" s="172">
        <v>44884</v>
      </c>
      <c r="D426" s="173">
        <f t="shared" si="15"/>
        <v>0</v>
      </c>
    </row>
    <row r="427" spans="3:4" x14ac:dyDescent="0.25">
      <c r="C427" s="172">
        <v>44885</v>
      </c>
      <c r="D427" s="173">
        <f t="shared" si="15"/>
        <v>0</v>
      </c>
    </row>
    <row r="428" spans="3:4" x14ac:dyDescent="0.25">
      <c r="C428" s="172">
        <v>44886</v>
      </c>
      <c r="D428" s="173">
        <f t="shared" si="15"/>
        <v>0</v>
      </c>
    </row>
    <row r="429" spans="3:4" x14ac:dyDescent="0.25">
      <c r="C429" s="172">
        <v>44887</v>
      </c>
      <c r="D429" s="173">
        <f t="shared" si="15"/>
        <v>0</v>
      </c>
    </row>
    <row r="430" spans="3:4" x14ac:dyDescent="0.25">
      <c r="C430" s="172">
        <v>44888</v>
      </c>
      <c r="D430" s="173">
        <f t="shared" si="15"/>
        <v>0</v>
      </c>
    </row>
    <row r="431" spans="3:4" x14ac:dyDescent="0.25">
      <c r="C431" s="172">
        <v>44889</v>
      </c>
      <c r="D431" s="173">
        <f t="shared" si="15"/>
        <v>0</v>
      </c>
    </row>
    <row r="432" spans="3:4" x14ac:dyDescent="0.25">
      <c r="C432" s="172">
        <v>44890</v>
      </c>
      <c r="D432" s="173">
        <f t="shared" si="15"/>
        <v>0</v>
      </c>
    </row>
    <row r="433" spans="3:4" x14ac:dyDescent="0.25">
      <c r="C433" s="172">
        <v>44891</v>
      </c>
      <c r="D433" s="173">
        <f t="shared" si="15"/>
        <v>0</v>
      </c>
    </row>
    <row r="434" spans="3:4" x14ac:dyDescent="0.25">
      <c r="C434" s="172">
        <v>44892</v>
      </c>
      <c r="D434" s="173">
        <f t="shared" si="15"/>
        <v>0</v>
      </c>
    </row>
    <row r="435" spans="3:4" x14ac:dyDescent="0.25">
      <c r="C435" s="172">
        <v>44893</v>
      </c>
      <c r="D435" s="173">
        <f t="shared" si="15"/>
        <v>0</v>
      </c>
    </row>
    <row r="436" spans="3:4" x14ac:dyDescent="0.25">
      <c r="C436" s="172">
        <v>44894</v>
      </c>
      <c r="D436" s="173">
        <f t="shared" si="15"/>
        <v>0</v>
      </c>
    </row>
    <row r="437" spans="3:4" x14ac:dyDescent="0.25">
      <c r="C437" s="172">
        <v>44895</v>
      </c>
      <c r="D437" s="173">
        <f t="shared" si="15"/>
        <v>0</v>
      </c>
    </row>
    <row r="438" spans="3:4" x14ac:dyDescent="0.25">
      <c r="C438" s="172">
        <v>44896</v>
      </c>
      <c r="D438" s="173">
        <f t="shared" ref="D438:D468" si="16">$G$28</f>
        <v>0</v>
      </c>
    </row>
    <row r="439" spans="3:4" x14ac:dyDescent="0.25">
      <c r="C439" s="172">
        <v>44897</v>
      </c>
      <c r="D439" s="173">
        <f t="shared" si="16"/>
        <v>0</v>
      </c>
    </row>
    <row r="440" spans="3:4" x14ac:dyDescent="0.25">
      <c r="C440" s="172">
        <v>44898</v>
      </c>
      <c r="D440" s="173">
        <f t="shared" si="16"/>
        <v>0</v>
      </c>
    </row>
    <row r="441" spans="3:4" x14ac:dyDescent="0.25">
      <c r="C441" s="172">
        <v>44899</v>
      </c>
      <c r="D441" s="173">
        <f t="shared" si="16"/>
        <v>0</v>
      </c>
    </row>
    <row r="442" spans="3:4" x14ac:dyDescent="0.25">
      <c r="C442" s="172">
        <v>44900</v>
      </c>
      <c r="D442" s="173">
        <f t="shared" si="16"/>
        <v>0</v>
      </c>
    </row>
    <row r="443" spans="3:4" x14ac:dyDescent="0.25">
      <c r="C443" s="172">
        <v>44901</v>
      </c>
      <c r="D443" s="173">
        <f t="shared" si="16"/>
        <v>0</v>
      </c>
    </row>
    <row r="444" spans="3:4" x14ac:dyDescent="0.25">
      <c r="C444" s="172">
        <v>44902</v>
      </c>
      <c r="D444" s="173">
        <f t="shared" si="16"/>
        <v>0</v>
      </c>
    </row>
    <row r="445" spans="3:4" x14ac:dyDescent="0.25">
      <c r="C445" s="172">
        <v>44903</v>
      </c>
      <c r="D445" s="173">
        <f t="shared" si="16"/>
        <v>0</v>
      </c>
    </row>
    <row r="446" spans="3:4" x14ac:dyDescent="0.25">
      <c r="C446" s="172">
        <v>44904</v>
      </c>
      <c r="D446" s="173">
        <f t="shared" si="16"/>
        <v>0</v>
      </c>
    </row>
    <row r="447" spans="3:4" x14ac:dyDescent="0.25">
      <c r="C447" s="172">
        <v>44905</v>
      </c>
      <c r="D447" s="173">
        <f t="shared" si="16"/>
        <v>0</v>
      </c>
    </row>
    <row r="448" spans="3:4" x14ac:dyDescent="0.25">
      <c r="C448" s="172">
        <v>44906</v>
      </c>
      <c r="D448" s="173">
        <f t="shared" si="16"/>
        <v>0</v>
      </c>
    </row>
    <row r="449" spans="3:4" x14ac:dyDescent="0.25">
      <c r="C449" s="172">
        <v>44907</v>
      </c>
      <c r="D449" s="173">
        <f t="shared" si="16"/>
        <v>0</v>
      </c>
    </row>
    <row r="450" spans="3:4" x14ac:dyDescent="0.25">
      <c r="C450" s="172">
        <v>44908</v>
      </c>
      <c r="D450" s="173">
        <f t="shared" si="16"/>
        <v>0</v>
      </c>
    </row>
    <row r="451" spans="3:4" x14ac:dyDescent="0.25">
      <c r="C451" s="172">
        <v>44909</v>
      </c>
      <c r="D451" s="173">
        <f t="shared" si="16"/>
        <v>0</v>
      </c>
    </row>
    <row r="452" spans="3:4" x14ac:dyDescent="0.25">
      <c r="C452" s="172">
        <v>44910</v>
      </c>
      <c r="D452" s="173">
        <f t="shared" si="16"/>
        <v>0</v>
      </c>
    </row>
    <row r="453" spans="3:4" x14ac:dyDescent="0.25">
      <c r="C453" s="172">
        <v>44911</v>
      </c>
      <c r="D453" s="173">
        <f t="shared" si="16"/>
        <v>0</v>
      </c>
    </row>
    <row r="454" spans="3:4" x14ac:dyDescent="0.25">
      <c r="C454" s="172">
        <v>44912</v>
      </c>
      <c r="D454" s="173">
        <f t="shared" si="16"/>
        <v>0</v>
      </c>
    </row>
    <row r="455" spans="3:4" x14ac:dyDescent="0.25">
      <c r="C455" s="172">
        <v>44913</v>
      </c>
      <c r="D455" s="173">
        <f t="shared" si="16"/>
        <v>0</v>
      </c>
    </row>
    <row r="456" spans="3:4" x14ac:dyDescent="0.25">
      <c r="C456" s="172">
        <v>44914</v>
      </c>
      <c r="D456" s="173">
        <f t="shared" si="16"/>
        <v>0</v>
      </c>
    </row>
    <row r="457" spans="3:4" x14ac:dyDescent="0.25">
      <c r="C457" s="172">
        <v>44915</v>
      </c>
      <c r="D457" s="173">
        <f t="shared" si="16"/>
        <v>0</v>
      </c>
    </row>
    <row r="458" spans="3:4" x14ac:dyDescent="0.25">
      <c r="C458" s="172">
        <v>44916</v>
      </c>
      <c r="D458" s="173">
        <f t="shared" si="16"/>
        <v>0</v>
      </c>
    </row>
    <row r="459" spans="3:4" x14ac:dyDescent="0.25">
      <c r="C459" s="172">
        <v>44917</v>
      </c>
      <c r="D459" s="173">
        <f t="shared" si="16"/>
        <v>0</v>
      </c>
    </row>
    <row r="460" spans="3:4" x14ac:dyDescent="0.25">
      <c r="C460" s="172">
        <v>44918</v>
      </c>
      <c r="D460" s="173">
        <f t="shared" si="16"/>
        <v>0</v>
      </c>
    </row>
    <row r="461" spans="3:4" x14ac:dyDescent="0.25">
      <c r="C461" s="172">
        <v>44919</v>
      </c>
      <c r="D461" s="173">
        <f t="shared" si="16"/>
        <v>0</v>
      </c>
    </row>
    <row r="462" spans="3:4" x14ac:dyDescent="0.25">
      <c r="C462" s="172">
        <v>44920</v>
      </c>
      <c r="D462" s="173">
        <f t="shared" si="16"/>
        <v>0</v>
      </c>
    </row>
    <row r="463" spans="3:4" x14ac:dyDescent="0.25">
      <c r="C463" s="172">
        <v>44921</v>
      </c>
      <c r="D463" s="173">
        <f t="shared" si="16"/>
        <v>0</v>
      </c>
    </row>
    <row r="464" spans="3:4" x14ac:dyDescent="0.25">
      <c r="C464" s="172">
        <v>44922</v>
      </c>
      <c r="D464" s="173">
        <f t="shared" si="16"/>
        <v>0</v>
      </c>
    </row>
    <row r="465" spans="3:4" x14ac:dyDescent="0.25">
      <c r="C465" s="172">
        <v>44923</v>
      </c>
      <c r="D465" s="173">
        <f t="shared" si="16"/>
        <v>0</v>
      </c>
    </row>
    <row r="466" spans="3:4" x14ac:dyDescent="0.25">
      <c r="C466" s="172">
        <v>44924</v>
      </c>
      <c r="D466" s="173">
        <f t="shared" si="16"/>
        <v>0</v>
      </c>
    </row>
    <row r="467" spans="3:4" x14ac:dyDescent="0.25">
      <c r="C467" s="172">
        <v>44925</v>
      </c>
      <c r="D467" s="173">
        <f t="shared" si="16"/>
        <v>0</v>
      </c>
    </row>
    <row r="468" spans="3:4" x14ac:dyDescent="0.25">
      <c r="C468" s="172">
        <v>44926</v>
      </c>
      <c r="D468" s="173">
        <f t="shared" si="16"/>
        <v>0</v>
      </c>
    </row>
    <row r="469" spans="3:4" x14ac:dyDescent="0.25">
      <c r="C469" s="174"/>
    </row>
    <row r="470" spans="3:4" x14ac:dyDescent="0.25">
      <c r="C470" s="174"/>
    </row>
    <row r="471" spans="3:4" x14ac:dyDescent="0.25">
      <c r="C471" s="174"/>
    </row>
    <row r="472" spans="3:4" x14ac:dyDescent="0.25">
      <c r="C472" s="174"/>
    </row>
    <row r="473" spans="3:4" x14ac:dyDescent="0.25">
      <c r="C473" s="174"/>
    </row>
    <row r="474" spans="3:4" x14ac:dyDescent="0.25">
      <c r="C474" s="174"/>
    </row>
    <row r="475" spans="3:4" x14ac:dyDescent="0.25">
      <c r="C475" s="174"/>
    </row>
    <row r="476" spans="3:4" x14ac:dyDescent="0.25">
      <c r="C476" s="174"/>
    </row>
    <row r="477" spans="3:4" x14ac:dyDescent="0.25">
      <c r="C477" s="174"/>
    </row>
    <row r="478" spans="3:4" x14ac:dyDescent="0.25">
      <c r="C478" s="174"/>
    </row>
    <row r="479" spans="3:4" x14ac:dyDescent="0.25">
      <c r="C479" s="174"/>
    </row>
  </sheetData>
  <dataValidations count="3">
    <dataValidation type="whole" operator="greaterThanOrEqual" showInputMessage="1" showErrorMessage="1" error="Please Enter Electrical Energy Consumption in Numbers" prompt="Please Enter Electrical Energy Consumption in KWH" sqref="D12:O12" xr:uid="{3AAB8384-339C-4F89-BCF1-30AC4D3E1413}">
      <formula1>0</formula1>
    </dataValidation>
    <dataValidation type="date" operator="greaterThanOrEqual" error="Please Enter Electrical Energy Consumption in Numbers" prompt="Please Enter Electrical Energy Consumption in KWH" sqref="G104:H115" xr:uid="{B1F70808-0A44-4D3C-A6BF-888D9FA41205}">
      <formula1>44562</formula1>
    </dataValidation>
    <dataValidation operator="greaterThanOrEqual" error="Please Enter Electrical Energy Consumption in Numbers" prompt="Please Enter Electrical Energy Consumption in KWH" sqref="D17:D28" xr:uid="{8F8E8926-CAB0-4DE8-8AED-A986BFF3B432}"/>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B705-B635-4BC7-A3E3-CF5CA4042972}">
  <dimension ref="A1:S468"/>
  <sheetViews>
    <sheetView zoomScaleNormal="100" workbookViewId="0">
      <selection activeCell="L6" sqref="L6"/>
    </sheetView>
  </sheetViews>
  <sheetFormatPr defaultColWidth="8.5703125" defaultRowHeight="15" x14ac:dyDescent="0.25"/>
  <cols>
    <col min="1" max="1" width="5.7109375" style="1" customWidth="1"/>
    <col min="2" max="2" width="3.42578125" style="1" customWidth="1"/>
    <col min="3" max="3" width="16.85546875" style="1" customWidth="1"/>
    <col min="4" max="15" width="11.42578125" style="1" customWidth="1"/>
    <col min="16" max="16" width="11.140625" style="1" customWidth="1"/>
    <col min="17" max="17" width="5.42578125" style="1" customWidth="1"/>
    <col min="18" max="18" width="9" style="1" customWidth="1"/>
    <col min="19" max="16384" width="8.5703125" style="1"/>
  </cols>
  <sheetData>
    <row r="1" spans="1:19" ht="24.95" customHeight="1" x14ac:dyDescent="0.25">
      <c r="A1" s="375"/>
      <c r="B1" s="375"/>
      <c r="C1" s="375"/>
      <c r="D1" s="375"/>
      <c r="E1" s="375"/>
      <c r="F1" s="376"/>
      <c r="G1" s="375"/>
      <c r="H1" s="376" t="s">
        <v>126</v>
      </c>
      <c r="I1" s="376"/>
      <c r="J1" s="375"/>
      <c r="K1" s="375"/>
      <c r="L1" s="375"/>
      <c r="M1" s="375"/>
      <c r="N1" s="375"/>
      <c r="O1" s="375"/>
      <c r="P1" s="375"/>
      <c r="Q1" s="375"/>
      <c r="R1" s="375"/>
      <c r="S1" s="135"/>
    </row>
    <row r="2" spans="1:19" ht="15" customHeight="1" x14ac:dyDescent="0.25"/>
    <row r="4" spans="1:19" ht="21" customHeight="1" x14ac:dyDescent="0.25">
      <c r="C4" s="65"/>
      <c r="D4" s="137"/>
      <c r="E4" s="137"/>
      <c r="F4" s="137"/>
      <c r="G4" s="137"/>
      <c r="H4" s="135"/>
      <c r="I4" s="135"/>
      <c r="J4" s="135"/>
      <c r="K4" s="135"/>
      <c r="L4" s="135"/>
      <c r="M4" s="135"/>
      <c r="N4" s="135"/>
      <c r="O4" s="135"/>
      <c r="P4" s="135"/>
    </row>
    <row r="5" spans="1:19" ht="21" customHeight="1" x14ac:dyDescent="0.25">
      <c r="C5" s="65"/>
      <c r="D5" s="137"/>
      <c r="E5" s="137"/>
      <c r="F5" s="137"/>
      <c r="G5" s="137"/>
      <c r="H5" s="135"/>
      <c r="I5" s="135"/>
      <c r="J5" s="135"/>
      <c r="K5" s="135"/>
      <c r="L5" s="135"/>
      <c r="M5" s="135"/>
      <c r="N5" s="135"/>
      <c r="O5" s="135"/>
      <c r="P5" s="135"/>
    </row>
    <row r="6" spans="1:19" ht="21" customHeight="1" x14ac:dyDescent="0.25">
      <c r="C6" s="65"/>
      <c r="D6" s="137"/>
      <c r="E6" s="137"/>
      <c r="F6" s="137"/>
      <c r="G6" s="137"/>
      <c r="H6" s="135"/>
      <c r="I6" s="135"/>
      <c r="J6" s="135"/>
      <c r="K6" s="135"/>
      <c r="L6" s="135"/>
      <c r="M6" s="135"/>
      <c r="N6" s="135"/>
      <c r="O6" s="135"/>
      <c r="P6" s="135"/>
    </row>
    <row r="7" spans="1:19" ht="21" customHeight="1" x14ac:dyDescent="0.25">
      <c r="C7" s="65"/>
      <c r="D7" s="137"/>
      <c r="E7" s="137"/>
      <c r="F7" s="137"/>
      <c r="G7" s="137"/>
      <c r="H7" s="135"/>
      <c r="I7" s="135"/>
      <c r="J7" s="135"/>
      <c r="K7" s="135"/>
      <c r="L7" s="135"/>
      <c r="M7" s="135"/>
      <c r="N7" s="135"/>
      <c r="O7" s="135"/>
      <c r="P7" s="135"/>
    </row>
    <row r="8" spans="1:19" ht="32.1" customHeight="1" x14ac:dyDescent="0.25">
      <c r="C8" s="239" t="s">
        <v>132</v>
      </c>
      <c r="D8" s="239" t="s">
        <v>250</v>
      </c>
      <c r="E8" s="239" t="s">
        <v>251</v>
      </c>
      <c r="F8" s="239" t="s">
        <v>252</v>
      </c>
      <c r="G8" s="239" t="s">
        <v>253</v>
      </c>
      <c r="H8" s="239" t="s">
        <v>139</v>
      </c>
      <c r="I8" s="239" t="s">
        <v>254</v>
      </c>
      <c r="J8" s="239" t="s">
        <v>255</v>
      </c>
      <c r="K8" s="239" t="s">
        <v>256</v>
      </c>
      <c r="L8" s="239" t="s">
        <v>257</v>
      </c>
      <c r="M8" s="239" t="s">
        <v>258</v>
      </c>
      <c r="N8" s="239" t="s">
        <v>259</v>
      </c>
      <c r="O8" s="239" t="s">
        <v>260</v>
      </c>
      <c r="P8" s="239" t="s">
        <v>116</v>
      </c>
    </row>
    <row r="9" spans="1:19" ht="60" customHeight="1" x14ac:dyDescent="0.25">
      <c r="C9" s="230" t="s">
        <v>263</v>
      </c>
      <c r="D9" s="237">
        <v>1000000</v>
      </c>
      <c r="E9" s="237"/>
      <c r="F9" s="237"/>
      <c r="G9" s="237"/>
      <c r="H9" s="237"/>
      <c r="I9" s="237"/>
      <c r="J9" s="237"/>
      <c r="K9" s="237"/>
      <c r="L9" s="237"/>
      <c r="M9" s="237">
        <v>200000</v>
      </c>
      <c r="N9" s="237"/>
      <c r="O9" s="237"/>
      <c r="P9" s="237">
        <f>SUM(D9:O9)</f>
        <v>1200000</v>
      </c>
    </row>
    <row r="10" spans="1:19" ht="21" customHeight="1" x14ac:dyDescent="0.25">
      <c r="C10" s="65"/>
      <c r="D10" s="137"/>
      <c r="E10" s="137"/>
      <c r="F10" s="137"/>
      <c r="G10" s="137"/>
      <c r="H10" s="135"/>
      <c r="I10" s="135"/>
      <c r="J10" s="135"/>
      <c r="K10" s="135"/>
      <c r="L10" s="135"/>
      <c r="M10" s="135"/>
      <c r="N10" s="135"/>
      <c r="O10" s="135"/>
      <c r="P10" s="135"/>
    </row>
    <row r="11" spans="1:19" ht="9" customHeight="1" x14ac:dyDescent="0.25">
      <c r="C11" s="136"/>
      <c r="D11" s="137"/>
      <c r="E11" s="137"/>
      <c r="F11" s="137"/>
      <c r="G11" s="137"/>
      <c r="H11" s="135"/>
      <c r="I11" s="135"/>
      <c r="J11" s="135"/>
      <c r="K11" s="135"/>
      <c r="L11" s="135"/>
      <c r="M11" s="135"/>
      <c r="N11" s="135"/>
      <c r="O11" s="135"/>
      <c r="P11" s="135"/>
    </row>
    <row r="12" spans="1:19" x14ac:dyDescent="0.25">
      <c r="C12" s="135"/>
      <c r="D12" s="135"/>
      <c r="E12" s="64"/>
      <c r="F12" s="64"/>
      <c r="G12" s="64"/>
      <c r="H12" s="64"/>
      <c r="I12" s="64"/>
      <c r="J12" s="64"/>
    </row>
    <row r="13" spans="1:19" ht="76.5" customHeight="1" x14ac:dyDescent="0.25">
      <c r="B13"/>
      <c r="C13" s="322" t="s">
        <v>132</v>
      </c>
      <c r="D13" s="322" t="s">
        <v>264</v>
      </c>
      <c r="E13" s="322" t="s">
        <v>161</v>
      </c>
      <c r="F13" s="322" t="s">
        <v>162</v>
      </c>
      <c r="G13" s="322" t="s">
        <v>163</v>
      </c>
      <c r="H13" s="322" t="s">
        <v>133</v>
      </c>
      <c r="I13" s="121"/>
      <c r="J13"/>
    </row>
    <row r="14" spans="1:19" x14ac:dyDescent="0.25">
      <c r="C14" s="323" t="s">
        <v>135</v>
      </c>
      <c r="D14" s="324">
        <f>D9</f>
        <v>1000000</v>
      </c>
      <c r="E14" s="325">
        <f>(D14/'GWP &amp; Emission Factors '!$D$22)*'GWP &amp; Emission Factors '!$D$9</f>
        <v>12.339845524761474</v>
      </c>
      <c r="F14" s="326">
        <f>E14/'Electrical Energy Consumption'!I104</f>
        <v>0.39805953305682173</v>
      </c>
      <c r="G14" s="326">
        <f>F14/H14</f>
        <v>3.6187230277892883E-2</v>
      </c>
      <c r="H14" s="327">
        <f>'Project Emission Distribution'!F8</f>
        <v>11</v>
      </c>
      <c r="I14" s="110"/>
    </row>
    <row r="15" spans="1:19" x14ac:dyDescent="0.25">
      <c r="C15" s="328" t="s">
        <v>136</v>
      </c>
      <c r="D15" s="329">
        <f>E9</f>
        <v>0</v>
      </c>
      <c r="E15" s="330">
        <f>(D15/'GWP &amp; Emission Factors '!$D$22)*'GWP &amp; Emission Factors '!$D$9</f>
        <v>0</v>
      </c>
      <c r="F15" s="331">
        <f>E15/'Electrical Energy Consumption'!I105</f>
        <v>0</v>
      </c>
      <c r="G15" s="331">
        <f t="shared" ref="G15:G25" si="0">F15/H15</f>
        <v>0</v>
      </c>
      <c r="H15" s="332">
        <f>'Project Emission Distribution'!F9</f>
        <v>24</v>
      </c>
      <c r="I15" s="110"/>
    </row>
    <row r="16" spans="1:19" x14ac:dyDescent="0.25">
      <c r="C16" s="323" t="s">
        <v>137</v>
      </c>
      <c r="D16" s="324">
        <f>F9</f>
        <v>0</v>
      </c>
      <c r="E16" s="325">
        <f>(D16/'GWP &amp; Emission Factors '!$D$22)*'GWP &amp; Emission Factors '!$D$9</f>
        <v>0</v>
      </c>
      <c r="F16" s="326">
        <f>E16/'Electrical Energy Consumption'!I106</f>
        <v>0</v>
      </c>
      <c r="G16" s="326">
        <f t="shared" si="0"/>
        <v>0</v>
      </c>
      <c r="H16" s="327">
        <f>'Project Emission Distribution'!F10</f>
        <v>16</v>
      </c>
      <c r="I16" s="110"/>
    </row>
    <row r="17" spans="3:11" x14ac:dyDescent="0.25">
      <c r="C17" s="328" t="s">
        <v>138</v>
      </c>
      <c r="D17" s="329">
        <f>G9</f>
        <v>0</v>
      </c>
      <c r="E17" s="330">
        <f>(D17/'GWP &amp; Emission Factors '!$D$22)*'GWP &amp; Emission Factors '!$D$9</f>
        <v>0</v>
      </c>
      <c r="F17" s="331">
        <f>E17/'Electrical Energy Consumption'!I107</f>
        <v>0</v>
      </c>
      <c r="G17" s="331">
        <f t="shared" si="0"/>
        <v>0</v>
      </c>
      <c r="H17" s="332">
        <f>'Project Emission Distribution'!F11</f>
        <v>16</v>
      </c>
      <c r="I17" s="110"/>
    </row>
    <row r="18" spans="3:11" x14ac:dyDescent="0.25">
      <c r="C18" s="323" t="s">
        <v>139</v>
      </c>
      <c r="D18" s="324">
        <f>H9</f>
        <v>0</v>
      </c>
      <c r="E18" s="325">
        <f>(D18/'GWP &amp; Emission Factors '!$D$22)*'GWP &amp; Emission Factors '!$D$9</f>
        <v>0</v>
      </c>
      <c r="F18" s="326">
        <f>E18/'Electrical Energy Consumption'!I108</f>
        <v>0</v>
      </c>
      <c r="G18" s="326">
        <f t="shared" si="0"/>
        <v>0</v>
      </c>
      <c r="H18" s="327">
        <f>'Project Emission Distribution'!F12</f>
        <v>15</v>
      </c>
      <c r="I18" s="110"/>
    </row>
    <row r="19" spans="3:11" x14ac:dyDescent="0.25">
      <c r="C19" s="328" t="s">
        <v>140</v>
      </c>
      <c r="D19" s="329">
        <f>I9</f>
        <v>0</v>
      </c>
      <c r="E19" s="330">
        <f>(D19/'GWP &amp; Emission Factors '!$D$22)*'GWP &amp; Emission Factors '!$D$9</f>
        <v>0</v>
      </c>
      <c r="F19" s="331">
        <f>E19/'Electrical Energy Consumption'!I109</f>
        <v>0</v>
      </c>
      <c r="G19" s="331">
        <f t="shared" si="0"/>
        <v>0</v>
      </c>
      <c r="H19" s="332">
        <f>'Project Emission Distribution'!F13</f>
        <v>15</v>
      </c>
      <c r="I19" s="110"/>
    </row>
    <row r="20" spans="3:11" x14ac:dyDescent="0.25">
      <c r="C20" s="323" t="s">
        <v>141</v>
      </c>
      <c r="D20" s="324">
        <f>J9</f>
        <v>0</v>
      </c>
      <c r="E20" s="325">
        <f>(D20/'GWP &amp; Emission Factors '!$D$22)*'GWP &amp; Emission Factors '!$D$9</f>
        <v>0</v>
      </c>
      <c r="F20" s="326">
        <f>E20/'Electrical Energy Consumption'!I110</f>
        <v>0</v>
      </c>
      <c r="G20" s="326">
        <f t="shared" si="0"/>
        <v>0</v>
      </c>
      <c r="H20" s="327">
        <f>'Project Emission Distribution'!F14</f>
        <v>8</v>
      </c>
      <c r="I20" s="110"/>
    </row>
    <row r="21" spans="3:11" x14ac:dyDescent="0.25">
      <c r="C21" s="328" t="s">
        <v>142</v>
      </c>
      <c r="D21" s="329">
        <f>K9</f>
        <v>0</v>
      </c>
      <c r="E21" s="330">
        <f>(D21/'GWP &amp; Emission Factors '!$D$22)*'GWP &amp; Emission Factors '!$D$9</f>
        <v>0</v>
      </c>
      <c r="F21" s="331">
        <f>E21/'Electrical Energy Consumption'!I111</f>
        <v>0</v>
      </c>
      <c r="G21" s="331">
        <f t="shared" si="0"/>
        <v>0</v>
      </c>
      <c r="H21" s="332">
        <f>'Project Emission Distribution'!F15</f>
        <v>1</v>
      </c>
      <c r="I21" s="110"/>
    </row>
    <row r="22" spans="3:11" x14ac:dyDescent="0.25">
      <c r="C22" s="323" t="s">
        <v>143</v>
      </c>
      <c r="D22" s="324">
        <f>L9</f>
        <v>0</v>
      </c>
      <c r="E22" s="325">
        <f>(D22/'GWP &amp; Emission Factors '!$D$22)*'GWP &amp; Emission Factors '!$D$9</f>
        <v>0</v>
      </c>
      <c r="F22" s="326">
        <f>E22/'Electrical Energy Consumption'!I112</f>
        <v>0</v>
      </c>
      <c r="G22" s="326">
        <f t="shared" si="0"/>
        <v>0</v>
      </c>
      <c r="H22" s="327">
        <f>'Project Emission Distribution'!F16</f>
        <v>1</v>
      </c>
      <c r="I22" s="110"/>
    </row>
    <row r="23" spans="3:11" x14ac:dyDescent="0.25">
      <c r="C23" s="328" t="s">
        <v>144</v>
      </c>
      <c r="D23" s="329">
        <f>M9</f>
        <v>200000</v>
      </c>
      <c r="E23" s="330">
        <f>(D23/'GWP &amp; Emission Factors '!$D$22)*'GWP &amp; Emission Factors '!$D$9</f>
        <v>2.4679691049522945</v>
      </c>
      <c r="F23" s="331">
        <f>E23/'Electrical Energy Consumption'!I113</f>
        <v>7.9611906611364344E-2</v>
      </c>
      <c r="G23" s="331">
        <f t="shared" si="0"/>
        <v>7.9611906611364344E-2</v>
      </c>
      <c r="H23" s="332">
        <f>'Project Emission Distribution'!F17</f>
        <v>1</v>
      </c>
      <c r="I23" s="110"/>
    </row>
    <row r="24" spans="3:11" x14ac:dyDescent="0.25">
      <c r="C24" s="323" t="s">
        <v>145</v>
      </c>
      <c r="D24" s="324">
        <f>N9</f>
        <v>0</v>
      </c>
      <c r="E24" s="325">
        <f>(D24/'GWP &amp; Emission Factors '!$D$22)*'GWP &amp; Emission Factors '!$D$9</f>
        <v>0</v>
      </c>
      <c r="F24" s="326">
        <f>E24/'Electrical Energy Consumption'!I114</f>
        <v>0</v>
      </c>
      <c r="G24" s="326">
        <f t="shared" si="0"/>
        <v>0</v>
      </c>
      <c r="H24" s="327">
        <f>'Project Emission Distribution'!F18</f>
        <v>1</v>
      </c>
      <c r="I24" s="110"/>
    </row>
    <row r="25" spans="3:11" x14ac:dyDescent="0.25">
      <c r="C25" s="328" t="s">
        <v>146</v>
      </c>
      <c r="D25" s="329">
        <f>O9</f>
        <v>0</v>
      </c>
      <c r="E25" s="330">
        <f>(D25/'GWP &amp; Emission Factors '!$D$22)*'GWP &amp; Emission Factors '!$D$9</f>
        <v>0</v>
      </c>
      <c r="F25" s="331">
        <f>E25/'Electrical Energy Consumption'!I115</f>
        <v>0</v>
      </c>
      <c r="G25" s="331">
        <f t="shared" si="0"/>
        <v>0</v>
      </c>
      <c r="H25" s="332">
        <f>'Project Emission Distribution'!F19</f>
        <v>1</v>
      </c>
      <c r="I25" s="110"/>
    </row>
    <row r="26" spans="3:11" x14ac:dyDescent="0.25">
      <c r="C26" s="333" t="s">
        <v>116</v>
      </c>
      <c r="D26" s="334">
        <f>SUM(D14:D25)</f>
        <v>1200000</v>
      </c>
      <c r="E26" s="335">
        <f>SUM(E14:E25)</f>
        <v>14.807814629713768</v>
      </c>
      <c r="F26" s="336"/>
      <c r="G26" s="337"/>
      <c r="H26" s="337"/>
      <c r="I26" s="120"/>
      <c r="J26" s="120"/>
      <c r="K26" s="119"/>
    </row>
    <row r="27" spans="3:11" x14ac:dyDescent="0.25">
      <c r="C27" s="63"/>
      <c r="D27" s="65"/>
      <c r="E27" s="65"/>
      <c r="F27" s="65"/>
      <c r="G27" s="64"/>
      <c r="H27" s="64"/>
      <c r="I27" s="64"/>
      <c r="J27" s="64"/>
    </row>
    <row r="28" spans="3:11" x14ac:dyDescent="0.25">
      <c r="C28" s="63"/>
      <c r="D28" s="65"/>
      <c r="E28" s="65"/>
      <c r="F28" s="65"/>
      <c r="G28" s="64"/>
      <c r="H28" s="64"/>
      <c r="I28" s="64"/>
      <c r="J28" s="64"/>
    </row>
    <row r="29" spans="3:11" x14ac:dyDescent="0.25">
      <c r="C29" s="63"/>
      <c r="D29" s="65"/>
      <c r="E29" s="65"/>
      <c r="F29" s="65"/>
      <c r="G29" s="64"/>
      <c r="H29" s="64"/>
      <c r="I29" s="64"/>
      <c r="J29" s="64"/>
    </row>
    <row r="30" spans="3:11" ht="38.25" x14ac:dyDescent="0.25">
      <c r="C30" s="234" t="s">
        <v>158</v>
      </c>
      <c r="D30" s="233" t="s">
        <v>149</v>
      </c>
      <c r="E30" s="233" t="s">
        <v>150</v>
      </c>
      <c r="F30" s="234" t="s">
        <v>168</v>
      </c>
      <c r="G30" s="64"/>
      <c r="H30" s="64"/>
      <c r="I30" s="64"/>
      <c r="J30" s="64"/>
    </row>
    <row r="31" spans="3:11" x14ac:dyDescent="0.25">
      <c r="C31" s="127" t="str">
        <f>'Project Emission Distribution'!D25</f>
        <v>A201</v>
      </c>
      <c r="D31" s="133">
        <f>IF('Project Details Entry'!D13&gt;0,'Project Details Entry'!D13,"")</f>
        <v>44562</v>
      </c>
      <c r="E31" s="133">
        <f>IF('Project Details Entry'!E13&gt;0,'Project Details Entry'!E13,"")</f>
        <v>44681</v>
      </c>
      <c r="F31" s="134">
        <f>SUMIFS($E$104:$E$468,$D$104:$D$468,"&gt;="&amp;D31,$D$104:$D$468,"&lt;="&amp;E31)</f>
        <v>1.1218041386146789</v>
      </c>
      <c r="G31" s="115"/>
      <c r="H31" s="115"/>
      <c r="I31" s="123"/>
      <c r="J31" s="123"/>
    </row>
    <row r="32" spans="3:11" x14ac:dyDescent="0.25">
      <c r="C32" s="127" t="str">
        <f>'Project Emission Distribution'!D26</f>
        <v>AN02</v>
      </c>
      <c r="D32" s="133">
        <f>IF('Project Details Entry'!D14&gt;0,'Project Details Entry'!D14,"")</f>
        <v>44593</v>
      </c>
      <c r="E32" s="133">
        <f>IF('Project Details Entry'!E14&gt;0,'Project Details Entry'!E14,"")</f>
        <v>44620</v>
      </c>
      <c r="F32" s="134">
        <f t="shared" ref="F32:F35" si="1">SUMIFS($E$104:$E$468,$D$104:$D$468,"&gt;="&amp;D32,$D$104:$D$468,"&lt;="&amp;E32)</f>
        <v>0</v>
      </c>
      <c r="G32" s="64"/>
      <c r="H32" s="64"/>
      <c r="I32" s="123"/>
      <c r="J32" s="64"/>
    </row>
    <row r="33" spans="3:9" x14ac:dyDescent="0.25">
      <c r="C33" s="127" t="str">
        <f>'Project Emission Distribution'!D27</f>
        <v>AN03</v>
      </c>
      <c r="D33" s="133">
        <f>IF('Project Details Entry'!D15&gt;0,'Project Details Entry'!D15,"")</f>
        <v>44593</v>
      </c>
      <c r="E33" s="133">
        <f>IF('Project Details Entry'!E15&gt;0,'Project Details Entry'!E15,"")</f>
        <v>44781</v>
      </c>
      <c r="F33" s="134">
        <f t="shared" si="1"/>
        <v>0</v>
      </c>
      <c r="I33" s="123"/>
    </row>
    <row r="34" spans="3:9" x14ac:dyDescent="0.25">
      <c r="C34" s="127" t="str">
        <f>'Project Emission Distribution'!D28</f>
        <v>AN04</v>
      </c>
      <c r="D34" s="133">
        <f>IF('Project Details Entry'!D16&gt;0,'Project Details Entry'!D16,"")</f>
        <v>44583</v>
      </c>
      <c r="E34" s="133">
        <f>IF('Project Details Entry'!E16&gt;0,'Project Details Entry'!E16,"")</f>
        <v>44635</v>
      </c>
      <c r="F34" s="134">
        <f t="shared" si="1"/>
        <v>0.36187230277892884</v>
      </c>
      <c r="I34" s="123"/>
    </row>
    <row r="35" spans="3:9" x14ac:dyDescent="0.25">
      <c r="C35" s="127" t="str">
        <f>'Project Emission Distribution'!D29</f>
        <v>AN05</v>
      </c>
      <c r="D35" s="133">
        <f>IF('Project Details Entry'!D17&gt;0,'Project Details Entry'!D17,"")</f>
        <v>44614</v>
      </c>
      <c r="E35" s="133">
        <f>IF('Project Details Entry'!E17&gt;0,'Project Details Entry'!E17,"")</f>
        <v>44770</v>
      </c>
      <c r="F35" s="134">
        <f t="shared" si="1"/>
        <v>0</v>
      </c>
      <c r="I35" s="123"/>
    </row>
    <row r="36" spans="3:9" x14ac:dyDescent="0.25">
      <c r="C36" s="127" t="str">
        <f>'Project Emission Distribution'!D30</f>
        <v>AN06</v>
      </c>
      <c r="D36" s="133">
        <f>IF('Project Details Entry'!D18&gt;0,'Project Details Entry'!D18,"")</f>
        <v>44593</v>
      </c>
      <c r="E36" s="133">
        <f>IF('Project Details Entry'!E18&gt;0,'Project Details Entry'!E18,"")</f>
        <v>44781</v>
      </c>
      <c r="F36" s="134">
        <f t="shared" ref="F36:F90" si="2">SUMIFS($E$104:$E$468,$D$104:$D$468,"&gt;="&amp;D36,$D$104:$D$468,"&lt;="&amp;E36)</f>
        <v>0</v>
      </c>
      <c r="I36" s="123"/>
    </row>
    <row r="37" spans="3:9" x14ac:dyDescent="0.25">
      <c r="C37" s="127" t="str">
        <f>'Project Emission Distribution'!D31</f>
        <v>AN07</v>
      </c>
      <c r="D37" s="133">
        <f>IF('Project Details Entry'!D19&gt;0,'Project Details Entry'!D19,"")</f>
        <v>44583</v>
      </c>
      <c r="E37" s="133">
        <f>IF('Project Details Entry'!E19&gt;0,'Project Details Entry'!E19,"")</f>
        <v>44635</v>
      </c>
      <c r="F37" s="134">
        <f t="shared" si="2"/>
        <v>0.36187230277892884</v>
      </c>
      <c r="I37" s="123"/>
    </row>
    <row r="38" spans="3:9" x14ac:dyDescent="0.25">
      <c r="C38" s="127" t="str">
        <f>'Project Emission Distribution'!D32</f>
        <v>AN08</v>
      </c>
      <c r="D38" s="133">
        <f>IF('Project Details Entry'!D20&gt;0,'Project Details Entry'!D20,"")</f>
        <v>44614</v>
      </c>
      <c r="E38" s="133">
        <f>IF('Project Details Entry'!E20&gt;0,'Project Details Entry'!E20,"")</f>
        <v>44770</v>
      </c>
      <c r="F38" s="134">
        <f t="shared" si="2"/>
        <v>0</v>
      </c>
      <c r="I38" s="123"/>
    </row>
    <row r="39" spans="3:9" x14ac:dyDescent="0.25">
      <c r="C39" s="127" t="str">
        <f>'Project Emission Distribution'!D33</f>
        <v>AN09</v>
      </c>
      <c r="D39" s="133">
        <f>IF('Project Details Entry'!D21&gt;0,'Project Details Entry'!D21,"")</f>
        <v>44593</v>
      </c>
      <c r="E39" s="133">
        <f>IF('Project Details Entry'!E21&gt;0,'Project Details Entry'!E21,"")</f>
        <v>44781</v>
      </c>
      <c r="F39" s="134">
        <f t="shared" si="2"/>
        <v>0</v>
      </c>
      <c r="I39" s="123"/>
    </row>
    <row r="40" spans="3:9" x14ac:dyDescent="0.25">
      <c r="C40" s="127" t="str">
        <f>'Project Emission Distribution'!D34</f>
        <v>AN10</v>
      </c>
      <c r="D40" s="133">
        <f>IF('Project Details Entry'!D22&gt;0,'Project Details Entry'!D22,"")</f>
        <v>44583</v>
      </c>
      <c r="E40" s="133">
        <f>IF('Project Details Entry'!E22&gt;0,'Project Details Entry'!E22,"")</f>
        <v>44635</v>
      </c>
      <c r="F40" s="134">
        <f t="shared" si="2"/>
        <v>0.36187230277892884</v>
      </c>
      <c r="I40" s="123"/>
    </row>
    <row r="41" spans="3:9" x14ac:dyDescent="0.25">
      <c r="C41" s="127" t="str">
        <f>'Project Emission Distribution'!D35</f>
        <v>AN11</v>
      </c>
      <c r="D41" s="133">
        <f>IF('Project Details Entry'!D23&gt;0,'Project Details Entry'!D23,"")</f>
        <v>44614</v>
      </c>
      <c r="E41" s="133">
        <f>IF('Project Details Entry'!E23&gt;0,'Project Details Entry'!E23,"")</f>
        <v>44770</v>
      </c>
      <c r="F41" s="134">
        <f t="shared" si="2"/>
        <v>0</v>
      </c>
      <c r="I41" s="123"/>
    </row>
    <row r="42" spans="3:9" x14ac:dyDescent="0.25">
      <c r="C42" s="127" t="str">
        <f>'Project Emission Distribution'!D36</f>
        <v>AN12</v>
      </c>
      <c r="D42" s="133">
        <f>IF('Project Details Entry'!D24&gt;0,'Project Details Entry'!D24,"")</f>
        <v>44593</v>
      </c>
      <c r="E42" s="133">
        <f>IF('Project Details Entry'!E24&gt;0,'Project Details Entry'!E24,"")</f>
        <v>44781</v>
      </c>
      <c r="F42" s="134">
        <f t="shared" si="2"/>
        <v>0</v>
      </c>
      <c r="I42" s="123"/>
    </row>
    <row r="43" spans="3:9" x14ac:dyDescent="0.25">
      <c r="C43" s="127" t="str">
        <f>'Project Emission Distribution'!D37</f>
        <v>AN13</v>
      </c>
      <c r="D43" s="133">
        <f>IF('Project Details Entry'!D25&gt;0,'Project Details Entry'!D25,"")</f>
        <v>44593</v>
      </c>
      <c r="E43" s="133">
        <f>IF('Project Details Entry'!E25&gt;0,'Project Details Entry'!E25,"")</f>
        <v>44781</v>
      </c>
      <c r="F43" s="134">
        <f t="shared" si="2"/>
        <v>0</v>
      </c>
    </row>
    <row r="44" spans="3:9" x14ac:dyDescent="0.25">
      <c r="C44" s="127" t="str">
        <f>'Project Emission Distribution'!D38</f>
        <v>AN14</v>
      </c>
      <c r="D44" s="133">
        <f>IF('Project Details Entry'!D26&gt;0,'Project Details Entry'!D26,"")</f>
        <v>44583</v>
      </c>
      <c r="E44" s="133">
        <f>IF('Project Details Entry'!E26&gt;0,'Project Details Entry'!E26,"")</f>
        <v>44635</v>
      </c>
      <c r="F44" s="134">
        <f t="shared" si="2"/>
        <v>0.36187230277892884</v>
      </c>
    </row>
    <row r="45" spans="3:9" x14ac:dyDescent="0.25">
      <c r="C45" s="127" t="str">
        <f>'Project Emission Distribution'!D39</f>
        <v>AN15</v>
      </c>
      <c r="D45" s="133">
        <f>IF('Project Details Entry'!D27&gt;0,'Project Details Entry'!D27,"")</f>
        <v>44614</v>
      </c>
      <c r="E45" s="133">
        <f>IF('Project Details Entry'!E27&gt;0,'Project Details Entry'!E27,"")</f>
        <v>44770</v>
      </c>
      <c r="F45" s="134">
        <f t="shared" si="2"/>
        <v>0</v>
      </c>
    </row>
    <row r="46" spans="3:9" x14ac:dyDescent="0.25">
      <c r="C46" s="127" t="str">
        <f>'Project Emission Distribution'!D40</f>
        <v>AN16</v>
      </c>
      <c r="D46" s="133">
        <f>IF('Project Details Entry'!D28&gt;0,'Project Details Entry'!D28,"")</f>
        <v>44593</v>
      </c>
      <c r="E46" s="133">
        <f>IF('Project Details Entry'!E28&gt;0,'Project Details Entry'!E28,"")</f>
        <v>44781</v>
      </c>
      <c r="F46" s="134">
        <f t="shared" si="2"/>
        <v>0</v>
      </c>
    </row>
    <row r="47" spans="3:9" x14ac:dyDescent="0.25">
      <c r="C47" s="127" t="str">
        <f>'Project Emission Distribution'!D41</f>
        <v>AN17</v>
      </c>
      <c r="D47" s="133">
        <f>IF('Project Details Entry'!D29&gt;0,'Project Details Entry'!D29,"")</f>
        <v>44583</v>
      </c>
      <c r="E47" s="133">
        <f>IF('Project Details Entry'!E29&gt;0,'Project Details Entry'!E29,"")</f>
        <v>44635</v>
      </c>
      <c r="F47" s="134">
        <f t="shared" si="2"/>
        <v>0.36187230277892884</v>
      </c>
    </row>
    <row r="48" spans="3:9" x14ac:dyDescent="0.25">
      <c r="C48" s="127" t="str">
        <f>'Project Emission Distribution'!D42</f>
        <v>AN18</v>
      </c>
      <c r="D48" s="133">
        <f>IF('Project Details Entry'!D30&gt;0,'Project Details Entry'!D30,"")</f>
        <v>44614</v>
      </c>
      <c r="E48" s="133">
        <f>IF('Project Details Entry'!E30&gt;0,'Project Details Entry'!E30,"")</f>
        <v>44770</v>
      </c>
      <c r="F48" s="134">
        <f t="shared" si="2"/>
        <v>0</v>
      </c>
    </row>
    <row r="49" spans="3:7" x14ac:dyDescent="0.25">
      <c r="C49" s="127" t="str">
        <f>'Project Emission Distribution'!D43</f>
        <v>AN19</v>
      </c>
      <c r="D49" s="133">
        <f>IF('Project Details Entry'!D31&gt;0,'Project Details Entry'!D31,"")</f>
        <v>44593</v>
      </c>
      <c r="E49" s="133">
        <f>IF('Project Details Entry'!E31&gt;0,'Project Details Entry'!E31,"")</f>
        <v>44781</v>
      </c>
      <c r="F49" s="134">
        <f t="shared" si="2"/>
        <v>0</v>
      </c>
    </row>
    <row r="50" spans="3:7" x14ac:dyDescent="0.25">
      <c r="C50" s="127" t="str">
        <f>'Project Emission Distribution'!D44</f>
        <v>AN20</v>
      </c>
      <c r="D50" s="133">
        <f>IF('Project Details Entry'!D32&gt;0,'Project Details Entry'!D32,"")</f>
        <v>44583</v>
      </c>
      <c r="E50" s="133">
        <f>IF('Project Details Entry'!E32&gt;0,'Project Details Entry'!E32,"")</f>
        <v>44635</v>
      </c>
      <c r="F50" s="134">
        <f t="shared" si="2"/>
        <v>0.36187230277892884</v>
      </c>
    </row>
    <row r="51" spans="3:7" x14ac:dyDescent="0.25">
      <c r="C51" s="127" t="str">
        <f>'Project Emission Distribution'!D45</f>
        <v>AN21</v>
      </c>
      <c r="D51" s="133">
        <f>IF('Project Details Entry'!D33&gt;0,'Project Details Entry'!D33,"")</f>
        <v>44614</v>
      </c>
      <c r="E51" s="133">
        <f>IF('Project Details Entry'!E33&gt;0,'Project Details Entry'!E33,"")</f>
        <v>44770</v>
      </c>
      <c r="F51" s="134">
        <f t="shared" si="2"/>
        <v>0</v>
      </c>
    </row>
    <row r="52" spans="3:7" x14ac:dyDescent="0.25">
      <c r="C52" s="127" t="str">
        <f>'Project Emission Distribution'!D46</f>
        <v>AN22</v>
      </c>
      <c r="D52" s="133">
        <f>IF('Project Details Entry'!D34&gt;0,'Project Details Entry'!D34,"")</f>
        <v>44562</v>
      </c>
      <c r="E52" s="133">
        <f>IF('Project Details Entry'!E34&gt;0,'Project Details Entry'!E34,"")</f>
        <v>44781</v>
      </c>
      <c r="F52" s="134">
        <f t="shared" si="2"/>
        <v>1.1218041386146789</v>
      </c>
    </row>
    <row r="53" spans="3:7" x14ac:dyDescent="0.25">
      <c r="C53" s="127" t="str">
        <f>'Project Emission Distribution'!D47</f>
        <v>AN23</v>
      </c>
      <c r="D53" s="133">
        <f>IF('Project Details Entry'!D35&gt;0,'Project Details Entry'!D35,"")</f>
        <v>44583</v>
      </c>
      <c r="E53" s="133">
        <f>IF('Project Details Entry'!E35&gt;0,'Project Details Entry'!E35,"")</f>
        <v>44635</v>
      </c>
      <c r="F53" s="134">
        <f t="shared" si="2"/>
        <v>0.36187230277892884</v>
      </c>
    </row>
    <row r="54" spans="3:7" x14ac:dyDescent="0.25">
      <c r="C54" s="127" t="str">
        <f>'Project Emission Distribution'!D48</f>
        <v>AN24</v>
      </c>
      <c r="D54" s="133">
        <f>IF('Project Details Entry'!D36&gt;0,'Project Details Entry'!D36,"")</f>
        <v>44583</v>
      </c>
      <c r="E54" s="133">
        <f>IF('Project Details Entry'!E36&gt;0,'Project Details Entry'!E36,"")</f>
        <v>44770</v>
      </c>
      <c r="F54" s="134">
        <f t="shared" si="2"/>
        <v>0.36187230277892884</v>
      </c>
    </row>
    <row r="55" spans="3:7" x14ac:dyDescent="0.25">
      <c r="C55" s="127" t="str">
        <f>'Project Emission Distribution'!D49</f>
        <v>AN25</v>
      </c>
      <c r="D55" s="133">
        <f>IF('Project Details Entry'!D37&gt;0,'Project Details Entry'!D37,"")</f>
        <v>44562</v>
      </c>
      <c r="E55" s="133">
        <f>IF('Project Details Entry'!E37&gt;0,'Project Details Entry'!E37,"")</f>
        <v>44614</v>
      </c>
      <c r="F55" s="134">
        <f t="shared" si="2"/>
        <v>1.1218041386146789</v>
      </c>
    </row>
    <row r="56" spans="3:7" x14ac:dyDescent="0.25">
      <c r="C56" s="127" t="str">
        <f>'Project Emission Distribution'!D50</f>
        <v>AN26</v>
      </c>
      <c r="D56" s="133">
        <f>IF('Project Details Entry'!D38&gt;0,'Project Details Entry'!D38,"")</f>
        <v>44774</v>
      </c>
      <c r="E56" s="133">
        <f>IF('Project Details Entry'!E38&gt;0,'Project Details Entry'!E38,"")</f>
        <v>44926</v>
      </c>
      <c r="F56" s="134">
        <f t="shared" si="2"/>
        <v>2.4679691049522949</v>
      </c>
    </row>
    <row r="57" spans="3:7" x14ac:dyDescent="0.25">
      <c r="C57" s="127" t="str">
        <f>'Project Emission Distribution'!D51</f>
        <v>AN27</v>
      </c>
      <c r="D57" s="133" t="str">
        <f>IF('Project Details Entry'!D39&gt;0,'Project Details Entry'!D39,"")</f>
        <v/>
      </c>
      <c r="E57" s="133" t="str">
        <f>IF('Project Details Entry'!E39&gt;0,'Project Details Entry'!E39,"")</f>
        <v/>
      </c>
      <c r="F57" s="134">
        <f t="shared" si="2"/>
        <v>0</v>
      </c>
    </row>
    <row r="58" spans="3:7" x14ac:dyDescent="0.25">
      <c r="C58" s="127" t="str">
        <f>'Project Emission Distribution'!D52</f>
        <v>AN28</v>
      </c>
      <c r="D58" s="133" t="str">
        <f>IF('Project Details Entry'!D40&gt;0,'Project Details Entry'!D40,"")</f>
        <v/>
      </c>
      <c r="E58" s="133" t="str">
        <f>IF('Project Details Entry'!E40&gt;0,'Project Details Entry'!E40,"")</f>
        <v/>
      </c>
      <c r="F58" s="134">
        <f t="shared" si="2"/>
        <v>0</v>
      </c>
    </row>
    <row r="59" spans="3:7" x14ac:dyDescent="0.25">
      <c r="C59" s="127" t="str">
        <f>'Project Emission Distribution'!D53</f>
        <v>AN29</v>
      </c>
      <c r="D59" s="133" t="str">
        <f>IF('Project Details Entry'!D41&gt;0,'Project Details Entry'!D41,"")</f>
        <v/>
      </c>
      <c r="E59" s="133" t="str">
        <f>IF('Project Details Entry'!E41&gt;0,'Project Details Entry'!E41,"")</f>
        <v/>
      </c>
      <c r="F59" s="134">
        <f t="shared" si="2"/>
        <v>0</v>
      </c>
    </row>
    <row r="60" spans="3:7" x14ac:dyDescent="0.25">
      <c r="C60" s="127" t="str">
        <f>'Project Emission Distribution'!D54</f>
        <v>AN30</v>
      </c>
      <c r="D60" s="133" t="str">
        <f>IF('Project Details Entry'!D42&gt;0,'Project Details Entry'!D42,"")</f>
        <v/>
      </c>
      <c r="E60" s="133" t="str">
        <f>IF('Project Details Entry'!E42&gt;0,'Project Details Entry'!E42,"")</f>
        <v/>
      </c>
      <c r="F60" s="134">
        <f t="shared" si="2"/>
        <v>0</v>
      </c>
    </row>
    <row r="61" spans="3:7" x14ac:dyDescent="0.25">
      <c r="C61" s="127" t="str">
        <f>'Project Emission Distribution'!D55</f>
        <v>AN31</v>
      </c>
      <c r="D61" s="133" t="str">
        <f>IF('Project Details Entry'!D43&gt;0,'Project Details Entry'!D43,"")</f>
        <v/>
      </c>
      <c r="E61" s="133" t="str">
        <f>IF('Project Details Entry'!E43&gt;0,'Project Details Entry'!E43,"")</f>
        <v/>
      </c>
      <c r="F61" s="134">
        <f t="shared" si="2"/>
        <v>0</v>
      </c>
      <c r="G61" s="64"/>
    </row>
    <row r="62" spans="3:7" x14ac:dyDescent="0.25">
      <c r="C62" s="127" t="str">
        <f>'Project Emission Distribution'!D56</f>
        <v>AN32</v>
      </c>
      <c r="D62" s="133" t="str">
        <f>IF('Project Details Entry'!D44&gt;0,'Project Details Entry'!D44,"")</f>
        <v/>
      </c>
      <c r="E62" s="133" t="str">
        <f>IF('Project Details Entry'!E44&gt;0,'Project Details Entry'!E44,"")</f>
        <v/>
      </c>
      <c r="F62" s="134">
        <f t="shared" si="2"/>
        <v>0</v>
      </c>
      <c r="G62" s="115"/>
    </row>
    <row r="63" spans="3:7" x14ac:dyDescent="0.25">
      <c r="C63" s="127" t="str">
        <f>'Project Emission Distribution'!D57</f>
        <v>AN33</v>
      </c>
      <c r="D63" s="133" t="str">
        <f>IF('Project Details Entry'!D45&gt;0,'Project Details Entry'!D45,"")</f>
        <v/>
      </c>
      <c r="E63" s="133" t="str">
        <f>IF('Project Details Entry'!E45&gt;0,'Project Details Entry'!E45,"")</f>
        <v/>
      </c>
      <c r="F63" s="134">
        <f t="shared" si="2"/>
        <v>0</v>
      </c>
      <c r="G63" s="64"/>
    </row>
    <row r="64" spans="3:7" x14ac:dyDescent="0.25">
      <c r="C64" s="127" t="str">
        <f>'Project Emission Distribution'!D58</f>
        <v>AN34</v>
      </c>
      <c r="D64" s="133" t="str">
        <f>IF('Project Details Entry'!D46&gt;0,'Project Details Entry'!D46,"")</f>
        <v/>
      </c>
      <c r="E64" s="133" t="str">
        <f>IF('Project Details Entry'!E46&gt;0,'Project Details Entry'!E46,"")</f>
        <v/>
      </c>
      <c r="F64" s="134">
        <f t="shared" si="2"/>
        <v>0</v>
      </c>
    </row>
    <row r="65" spans="3:6" x14ac:dyDescent="0.25">
      <c r="C65" s="127" t="str">
        <f>'Project Emission Distribution'!D59</f>
        <v>AN35</v>
      </c>
      <c r="D65" s="133" t="str">
        <f>IF('Project Details Entry'!D47&gt;0,'Project Details Entry'!D47,"")</f>
        <v/>
      </c>
      <c r="E65" s="133" t="str">
        <f>IF('Project Details Entry'!E47&gt;0,'Project Details Entry'!E47,"")</f>
        <v/>
      </c>
      <c r="F65" s="134">
        <f t="shared" si="2"/>
        <v>0</v>
      </c>
    </row>
    <row r="66" spans="3:6" x14ac:dyDescent="0.25">
      <c r="C66" s="127" t="str">
        <f>'Project Emission Distribution'!D60</f>
        <v>AN36</v>
      </c>
      <c r="D66" s="133" t="str">
        <f>IF('Project Details Entry'!D48&gt;0,'Project Details Entry'!D48,"")</f>
        <v/>
      </c>
      <c r="E66" s="133" t="str">
        <f>IF('Project Details Entry'!E48&gt;0,'Project Details Entry'!E48,"")</f>
        <v/>
      </c>
      <c r="F66" s="134">
        <f t="shared" si="2"/>
        <v>0</v>
      </c>
    </row>
    <row r="67" spans="3:6" x14ac:dyDescent="0.25">
      <c r="C67" s="127" t="str">
        <f>'Project Emission Distribution'!D61</f>
        <v>AN37</v>
      </c>
      <c r="D67" s="133" t="str">
        <f>IF('Project Details Entry'!D49&gt;0,'Project Details Entry'!D49,"")</f>
        <v/>
      </c>
      <c r="E67" s="133" t="str">
        <f>IF('Project Details Entry'!E49&gt;0,'Project Details Entry'!E49,"")</f>
        <v/>
      </c>
      <c r="F67" s="134">
        <f t="shared" si="2"/>
        <v>0</v>
      </c>
    </row>
    <row r="68" spans="3:6" x14ac:dyDescent="0.25">
      <c r="C68" s="127" t="str">
        <f>'Project Emission Distribution'!D62</f>
        <v>AN38</v>
      </c>
      <c r="D68" s="133" t="str">
        <f>IF('Project Details Entry'!D50&gt;0,'Project Details Entry'!D50,"")</f>
        <v/>
      </c>
      <c r="E68" s="133" t="str">
        <f>IF('Project Details Entry'!E50&gt;0,'Project Details Entry'!E50,"")</f>
        <v/>
      </c>
      <c r="F68" s="134">
        <f t="shared" si="2"/>
        <v>0</v>
      </c>
    </row>
    <row r="69" spans="3:6" x14ac:dyDescent="0.25">
      <c r="C69" s="127" t="str">
        <f>'Project Emission Distribution'!D63</f>
        <v>AN39</v>
      </c>
      <c r="D69" s="133" t="str">
        <f>IF('Project Details Entry'!D51&gt;0,'Project Details Entry'!D51,"")</f>
        <v/>
      </c>
      <c r="E69" s="133" t="str">
        <f>IF('Project Details Entry'!E51&gt;0,'Project Details Entry'!E51,"")</f>
        <v/>
      </c>
      <c r="F69" s="134">
        <f t="shared" si="2"/>
        <v>0</v>
      </c>
    </row>
    <row r="70" spans="3:6" x14ac:dyDescent="0.25">
      <c r="C70" s="127" t="str">
        <f>'Project Emission Distribution'!D64</f>
        <v>AN40</v>
      </c>
      <c r="D70" s="133" t="str">
        <f>IF('Project Details Entry'!D52&gt;0,'Project Details Entry'!D52,"")</f>
        <v/>
      </c>
      <c r="E70" s="133" t="str">
        <f>IF('Project Details Entry'!E52&gt;0,'Project Details Entry'!E52,"")</f>
        <v/>
      </c>
      <c r="F70" s="134">
        <f t="shared" si="2"/>
        <v>0</v>
      </c>
    </row>
    <row r="71" spans="3:6" x14ac:dyDescent="0.25">
      <c r="C71" s="127" t="str">
        <f>'Project Emission Distribution'!D65</f>
        <v>AN41</v>
      </c>
      <c r="D71" s="133" t="str">
        <f>IF('Project Details Entry'!D53&gt;0,'Project Details Entry'!D53,"")</f>
        <v/>
      </c>
      <c r="E71" s="133" t="str">
        <f>IF('Project Details Entry'!E53&gt;0,'Project Details Entry'!E53,"")</f>
        <v/>
      </c>
      <c r="F71" s="134">
        <f t="shared" si="2"/>
        <v>0</v>
      </c>
    </row>
    <row r="72" spans="3:6" x14ac:dyDescent="0.25">
      <c r="C72" s="127" t="str">
        <f>'Project Emission Distribution'!D66</f>
        <v>AN42</v>
      </c>
      <c r="D72" s="133" t="str">
        <f>IF('Project Details Entry'!D54&gt;0,'Project Details Entry'!D54,"")</f>
        <v/>
      </c>
      <c r="E72" s="133" t="str">
        <f>IF('Project Details Entry'!E54&gt;0,'Project Details Entry'!E54,"")</f>
        <v/>
      </c>
      <c r="F72" s="134">
        <f t="shared" si="2"/>
        <v>0</v>
      </c>
    </row>
    <row r="73" spans="3:6" x14ac:dyDescent="0.25">
      <c r="C73" s="127" t="str">
        <f>'Project Emission Distribution'!D67</f>
        <v>AN43</v>
      </c>
      <c r="D73" s="133" t="str">
        <f>IF('Project Details Entry'!D55&gt;0,'Project Details Entry'!D55,"")</f>
        <v/>
      </c>
      <c r="E73" s="133" t="str">
        <f>IF('Project Details Entry'!E55&gt;0,'Project Details Entry'!E55,"")</f>
        <v/>
      </c>
      <c r="F73" s="134">
        <f t="shared" si="2"/>
        <v>0</v>
      </c>
    </row>
    <row r="74" spans="3:6" x14ac:dyDescent="0.25">
      <c r="C74" s="127" t="str">
        <f>'Project Emission Distribution'!D68</f>
        <v>AN44</v>
      </c>
      <c r="D74" s="133" t="str">
        <f>IF('Project Details Entry'!D56&gt;0,'Project Details Entry'!D56,"")</f>
        <v/>
      </c>
      <c r="E74" s="133" t="str">
        <f>IF('Project Details Entry'!E56&gt;0,'Project Details Entry'!E56,"")</f>
        <v/>
      </c>
      <c r="F74" s="134">
        <f t="shared" si="2"/>
        <v>0</v>
      </c>
    </row>
    <row r="75" spans="3:6" x14ac:dyDescent="0.25">
      <c r="C75" s="127" t="str">
        <f>'Project Emission Distribution'!D69</f>
        <v>AN45</v>
      </c>
      <c r="D75" s="133" t="str">
        <f>IF('Project Details Entry'!D57&gt;0,'Project Details Entry'!D57,"")</f>
        <v/>
      </c>
      <c r="E75" s="133" t="str">
        <f>IF('Project Details Entry'!E57&gt;0,'Project Details Entry'!E57,"")</f>
        <v/>
      </c>
      <c r="F75" s="134">
        <f t="shared" si="2"/>
        <v>0</v>
      </c>
    </row>
    <row r="76" spans="3:6" x14ac:dyDescent="0.25">
      <c r="C76" s="127" t="str">
        <f>'Project Emission Distribution'!D70</f>
        <v>AN46</v>
      </c>
      <c r="D76" s="133" t="str">
        <f>IF('Project Details Entry'!D58&gt;0,'Project Details Entry'!D58,"")</f>
        <v/>
      </c>
      <c r="E76" s="133" t="str">
        <f>IF('Project Details Entry'!E58&gt;0,'Project Details Entry'!E58,"")</f>
        <v/>
      </c>
      <c r="F76" s="134">
        <f t="shared" si="2"/>
        <v>0</v>
      </c>
    </row>
    <row r="77" spans="3:6" x14ac:dyDescent="0.25">
      <c r="C77" s="127" t="str">
        <f>'Project Emission Distribution'!D71</f>
        <v>AN47</v>
      </c>
      <c r="D77" s="133" t="str">
        <f>IF('Project Details Entry'!D59&gt;0,'Project Details Entry'!D59,"")</f>
        <v/>
      </c>
      <c r="E77" s="133" t="str">
        <f>IF('Project Details Entry'!E59&gt;0,'Project Details Entry'!E59,"")</f>
        <v/>
      </c>
      <c r="F77" s="134">
        <f t="shared" si="2"/>
        <v>0</v>
      </c>
    </row>
    <row r="78" spans="3:6" x14ac:dyDescent="0.25">
      <c r="C78" s="127" t="str">
        <f>'Project Emission Distribution'!D72</f>
        <v>AN48</v>
      </c>
      <c r="D78" s="133" t="str">
        <f>IF('Project Details Entry'!D60&gt;0,'Project Details Entry'!D60,"")</f>
        <v/>
      </c>
      <c r="E78" s="133" t="str">
        <f>IF('Project Details Entry'!E60&gt;0,'Project Details Entry'!E60,"")</f>
        <v/>
      </c>
      <c r="F78" s="134">
        <f t="shared" si="2"/>
        <v>0</v>
      </c>
    </row>
    <row r="79" spans="3:6" x14ac:dyDescent="0.25">
      <c r="C79" s="127" t="str">
        <f>'Project Emission Distribution'!D73</f>
        <v>AN49</v>
      </c>
      <c r="D79" s="133" t="str">
        <f>IF('Project Details Entry'!D61&gt;0,'Project Details Entry'!D61,"")</f>
        <v/>
      </c>
      <c r="E79" s="133" t="str">
        <f>IF('Project Details Entry'!E61&gt;0,'Project Details Entry'!E61,"")</f>
        <v/>
      </c>
      <c r="F79" s="134">
        <f t="shared" si="2"/>
        <v>0</v>
      </c>
    </row>
    <row r="80" spans="3:6" x14ac:dyDescent="0.25">
      <c r="C80" s="127" t="str">
        <f>'Project Emission Distribution'!D74</f>
        <v>AN50</v>
      </c>
      <c r="D80" s="133" t="str">
        <f>IF('Project Details Entry'!D62&gt;0,'Project Details Entry'!D62,"")</f>
        <v/>
      </c>
      <c r="E80" s="133" t="str">
        <f>IF('Project Details Entry'!E62&gt;0,'Project Details Entry'!E62,"")</f>
        <v/>
      </c>
      <c r="F80" s="134">
        <f t="shared" si="2"/>
        <v>0</v>
      </c>
    </row>
    <row r="81" spans="3:6" x14ac:dyDescent="0.25">
      <c r="C81" s="127" t="str">
        <f>'Project Emission Distribution'!D75</f>
        <v>AN51</v>
      </c>
      <c r="D81" s="133" t="str">
        <f>IF('Project Details Entry'!D63&gt;0,'Project Details Entry'!D63,"")</f>
        <v/>
      </c>
      <c r="E81" s="133" t="str">
        <f>IF('Project Details Entry'!E63&gt;0,'Project Details Entry'!E63,"")</f>
        <v/>
      </c>
      <c r="F81" s="134">
        <f t="shared" si="2"/>
        <v>0</v>
      </c>
    </row>
    <row r="82" spans="3:6" x14ac:dyDescent="0.25">
      <c r="C82" s="127" t="str">
        <f>'Project Emission Distribution'!D76</f>
        <v>AN52</v>
      </c>
      <c r="D82" s="133" t="str">
        <f>IF('Project Details Entry'!D64&gt;0,'Project Details Entry'!D64,"")</f>
        <v/>
      </c>
      <c r="E82" s="133" t="str">
        <f>IF('Project Details Entry'!E64&gt;0,'Project Details Entry'!E64,"")</f>
        <v/>
      </c>
      <c r="F82" s="134">
        <f t="shared" si="2"/>
        <v>0</v>
      </c>
    </row>
    <row r="83" spans="3:6" x14ac:dyDescent="0.25">
      <c r="C83" s="127" t="str">
        <f>'Project Emission Distribution'!D77</f>
        <v>AN53</v>
      </c>
      <c r="D83" s="133" t="str">
        <f>IF('Project Details Entry'!D65&gt;0,'Project Details Entry'!D65,"")</f>
        <v/>
      </c>
      <c r="E83" s="133" t="str">
        <f>IF('Project Details Entry'!E65&gt;0,'Project Details Entry'!E65,"")</f>
        <v/>
      </c>
      <c r="F83" s="134">
        <f t="shared" si="2"/>
        <v>0</v>
      </c>
    </row>
    <row r="84" spans="3:6" x14ac:dyDescent="0.25">
      <c r="C84" s="127" t="str">
        <f>'Project Emission Distribution'!D78</f>
        <v>AN54</v>
      </c>
      <c r="D84" s="133" t="str">
        <f>IF('Project Details Entry'!D66&gt;0,'Project Details Entry'!D66,"")</f>
        <v/>
      </c>
      <c r="E84" s="133" t="str">
        <f>IF('Project Details Entry'!E66&gt;0,'Project Details Entry'!E66,"")</f>
        <v/>
      </c>
      <c r="F84" s="134">
        <f t="shared" si="2"/>
        <v>0</v>
      </c>
    </row>
    <row r="85" spans="3:6" x14ac:dyDescent="0.25">
      <c r="C85" s="127" t="str">
        <f>'Project Emission Distribution'!D79</f>
        <v>AN55</v>
      </c>
      <c r="D85" s="133" t="str">
        <f>IF('Project Details Entry'!D67&gt;0,'Project Details Entry'!D67,"")</f>
        <v/>
      </c>
      <c r="E85" s="133" t="str">
        <f>IF('Project Details Entry'!E67&gt;0,'Project Details Entry'!E67,"")</f>
        <v/>
      </c>
      <c r="F85" s="134">
        <f t="shared" si="2"/>
        <v>0</v>
      </c>
    </row>
    <row r="86" spans="3:6" x14ac:dyDescent="0.25">
      <c r="C86" s="127" t="str">
        <f>'Project Emission Distribution'!D80</f>
        <v>AN56</v>
      </c>
      <c r="D86" s="133" t="str">
        <f>IF('Project Details Entry'!D68&gt;0,'Project Details Entry'!D68,"")</f>
        <v/>
      </c>
      <c r="E86" s="133" t="str">
        <f>IF('Project Details Entry'!E68&gt;0,'Project Details Entry'!E68,"")</f>
        <v/>
      </c>
      <c r="F86" s="134">
        <f t="shared" si="2"/>
        <v>0</v>
      </c>
    </row>
    <row r="87" spans="3:6" x14ac:dyDescent="0.25">
      <c r="C87" s="127" t="str">
        <f>'Project Emission Distribution'!D81</f>
        <v>AN57</v>
      </c>
      <c r="D87" s="133" t="str">
        <f>IF('Project Details Entry'!D69&gt;0,'Project Details Entry'!D69,"")</f>
        <v/>
      </c>
      <c r="E87" s="133" t="str">
        <f>IF('Project Details Entry'!E69&gt;0,'Project Details Entry'!E69,"")</f>
        <v/>
      </c>
      <c r="F87" s="134">
        <f t="shared" si="2"/>
        <v>0</v>
      </c>
    </row>
    <row r="88" spans="3:6" x14ac:dyDescent="0.25">
      <c r="C88" s="127" t="str">
        <f>'Project Emission Distribution'!D82</f>
        <v>AN58</v>
      </c>
      <c r="D88" s="133" t="str">
        <f>IF('Project Details Entry'!D70&gt;0,'Project Details Entry'!D70,"")</f>
        <v/>
      </c>
      <c r="E88" s="133" t="str">
        <f>IF('Project Details Entry'!E70&gt;0,'Project Details Entry'!E70,"")</f>
        <v/>
      </c>
      <c r="F88" s="134">
        <f t="shared" si="2"/>
        <v>0</v>
      </c>
    </row>
    <row r="89" spans="3:6" x14ac:dyDescent="0.25">
      <c r="C89" s="127" t="str">
        <f>'Project Emission Distribution'!D83</f>
        <v>AN59</v>
      </c>
      <c r="D89" s="133" t="str">
        <f>IF('Project Details Entry'!D71&gt;0,'Project Details Entry'!D71,"")</f>
        <v/>
      </c>
      <c r="E89" s="133" t="str">
        <f>IF('Project Details Entry'!E71&gt;0,'Project Details Entry'!E71,"")</f>
        <v/>
      </c>
      <c r="F89" s="134">
        <f t="shared" si="2"/>
        <v>0</v>
      </c>
    </row>
    <row r="90" spans="3:6" x14ac:dyDescent="0.25">
      <c r="C90" s="127" t="str">
        <f>'Project Emission Distribution'!D84</f>
        <v>AN60</v>
      </c>
      <c r="D90" s="133" t="str">
        <f>IF('Project Details Entry'!D72&gt;0,'Project Details Entry'!D72,"")</f>
        <v/>
      </c>
      <c r="E90" s="133" t="str">
        <f>IF('Project Details Entry'!E72&gt;0,'Project Details Entry'!E72,"")</f>
        <v/>
      </c>
      <c r="F90" s="134">
        <f t="shared" si="2"/>
        <v>0</v>
      </c>
    </row>
    <row r="103" spans="4:5" ht="63.75" x14ac:dyDescent="0.25">
      <c r="D103" s="235" t="s">
        <v>5</v>
      </c>
      <c r="E103" s="233" t="s">
        <v>159</v>
      </c>
    </row>
    <row r="104" spans="4:5" x14ac:dyDescent="0.25">
      <c r="D104" s="128">
        <v>44562</v>
      </c>
      <c r="E104" s="130">
        <f>$G$14</f>
        <v>3.6187230277892883E-2</v>
      </c>
    </row>
    <row r="105" spans="4:5" x14ac:dyDescent="0.25">
      <c r="D105" s="128">
        <v>44563</v>
      </c>
      <c r="E105" s="130">
        <f t="shared" ref="E105:E134" si="3">$G$14</f>
        <v>3.6187230277892883E-2</v>
      </c>
    </row>
    <row r="106" spans="4:5" x14ac:dyDescent="0.25">
      <c r="D106" s="128">
        <v>44564</v>
      </c>
      <c r="E106" s="130">
        <f t="shared" si="3"/>
        <v>3.6187230277892883E-2</v>
      </c>
    </row>
    <row r="107" spans="4:5" x14ac:dyDescent="0.25">
      <c r="D107" s="128">
        <v>44565</v>
      </c>
      <c r="E107" s="130">
        <f t="shared" si="3"/>
        <v>3.6187230277892883E-2</v>
      </c>
    </row>
    <row r="108" spans="4:5" x14ac:dyDescent="0.25">
      <c r="D108" s="128">
        <v>44566</v>
      </c>
      <c r="E108" s="130">
        <f t="shared" si="3"/>
        <v>3.6187230277892883E-2</v>
      </c>
    </row>
    <row r="109" spans="4:5" x14ac:dyDescent="0.25">
      <c r="D109" s="128">
        <v>44567</v>
      </c>
      <c r="E109" s="130">
        <f t="shared" si="3"/>
        <v>3.6187230277892883E-2</v>
      </c>
    </row>
    <row r="110" spans="4:5" x14ac:dyDescent="0.25">
      <c r="D110" s="128">
        <v>44568</v>
      </c>
      <c r="E110" s="130">
        <f t="shared" si="3"/>
        <v>3.6187230277892883E-2</v>
      </c>
    </row>
    <row r="111" spans="4:5" x14ac:dyDescent="0.25">
      <c r="D111" s="128">
        <v>44569</v>
      </c>
      <c r="E111" s="130">
        <f t="shared" si="3"/>
        <v>3.6187230277892883E-2</v>
      </c>
    </row>
    <row r="112" spans="4:5" x14ac:dyDescent="0.25">
      <c r="D112" s="128">
        <v>44570</v>
      </c>
      <c r="E112" s="130">
        <f t="shared" si="3"/>
        <v>3.6187230277892883E-2</v>
      </c>
    </row>
    <row r="113" spans="4:5" x14ac:dyDescent="0.25">
      <c r="D113" s="128">
        <v>44571</v>
      </c>
      <c r="E113" s="130">
        <f t="shared" si="3"/>
        <v>3.6187230277892883E-2</v>
      </c>
    </row>
    <row r="114" spans="4:5" x14ac:dyDescent="0.25">
      <c r="D114" s="128">
        <v>44572</v>
      </c>
      <c r="E114" s="130">
        <f t="shared" si="3"/>
        <v>3.6187230277892883E-2</v>
      </c>
    </row>
    <row r="115" spans="4:5" x14ac:dyDescent="0.25">
      <c r="D115" s="128">
        <v>44573</v>
      </c>
      <c r="E115" s="130">
        <f t="shared" si="3"/>
        <v>3.6187230277892883E-2</v>
      </c>
    </row>
    <row r="116" spans="4:5" x14ac:dyDescent="0.25">
      <c r="D116" s="128">
        <v>44574</v>
      </c>
      <c r="E116" s="130">
        <f t="shared" si="3"/>
        <v>3.6187230277892883E-2</v>
      </c>
    </row>
    <row r="117" spans="4:5" x14ac:dyDescent="0.25">
      <c r="D117" s="128">
        <v>44575</v>
      </c>
      <c r="E117" s="130">
        <f t="shared" si="3"/>
        <v>3.6187230277892883E-2</v>
      </c>
    </row>
    <row r="118" spans="4:5" x14ac:dyDescent="0.25">
      <c r="D118" s="128">
        <v>44576</v>
      </c>
      <c r="E118" s="130">
        <f t="shared" si="3"/>
        <v>3.6187230277892883E-2</v>
      </c>
    </row>
    <row r="119" spans="4:5" x14ac:dyDescent="0.25">
      <c r="D119" s="128">
        <v>44577</v>
      </c>
      <c r="E119" s="130">
        <f t="shared" si="3"/>
        <v>3.6187230277892883E-2</v>
      </c>
    </row>
    <row r="120" spans="4:5" x14ac:dyDescent="0.25">
      <c r="D120" s="128">
        <v>44578</v>
      </c>
      <c r="E120" s="130">
        <f t="shared" si="3"/>
        <v>3.6187230277892883E-2</v>
      </c>
    </row>
    <row r="121" spans="4:5" x14ac:dyDescent="0.25">
      <c r="D121" s="128">
        <v>44579</v>
      </c>
      <c r="E121" s="130">
        <f t="shared" si="3"/>
        <v>3.6187230277892883E-2</v>
      </c>
    </row>
    <row r="122" spans="4:5" x14ac:dyDescent="0.25">
      <c r="D122" s="128">
        <v>44580</v>
      </c>
      <c r="E122" s="130">
        <f t="shared" si="3"/>
        <v>3.6187230277892883E-2</v>
      </c>
    </row>
    <row r="123" spans="4:5" x14ac:dyDescent="0.25">
      <c r="D123" s="128">
        <v>44581</v>
      </c>
      <c r="E123" s="130">
        <f t="shared" si="3"/>
        <v>3.6187230277892883E-2</v>
      </c>
    </row>
    <row r="124" spans="4:5" x14ac:dyDescent="0.25">
      <c r="D124" s="128">
        <v>44582</v>
      </c>
      <c r="E124" s="130">
        <f t="shared" si="3"/>
        <v>3.6187230277892883E-2</v>
      </c>
    </row>
    <row r="125" spans="4:5" x14ac:dyDescent="0.25">
      <c r="D125" s="128">
        <v>44583</v>
      </c>
      <c r="E125" s="130">
        <f t="shared" si="3"/>
        <v>3.6187230277892883E-2</v>
      </c>
    </row>
    <row r="126" spans="4:5" x14ac:dyDescent="0.25">
      <c r="D126" s="128">
        <v>44584</v>
      </c>
      <c r="E126" s="130">
        <f t="shared" si="3"/>
        <v>3.6187230277892883E-2</v>
      </c>
    </row>
    <row r="127" spans="4:5" x14ac:dyDescent="0.25">
      <c r="D127" s="128">
        <v>44585</v>
      </c>
      <c r="E127" s="130">
        <f t="shared" si="3"/>
        <v>3.6187230277892883E-2</v>
      </c>
    </row>
    <row r="128" spans="4:5" x14ac:dyDescent="0.25">
      <c r="D128" s="128">
        <v>44586</v>
      </c>
      <c r="E128" s="130">
        <f t="shared" si="3"/>
        <v>3.6187230277892883E-2</v>
      </c>
    </row>
    <row r="129" spans="4:5" x14ac:dyDescent="0.25">
      <c r="D129" s="128">
        <v>44587</v>
      </c>
      <c r="E129" s="130">
        <f t="shared" si="3"/>
        <v>3.6187230277892883E-2</v>
      </c>
    </row>
    <row r="130" spans="4:5" x14ac:dyDescent="0.25">
      <c r="D130" s="128">
        <v>44588</v>
      </c>
      <c r="E130" s="130">
        <f t="shared" si="3"/>
        <v>3.6187230277892883E-2</v>
      </c>
    </row>
    <row r="131" spans="4:5" x14ac:dyDescent="0.25">
      <c r="D131" s="128">
        <v>44589</v>
      </c>
      <c r="E131" s="130">
        <f t="shared" si="3"/>
        <v>3.6187230277892883E-2</v>
      </c>
    </row>
    <row r="132" spans="4:5" x14ac:dyDescent="0.25">
      <c r="D132" s="128">
        <v>44590</v>
      </c>
      <c r="E132" s="130">
        <f t="shared" si="3"/>
        <v>3.6187230277892883E-2</v>
      </c>
    </row>
    <row r="133" spans="4:5" x14ac:dyDescent="0.25">
      <c r="D133" s="128">
        <v>44591</v>
      </c>
      <c r="E133" s="130">
        <f t="shared" si="3"/>
        <v>3.6187230277892883E-2</v>
      </c>
    </row>
    <row r="134" spans="4:5" x14ac:dyDescent="0.25">
      <c r="D134" s="128">
        <v>44592</v>
      </c>
      <c r="E134" s="130">
        <f t="shared" si="3"/>
        <v>3.6187230277892883E-2</v>
      </c>
    </row>
    <row r="135" spans="4:5" x14ac:dyDescent="0.25">
      <c r="D135" s="128">
        <v>44593</v>
      </c>
      <c r="E135" s="130">
        <f>$G$15</f>
        <v>0</v>
      </c>
    </row>
    <row r="136" spans="4:5" x14ac:dyDescent="0.25">
      <c r="D136" s="128">
        <v>44594</v>
      </c>
      <c r="E136" s="130">
        <f t="shared" ref="E136:E162" si="4">$G$15</f>
        <v>0</v>
      </c>
    </row>
    <row r="137" spans="4:5" x14ac:dyDescent="0.25">
      <c r="D137" s="128">
        <v>44595</v>
      </c>
      <c r="E137" s="130">
        <f t="shared" si="4"/>
        <v>0</v>
      </c>
    </row>
    <row r="138" spans="4:5" x14ac:dyDescent="0.25">
      <c r="D138" s="128">
        <v>44596</v>
      </c>
      <c r="E138" s="130">
        <f t="shared" si="4"/>
        <v>0</v>
      </c>
    </row>
    <row r="139" spans="4:5" x14ac:dyDescent="0.25">
      <c r="D139" s="128">
        <v>44597</v>
      </c>
      <c r="E139" s="130">
        <f t="shared" si="4"/>
        <v>0</v>
      </c>
    </row>
    <row r="140" spans="4:5" x14ac:dyDescent="0.25">
      <c r="D140" s="128">
        <v>44598</v>
      </c>
      <c r="E140" s="130">
        <f t="shared" si="4"/>
        <v>0</v>
      </c>
    </row>
    <row r="141" spans="4:5" x14ac:dyDescent="0.25">
      <c r="D141" s="128">
        <v>44599</v>
      </c>
      <c r="E141" s="130">
        <f t="shared" si="4"/>
        <v>0</v>
      </c>
    </row>
    <row r="142" spans="4:5" x14ac:dyDescent="0.25">
      <c r="D142" s="128">
        <v>44600</v>
      </c>
      <c r="E142" s="130">
        <f t="shared" si="4"/>
        <v>0</v>
      </c>
    </row>
    <row r="143" spans="4:5" x14ac:dyDescent="0.25">
      <c r="D143" s="128">
        <v>44601</v>
      </c>
      <c r="E143" s="130">
        <f t="shared" si="4"/>
        <v>0</v>
      </c>
    </row>
    <row r="144" spans="4:5" x14ac:dyDescent="0.25">
      <c r="D144" s="128">
        <v>44602</v>
      </c>
      <c r="E144" s="130">
        <f t="shared" si="4"/>
        <v>0</v>
      </c>
    </row>
    <row r="145" spans="4:5" x14ac:dyDescent="0.25">
      <c r="D145" s="128">
        <v>44603</v>
      </c>
      <c r="E145" s="130">
        <f t="shared" si="4"/>
        <v>0</v>
      </c>
    </row>
    <row r="146" spans="4:5" x14ac:dyDescent="0.25">
      <c r="D146" s="128">
        <v>44604</v>
      </c>
      <c r="E146" s="130">
        <f t="shared" si="4"/>
        <v>0</v>
      </c>
    </row>
    <row r="147" spans="4:5" x14ac:dyDescent="0.25">
      <c r="D147" s="128">
        <v>44605</v>
      </c>
      <c r="E147" s="130">
        <f t="shared" si="4"/>
        <v>0</v>
      </c>
    </row>
    <row r="148" spans="4:5" x14ac:dyDescent="0.25">
      <c r="D148" s="128">
        <v>44606</v>
      </c>
      <c r="E148" s="130">
        <f t="shared" si="4"/>
        <v>0</v>
      </c>
    </row>
    <row r="149" spans="4:5" x14ac:dyDescent="0.25">
      <c r="D149" s="128">
        <v>44607</v>
      </c>
      <c r="E149" s="130">
        <f t="shared" si="4"/>
        <v>0</v>
      </c>
    </row>
    <row r="150" spans="4:5" x14ac:dyDescent="0.25">
      <c r="D150" s="128">
        <v>44608</v>
      </c>
      <c r="E150" s="130">
        <f t="shared" si="4"/>
        <v>0</v>
      </c>
    </row>
    <row r="151" spans="4:5" x14ac:dyDescent="0.25">
      <c r="D151" s="128">
        <v>44609</v>
      </c>
      <c r="E151" s="130">
        <f t="shared" si="4"/>
        <v>0</v>
      </c>
    </row>
    <row r="152" spans="4:5" x14ac:dyDescent="0.25">
      <c r="D152" s="128">
        <v>44610</v>
      </c>
      <c r="E152" s="130">
        <f t="shared" si="4"/>
        <v>0</v>
      </c>
    </row>
    <row r="153" spans="4:5" x14ac:dyDescent="0.25">
      <c r="D153" s="128">
        <v>44611</v>
      </c>
      <c r="E153" s="130">
        <f t="shared" si="4"/>
        <v>0</v>
      </c>
    </row>
    <row r="154" spans="4:5" x14ac:dyDescent="0.25">
      <c r="D154" s="128">
        <v>44612</v>
      </c>
      <c r="E154" s="130">
        <f t="shared" si="4"/>
        <v>0</v>
      </c>
    </row>
    <row r="155" spans="4:5" x14ac:dyDescent="0.25">
      <c r="D155" s="128">
        <v>44613</v>
      </c>
      <c r="E155" s="130">
        <f t="shared" si="4"/>
        <v>0</v>
      </c>
    </row>
    <row r="156" spans="4:5" x14ac:dyDescent="0.25">
      <c r="D156" s="128">
        <v>44614</v>
      </c>
      <c r="E156" s="130">
        <f t="shared" si="4"/>
        <v>0</v>
      </c>
    </row>
    <row r="157" spans="4:5" x14ac:dyDescent="0.25">
      <c r="D157" s="128">
        <v>44615</v>
      </c>
      <c r="E157" s="130">
        <f t="shared" si="4"/>
        <v>0</v>
      </c>
    </row>
    <row r="158" spans="4:5" x14ac:dyDescent="0.25">
      <c r="D158" s="128">
        <v>44616</v>
      </c>
      <c r="E158" s="130">
        <f t="shared" si="4"/>
        <v>0</v>
      </c>
    </row>
    <row r="159" spans="4:5" x14ac:dyDescent="0.25">
      <c r="D159" s="128">
        <v>44617</v>
      </c>
      <c r="E159" s="130">
        <f t="shared" si="4"/>
        <v>0</v>
      </c>
    </row>
    <row r="160" spans="4:5" x14ac:dyDescent="0.25">
      <c r="D160" s="128">
        <v>44618</v>
      </c>
      <c r="E160" s="130">
        <f t="shared" si="4"/>
        <v>0</v>
      </c>
    </row>
    <row r="161" spans="4:5" x14ac:dyDescent="0.25">
      <c r="D161" s="128">
        <v>44619</v>
      </c>
      <c r="E161" s="130">
        <f t="shared" si="4"/>
        <v>0</v>
      </c>
    </row>
    <row r="162" spans="4:5" x14ac:dyDescent="0.25">
      <c r="D162" s="128">
        <v>44620</v>
      </c>
      <c r="E162" s="130">
        <f t="shared" si="4"/>
        <v>0</v>
      </c>
    </row>
    <row r="163" spans="4:5" x14ac:dyDescent="0.25">
      <c r="D163" s="128">
        <v>44621</v>
      </c>
      <c r="E163" s="130">
        <f>$G$16</f>
        <v>0</v>
      </c>
    </row>
    <row r="164" spans="4:5" x14ac:dyDescent="0.25">
      <c r="D164" s="128">
        <v>44622</v>
      </c>
      <c r="E164" s="130">
        <f t="shared" ref="E164:E193" si="5">$G$16</f>
        <v>0</v>
      </c>
    </row>
    <row r="165" spans="4:5" x14ac:dyDescent="0.25">
      <c r="D165" s="128">
        <v>44623</v>
      </c>
      <c r="E165" s="130">
        <f t="shared" si="5"/>
        <v>0</v>
      </c>
    </row>
    <row r="166" spans="4:5" x14ac:dyDescent="0.25">
      <c r="D166" s="128">
        <v>44624</v>
      </c>
      <c r="E166" s="130">
        <f t="shared" si="5"/>
        <v>0</v>
      </c>
    </row>
    <row r="167" spans="4:5" x14ac:dyDescent="0.25">
      <c r="D167" s="128">
        <v>44625</v>
      </c>
      <c r="E167" s="130">
        <f t="shared" si="5"/>
        <v>0</v>
      </c>
    </row>
    <row r="168" spans="4:5" x14ac:dyDescent="0.25">
      <c r="D168" s="128">
        <v>44626</v>
      </c>
      <c r="E168" s="130">
        <f t="shared" si="5"/>
        <v>0</v>
      </c>
    </row>
    <row r="169" spans="4:5" x14ac:dyDescent="0.25">
      <c r="D169" s="128">
        <v>44627</v>
      </c>
      <c r="E169" s="130">
        <f t="shared" si="5"/>
        <v>0</v>
      </c>
    </row>
    <row r="170" spans="4:5" x14ac:dyDescent="0.25">
      <c r="D170" s="128">
        <v>44628</v>
      </c>
      <c r="E170" s="130">
        <f t="shared" si="5"/>
        <v>0</v>
      </c>
    </row>
    <row r="171" spans="4:5" x14ac:dyDescent="0.25">
      <c r="D171" s="128">
        <v>44629</v>
      </c>
      <c r="E171" s="130">
        <f t="shared" si="5"/>
        <v>0</v>
      </c>
    </row>
    <row r="172" spans="4:5" x14ac:dyDescent="0.25">
      <c r="D172" s="128">
        <v>44630</v>
      </c>
      <c r="E172" s="130">
        <f t="shared" si="5"/>
        <v>0</v>
      </c>
    </row>
    <row r="173" spans="4:5" x14ac:dyDescent="0.25">
      <c r="D173" s="128">
        <v>44631</v>
      </c>
      <c r="E173" s="130">
        <f t="shared" si="5"/>
        <v>0</v>
      </c>
    </row>
    <row r="174" spans="4:5" x14ac:dyDescent="0.25">
      <c r="D174" s="128">
        <v>44632</v>
      </c>
      <c r="E174" s="130">
        <f t="shared" si="5"/>
        <v>0</v>
      </c>
    </row>
    <row r="175" spans="4:5" x14ac:dyDescent="0.25">
      <c r="D175" s="128">
        <v>44633</v>
      </c>
      <c r="E175" s="130">
        <f t="shared" si="5"/>
        <v>0</v>
      </c>
    </row>
    <row r="176" spans="4:5" x14ac:dyDescent="0.25">
      <c r="D176" s="128">
        <v>44634</v>
      </c>
      <c r="E176" s="130">
        <f t="shared" si="5"/>
        <v>0</v>
      </c>
    </row>
    <row r="177" spans="4:5" x14ac:dyDescent="0.25">
      <c r="D177" s="128">
        <v>44635</v>
      </c>
      <c r="E177" s="130">
        <f t="shared" si="5"/>
        <v>0</v>
      </c>
    </row>
    <row r="178" spans="4:5" x14ac:dyDescent="0.25">
      <c r="D178" s="128">
        <v>44636</v>
      </c>
      <c r="E178" s="130">
        <f t="shared" si="5"/>
        <v>0</v>
      </c>
    </row>
    <row r="179" spans="4:5" x14ac:dyDescent="0.25">
      <c r="D179" s="128">
        <v>44637</v>
      </c>
      <c r="E179" s="130">
        <f t="shared" si="5"/>
        <v>0</v>
      </c>
    </row>
    <row r="180" spans="4:5" x14ac:dyDescent="0.25">
      <c r="D180" s="128">
        <v>44638</v>
      </c>
      <c r="E180" s="130">
        <f t="shared" si="5"/>
        <v>0</v>
      </c>
    </row>
    <row r="181" spans="4:5" x14ac:dyDescent="0.25">
      <c r="D181" s="128">
        <v>44639</v>
      </c>
      <c r="E181" s="130">
        <f t="shared" si="5"/>
        <v>0</v>
      </c>
    </row>
    <row r="182" spans="4:5" x14ac:dyDescent="0.25">
      <c r="D182" s="128">
        <v>44640</v>
      </c>
      <c r="E182" s="130">
        <f t="shared" si="5"/>
        <v>0</v>
      </c>
    </row>
    <row r="183" spans="4:5" x14ac:dyDescent="0.25">
      <c r="D183" s="128">
        <v>44641</v>
      </c>
      <c r="E183" s="130">
        <f t="shared" si="5"/>
        <v>0</v>
      </c>
    </row>
    <row r="184" spans="4:5" x14ac:dyDescent="0.25">
      <c r="D184" s="128">
        <v>44642</v>
      </c>
      <c r="E184" s="130">
        <f t="shared" si="5"/>
        <v>0</v>
      </c>
    </row>
    <row r="185" spans="4:5" x14ac:dyDescent="0.25">
      <c r="D185" s="128">
        <v>44643</v>
      </c>
      <c r="E185" s="130">
        <f t="shared" si="5"/>
        <v>0</v>
      </c>
    </row>
    <row r="186" spans="4:5" x14ac:dyDescent="0.25">
      <c r="D186" s="128">
        <v>44644</v>
      </c>
      <c r="E186" s="130">
        <f t="shared" si="5"/>
        <v>0</v>
      </c>
    </row>
    <row r="187" spans="4:5" x14ac:dyDescent="0.25">
      <c r="D187" s="128">
        <v>44645</v>
      </c>
      <c r="E187" s="130">
        <f t="shared" si="5"/>
        <v>0</v>
      </c>
    </row>
    <row r="188" spans="4:5" x14ac:dyDescent="0.25">
      <c r="D188" s="128">
        <v>44646</v>
      </c>
      <c r="E188" s="130">
        <f t="shared" si="5"/>
        <v>0</v>
      </c>
    </row>
    <row r="189" spans="4:5" x14ac:dyDescent="0.25">
      <c r="D189" s="128">
        <v>44647</v>
      </c>
      <c r="E189" s="130">
        <f t="shared" si="5"/>
        <v>0</v>
      </c>
    </row>
    <row r="190" spans="4:5" x14ac:dyDescent="0.25">
      <c r="D190" s="128">
        <v>44648</v>
      </c>
      <c r="E190" s="130">
        <f t="shared" si="5"/>
        <v>0</v>
      </c>
    </row>
    <row r="191" spans="4:5" x14ac:dyDescent="0.25">
      <c r="D191" s="128">
        <v>44649</v>
      </c>
      <c r="E191" s="130">
        <f t="shared" si="5"/>
        <v>0</v>
      </c>
    </row>
    <row r="192" spans="4:5" x14ac:dyDescent="0.25">
      <c r="D192" s="128">
        <v>44650</v>
      </c>
      <c r="E192" s="130">
        <f t="shared" si="5"/>
        <v>0</v>
      </c>
    </row>
    <row r="193" spans="4:5" x14ac:dyDescent="0.25">
      <c r="D193" s="128">
        <v>44651</v>
      </c>
      <c r="E193" s="130">
        <f t="shared" si="5"/>
        <v>0</v>
      </c>
    </row>
    <row r="194" spans="4:5" x14ac:dyDescent="0.25">
      <c r="D194" s="128">
        <v>44652</v>
      </c>
      <c r="E194" s="130">
        <f>$G$17</f>
        <v>0</v>
      </c>
    </row>
    <row r="195" spans="4:5" x14ac:dyDescent="0.25">
      <c r="D195" s="128">
        <v>44653</v>
      </c>
      <c r="E195" s="130">
        <f t="shared" ref="E195:E223" si="6">$G$17</f>
        <v>0</v>
      </c>
    </row>
    <row r="196" spans="4:5" x14ac:dyDescent="0.25">
      <c r="D196" s="128">
        <v>44654</v>
      </c>
      <c r="E196" s="130">
        <f t="shared" si="6"/>
        <v>0</v>
      </c>
    </row>
    <row r="197" spans="4:5" x14ac:dyDescent="0.25">
      <c r="D197" s="128">
        <v>44655</v>
      </c>
      <c r="E197" s="130">
        <f t="shared" si="6"/>
        <v>0</v>
      </c>
    </row>
    <row r="198" spans="4:5" x14ac:dyDescent="0.25">
      <c r="D198" s="128">
        <v>44656</v>
      </c>
      <c r="E198" s="130">
        <f t="shared" si="6"/>
        <v>0</v>
      </c>
    </row>
    <row r="199" spans="4:5" x14ac:dyDescent="0.25">
      <c r="D199" s="128">
        <v>44657</v>
      </c>
      <c r="E199" s="130">
        <f t="shared" si="6"/>
        <v>0</v>
      </c>
    </row>
    <row r="200" spans="4:5" x14ac:dyDescent="0.25">
      <c r="D200" s="128">
        <v>44658</v>
      </c>
      <c r="E200" s="130">
        <f t="shared" si="6"/>
        <v>0</v>
      </c>
    </row>
    <row r="201" spans="4:5" x14ac:dyDescent="0.25">
      <c r="D201" s="128">
        <v>44659</v>
      </c>
      <c r="E201" s="130">
        <f t="shared" si="6"/>
        <v>0</v>
      </c>
    </row>
    <row r="202" spans="4:5" x14ac:dyDescent="0.25">
      <c r="D202" s="128">
        <v>44660</v>
      </c>
      <c r="E202" s="130">
        <f t="shared" si="6"/>
        <v>0</v>
      </c>
    </row>
    <row r="203" spans="4:5" x14ac:dyDescent="0.25">
      <c r="D203" s="128">
        <v>44661</v>
      </c>
      <c r="E203" s="130">
        <f t="shared" si="6"/>
        <v>0</v>
      </c>
    </row>
    <row r="204" spans="4:5" x14ac:dyDescent="0.25">
      <c r="D204" s="128">
        <v>44662</v>
      </c>
      <c r="E204" s="130">
        <f t="shared" si="6"/>
        <v>0</v>
      </c>
    </row>
    <row r="205" spans="4:5" x14ac:dyDescent="0.25">
      <c r="D205" s="128">
        <v>44663</v>
      </c>
      <c r="E205" s="130">
        <f t="shared" si="6"/>
        <v>0</v>
      </c>
    </row>
    <row r="206" spans="4:5" x14ac:dyDescent="0.25">
      <c r="D206" s="128">
        <v>44664</v>
      </c>
      <c r="E206" s="130">
        <f t="shared" si="6"/>
        <v>0</v>
      </c>
    </row>
    <row r="207" spans="4:5" x14ac:dyDescent="0.25">
      <c r="D207" s="128">
        <v>44665</v>
      </c>
      <c r="E207" s="130">
        <f t="shared" si="6"/>
        <v>0</v>
      </c>
    </row>
    <row r="208" spans="4:5" x14ac:dyDescent="0.25">
      <c r="D208" s="128">
        <v>44666</v>
      </c>
      <c r="E208" s="130">
        <f t="shared" si="6"/>
        <v>0</v>
      </c>
    </row>
    <row r="209" spans="4:5" x14ac:dyDescent="0.25">
      <c r="D209" s="128">
        <v>44667</v>
      </c>
      <c r="E209" s="130">
        <f t="shared" si="6"/>
        <v>0</v>
      </c>
    </row>
    <row r="210" spans="4:5" x14ac:dyDescent="0.25">
      <c r="D210" s="128">
        <v>44668</v>
      </c>
      <c r="E210" s="130">
        <f t="shared" si="6"/>
        <v>0</v>
      </c>
    </row>
    <row r="211" spans="4:5" x14ac:dyDescent="0.25">
      <c r="D211" s="128">
        <v>44669</v>
      </c>
      <c r="E211" s="130">
        <f t="shared" si="6"/>
        <v>0</v>
      </c>
    </row>
    <row r="212" spans="4:5" x14ac:dyDescent="0.25">
      <c r="D212" s="128">
        <v>44670</v>
      </c>
      <c r="E212" s="130">
        <f t="shared" si="6"/>
        <v>0</v>
      </c>
    </row>
    <row r="213" spans="4:5" x14ac:dyDescent="0.25">
      <c r="D213" s="128">
        <v>44671</v>
      </c>
      <c r="E213" s="130">
        <f t="shared" si="6"/>
        <v>0</v>
      </c>
    </row>
    <row r="214" spans="4:5" x14ac:dyDescent="0.25">
      <c r="D214" s="128">
        <v>44672</v>
      </c>
      <c r="E214" s="130">
        <f t="shared" si="6"/>
        <v>0</v>
      </c>
    </row>
    <row r="215" spans="4:5" x14ac:dyDescent="0.25">
      <c r="D215" s="128">
        <v>44673</v>
      </c>
      <c r="E215" s="130">
        <f t="shared" si="6"/>
        <v>0</v>
      </c>
    </row>
    <row r="216" spans="4:5" x14ac:dyDescent="0.25">
      <c r="D216" s="128">
        <v>44674</v>
      </c>
      <c r="E216" s="130">
        <f t="shared" si="6"/>
        <v>0</v>
      </c>
    </row>
    <row r="217" spans="4:5" x14ac:dyDescent="0.25">
      <c r="D217" s="128">
        <v>44675</v>
      </c>
      <c r="E217" s="130">
        <f t="shared" si="6"/>
        <v>0</v>
      </c>
    </row>
    <row r="218" spans="4:5" x14ac:dyDescent="0.25">
      <c r="D218" s="128">
        <v>44676</v>
      </c>
      <c r="E218" s="130">
        <f t="shared" si="6"/>
        <v>0</v>
      </c>
    </row>
    <row r="219" spans="4:5" x14ac:dyDescent="0.25">
      <c r="D219" s="128">
        <v>44677</v>
      </c>
      <c r="E219" s="130">
        <f t="shared" si="6"/>
        <v>0</v>
      </c>
    </row>
    <row r="220" spans="4:5" x14ac:dyDescent="0.25">
      <c r="D220" s="128">
        <v>44678</v>
      </c>
      <c r="E220" s="130">
        <f t="shared" si="6"/>
        <v>0</v>
      </c>
    </row>
    <row r="221" spans="4:5" x14ac:dyDescent="0.25">
      <c r="D221" s="128">
        <v>44679</v>
      </c>
      <c r="E221" s="130">
        <f t="shared" si="6"/>
        <v>0</v>
      </c>
    </row>
    <row r="222" spans="4:5" x14ac:dyDescent="0.25">
      <c r="D222" s="128">
        <v>44680</v>
      </c>
      <c r="E222" s="130">
        <f t="shared" si="6"/>
        <v>0</v>
      </c>
    </row>
    <row r="223" spans="4:5" x14ac:dyDescent="0.25">
      <c r="D223" s="128">
        <v>44681</v>
      </c>
      <c r="E223" s="130">
        <f t="shared" si="6"/>
        <v>0</v>
      </c>
    </row>
    <row r="224" spans="4:5" x14ac:dyDescent="0.25">
      <c r="D224" s="128">
        <v>44682</v>
      </c>
      <c r="E224" s="130">
        <f>$G$18</f>
        <v>0</v>
      </c>
    </row>
    <row r="225" spans="4:5" x14ac:dyDescent="0.25">
      <c r="D225" s="128">
        <v>44683</v>
      </c>
      <c r="E225" s="130">
        <f t="shared" ref="E225:E254" si="7">$G$18</f>
        <v>0</v>
      </c>
    </row>
    <row r="226" spans="4:5" x14ac:dyDescent="0.25">
      <c r="D226" s="128">
        <v>44684</v>
      </c>
      <c r="E226" s="130">
        <f t="shared" si="7"/>
        <v>0</v>
      </c>
    </row>
    <row r="227" spans="4:5" x14ac:dyDescent="0.25">
      <c r="D227" s="128">
        <v>44685</v>
      </c>
      <c r="E227" s="130">
        <f t="shared" si="7"/>
        <v>0</v>
      </c>
    </row>
    <row r="228" spans="4:5" x14ac:dyDescent="0.25">
      <c r="D228" s="128">
        <v>44686</v>
      </c>
      <c r="E228" s="130">
        <f t="shared" si="7"/>
        <v>0</v>
      </c>
    </row>
    <row r="229" spans="4:5" x14ac:dyDescent="0.25">
      <c r="D229" s="128">
        <v>44687</v>
      </c>
      <c r="E229" s="130">
        <f t="shared" si="7"/>
        <v>0</v>
      </c>
    </row>
    <row r="230" spans="4:5" x14ac:dyDescent="0.25">
      <c r="D230" s="128">
        <v>44688</v>
      </c>
      <c r="E230" s="130">
        <f t="shared" si="7"/>
        <v>0</v>
      </c>
    </row>
    <row r="231" spans="4:5" x14ac:dyDescent="0.25">
      <c r="D231" s="128">
        <v>44689</v>
      </c>
      <c r="E231" s="130">
        <f t="shared" si="7"/>
        <v>0</v>
      </c>
    </row>
    <row r="232" spans="4:5" x14ac:dyDescent="0.25">
      <c r="D232" s="128">
        <v>44690</v>
      </c>
      <c r="E232" s="130">
        <f t="shared" si="7"/>
        <v>0</v>
      </c>
    </row>
    <row r="233" spans="4:5" x14ac:dyDescent="0.25">
      <c r="D233" s="128">
        <v>44691</v>
      </c>
      <c r="E233" s="130">
        <f t="shared" si="7"/>
        <v>0</v>
      </c>
    </row>
    <row r="234" spans="4:5" x14ac:dyDescent="0.25">
      <c r="D234" s="128">
        <v>44692</v>
      </c>
      <c r="E234" s="130">
        <f t="shared" si="7"/>
        <v>0</v>
      </c>
    </row>
    <row r="235" spans="4:5" x14ac:dyDescent="0.25">
      <c r="D235" s="128">
        <v>44693</v>
      </c>
      <c r="E235" s="130">
        <f t="shared" si="7"/>
        <v>0</v>
      </c>
    </row>
    <row r="236" spans="4:5" x14ac:dyDescent="0.25">
      <c r="D236" s="128">
        <v>44694</v>
      </c>
      <c r="E236" s="130">
        <f t="shared" si="7"/>
        <v>0</v>
      </c>
    </row>
    <row r="237" spans="4:5" x14ac:dyDescent="0.25">
      <c r="D237" s="128">
        <v>44695</v>
      </c>
      <c r="E237" s="130">
        <f t="shared" si="7"/>
        <v>0</v>
      </c>
    </row>
    <row r="238" spans="4:5" x14ac:dyDescent="0.25">
      <c r="D238" s="128">
        <v>44696</v>
      </c>
      <c r="E238" s="130">
        <f t="shared" si="7"/>
        <v>0</v>
      </c>
    </row>
    <row r="239" spans="4:5" x14ac:dyDescent="0.25">
      <c r="D239" s="128">
        <v>44697</v>
      </c>
      <c r="E239" s="130">
        <f t="shared" si="7"/>
        <v>0</v>
      </c>
    </row>
    <row r="240" spans="4:5" x14ac:dyDescent="0.25">
      <c r="D240" s="128">
        <v>44698</v>
      </c>
      <c r="E240" s="130">
        <f t="shared" si="7"/>
        <v>0</v>
      </c>
    </row>
    <row r="241" spans="4:5" x14ac:dyDescent="0.25">
      <c r="D241" s="128">
        <v>44699</v>
      </c>
      <c r="E241" s="130">
        <f t="shared" si="7"/>
        <v>0</v>
      </c>
    </row>
    <row r="242" spans="4:5" x14ac:dyDescent="0.25">
      <c r="D242" s="128">
        <v>44700</v>
      </c>
      <c r="E242" s="130">
        <f t="shared" si="7"/>
        <v>0</v>
      </c>
    </row>
    <row r="243" spans="4:5" x14ac:dyDescent="0.25">
      <c r="D243" s="128">
        <v>44701</v>
      </c>
      <c r="E243" s="130">
        <f t="shared" si="7"/>
        <v>0</v>
      </c>
    </row>
    <row r="244" spans="4:5" x14ac:dyDescent="0.25">
      <c r="D244" s="128">
        <v>44702</v>
      </c>
      <c r="E244" s="130">
        <f t="shared" si="7"/>
        <v>0</v>
      </c>
    </row>
    <row r="245" spans="4:5" x14ac:dyDescent="0.25">
      <c r="D245" s="128">
        <v>44703</v>
      </c>
      <c r="E245" s="130">
        <f t="shared" si="7"/>
        <v>0</v>
      </c>
    </row>
    <row r="246" spans="4:5" x14ac:dyDescent="0.25">
      <c r="D246" s="128">
        <v>44704</v>
      </c>
      <c r="E246" s="130">
        <f t="shared" si="7"/>
        <v>0</v>
      </c>
    </row>
    <row r="247" spans="4:5" x14ac:dyDescent="0.25">
      <c r="D247" s="128">
        <v>44705</v>
      </c>
      <c r="E247" s="130">
        <f t="shared" si="7"/>
        <v>0</v>
      </c>
    </row>
    <row r="248" spans="4:5" x14ac:dyDescent="0.25">
      <c r="D248" s="128">
        <v>44706</v>
      </c>
      <c r="E248" s="130">
        <f t="shared" si="7"/>
        <v>0</v>
      </c>
    </row>
    <row r="249" spans="4:5" x14ac:dyDescent="0.25">
      <c r="D249" s="128">
        <v>44707</v>
      </c>
      <c r="E249" s="130">
        <f t="shared" si="7"/>
        <v>0</v>
      </c>
    </row>
    <row r="250" spans="4:5" x14ac:dyDescent="0.25">
      <c r="D250" s="128">
        <v>44708</v>
      </c>
      <c r="E250" s="130">
        <f t="shared" si="7"/>
        <v>0</v>
      </c>
    </row>
    <row r="251" spans="4:5" x14ac:dyDescent="0.25">
      <c r="D251" s="128">
        <v>44709</v>
      </c>
      <c r="E251" s="130">
        <f t="shared" si="7"/>
        <v>0</v>
      </c>
    </row>
    <row r="252" spans="4:5" x14ac:dyDescent="0.25">
      <c r="D252" s="128">
        <v>44710</v>
      </c>
      <c r="E252" s="130">
        <f t="shared" si="7"/>
        <v>0</v>
      </c>
    </row>
    <row r="253" spans="4:5" x14ac:dyDescent="0.25">
      <c r="D253" s="128">
        <v>44711</v>
      </c>
      <c r="E253" s="130">
        <f t="shared" si="7"/>
        <v>0</v>
      </c>
    </row>
    <row r="254" spans="4:5" x14ac:dyDescent="0.25">
      <c r="D254" s="128">
        <v>44712</v>
      </c>
      <c r="E254" s="130">
        <f t="shared" si="7"/>
        <v>0</v>
      </c>
    </row>
    <row r="255" spans="4:5" x14ac:dyDescent="0.25">
      <c r="D255" s="128">
        <v>44713</v>
      </c>
      <c r="E255" s="130">
        <f>$G$19</f>
        <v>0</v>
      </c>
    </row>
    <row r="256" spans="4:5" x14ac:dyDescent="0.25">
      <c r="D256" s="128">
        <v>44714</v>
      </c>
      <c r="E256" s="130">
        <f t="shared" ref="E256:E284" si="8">$G$19</f>
        <v>0</v>
      </c>
    </row>
    <row r="257" spans="4:5" x14ac:dyDescent="0.25">
      <c r="D257" s="128">
        <v>44715</v>
      </c>
      <c r="E257" s="130">
        <f t="shared" si="8"/>
        <v>0</v>
      </c>
    </row>
    <row r="258" spans="4:5" x14ac:dyDescent="0.25">
      <c r="D258" s="128">
        <v>44716</v>
      </c>
      <c r="E258" s="130">
        <f t="shared" si="8"/>
        <v>0</v>
      </c>
    </row>
    <row r="259" spans="4:5" x14ac:dyDescent="0.25">
      <c r="D259" s="128">
        <v>44717</v>
      </c>
      <c r="E259" s="130">
        <f t="shared" si="8"/>
        <v>0</v>
      </c>
    </row>
    <row r="260" spans="4:5" x14ac:dyDescent="0.25">
      <c r="D260" s="128">
        <v>44718</v>
      </c>
      <c r="E260" s="130">
        <f t="shared" si="8"/>
        <v>0</v>
      </c>
    </row>
    <row r="261" spans="4:5" x14ac:dyDescent="0.25">
      <c r="D261" s="128">
        <v>44719</v>
      </c>
      <c r="E261" s="130">
        <f t="shared" si="8"/>
        <v>0</v>
      </c>
    </row>
    <row r="262" spans="4:5" x14ac:dyDescent="0.25">
      <c r="D262" s="128">
        <v>44720</v>
      </c>
      <c r="E262" s="130">
        <f t="shared" si="8"/>
        <v>0</v>
      </c>
    </row>
    <row r="263" spans="4:5" x14ac:dyDescent="0.25">
      <c r="D263" s="128">
        <v>44721</v>
      </c>
      <c r="E263" s="130">
        <f t="shared" si="8"/>
        <v>0</v>
      </c>
    </row>
    <row r="264" spans="4:5" x14ac:dyDescent="0.25">
      <c r="D264" s="128">
        <v>44722</v>
      </c>
      <c r="E264" s="130">
        <f t="shared" si="8"/>
        <v>0</v>
      </c>
    </row>
    <row r="265" spans="4:5" x14ac:dyDescent="0.25">
      <c r="D265" s="128">
        <v>44723</v>
      </c>
      <c r="E265" s="130">
        <f t="shared" si="8"/>
        <v>0</v>
      </c>
    </row>
    <row r="266" spans="4:5" x14ac:dyDescent="0.25">
      <c r="D266" s="128">
        <v>44724</v>
      </c>
      <c r="E266" s="130">
        <f t="shared" si="8"/>
        <v>0</v>
      </c>
    </row>
    <row r="267" spans="4:5" x14ac:dyDescent="0.25">
      <c r="D267" s="128">
        <v>44725</v>
      </c>
      <c r="E267" s="130">
        <f t="shared" si="8"/>
        <v>0</v>
      </c>
    </row>
    <row r="268" spans="4:5" x14ac:dyDescent="0.25">
      <c r="D268" s="128">
        <v>44726</v>
      </c>
      <c r="E268" s="130">
        <f t="shared" si="8"/>
        <v>0</v>
      </c>
    </row>
    <row r="269" spans="4:5" x14ac:dyDescent="0.25">
      <c r="D269" s="128">
        <v>44727</v>
      </c>
      <c r="E269" s="130">
        <f t="shared" si="8"/>
        <v>0</v>
      </c>
    </row>
    <row r="270" spans="4:5" x14ac:dyDescent="0.25">
      <c r="D270" s="128">
        <v>44728</v>
      </c>
      <c r="E270" s="130">
        <f t="shared" si="8"/>
        <v>0</v>
      </c>
    </row>
    <row r="271" spans="4:5" x14ac:dyDescent="0.25">
      <c r="D271" s="128">
        <v>44729</v>
      </c>
      <c r="E271" s="130">
        <f t="shared" si="8"/>
        <v>0</v>
      </c>
    </row>
    <row r="272" spans="4:5" x14ac:dyDescent="0.25">
      <c r="D272" s="128">
        <v>44730</v>
      </c>
      <c r="E272" s="130">
        <f t="shared" si="8"/>
        <v>0</v>
      </c>
    </row>
    <row r="273" spans="4:5" x14ac:dyDescent="0.25">
      <c r="D273" s="128">
        <v>44731</v>
      </c>
      <c r="E273" s="130">
        <f t="shared" si="8"/>
        <v>0</v>
      </c>
    </row>
    <row r="274" spans="4:5" x14ac:dyDescent="0.25">
      <c r="D274" s="128">
        <v>44732</v>
      </c>
      <c r="E274" s="130">
        <f t="shared" si="8"/>
        <v>0</v>
      </c>
    </row>
    <row r="275" spans="4:5" x14ac:dyDescent="0.25">
      <c r="D275" s="128">
        <v>44733</v>
      </c>
      <c r="E275" s="130">
        <f t="shared" si="8"/>
        <v>0</v>
      </c>
    </row>
    <row r="276" spans="4:5" x14ac:dyDescent="0.25">
      <c r="D276" s="128">
        <v>44734</v>
      </c>
      <c r="E276" s="130">
        <f t="shared" si="8"/>
        <v>0</v>
      </c>
    </row>
    <row r="277" spans="4:5" x14ac:dyDescent="0.25">
      <c r="D277" s="128">
        <v>44735</v>
      </c>
      <c r="E277" s="130">
        <f t="shared" si="8"/>
        <v>0</v>
      </c>
    </row>
    <row r="278" spans="4:5" x14ac:dyDescent="0.25">
      <c r="D278" s="128">
        <v>44736</v>
      </c>
      <c r="E278" s="130">
        <f t="shared" si="8"/>
        <v>0</v>
      </c>
    </row>
    <row r="279" spans="4:5" x14ac:dyDescent="0.25">
      <c r="D279" s="128">
        <v>44737</v>
      </c>
      <c r="E279" s="130">
        <f t="shared" si="8"/>
        <v>0</v>
      </c>
    </row>
    <row r="280" spans="4:5" x14ac:dyDescent="0.25">
      <c r="D280" s="128">
        <v>44738</v>
      </c>
      <c r="E280" s="130">
        <f t="shared" si="8"/>
        <v>0</v>
      </c>
    </row>
    <row r="281" spans="4:5" x14ac:dyDescent="0.25">
      <c r="D281" s="128">
        <v>44739</v>
      </c>
      <c r="E281" s="130">
        <f t="shared" si="8"/>
        <v>0</v>
      </c>
    </row>
    <row r="282" spans="4:5" x14ac:dyDescent="0.25">
      <c r="D282" s="128">
        <v>44740</v>
      </c>
      <c r="E282" s="130">
        <f t="shared" si="8"/>
        <v>0</v>
      </c>
    </row>
    <row r="283" spans="4:5" x14ac:dyDescent="0.25">
      <c r="D283" s="128">
        <v>44741</v>
      </c>
      <c r="E283" s="130">
        <f t="shared" si="8"/>
        <v>0</v>
      </c>
    </row>
    <row r="284" spans="4:5" x14ac:dyDescent="0.25">
      <c r="D284" s="128">
        <v>44742</v>
      </c>
      <c r="E284" s="130">
        <f t="shared" si="8"/>
        <v>0</v>
      </c>
    </row>
    <row r="285" spans="4:5" x14ac:dyDescent="0.25">
      <c r="D285" s="128">
        <v>44743</v>
      </c>
      <c r="E285" s="130">
        <f>$G$20</f>
        <v>0</v>
      </c>
    </row>
    <row r="286" spans="4:5" x14ac:dyDescent="0.25">
      <c r="D286" s="128">
        <v>44744</v>
      </c>
      <c r="E286" s="130">
        <f t="shared" ref="E286:E315" si="9">$G$20</f>
        <v>0</v>
      </c>
    </row>
    <row r="287" spans="4:5" x14ac:dyDescent="0.25">
      <c r="D287" s="128">
        <v>44745</v>
      </c>
      <c r="E287" s="130">
        <f t="shared" si="9"/>
        <v>0</v>
      </c>
    </row>
    <row r="288" spans="4:5" x14ac:dyDescent="0.25">
      <c r="D288" s="128">
        <v>44746</v>
      </c>
      <c r="E288" s="130">
        <f t="shared" si="9"/>
        <v>0</v>
      </c>
    </row>
    <row r="289" spans="4:5" x14ac:dyDescent="0.25">
      <c r="D289" s="128">
        <v>44747</v>
      </c>
      <c r="E289" s="130">
        <f t="shared" si="9"/>
        <v>0</v>
      </c>
    </row>
    <row r="290" spans="4:5" x14ac:dyDescent="0.25">
      <c r="D290" s="128">
        <v>44748</v>
      </c>
      <c r="E290" s="130">
        <f t="shared" si="9"/>
        <v>0</v>
      </c>
    </row>
    <row r="291" spans="4:5" x14ac:dyDescent="0.25">
      <c r="D291" s="128">
        <v>44749</v>
      </c>
      <c r="E291" s="130">
        <f t="shared" si="9"/>
        <v>0</v>
      </c>
    </row>
    <row r="292" spans="4:5" x14ac:dyDescent="0.25">
      <c r="D292" s="128">
        <v>44750</v>
      </c>
      <c r="E292" s="130">
        <f t="shared" si="9"/>
        <v>0</v>
      </c>
    </row>
    <row r="293" spans="4:5" x14ac:dyDescent="0.25">
      <c r="D293" s="128">
        <v>44751</v>
      </c>
      <c r="E293" s="130">
        <f t="shared" si="9"/>
        <v>0</v>
      </c>
    </row>
    <row r="294" spans="4:5" x14ac:dyDescent="0.25">
      <c r="D294" s="128">
        <v>44752</v>
      </c>
      <c r="E294" s="130">
        <f t="shared" si="9"/>
        <v>0</v>
      </c>
    </row>
    <row r="295" spans="4:5" x14ac:dyDescent="0.25">
      <c r="D295" s="128">
        <v>44753</v>
      </c>
      <c r="E295" s="130">
        <f t="shared" si="9"/>
        <v>0</v>
      </c>
    </row>
    <row r="296" spans="4:5" x14ac:dyDescent="0.25">
      <c r="D296" s="128">
        <v>44754</v>
      </c>
      <c r="E296" s="130">
        <f t="shared" si="9"/>
        <v>0</v>
      </c>
    </row>
    <row r="297" spans="4:5" x14ac:dyDescent="0.25">
      <c r="D297" s="128">
        <v>44755</v>
      </c>
      <c r="E297" s="130">
        <f t="shared" si="9"/>
        <v>0</v>
      </c>
    </row>
    <row r="298" spans="4:5" x14ac:dyDescent="0.25">
      <c r="D298" s="128">
        <v>44756</v>
      </c>
      <c r="E298" s="130">
        <f t="shared" si="9"/>
        <v>0</v>
      </c>
    </row>
    <row r="299" spans="4:5" x14ac:dyDescent="0.25">
      <c r="D299" s="128">
        <v>44757</v>
      </c>
      <c r="E299" s="130">
        <f t="shared" si="9"/>
        <v>0</v>
      </c>
    </row>
    <row r="300" spans="4:5" x14ac:dyDescent="0.25">
      <c r="D300" s="128">
        <v>44758</v>
      </c>
      <c r="E300" s="130">
        <f t="shared" si="9"/>
        <v>0</v>
      </c>
    </row>
    <row r="301" spans="4:5" x14ac:dyDescent="0.25">
      <c r="D301" s="128">
        <v>44759</v>
      </c>
      <c r="E301" s="130">
        <f t="shared" si="9"/>
        <v>0</v>
      </c>
    </row>
    <row r="302" spans="4:5" x14ac:dyDescent="0.25">
      <c r="D302" s="128">
        <v>44760</v>
      </c>
      <c r="E302" s="130">
        <f t="shared" si="9"/>
        <v>0</v>
      </c>
    </row>
    <row r="303" spans="4:5" x14ac:dyDescent="0.25">
      <c r="D303" s="128">
        <v>44761</v>
      </c>
      <c r="E303" s="130">
        <f t="shared" si="9"/>
        <v>0</v>
      </c>
    </row>
    <row r="304" spans="4:5" x14ac:dyDescent="0.25">
      <c r="D304" s="128">
        <v>44762</v>
      </c>
      <c r="E304" s="130">
        <f t="shared" si="9"/>
        <v>0</v>
      </c>
    </row>
    <row r="305" spans="4:5" x14ac:dyDescent="0.25">
      <c r="D305" s="128">
        <v>44763</v>
      </c>
      <c r="E305" s="130">
        <f t="shared" si="9"/>
        <v>0</v>
      </c>
    </row>
    <row r="306" spans="4:5" x14ac:dyDescent="0.25">
      <c r="D306" s="128">
        <v>44764</v>
      </c>
      <c r="E306" s="130">
        <f t="shared" si="9"/>
        <v>0</v>
      </c>
    </row>
    <row r="307" spans="4:5" x14ac:dyDescent="0.25">
      <c r="D307" s="128">
        <v>44765</v>
      </c>
      <c r="E307" s="130">
        <f t="shared" si="9"/>
        <v>0</v>
      </c>
    </row>
    <row r="308" spans="4:5" x14ac:dyDescent="0.25">
      <c r="D308" s="128">
        <v>44766</v>
      </c>
      <c r="E308" s="130">
        <f t="shared" si="9"/>
        <v>0</v>
      </c>
    </row>
    <row r="309" spans="4:5" x14ac:dyDescent="0.25">
      <c r="D309" s="128">
        <v>44767</v>
      </c>
      <c r="E309" s="130">
        <f t="shared" si="9"/>
        <v>0</v>
      </c>
    </row>
    <row r="310" spans="4:5" x14ac:dyDescent="0.25">
      <c r="D310" s="128">
        <v>44768</v>
      </c>
      <c r="E310" s="130">
        <f t="shared" si="9"/>
        <v>0</v>
      </c>
    </row>
    <row r="311" spans="4:5" x14ac:dyDescent="0.25">
      <c r="D311" s="128">
        <v>44769</v>
      </c>
      <c r="E311" s="130">
        <f t="shared" si="9"/>
        <v>0</v>
      </c>
    </row>
    <row r="312" spans="4:5" x14ac:dyDescent="0.25">
      <c r="D312" s="128">
        <v>44770</v>
      </c>
      <c r="E312" s="130">
        <f t="shared" si="9"/>
        <v>0</v>
      </c>
    </row>
    <row r="313" spans="4:5" x14ac:dyDescent="0.25">
      <c r="D313" s="128">
        <v>44771</v>
      </c>
      <c r="E313" s="130">
        <f t="shared" si="9"/>
        <v>0</v>
      </c>
    </row>
    <row r="314" spans="4:5" x14ac:dyDescent="0.25">
      <c r="D314" s="128">
        <v>44772</v>
      </c>
      <c r="E314" s="130">
        <f t="shared" si="9"/>
        <v>0</v>
      </c>
    </row>
    <row r="315" spans="4:5" x14ac:dyDescent="0.25">
      <c r="D315" s="128">
        <v>44773</v>
      </c>
      <c r="E315" s="130">
        <f t="shared" si="9"/>
        <v>0</v>
      </c>
    </row>
    <row r="316" spans="4:5" x14ac:dyDescent="0.25">
      <c r="D316" s="128">
        <v>44774</v>
      </c>
      <c r="E316" s="130">
        <f>$G$21</f>
        <v>0</v>
      </c>
    </row>
    <row r="317" spans="4:5" x14ac:dyDescent="0.25">
      <c r="D317" s="128">
        <v>44775</v>
      </c>
      <c r="E317" s="130">
        <f t="shared" ref="E317:E346" si="10">$G$21</f>
        <v>0</v>
      </c>
    </row>
    <row r="318" spans="4:5" x14ac:dyDescent="0.25">
      <c r="D318" s="128">
        <v>44776</v>
      </c>
      <c r="E318" s="130">
        <f t="shared" si="10"/>
        <v>0</v>
      </c>
    </row>
    <row r="319" spans="4:5" x14ac:dyDescent="0.25">
      <c r="D319" s="128">
        <v>44777</v>
      </c>
      <c r="E319" s="130">
        <f t="shared" si="10"/>
        <v>0</v>
      </c>
    </row>
    <row r="320" spans="4:5" x14ac:dyDescent="0.25">
      <c r="D320" s="128">
        <v>44778</v>
      </c>
      <c r="E320" s="130">
        <f t="shared" si="10"/>
        <v>0</v>
      </c>
    </row>
    <row r="321" spans="4:5" x14ac:dyDescent="0.25">
      <c r="D321" s="128">
        <v>44779</v>
      </c>
      <c r="E321" s="130">
        <f t="shared" si="10"/>
        <v>0</v>
      </c>
    </row>
    <row r="322" spans="4:5" x14ac:dyDescent="0.25">
      <c r="D322" s="128">
        <v>44780</v>
      </c>
      <c r="E322" s="130">
        <f t="shared" si="10"/>
        <v>0</v>
      </c>
    </row>
    <row r="323" spans="4:5" x14ac:dyDescent="0.25">
      <c r="D323" s="128">
        <v>44781</v>
      </c>
      <c r="E323" s="130">
        <f t="shared" si="10"/>
        <v>0</v>
      </c>
    </row>
    <row r="324" spans="4:5" x14ac:dyDescent="0.25">
      <c r="D324" s="128">
        <v>44782</v>
      </c>
      <c r="E324" s="130">
        <f t="shared" si="10"/>
        <v>0</v>
      </c>
    </row>
    <row r="325" spans="4:5" x14ac:dyDescent="0.25">
      <c r="D325" s="128">
        <v>44783</v>
      </c>
      <c r="E325" s="130">
        <f t="shared" si="10"/>
        <v>0</v>
      </c>
    </row>
    <row r="326" spans="4:5" x14ac:dyDescent="0.25">
      <c r="D326" s="128">
        <v>44784</v>
      </c>
      <c r="E326" s="130">
        <f t="shared" si="10"/>
        <v>0</v>
      </c>
    </row>
    <row r="327" spans="4:5" x14ac:dyDescent="0.25">
      <c r="D327" s="128">
        <v>44785</v>
      </c>
      <c r="E327" s="130">
        <f t="shared" si="10"/>
        <v>0</v>
      </c>
    </row>
    <row r="328" spans="4:5" x14ac:dyDescent="0.25">
      <c r="D328" s="128">
        <v>44786</v>
      </c>
      <c r="E328" s="130">
        <f t="shared" si="10"/>
        <v>0</v>
      </c>
    </row>
    <row r="329" spans="4:5" x14ac:dyDescent="0.25">
      <c r="D329" s="128">
        <v>44787</v>
      </c>
      <c r="E329" s="130">
        <f t="shared" si="10"/>
        <v>0</v>
      </c>
    </row>
    <row r="330" spans="4:5" x14ac:dyDescent="0.25">
      <c r="D330" s="128">
        <v>44788</v>
      </c>
      <c r="E330" s="130">
        <f t="shared" si="10"/>
        <v>0</v>
      </c>
    </row>
    <row r="331" spans="4:5" x14ac:dyDescent="0.25">
      <c r="D331" s="128">
        <v>44789</v>
      </c>
      <c r="E331" s="130">
        <f t="shared" si="10"/>
        <v>0</v>
      </c>
    </row>
    <row r="332" spans="4:5" x14ac:dyDescent="0.25">
      <c r="D332" s="128">
        <v>44790</v>
      </c>
      <c r="E332" s="130">
        <f t="shared" si="10"/>
        <v>0</v>
      </c>
    </row>
    <row r="333" spans="4:5" x14ac:dyDescent="0.25">
      <c r="D333" s="128">
        <v>44791</v>
      </c>
      <c r="E333" s="130">
        <f t="shared" si="10"/>
        <v>0</v>
      </c>
    </row>
    <row r="334" spans="4:5" x14ac:dyDescent="0.25">
      <c r="D334" s="128">
        <v>44792</v>
      </c>
      <c r="E334" s="130">
        <f t="shared" si="10"/>
        <v>0</v>
      </c>
    </row>
    <row r="335" spans="4:5" x14ac:dyDescent="0.25">
      <c r="D335" s="128">
        <v>44793</v>
      </c>
      <c r="E335" s="130">
        <f t="shared" si="10"/>
        <v>0</v>
      </c>
    </row>
    <row r="336" spans="4:5" x14ac:dyDescent="0.25">
      <c r="D336" s="128">
        <v>44794</v>
      </c>
      <c r="E336" s="130">
        <f t="shared" si="10"/>
        <v>0</v>
      </c>
    </row>
    <row r="337" spans="4:5" x14ac:dyDescent="0.25">
      <c r="D337" s="128">
        <v>44795</v>
      </c>
      <c r="E337" s="130">
        <f t="shared" si="10"/>
        <v>0</v>
      </c>
    </row>
    <row r="338" spans="4:5" x14ac:dyDescent="0.25">
      <c r="D338" s="128">
        <v>44796</v>
      </c>
      <c r="E338" s="130">
        <f t="shared" si="10"/>
        <v>0</v>
      </c>
    </row>
    <row r="339" spans="4:5" x14ac:dyDescent="0.25">
      <c r="D339" s="128">
        <v>44797</v>
      </c>
      <c r="E339" s="130">
        <f t="shared" si="10"/>
        <v>0</v>
      </c>
    </row>
    <row r="340" spans="4:5" x14ac:dyDescent="0.25">
      <c r="D340" s="128">
        <v>44798</v>
      </c>
      <c r="E340" s="130">
        <f t="shared" si="10"/>
        <v>0</v>
      </c>
    </row>
    <row r="341" spans="4:5" x14ac:dyDescent="0.25">
      <c r="D341" s="128">
        <v>44799</v>
      </c>
      <c r="E341" s="130">
        <f t="shared" si="10"/>
        <v>0</v>
      </c>
    </row>
    <row r="342" spans="4:5" x14ac:dyDescent="0.25">
      <c r="D342" s="128">
        <v>44800</v>
      </c>
      <c r="E342" s="130">
        <f t="shared" si="10"/>
        <v>0</v>
      </c>
    </row>
    <row r="343" spans="4:5" x14ac:dyDescent="0.25">
      <c r="D343" s="128">
        <v>44801</v>
      </c>
      <c r="E343" s="130">
        <f t="shared" si="10"/>
        <v>0</v>
      </c>
    </row>
    <row r="344" spans="4:5" x14ac:dyDescent="0.25">
      <c r="D344" s="128">
        <v>44802</v>
      </c>
      <c r="E344" s="130">
        <f t="shared" si="10"/>
        <v>0</v>
      </c>
    </row>
    <row r="345" spans="4:5" x14ac:dyDescent="0.25">
      <c r="D345" s="128">
        <v>44803</v>
      </c>
      <c r="E345" s="130">
        <f t="shared" si="10"/>
        <v>0</v>
      </c>
    </row>
    <row r="346" spans="4:5" x14ac:dyDescent="0.25">
      <c r="D346" s="128">
        <v>44804</v>
      </c>
      <c r="E346" s="130">
        <f t="shared" si="10"/>
        <v>0</v>
      </c>
    </row>
    <row r="347" spans="4:5" x14ac:dyDescent="0.25">
      <c r="D347" s="128">
        <v>44805</v>
      </c>
      <c r="E347" s="130">
        <f>$G$22</f>
        <v>0</v>
      </c>
    </row>
    <row r="348" spans="4:5" x14ac:dyDescent="0.25">
      <c r="D348" s="128">
        <v>44806</v>
      </c>
      <c r="E348" s="130">
        <f t="shared" ref="E348:E376" si="11">$G$22</f>
        <v>0</v>
      </c>
    </row>
    <row r="349" spans="4:5" x14ac:dyDescent="0.25">
      <c r="D349" s="128">
        <v>44807</v>
      </c>
      <c r="E349" s="130">
        <f t="shared" si="11"/>
        <v>0</v>
      </c>
    </row>
    <row r="350" spans="4:5" x14ac:dyDescent="0.25">
      <c r="D350" s="128">
        <v>44808</v>
      </c>
      <c r="E350" s="130">
        <f t="shared" si="11"/>
        <v>0</v>
      </c>
    </row>
    <row r="351" spans="4:5" x14ac:dyDescent="0.25">
      <c r="D351" s="128">
        <v>44809</v>
      </c>
      <c r="E351" s="130">
        <f t="shared" si="11"/>
        <v>0</v>
      </c>
    </row>
    <row r="352" spans="4:5" x14ac:dyDescent="0.25">
      <c r="D352" s="128">
        <v>44810</v>
      </c>
      <c r="E352" s="130">
        <f t="shared" si="11"/>
        <v>0</v>
      </c>
    </row>
    <row r="353" spans="4:5" x14ac:dyDescent="0.25">
      <c r="D353" s="128">
        <v>44811</v>
      </c>
      <c r="E353" s="130">
        <f t="shared" si="11"/>
        <v>0</v>
      </c>
    </row>
    <row r="354" spans="4:5" x14ac:dyDescent="0.25">
      <c r="D354" s="128">
        <v>44812</v>
      </c>
      <c r="E354" s="130">
        <f t="shared" si="11"/>
        <v>0</v>
      </c>
    </row>
    <row r="355" spans="4:5" x14ac:dyDescent="0.25">
      <c r="D355" s="128">
        <v>44813</v>
      </c>
      <c r="E355" s="130">
        <f t="shared" si="11"/>
        <v>0</v>
      </c>
    </row>
    <row r="356" spans="4:5" x14ac:dyDescent="0.25">
      <c r="D356" s="128">
        <v>44814</v>
      </c>
      <c r="E356" s="130">
        <f t="shared" si="11"/>
        <v>0</v>
      </c>
    </row>
    <row r="357" spans="4:5" x14ac:dyDescent="0.25">
      <c r="D357" s="128">
        <v>44815</v>
      </c>
      <c r="E357" s="130">
        <f t="shared" si="11"/>
        <v>0</v>
      </c>
    </row>
    <row r="358" spans="4:5" x14ac:dyDescent="0.25">
      <c r="D358" s="128">
        <v>44816</v>
      </c>
      <c r="E358" s="130">
        <f t="shared" si="11"/>
        <v>0</v>
      </c>
    </row>
    <row r="359" spans="4:5" x14ac:dyDescent="0.25">
      <c r="D359" s="128">
        <v>44817</v>
      </c>
      <c r="E359" s="130">
        <f t="shared" si="11"/>
        <v>0</v>
      </c>
    </row>
    <row r="360" spans="4:5" x14ac:dyDescent="0.25">
      <c r="D360" s="128">
        <v>44818</v>
      </c>
      <c r="E360" s="130">
        <f t="shared" si="11"/>
        <v>0</v>
      </c>
    </row>
    <row r="361" spans="4:5" x14ac:dyDescent="0.25">
      <c r="D361" s="128">
        <v>44819</v>
      </c>
      <c r="E361" s="130">
        <f t="shared" si="11"/>
        <v>0</v>
      </c>
    </row>
    <row r="362" spans="4:5" x14ac:dyDescent="0.25">
      <c r="D362" s="128">
        <v>44820</v>
      </c>
      <c r="E362" s="130">
        <f t="shared" si="11"/>
        <v>0</v>
      </c>
    </row>
    <row r="363" spans="4:5" x14ac:dyDescent="0.25">
      <c r="D363" s="128">
        <v>44821</v>
      </c>
      <c r="E363" s="130">
        <f t="shared" si="11"/>
        <v>0</v>
      </c>
    </row>
    <row r="364" spans="4:5" x14ac:dyDescent="0.25">
      <c r="D364" s="128">
        <v>44822</v>
      </c>
      <c r="E364" s="130">
        <f t="shared" si="11"/>
        <v>0</v>
      </c>
    </row>
    <row r="365" spans="4:5" x14ac:dyDescent="0.25">
      <c r="D365" s="128">
        <v>44823</v>
      </c>
      <c r="E365" s="130">
        <f t="shared" si="11"/>
        <v>0</v>
      </c>
    </row>
    <row r="366" spans="4:5" x14ac:dyDescent="0.25">
      <c r="D366" s="128">
        <v>44824</v>
      </c>
      <c r="E366" s="130">
        <f t="shared" si="11"/>
        <v>0</v>
      </c>
    </row>
    <row r="367" spans="4:5" x14ac:dyDescent="0.25">
      <c r="D367" s="128">
        <v>44825</v>
      </c>
      <c r="E367" s="130">
        <f t="shared" si="11"/>
        <v>0</v>
      </c>
    </row>
    <row r="368" spans="4:5" x14ac:dyDescent="0.25">
      <c r="D368" s="128">
        <v>44826</v>
      </c>
      <c r="E368" s="130">
        <f t="shared" si="11"/>
        <v>0</v>
      </c>
    </row>
    <row r="369" spans="4:5" x14ac:dyDescent="0.25">
      <c r="D369" s="128">
        <v>44827</v>
      </c>
      <c r="E369" s="130">
        <f t="shared" si="11"/>
        <v>0</v>
      </c>
    </row>
    <row r="370" spans="4:5" x14ac:dyDescent="0.25">
      <c r="D370" s="128">
        <v>44828</v>
      </c>
      <c r="E370" s="130">
        <f t="shared" si="11"/>
        <v>0</v>
      </c>
    </row>
    <row r="371" spans="4:5" x14ac:dyDescent="0.25">
      <c r="D371" s="128">
        <v>44829</v>
      </c>
      <c r="E371" s="130">
        <f t="shared" si="11"/>
        <v>0</v>
      </c>
    </row>
    <row r="372" spans="4:5" x14ac:dyDescent="0.25">
      <c r="D372" s="128">
        <v>44830</v>
      </c>
      <c r="E372" s="130">
        <f t="shared" si="11"/>
        <v>0</v>
      </c>
    </row>
    <row r="373" spans="4:5" x14ac:dyDescent="0.25">
      <c r="D373" s="128">
        <v>44831</v>
      </c>
      <c r="E373" s="130">
        <f t="shared" si="11"/>
        <v>0</v>
      </c>
    </row>
    <row r="374" spans="4:5" x14ac:dyDescent="0.25">
      <c r="D374" s="128">
        <v>44832</v>
      </c>
      <c r="E374" s="130">
        <f t="shared" si="11"/>
        <v>0</v>
      </c>
    </row>
    <row r="375" spans="4:5" x14ac:dyDescent="0.25">
      <c r="D375" s="128">
        <v>44833</v>
      </c>
      <c r="E375" s="130">
        <f t="shared" si="11"/>
        <v>0</v>
      </c>
    </row>
    <row r="376" spans="4:5" x14ac:dyDescent="0.25">
      <c r="D376" s="128">
        <v>44834</v>
      </c>
      <c r="E376" s="130">
        <f t="shared" si="11"/>
        <v>0</v>
      </c>
    </row>
    <row r="377" spans="4:5" x14ac:dyDescent="0.25">
      <c r="D377" s="128">
        <v>44835</v>
      </c>
      <c r="E377" s="130">
        <f>$G$23</f>
        <v>7.9611906611364344E-2</v>
      </c>
    </row>
    <row r="378" spans="4:5" x14ac:dyDescent="0.25">
      <c r="D378" s="128">
        <v>44836</v>
      </c>
      <c r="E378" s="130">
        <f t="shared" ref="E378:E407" si="12">$G$23</f>
        <v>7.9611906611364344E-2</v>
      </c>
    </row>
    <row r="379" spans="4:5" x14ac:dyDescent="0.25">
      <c r="D379" s="128">
        <v>44837</v>
      </c>
      <c r="E379" s="130">
        <f t="shared" si="12"/>
        <v>7.9611906611364344E-2</v>
      </c>
    </row>
    <row r="380" spans="4:5" x14ac:dyDescent="0.25">
      <c r="D380" s="128">
        <v>44838</v>
      </c>
      <c r="E380" s="130">
        <f t="shared" si="12"/>
        <v>7.9611906611364344E-2</v>
      </c>
    </row>
    <row r="381" spans="4:5" x14ac:dyDescent="0.25">
      <c r="D381" s="128">
        <v>44839</v>
      </c>
      <c r="E381" s="130">
        <f t="shared" si="12"/>
        <v>7.9611906611364344E-2</v>
      </c>
    </row>
    <row r="382" spans="4:5" x14ac:dyDescent="0.25">
      <c r="D382" s="128">
        <v>44840</v>
      </c>
      <c r="E382" s="130">
        <f t="shared" si="12"/>
        <v>7.9611906611364344E-2</v>
      </c>
    </row>
    <row r="383" spans="4:5" x14ac:dyDescent="0.25">
      <c r="D383" s="128">
        <v>44841</v>
      </c>
      <c r="E383" s="130">
        <f t="shared" si="12"/>
        <v>7.9611906611364344E-2</v>
      </c>
    </row>
    <row r="384" spans="4:5" x14ac:dyDescent="0.25">
      <c r="D384" s="128">
        <v>44842</v>
      </c>
      <c r="E384" s="130">
        <f t="shared" si="12"/>
        <v>7.9611906611364344E-2</v>
      </c>
    </row>
    <row r="385" spans="4:5" x14ac:dyDescent="0.25">
      <c r="D385" s="128">
        <v>44843</v>
      </c>
      <c r="E385" s="130">
        <f t="shared" si="12"/>
        <v>7.9611906611364344E-2</v>
      </c>
    </row>
    <row r="386" spans="4:5" x14ac:dyDescent="0.25">
      <c r="D386" s="128">
        <v>44844</v>
      </c>
      <c r="E386" s="130">
        <f t="shared" si="12"/>
        <v>7.9611906611364344E-2</v>
      </c>
    </row>
    <row r="387" spans="4:5" x14ac:dyDescent="0.25">
      <c r="D387" s="128">
        <v>44845</v>
      </c>
      <c r="E387" s="130">
        <f t="shared" si="12"/>
        <v>7.9611906611364344E-2</v>
      </c>
    </row>
    <row r="388" spans="4:5" x14ac:dyDescent="0.25">
      <c r="D388" s="128">
        <v>44846</v>
      </c>
      <c r="E388" s="130">
        <f t="shared" si="12"/>
        <v>7.9611906611364344E-2</v>
      </c>
    </row>
    <row r="389" spans="4:5" x14ac:dyDescent="0.25">
      <c r="D389" s="128">
        <v>44847</v>
      </c>
      <c r="E389" s="130">
        <f t="shared" si="12"/>
        <v>7.9611906611364344E-2</v>
      </c>
    </row>
    <row r="390" spans="4:5" x14ac:dyDescent="0.25">
      <c r="D390" s="128">
        <v>44848</v>
      </c>
      <c r="E390" s="130">
        <f t="shared" si="12"/>
        <v>7.9611906611364344E-2</v>
      </c>
    </row>
    <row r="391" spans="4:5" x14ac:dyDescent="0.25">
      <c r="D391" s="128">
        <v>44849</v>
      </c>
      <c r="E391" s="130">
        <f t="shared" si="12"/>
        <v>7.9611906611364344E-2</v>
      </c>
    </row>
    <row r="392" spans="4:5" x14ac:dyDescent="0.25">
      <c r="D392" s="128">
        <v>44850</v>
      </c>
      <c r="E392" s="130">
        <f t="shared" si="12"/>
        <v>7.9611906611364344E-2</v>
      </c>
    </row>
    <row r="393" spans="4:5" x14ac:dyDescent="0.25">
      <c r="D393" s="128">
        <v>44851</v>
      </c>
      <c r="E393" s="130">
        <f t="shared" si="12"/>
        <v>7.9611906611364344E-2</v>
      </c>
    </row>
    <row r="394" spans="4:5" x14ac:dyDescent="0.25">
      <c r="D394" s="128">
        <v>44852</v>
      </c>
      <c r="E394" s="130">
        <f t="shared" si="12"/>
        <v>7.9611906611364344E-2</v>
      </c>
    </row>
    <row r="395" spans="4:5" x14ac:dyDescent="0.25">
      <c r="D395" s="128">
        <v>44853</v>
      </c>
      <c r="E395" s="130">
        <f t="shared" si="12"/>
        <v>7.9611906611364344E-2</v>
      </c>
    </row>
    <row r="396" spans="4:5" x14ac:dyDescent="0.25">
      <c r="D396" s="128">
        <v>44854</v>
      </c>
      <c r="E396" s="130">
        <f t="shared" si="12"/>
        <v>7.9611906611364344E-2</v>
      </c>
    </row>
    <row r="397" spans="4:5" x14ac:dyDescent="0.25">
      <c r="D397" s="128">
        <v>44855</v>
      </c>
      <c r="E397" s="130">
        <f t="shared" si="12"/>
        <v>7.9611906611364344E-2</v>
      </c>
    </row>
    <row r="398" spans="4:5" x14ac:dyDescent="0.25">
      <c r="D398" s="128">
        <v>44856</v>
      </c>
      <c r="E398" s="130">
        <f t="shared" si="12"/>
        <v>7.9611906611364344E-2</v>
      </c>
    </row>
    <row r="399" spans="4:5" x14ac:dyDescent="0.25">
      <c r="D399" s="128">
        <v>44857</v>
      </c>
      <c r="E399" s="130">
        <f t="shared" si="12"/>
        <v>7.9611906611364344E-2</v>
      </c>
    </row>
    <row r="400" spans="4:5" x14ac:dyDescent="0.25">
      <c r="D400" s="128">
        <v>44858</v>
      </c>
      <c r="E400" s="130">
        <f t="shared" si="12"/>
        <v>7.9611906611364344E-2</v>
      </c>
    </row>
    <row r="401" spans="4:5" x14ac:dyDescent="0.25">
      <c r="D401" s="128">
        <v>44859</v>
      </c>
      <c r="E401" s="130">
        <f t="shared" si="12"/>
        <v>7.9611906611364344E-2</v>
      </c>
    </row>
    <row r="402" spans="4:5" x14ac:dyDescent="0.25">
      <c r="D402" s="128">
        <v>44860</v>
      </c>
      <c r="E402" s="130">
        <f t="shared" si="12"/>
        <v>7.9611906611364344E-2</v>
      </c>
    </row>
    <row r="403" spans="4:5" x14ac:dyDescent="0.25">
      <c r="D403" s="128">
        <v>44861</v>
      </c>
      <c r="E403" s="130">
        <f t="shared" si="12"/>
        <v>7.9611906611364344E-2</v>
      </c>
    </row>
    <row r="404" spans="4:5" x14ac:dyDescent="0.25">
      <c r="D404" s="128">
        <v>44862</v>
      </c>
      <c r="E404" s="130">
        <f t="shared" si="12"/>
        <v>7.9611906611364344E-2</v>
      </c>
    </row>
    <row r="405" spans="4:5" x14ac:dyDescent="0.25">
      <c r="D405" s="128">
        <v>44863</v>
      </c>
      <c r="E405" s="130">
        <f t="shared" si="12"/>
        <v>7.9611906611364344E-2</v>
      </c>
    </row>
    <row r="406" spans="4:5" x14ac:dyDescent="0.25">
      <c r="D406" s="128">
        <v>44864</v>
      </c>
      <c r="E406" s="130">
        <f t="shared" si="12"/>
        <v>7.9611906611364344E-2</v>
      </c>
    </row>
    <row r="407" spans="4:5" x14ac:dyDescent="0.25">
      <c r="D407" s="128">
        <v>44865</v>
      </c>
      <c r="E407" s="130">
        <f t="shared" si="12"/>
        <v>7.9611906611364344E-2</v>
      </c>
    </row>
    <row r="408" spans="4:5" x14ac:dyDescent="0.25">
      <c r="D408" s="128">
        <v>44866</v>
      </c>
      <c r="E408" s="130">
        <f>$G$24</f>
        <v>0</v>
      </c>
    </row>
    <row r="409" spans="4:5" x14ac:dyDescent="0.25">
      <c r="D409" s="128">
        <v>44867</v>
      </c>
      <c r="E409" s="130">
        <f t="shared" ref="E409:E437" si="13">$G$24</f>
        <v>0</v>
      </c>
    </row>
    <row r="410" spans="4:5" x14ac:dyDescent="0.25">
      <c r="D410" s="128">
        <v>44868</v>
      </c>
      <c r="E410" s="130">
        <f t="shared" si="13"/>
        <v>0</v>
      </c>
    </row>
    <row r="411" spans="4:5" x14ac:dyDescent="0.25">
      <c r="D411" s="128">
        <v>44869</v>
      </c>
      <c r="E411" s="130">
        <f t="shared" si="13"/>
        <v>0</v>
      </c>
    </row>
    <row r="412" spans="4:5" x14ac:dyDescent="0.25">
      <c r="D412" s="128">
        <v>44870</v>
      </c>
      <c r="E412" s="130">
        <f t="shared" si="13"/>
        <v>0</v>
      </c>
    </row>
    <row r="413" spans="4:5" x14ac:dyDescent="0.25">
      <c r="D413" s="128">
        <v>44871</v>
      </c>
      <c r="E413" s="130">
        <f t="shared" si="13"/>
        <v>0</v>
      </c>
    </row>
    <row r="414" spans="4:5" x14ac:dyDescent="0.25">
      <c r="D414" s="128">
        <v>44872</v>
      </c>
      <c r="E414" s="130">
        <f t="shared" si="13"/>
        <v>0</v>
      </c>
    </row>
    <row r="415" spans="4:5" x14ac:dyDescent="0.25">
      <c r="D415" s="128">
        <v>44873</v>
      </c>
      <c r="E415" s="130">
        <f t="shared" si="13"/>
        <v>0</v>
      </c>
    </row>
    <row r="416" spans="4:5" x14ac:dyDescent="0.25">
      <c r="D416" s="128">
        <v>44874</v>
      </c>
      <c r="E416" s="130">
        <f t="shared" si="13"/>
        <v>0</v>
      </c>
    </row>
    <row r="417" spans="4:5" x14ac:dyDescent="0.25">
      <c r="D417" s="128">
        <v>44875</v>
      </c>
      <c r="E417" s="130">
        <f t="shared" si="13"/>
        <v>0</v>
      </c>
    </row>
    <row r="418" spans="4:5" x14ac:dyDescent="0.25">
      <c r="D418" s="128">
        <v>44876</v>
      </c>
      <c r="E418" s="130">
        <f t="shared" si="13"/>
        <v>0</v>
      </c>
    </row>
    <row r="419" spans="4:5" x14ac:dyDescent="0.25">
      <c r="D419" s="128">
        <v>44877</v>
      </c>
      <c r="E419" s="130">
        <f t="shared" si="13"/>
        <v>0</v>
      </c>
    </row>
    <row r="420" spans="4:5" x14ac:dyDescent="0.25">
      <c r="D420" s="128">
        <v>44878</v>
      </c>
      <c r="E420" s="130">
        <f t="shared" si="13"/>
        <v>0</v>
      </c>
    </row>
    <row r="421" spans="4:5" x14ac:dyDescent="0.25">
      <c r="D421" s="128">
        <v>44879</v>
      </c>
      <c r="E421" s="130">
        <f t="shared" si="13"/>
        <v>0</v>
      </c>
    </row>
    <row r="422" spans="4:5" x14ac:dyDescent="0.25">
      <c r="D422" s="128">
        <v>44880</v>
      </c>
      <c r="E422" s="130">
        <f t="shared" si="13"/>
        <v>0</v>
      </c>
    </row>
    <row r="423" spans="4:5" x14ac:dyDescent="0.25">
      <c r="D423" s="128">
        <v>44881</v>
      </c>
      <c r="E423" s="130">
        <f t="shared" si="13"/>
        <v>0</v>
      </c>
    </row>
    <row r="424" spans="4:5" x14ac:dyDescent="0.25">
      <c r="D424" s="128">
        <v>44882</v>
      </c>
      <c r="E424" s="130">
        <f t="shared" si="13"/>
        <v>0</v>
      </c>
    </row>
    <row r="425" spans="4:5" x14ac:dyDescent="0.25">
      <c r="D425" s="128">
        <v>44883</v>
      </c>
      <c r="E425" s="130">
        <f t="shared" si="13"/>
        <v>0</v>
      </c>
    </row>
    <row r="426" spans="4:5" x14ac:dyDescent="0.25">
      <c r="D426" s="128">
        <v>44884</v>
      </c>
      <c r="E426" s="130">
        <f t="shared" si="13"/>
        <v>0</v>
      </c>
    </row>
    <row r="427" spans="4:5" x14ac:dyDescent="0.25">
      <c r="D427" s="128">
        <v>44885</v>
      </c>
      <c r="E427" s="130">
        <f t="shared" si="13"/>
        <v>0</v>
      </c>
    </row>
    <row r="428" spans="4:5" x14ac:dyDescent="0.25">
      <c r="D428" s="128">
        <v>44886</v>
      </c>
      <c r="E428" s="130">
        <f t="shared" si="13"/>
        <v>0</v>
      </c>
    </row>
    <row r="429" spans="4:5" x14ac:dyDescent="0.25">
      <c r="D429" s="128">
        <v>44887</v>
      </c>
      <c r="E429" s="130">
        <f t="shared" si="13"/>
        <v>0</v>
      </c>
    </row>
    <row r="430" spans="4:5" x14ac:dyDescent="0.25">
      <c r="D430" s="128">
        <v>44888</v>
      </c>
      <c r="E430" s="130">
        <f t="shared" si="13"/>
        <v>0</v>
      </c>
    </row>
    <row r="431" spans="4:5" x14ac:dyDescent="0.25">
      <c r="D431" s="128">
        <v>44889</v>
      </c>
      <c r="E431" s="130">
        <f t="shared" si="13"/>
        <v>0</v>
      </c>
    </row>
    <row r="432" spans="4:5" x14ac:dyDescent="0.25">
      <c r="D432" s="128">
        <v>44890</v>
      </c>
      <c r="E432" s="130">
        <f t="shared" si="13"/>
        <v>0</v>
      </c>
    </row>
    <row r="433" spans="4:5" x14ac:dyDescent="0.25">
      <c r="D433" s="128">
        <v>44891</v>
      </c>
      <c r="E433" s="130">
        <f t="shared" si="13"/>
        <v>0</v>
      </c>
    </row>
    <row r="434" spans="4:5" x14ac:dyDescent="0.25">
      <c r="D434" s="128">
        <v>44892</v>
      </c>
      <c r="E434" s="130">
        <f t="shared" si="13"/>
        <v>0</v>
      </c>
    </row>
    <row r="435" spans="4:5" x14ac:dyDescent="0.25">
      <c r="D435" s="128">
        <v>44893</v>
      </c>
      <c r="E435" s="130">
        <f t="shared" si="13"/>
        <v>0</v>
      </c>
    </row>
    <row r="436" spans="4:5" x14ac:dyDescent="0.25">
      <c r="D436" s="128">
        <v>44894</v>
      </c>
      <c r="E436" s="130">
        <f t="shared" si="13"/>
        <v>0</v>
      </c>
    </row>
    <row r="437" spans="4:5" x14ac:dyDescent="0.25">
      <c r="D437" s="128">
        <v>44895</v>
      </c>
      <c r="E437" s="130">
        <f t="shared" si="13"/>
        <v>0</v>
      </c>
    </row>
    <row r="438" spans="4:5" x14ac:dyDescent="0.25">
      <c r="D438" s="128">
        <v>44896</v>
      </c>
      <c r="E438" s="130">
        <f>$G$25</f>
        <v>0</v>
      </c>
    </row>
    <row r="439" spans="4:5" x14ac:dyDescent="0.25">
      <c r="D439" s="128">
        <v>44897</v>
      </c>
      <c r="E439" s="130">
        <f t="shared" ref="E439:E468" si="14">$G$25</f>
        <v>0</v>
      </c>
    </row>
    <row r="440" spans="4:5" x14ac:dyDescent="0.25">
      <c r="D440" s="128">
        <v>44898</v>
      </c>
      <c r="E440" s="130">
        <f t="shared" si="14"/>
        <v>0</v>
      </c>
    </row>
    <row r="441" spans="4:5" x14ac:dyDescent="0.25">
      <c r="D441" s="128">
        <v>44899</v>
      </c>
      <c r="E441" s="130">
        <f t="shared" si="14"/>
        <v>0</v>
      </c>
    </row>
    <row r="442" spans="4:5" x14ac:dyDescent="0.25">
      <c r="D442" s="128">
        <v>44900</v>
      </c>
      <c r="E442" s="130">
        <f t="shared" si="14"/>
        <v>0</v>
      </c>
    </row>
    <row r="443" spans="4:5" x14ac:dyDescent="0.25">
      <c r="D443" s="128">
        <v>44901</v>
      </c>
      <c r="E443" s="130">
        <f t="shared" si="14"/>
        <v>0</v>
      </c>
    </row>
    <row r="444" spans="4:5" x14ac:dyDescent="0.25">
      <c r="D444" s="128">
        <v>44902</v>
      </c>
      <c r="E444" s="130">
        <f t="shared" si="14"/>
        <v>0</v>
      </c>
    </row>
    <row r="445" spans="4:5" x14ac:dyDescent="0.25">
      <c r="D445" s="128">
        <v>44903</v>
      </c>
      <c r="E445" s="130">
        <f t="shared" si="14"/>
        <v>0</v>
      </c>
    </row>
    <row r="446" spans="4:5" x14ac:dyDescent="0.25">
      <c r="D446" s="128">
        <v>44904</v>
      </c>
      <c r="E446" s="130">
        <f t="shared" si="14"/>
        <v>0</v>
      </c>
    </row>
    <row r="447" spans="4:5" x14ac:dyDescent="0.25">
      <c r="D447" s="128">
        <v>44905</v>
      </c>
      <c r="E447" s="130">
        <f t="shared" si="14"/>
        <v>0</v>
      </c>
    </row>
    <row r="448" spans="4:5" x14ac:dyDescent="0.25">
      <c r="D448" s="128">
        <v>44906</v>
      </c>
      <c r="E448" s="130">
        <f t="shared" si="14"/>
        <v>0</v>
      </c>
    </row>
    <row r="449" spans="4:5" x14ac:dyDescent="0.25">
      <c r="D449" s="128">
        <v>44907</v>
      </c>
      <c r="E449" s="130">
        <f t="shared" si="14"/>
        <v>0</v>
      </c>
    </row>
    <row r="450" spans="4:5" x14ac:dyDescent="0.25">
      <c r="D450" s="128">
        <v>44908</v>
      </c>
      <c r="E450" s="130">
        <f t="shared" si="14"/>
        <v>0</v>
      </c>
    </row>
    <row r="451" spans="4:5" x14ac:dyDescent="0.25">
      <c r="D451" s="128">
        <v>44909</v>
      </c>
      <c r="E451" s="130">
        <f t="shared" si="14"/>
        <v>0</v>
      </c>
    </row>
    <row r="452" spans="4:5" x14ac:dyDescent="0.25">
      <c r="D452" s="128">
        <v>44910</v>
      </c>
      <c r="E452" s="130">
        <f t="shared" si="14"/>
        <v>0</v>
      </c>
    </row>
    <row r="453" spans="4:5" x14ac:dyDescent="0.25">
      <c r="D453" s="128">
        <v>44911</v>
      </c>
      <c r="E453" s="130">
        <f t="shared" si="14"/>
        <v>0</v>
      </c>
    </row>
    <row r="454" spans="4:5" x14ac:dyDescent="0.25">
      <c r="D454" s="128">
        <v>44912</v>
      </c>
      <c r="E454" s="130">
        <f t="shared" si="14"/>
        <v>0</v>
      </c>
    </row>
    <row r="455" spans="4:5" x14ac:dyDescent="0.25">
      <c r="D455" s="128">
        <v>44913</v>
      </c>
      <c r="E455" s="130">
        <f t="shared" si="14"/>
        <v>0</v>
      </c>
    </row>
    <row r="456" spans="4:5" x14ac:dyDescent="0.25">
      <c r="D456" s="128">
        <v>44914</v>
      </c>
      <c r="E456" s="130">
        <f t="shared" si="14"/>
        <v>0</v>
      </c>
    </row>
    <row r="457" spans="4:5" x14ac:dyDescent="0.25">
      <c r="D457" s="128">
        <v>44915</v>
      </c>
      <c r="E457" s="130">
        <f t="shared" si="14"/>
        <v>0</v>
      </c>
    </row>
    <row r="458" spans="4:5" x14ac:dyDescent="0.25">
      <c r="D458" s="128">
        <v>44916</v>
      </c>
      <c r="E458" s="130">
        <f t="shared" si="14"/>
        <v>0</v>
      </c>
    </row>
    <row r="459" spans="4:5" x14ac:dyDescent="0.25">
      <c r="D459" s="128">
        <v>44917</v>
      </c>
      <c r="E459" s="130">
        <f t="shared" si="14"/>
        <v>0</v>
      </c>
    </row>
    <row r="460" spans="4:5" x14ac:dyDescent="0.25">
      <c r="D460" s="128">
        <v>44918</v>
      </c>
      <c r="E460" s="130">
        <f t="shared" si="14"/>
        <v>0</v>
      </c>
    </row>
    <row r="461" spans="4:5" x14ac:dyDescent="0.25">
      <c r="D461" s="128">
        <v>44919</v>
      </c>
      <c r="E461" s="130">
        <f t="shared" si="14"/>
        <v>0</v>
      </c>
    </row>
    <row r="462" spans="4:5" x14ac:dyDescent="0.25">
      <c r="D462" s="128">
        <v>44920</v>
      </c>
      <c r="E462" s="130">
        <f t="shared" si="14"/>
        <v>0</v>
      </c>
    </row>
    <row r="463" spans="4:5" x14ac:dyDescent="0.25">
      <c r="D463" s="128">
        <v>44921</v>
      </c>
      <c r="E463" s="130">
        <f t="shared" si="14"/>
        <v>0</v>
      </c>
    </row>
    <row r="464" spans="4:5" x14ac:dyDescent="0.25">
      <c r="D464" s="128">
        <v>44922</v>
      </c>
      <c r="E464" s="130">
        <f t="shared" si="14"/>
        <v>0</v>
      </c>
    </row>
    <row r="465" spans="4:5" x14ac:dyDescent="0.25">
      <c r="D465" s="128">
        <v>44923</v>
      </c>
      <c r="E465" s="130">
        <f t="shared" si="14"/>
        <v>0</v>
      </c>
    </row>
    <row r="466" spans="4:5" x14ac:dyDescent="0.25">
      <c r="D466" s="128">
        <v>44924</v>
      </c>
      <c r="E466" s="130">
        <f t="shared" si="14"/>
        <v>0</v>
      </c>
    </row>
    <row r="467" spans="4:5" x14ac:dyDescent="0.25">
      <c r="D467" s="128">
        <v>44925</v>
      </c>
      <c r="E467" s="130">
        <f t="shared" si="14"/>
        <v>0</v>
      </c>
    </row>
    <row r="468" spans="4:5" x14ac:dyDescent="0.25">
      <c r="D468" s="128">
        <v>44926</v>
      </c>
      <c r="E468" s="130">
        <f t="shared" si="14"/>
        <v>0</v>
      </c>
    </row>
  </sheetData>
  <dataValidations count="2">
    <dataValidation type="whole" operator="greaterThanOrEqual" allowBlank="1" showInputMessage="1" showErrorMessage="1" error="Please enter whole numbers" prompt="Please Enter the Wter consumption in Imperial Gallons" sqref="D9:O9" xr:uid="{B7BFFFC2-17C2-4EFE-82FE-F89B2025CCE5}">
      <formula1>0</formula1>
    </dataValidation>
    <dataValidation type="whole" operator="greaterThanOrEqual" allowBlank="1" error="Please enter whole numbers" prompt="Please Enter the Wter consumption in Imperial Gallons" sqref="D14:D25" xr:uid="{137E1BD3-7934-42E2-AB97-CB58B3345AFB}">
      <formula1>0</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1C7AB-6D6D-4465-A99B-7DE2B889D460}">
  <dimension ref="A1:T478"/>
  <sheetViews>
    <sheetView topLeftCell="A34" zoomScaleNormal="100" workbookViewId="0">
      <selection activeCell="E58" sqref="E58"/>
    </sheetView>
  </sheetViews>
  <sheetFormatPr defaultRowHeight="15" x14ac:dyDescent="0.25"/>
  <cols>
    <col min="1" max="1" width="3.85546875" style="154" customWidth="1"/>
    <col min="2" max="2" width="5.140625" style="154" customWidth="1"/>
    <col min="3" max="3" width="9.5703125" style="154" customWidth="1"/>
    <col min="4" max="4" width="18.42578125" style="154" customWidth="1"/>
    <col min="5" max="16" width="11" style="154" customWidth="1"/>
    <col min="17" max="17" width="12.5703125" style="154" customWidth="1"/>
    <col min="18" max="18" width="2" style="154" customWidth="1"/>
    <col min="19" max="19" width="5.42578125" style="154" customWidth="1"/>
    <col min="20" max="20" width="5" style="154" customWidth="1"/>
    <col min="21" max="16384" width="9.140625" style="154"/>
  </cols>
  <sheetData>
    <row r="1" spans="1:20" ht="24.95" customHeight="1" x14ac:dyDescent="0.35">
      <c r="A1" s="378"/>
      <c r="B1" s="378"/>
      <c r="C1" s="378"/>
      <c r="D1" s="378"/>
      <c r="E1" s="378"/>
      <c r="F1" s="378"/>
      <c r="G1" s="378"/>
      <c r="H1" s="380"/>
      <c r="I1" s="380" t="s">
        <v>174</v>
      </c>
      <c r="J1" s="378"/>
      <c r="K1" s="378"/>
      <c r="L1" s="378"/>
      <c r="M1" s="378"/>
      <c r="N1" s="378"/>
      <c r="O1" s="378"/>
      <c r="P1" s="378"/>
      <c r="Q1" s="378"/>
      <c r="R1" s="378"/>
      <c r="S1" s="378"/>
      <c r="T1" s="378"/>
    </row>
    <row r="4" spans="1:20" x14ac:dyDescent="0.25">
      <c r="C4" s="204"/>
      <c r="D4" s="156"/>
      <c r="E4" s="156"/>
      <c r="F4" s="156"/>
      <c r="G4" s="156"/>
      <c r="H4" s="153"/>
      <c r="I4" s="153"/>
      <c r="J4" s="153"/>
      <c r="K4" s="153"/>
      <c r="L4" s="153"/>
      <c r="M4" s="153"/>
      <c r="N4" s="153"/>
      <c r="O4" s="153"/>
      <c r="P4" s="153"/>
    </row>
    <row r="5" spans="1:20" x14ac:dyDescent="0.25">
      <c r="C5" s="155"/>
      <c r="D5" s="156"/>
      <c r="E5" s="156"/>
      <c r="F5" s="156"/>
      <c r="G5" s="156"/>
      <c r="H5" s="153"/>
      <c r="I5" s="153"/>
      <c r="J5" s="153"/>
      <c r="K5" s="153"/>
      <c r="L5" s="153"/>
      <c r="M5" s="153"/>
      <c r="N5" s="153"/>
      <c r="O5" s="153"/>
      <c r="P5" s="153"/>
    </row>
    <row r="6" spans="1:20" x14ac:dyDescent="0.25">
      <c r="C6" s="155"/>
      <c r="D6" s="156"/>
      <c r="E6" s="156"/>
      <c r="F6" s="156"/>
      <c r="G6" s="156"/>
      <c r="H6" s="153"/>
      <c r="I6" s="153"/>
      <c r="J6" s="153"/>
      <c r="K6" s="153"/>
      <c r="L6" s="153"/>
      <c r="M6" s="153"/>
      <c r="N6" s="153"/>
      <c r="O6" s="153"/>
      <c r="P6" s="153"/>
    </row>
    <row r="7" spans="1:20" x14ac:dyDescent="0.25">
      <c r="C7" s="155"/>
      <c r="D7" s="156"/>
      <c r="E7" s="156"/>
      <c r="F7" s="156"/>
      <c r="G7" s="156"/>
      <c r="H7" s="153"/>
      <c r="I7" s="153"/>
      <c r="J7" s="153"/>
      <c r="K7" s="153"/>
      <c r="L7" s="153"/>
      <c r="M7" s="153"/>
      <c r="N7" s="153"/>
      <c r="O7" s="153"/>
      <c r="P7" s="153"/>
    </row>
    <row r="8" spans="1:20" x14ac:dyDescent="0.25">
      <c r="C8" s="155"/>
      <c r="D8" s="156"/>
      <c r="E8" s="156"/>
      <c r="F8" s="156"/>
      <c r="G8" s="156"/>
      <c r="H8" s="153"/>
      <c r="I8" s="153"/>
      <c r="J8" s="153"/>
      <c r="K8" s="153"/>
      <c r="L8" s="153"/>
      <c r="M8" s="153"/>
      <c r="N8" s="153"/>
      <c r="O8" s="153"/>
      <c r="P8" s="153"/>
    </row>
    <row r="9" spans="1:20" x14ac:dyDescent="0.25">
      <c r="C9" s="155"/>
      <c r="D9" s="156"/>
      <c r="E9" s="156"/>
      <c r="F9" s="156"/>
      <c r="G9" s="156"/>
      <c r="H9" s="153"/>
      <c r="I9" s="153"/>
      <c r="J9" s="153"/>
      <c r="K9" s="153"/>
      <c r="L9" s="153"/>
      <c r="M9" s="153"/>
      <c r="N9" s="153"/>
      <c r="O9" s="153"/>
      <c r="P9" s="153"/>
    </row>
    <row r="10" spans="1:20" x14ac:dyDescent="0.25">
      <c r="C10" s="153"/>
    </row>
    <row r="11" spans="1:20" s="175" customFormat="1" ht="24.75" customHeight="1" x14ac:dyDescent="0.25">
      <c r="C11" s="926" t="s">
        <v>169</v>
      </c>
      <c r="D11" s="924" t="s">
        <v>272</v>
      </c>
      <c r="E11" s="925" t="s">
        <v>273</v>
      </c>
      <c r="F11" s="925"/>
      <c r="G11" s="925"/>
      <c r="H11" s="925"/>
      <c r="I11" s="925"/>
      <c r="J11" s="925"/>
      <c r="K11" s="925"/>
      <c r="L11" s="925"/>
      <c r="M11" s="925"/>
      <c r="N11" s="925"/>
      <c r="O11" s="925"/>
      <c r="P11" s="925"/>
      <c r="Q11" s="924" t="s">
        <v>279</v>
      </c>
    </row>
    <row r="12" spans="1:20" ht="42" customHeight="1" x14ac:dyDescent="0.25">
      <c r="C12" s="926"/>
      <c r="D12" s="924"/>
      <c r="E12" s="238" t="s">
        <v>250</v>
      </c>
      <c r="F12" s="238" t="s">
        <v>251</v>
      </c>
      <c r="G12" s="238" t="s">
        <v>252</v>
      </c>
      <c r="H12" s="238" t="s">
        <v>253</v>
      </c>
      <c r="I12" s="238" t="s">
        <v>139</v>
      </c>
      <c r="J12" s="238" t="s">
        <v>254</v>
      </c>
      <c r="K12" s="238" t="s">
        <v>255</v>
      </c>
      <c r="L12" s="238" t="s">
        <v>256</v>
      </c>
      <c r="M12" s="238" t="s">
        <v>257</v>
      </c>
      <c r="N12" s="238" t="s">
        <v>258</v>
      </c>
      <c r="O12" s="238" t="s">
        <v>259</v>
      </c>
      <c r="P12" s="238" t="s">
        <v>260</v>
      </c>
      <c r="Q12" s="924"/>
    </row>
    <row r="13" spans="1:20" ht="21.95" customHeight="1" x14ac:dyDescent="0.25">
      <c r="C13" s="276" t="s">
        <v>68</v>
      </c>
      <c r="D13" s="268" t="s">
        <v>274</v>
      </c>
      <c r="E13" s="271">
        <v>3000</v>
      </c>
      <c r="F13" s="271">
        <v>5000</v>
      </c>
      <c r="G13" s="271"/>
      <c r="H13" s="271"/>
      <c r="I13" s="271"/>
      <c r="J13" s="271"/>
      <c r="K13" s="271"/>
      <c r="L13" s="271"/>
      <c r="M13" s="271"/>
      <c r="N13" s="271"/>
      <c r="O13" s="271"/>
      <c r="P13" s="271"/>
      <c r="Q13" s="272">
        <f>SUM(E13:P13)</f>
        <v>8000</v>
      </c>
    </row>
    <row r="14" spans="1:20" ht="21.95" customHeight="1" x14ac:dyDescent="0.25">
      <c r="C14" s="276" t="s">
        <v>68</v>
      </c>
      <c r="D14" s="268" t="s">
        <v>275</v>
      </c>
      <c r="E14" s="271"/>
      <c r="F14" s="271"/>
      <c r="G14" s="271"/>
      <c r="H14" s="271"/>
      <c r="I14" s="271"/>
      <c r="J14" s="271"/>
      <c r="K14" s="271"/>
      <c r="L14" s="271"/>
      <c r="M14" s="271"/>
      <c r="N14" s="271"/>
      <c r="O14" s="271"/>
      <c r="P14" s="271"/>
      <c r="Q14" s="272">
        <f t="shared" ref="Q14:Q22" si="0">SUM(E14:P14)</f>
        <v>0</v>
      </c>
    </row>
    <row r="15" spans="1:20" ht="21.95" customHeight="1" x14ac:dyDescent="0.25">
      <c r="C15" s="276" t="s">
        <v>91</v>
      </c>
      <c r="D15" s="268" t="s">
        <v>277</v>
      </c>
      <c r="E15" s="271"/>
      <c r="F15" s="271"/>
      <c r="G15" s="271"/>
      <c r="H15" s="271"/>
      <c r="I15" s="271"/>
      <c r="J15" s="271"/>
      <c r="K15" s="271"/>
      <c r="L15" s="271"/>
      <c r="M15" s="271"/>
      <c r="N15" s="271"/>
      <c r="O15" s="271"/>
      <c r="P15" s="271"/>
      <c r="Q15" s="272">
        <f t="shared" si="0"/>
        <v>0</v>
      </c>
    </row>
    <row r="16" spans="1:20" ht="21.95" customHeight="1" x14ac:dyDescent="0.25">
      <c r="C16" s="276" t="s">
        <v>68</v>
      </c>
      <c r="D16" s="268" t="s">
        <v>278</v>
      </c>
      <c r="E16" s="271"/>
      <c r="F16" s="271"/>
      <c r="G16" s="271"/>
      <c r="H16" s="271"/>
      <c r="I16" s="271"/>
      <c r="J16" s="271"/>
      <c r="K16" s="271"/>
      <c r="L16" s="271"/>
      <c r="M16" s="271"/>
      <c r="N16" s="271"/>
      <c r="O16" s="271"/>
      <c r="P16" s="271"/>
      <c r="Q16" s="272">
        <f t="shared" si="0"/>
        <v>0</v>
      </c>
    </row>
    <row r="17" spans="3:17" ht="21.95" customHeight="1" x14ac:dyDescent="0.25">
      <c r="C17" s="276" t="s">
        <v>68</v>
      </c>
      <c r="D17" s="268"/>
      <c r="E17" s="271"/>
      <c r="F17" s="271"/>
      <c r="G17" s="271"/>
      <c r="H17" s="271"/>
      <c r="I17" s="271"/>
      <c r="J17" s="271"/>
      <c r="K17" s="271"/>
      <c r="L17" s="271"/>
      <c r="M17" s="271"/>
      <c r="N17" s="271"/>
      <c r="O17" s="271"/>
      <c r="P17" s="271"/>
      <c r="Q17" s="272">
        <f t="shared" si="0"/>
        <v>0</v>
      </c>
    </row>
    <row r="18" spans="3:17" ht="21.95" customHeight="1" x14ac:dyDescent="0.25">
      <c r="C18" s="276" t="s">
        <v>91</v>
      </c>
      <c r="D18" s="268"/>
      <c r="E18" s="271"/>
      <c r="F18" s="271"/>
      <c r="G18" s="271"/>
      <c r="H18" s="271"/>
      <c r="I18" s="271"/>
      <c r="J18" s="271"/>
      <c r="K18" s="271"/>
      <c r="L18" s="271"/>
      <c r="M18" s="271"/>
      <c r="N18" s="271"/>
      <c r="O18" s="271"/>
      <c r="P18" s="271"/>
      <c r="Q18" s="272">
        <f t="shared" si="0"/>
        <v>0</v>
      </c>
    </row>
    <row r="19" spans="3:17" ht="21.95" customHeight="1" x14ac:dyDescent="0.25">
      <c r="C19" s="276" t="s">
        <v>91</v>
      </c>
      <c r="D19" s="268"/>
      <c r="E19" s="271"/>
      <c r="F19" s="271"/>
      <c r="G19" s="271"/>
      <c r="H19" s="271"/>
      <c r="I19" s="271"/>
      <c r="J19" s="271"/>
      <c r="K19" s="271"/>
      <c r="L19" s="271"/>
      <c r="M19" s="271"/>
      <c r="N19" s="271"/>
      <c r="O19" s="271"/>
      <c r="P19" s="271"/>
      <c r="Q19" s="272">
        <f t="shared" si="0"/>
        <v>0</v>
      </c>
    </row>
    <row r="20" spans="3:17" ht="21.95" customHeight="1" x14ac:dyDescent="0.25">
      <c r="C20" s="276" t="s">
        <v>68</v>
      </c>
      <c r="D20" s="268"/>
      <c r="E20" s="271"/>
      <c r="F20" s="271"/>
      <c r="G20" s="271"/>
      <c r="H20" s="271"/>
      <c r="I20" s="271"/>
      <c r="J20" s="271"/>
      <c r="K20" s="271"/>
      <c r="L20" s="271"/>
      <c r="M20" s="271"/>
      <c r="N20" s="271"/>
      <c r="O20" s="271"/>
      <c r="P20" s="271"/>
      <c r="Q20" s="272">
        <f t="shared" si="0"/>
        <v>0</v>
      </c>
    </row>
    <row r="21" spans="3:17" ht="21.95" customHeight="1" x14ac:dyDescent="0.25">
      <c r="C21" s="276" t="s">
        <v>68</v>
      </c>
      <c r="D21" s="268"/>
      <c r="E21" s="271"/>
      <c r="F21" s="271"/>
      <c r="G21" s="271"/>
      <c r="H21" s="271"/>
      <c r="I21" s="271"/>
      <c r="J21" s="271"/>
      <c r="K21" s="271"/>
      <c r="L21" s="271"/>
      <c r="M21" s="271"/>
      <c r="N21" s="271"/>
      <c r="O21" s="271"/>
      <c r="P21" s="271"/>
      <c r="Q21" s="272">
        <f t="shared" si="0"/>
        <v>0</v>
      </c>
    </row>
    <row r="22" spans="3:17" ht="21.95" customHeight="1" x14ac:dyDescent="0.25">
      <c r="C22" s="276" t="s">
        <v>68</v>
      </c>
      <c r="D22" s="268"/>
      <c r="E22" s="271"/>
      <c r="F22" s="271"/>
      <c r="G22" s="271"/>
      <c r="H22" s="271"/>
      <c r="I22" s="271"/>
      <c r="J22" s="271"/>
      <c r="K22" s="271"/>
      <c r="L22" s="271"/>
      <c r="M22" s="271"/>
      <c r="N22" s="271"/>
      <c r="O22" s="271"/>
      <c r="P22" s="271"/>
      <c r="Q22" s="272">
        <f t="shared" si="0"/>
        <v>0</v>
      </c>
    </row>
    <row r="23" spans="3:17" ht="21.95" customHeight="1" x14ac:dyDescent="0.25">
      <c r="C23" s="933" t="s">
        <v>280</v>
      </c>
      <c r="D23" s="934"/>
      <c r="E23" s="274">
        <f>IF(E13&gt;0,IF($C$13="Petrol",'GWP &amp; Emission Factors '!$E$95,'GWP &amp; Emission Factors '!$E$96)*E13,0)+IF(E14&gt;0,IF($C$14="Petrol",'GWP &amp; Emission Factors '!$E$95,'GWP &amp; Emission Factors '!$E$96)*E14,0)+IF(E15&gt;0,IF($C$15="Petrol",'GWP &amp; Emission Factors '!$E$95,'GWP &amp; Emission Factors '!$E$96)*E15,0)+IF(E16&gt;0,IF($C$16="Petrol",'GWP &amp; Emission Factors '!$E$95,'GWP &amp; Emission Factors '!$E$96)*E16,0)+IF(E17&gt;0,IF($C$17="Petrol",'GWP &amp; Emission Factors '!$E$95,'GWP &amp; Emission Factors '!$E$96)*E17,0)+IF(E18&gt;0,IF($C$18="Petrol",'GWP &amp; Emission Factors '!$E$95,'GWP &amp; Emission Factors '!$E$96)*E18,0)+IF(E19&gt;0,IF($C$19="Petrol",'GWP &amp; Emission Factors '!$E$95,'GWP &amp; Emission Factors '!$E$96)*E19,0)+IF(E20&gt;0,IF($C$20="Petrol",'GWP &amp; Emission Factors '!$E$95,'GWP &amp; Emission Factors '!$E$96)*E20,0)+IF(E21&gt;0,IF($C$21="Petrol",'GWP &amp; Emission Factors '!$E$95,'GWP &amp; Emission Factors '!$E$96)*E21,0)+IF(E22&gt;0,IF($C$22="Petrol",'GWP &amp; Emission Factors '!$E$95,'GWP &amp; Emission Factors '!$E$96)*E22,0)</f>
        <v>0.42591000000000007</v>
      </c>
      <c r="F23" s="274">
        <f>IF(F13&gt;0,IF($C$13="Petrol",'GWP &amp; Emission Factors '!$E$95,'GWP &amp; Emission Factors '!$E$96)*F13,0)+IF(F14&gt;0,IF($C$14="Petrol",'GWP &amp; Emission Factors '!$E$95,'GWP &amp; Emission Factors '!$E$96)*F14,0)+IF(F15&gt;0,IF($C$15="Petrol",'GWP &amp; Emission Factors '!$E$95,'GWP &amp; Emission Factors '!$E$96)*F15,0)+IF(F16&gt;0,IF($C$16="Petrol",'GWP &amp; Emission Factors '!$E$95,'GWP &amp; Emission Factors '!$E$96)*F16,0)+IF(F17&gt;0,IF($C$17="Petrol",'GWP &amp; Emission Factors '!$E$95,'GWP &amp; Emission Factors '!$E$96)*F17,0)+IF(F18&gt;0,IF($C$18="Petrol",'GWP &amp; Emission Factors '!$E$95,'GWP &amp; Emission Factors '!$E$96)*F18,0)+IF(F19&gt;0,IF($C$19="Petrol",'GWP &amp; Emission Factors '!$E$95,'GWP &amp; Emission Factors '!$E$96)*F19,0)+IF(F20&gt;0,IF($C$20="Petrol",'GWP &amp; Emission Factors '!$E$95,'GWP &amp; Emission Factors '!$E$96)*F20,0)+IF(F21&gt;0,IF($C$21="Petrol",'GWP &amp; Emission Factors '!$E$95,'GWP &amp; Emission Factors '!$E$96)*F21,0)+IF(F22&gt;0,IF($C$22="Petrol",'GWP &amp; Emission Factors '!$E$95,'GWP &amp; Emission Factors '!$E$96)*F22,0)</f>
        <v>0.70985000000000009</v>
      </c>
      <c r="G23" s="274">
        <f>IF(G13&gt;0,IF($C$13="Petrol",'GWP &amp; Emission Factors '!$E$95,'GWP &amp; Emission Factors '!$E$96)*G13,0)+IF(G14&gt;0,IF($C$14="Petrol",'GWP &amp; Emission Factors '!$E$95,'GWP &amp; Emission Factors '!$E$96)*G14,0)+IF(G15&gt;0,IF($C$15="Petrol",'GWP &amp; Emission Factors '!$E$95,'GWP &amp; Emission Factors '!$E$96)*G15,0)+IF(G16&gt;0,IF($C$16="Petrol",'GWP &amp; Emission Factors '!$E$95,'GWP &amp; Emission Factors '!$E$96)*G16,0)+IF(G17&gt;0,IF($C$17="Petrol",'GWP &amp; Emission Factors '!$E$95,'GWP &amp; Emission Factors '!$E$96)*G17,0)+IF(G18&gt;0,IF($C$18="Petrol",'GWP &amp; Emission Factors '!$E$95,'GWP &amp; Emission Factors '!$E$96)*G18,0)+IF(G19&gt;0,IF($C$19="Petrol",'GWP &amp; Emission Factors '!$E$95,'GWP &amp; Emission Factors '!$E$96)*G19,0)+IF(G20&gt;0,IF($C$20="Petrol",'GWP &amp; Emission Factors '!$E$95,'GWP &amp; Emission Factors '!$E$96)*G20,0)+IF(G21&gt;0,IF($C$21="Petrol",'GWP &amp; Emission Factors '!$E$95,'GWP &amp; Emission Factors '!$E$96)*G21,0)+IF(G22&gt;0,IF($C$22="Petrol",'GWP &amp; Emission Factors '!$E$95,'GWP &amp; Emission Factors '!$E$96)*G22,0)</f>
        <v>0</v>
      </c>
      <c r="H23" s="274">
        <f>IF(H13&gt;0,IF($C$13="Petrol",'GWP &amp; Emission Factors '!$E$95,'GWP &amp; Emission Factors '!$E$96)*H13,0)+IF(H14&gt;0,IF($C$14="Petrol",'GWP &amp; Emission Factors '!$E$95,'GWP &amp; Emission Factors '!$E$96)*H14,0)+IF(H15&gt;0,IF($C$15="Petrol",'GWP &amp; Emission Factors '!$E$95,'GWP &amp; Emission Factors '!$E$96)*H15,0)+IF(H16&gt;0,IF($C$16="Petrol",'GWP &amp; Emission Factors '!$E$95,'GWP &amp; Emission Factors '!$E$96)*H16,0)+IF(H17&gt;0,IF($C$17="Petrol",'GWP &amp; Emission Factors '!$E$95,'GWP &amp; Emission Factors '!$E$96)*H17,0)+IF(H18&gt;0,IF($C$18="Petrol",'GWP &amp; Emission Factors '!$E$95,'GWP &amp; Emission Factors '!$E$96)*H18,0)+IF(H19&gt;0,IF($C$19="Petrol",'GWP &amp; Emission Factors '!$E$95,'GWP &amp; Emission Factors '!$E$96)*H19,0)+IF(H20&gt;0,IF($C$20="Petrol",'GWP &amp; Emission Factors '!$E$95,'GWP &amp; Emission Factors '!$E$96)*H20,0)+IF(H21&gt;0,IF($C$21="Petrol",'GWP &amp; Emission Factors '!$E$95,'GWP &amp; Emission Factors '!$E$96)*H21,0)+IF(H22&gt;0,IF($C$22="Petrol",'GWP &amp; Emission Factors '!$E$95,'GWP &amp; Emission Factors '!$E$96)*H22,0)</f>
        <v>0</v>
      </c>
      <c r="I23" s="274">
        <f>IF(I13&gt;0,IF($C$13="Petrol",'GWP &amp; Emission Factors '!$E$95,'GWP &amp; Emission Factors '!$E$96)*I13,0)+IF(I14&gt;0,IF($C$14="Petrol",'GWP &amp; Emission Factors '!$E$95,'GWP &amp; Emission Factors '!$E$96)*I14,0)+IF(I15&gt;0,IF($C$15="Petrol",'GWP &amp; Emission Factors '!$E$95,'GWP &amp; Emission Factors '!$E$96)*I15,0)+IF(I16&gt;0,IF($C$16="Petrol",'GWP &amp; Emission Factors '!$E$95,'GWP &amp; Emission Factors '!$E$96)*I16,0)+IF(I17&gt;0,IF($C$17="Petrol",'GWP &amp; Emission Factors '!$E$95,'GWP &amp; Emission Factors '!$E$96)*I17,0)+IF(I18&gt;0,IF($C$18="Petrol",'GWP &amp; Emission Factors '!$E$95,'GWP &amp; Emission Factors '!$E$96)*I18,0)+IF(I19&gt;0,IF($C$19="Petrol",'GWP &amp; Emission Factors '!$E$95,'GWP &amp; Emission Factors '!$E$96)*I19,0)+IF(I20&gt;0,IF($C$20="Petrol",'GWP &amp; Emission Factors '!$E$95,'GWP &amp; Emission Factors '!$E$96)*I20,0)+IF(I21&gt;0,IF($C$21="Petrol",'GWP &amp; Emission Factors '!$E$95,'GWP &amp; Emission Factors '!$E$96)*I21,0)+IF(I22&gt;0,IF($C$22="Petrol",'GWP &amp; Emission Factors '!$E$95,'GWP &amp; Emission Factors '!$E$96)*I22,0)</f>
        <v>0</v>
      </c>
      <c r="J23" s="274">
        <f>IF(J13&gt;0,IF($C$13="Petrol",'GWP &amp; Emission Factors '!$E$95,'GWP &amp; Emission Factors '!$E$96)*J13,0)+IF(J14&gt;0,IF($C$14="Petrol",'GWP &amp; Emission Factors '!$E$95,'GWP &amp; Emission Factors '!$E$96)*J14,0)+IF(J15&gt;0,IF($C$15="Petrol",'GWP &amp; Emission Factors '!$E$95,'GWP &amp; Emission Factors '!$E$96)*J15,0)+IF(J16&gt;0,IF($C$16="Petrol",'GWP &amp; Emission Factors '!$E$95,'GWP &amp; Emission Factors '!$E$96)*J16,0)+IF(J17&gt;0,IF($C$17="Petrol",'GWP &amp; Emission Factors '!$E$95,'GWP &amp; Emission Factors '!$E$96)*J17,0)+IF(J18&gt;0,IF($C$18="Petrol",'GWP &amp; Emission Factors '!$E$95,'GWP &amp; Emission Factors '!$E$96)*J18,0)+IF(J19&gt;0,IF($C$19="Petrol",'GWP &amp; Emission Factors '!$E$95,'GWP &amp; Emission Factors '!$E$96)*J19,0)+IF(J20&gt;0,IF($C$20="Petrol",'GWP &amp; Emission Factors '!$E$95,'GWP &amp; Emission Factors '!$E$96)*J20,0)+IF(J21&gt;0,IF($C$21="Petrol",'GWP &amp; Emission Factors '!$E$95,'GWP &amp; Emission Factors '!$E$96)*J21,0)+IF(J22&gt;0,IF($C$22="Petrol",'GWP &amp; Emission Factors '!$E$95,'GWP &amp; Emission Factors '!$E$96)*J22,0)</f>
        <v>0</v>
      </c>
      <c r="K23" s="274">
        <f>IF(K13&gt;0,IF($C$13="Petrol",'GWP &amp; Emission Factors '!$E$95,'GWP &amp; Emission Factors '!$E$96)*K13,0)+IF(K14&gt;0,IF($C$14="Petrol",'GWP &amp; Emission Factors '!$E$95,'GWP &amp; Emission Factors '!$E$96)*K14,0)+IF(K15&gt;0,IF($C$15="Petrol",'GWP &amp; Emission Factors '!$E$95,'GWP &amp; Emission Factors '!$E$96)*K15,0)+IF(K16&gt;0,IF($C$16="Petrol",'GWP &amp; Emission Factors '!$E$95,'GWP &amp; Emission Factors '!$E$96)*K16,0)+IF(K17&gt;0,IF($C$17="Petrol",'GWP &amp; Emission Factors '!$E$95,'GWP &amp; Emission Factors '!$E$96)*K17,0)+IF(K18&gt;0,IF($C$18="Petrol",'GWP &amp; Emission Factors '!$E$95,'GWP &amp; Emission Factors '!$E$96)*K18,0)+IF(K19&gt;0,IF($C$19="Petrol",'GWP &amp; Emission Factors '!$E$95,'GWP &amp; Emission Factors '!$E$96)*K19,0)+IF(K20&gt;0,IF($C$20="Petrol",'GWP &amp; Emission Factors '!$E$95,'GWP &amp; Emission Factors '!$E$96)*K20,0)+IF(K21&gt;0,IF($C$21="Petrol",'GWP &amp; Emission Factors '!$E$95,'GWP &amp; Emission Factors '!$E$96)*K21,0)+IF(K22&gt;0,IF($C$22="Petrol",'GWP &amp; Emission Factors '!$E$95,'GWP &amp; Emission Factors '!$E$96)*K22,0)</f>
        <v>0</v>
      </c>
      <c r="L23" s="274">
        <f>IF(L13&gt;0,IF($C$13="Petrol",'GWP &amp; Emission Factors '!$E$95,'GWP &amp; Emission Factors '!$E$96)*L13,0)+IF(L14&gt;0,IF($C$14="Petrol",'GWP &amp; Emission Factors '!$E$95,'GWP &amp; Emission Factors '!$E$96)*L14,0)+IF(L15&gt;0,IF($C$15="Petrol",'GWP &amp; Emission Factors '!$E$95,'GWP &amp; Emission Factors '!$E$96)*L15,0)+IF(L16&gt;0,IF($C$16="Petrol",'GWP &amp; Emission Factors '!$E$95,'GWP &amp; Emission Factors '!$E$96)*L16,0)+IF(L17&gt;0,IF($C$17="Petrol",'GWP &amp; Emission Factors '!$E$95,'GWP &amp; Emission Factors '!$E$96)*L17,0)+IF(L18&gt;0,IF($C$18="Petrol",'GWP &amp; Emission Factors '!$E$95,'GWP &amp; Emission Factors '!$E$96)*L18,0)+IF(L19&gt;0,IF($C$19="Petrol",'GWP &amp; Emission Factors '!$E$95,'GWP &amp; Emission Factors '!$E$96)*L19,0)+IF(L20&gt;0,IF($C$20="Petrol",'GWP &amp; Emission Factors '!$E$95,'GWP &amp; Emission Factors '!$E$96)*L20,0)+IF(L21&gt;0,IF($C$21="Petrol",'GWP &amp; Emission Factors '!$E$95,'GWP &amp; Emission Factors '!$E$96)*L21,0)+IF(L22&gt;0,IF($C$22="Petrol",'GWP &amp; Emission Factors '!$E$95,'GWP &amp; Emission Factors '!$E$96)*L22,0)</f>
        <v>0</v>
      </c>
      <c r="M23" s="274">
        <f>IF(M13&gt;0,IF($C$13="Petrol",'GWP &amp; Emission Factors '!$E$95,'GWP &amp; Emission Factors '!$E$96)*M13,0)+IF(M14&gt;0,IF($C$14="Petrol",'GWP &amp; Emission Factors '!$E$95,'GWP &amp; Emission Factors '!$E$96)*M14,0)+IF(M15&gt;0,IF($C$15="Petrol",'GWP &amp; Emission Factors '!$E$95,'GWP &amp; Emission Factors '!$E$96)*M15,0)+IF(M16&gt;0,IF($C$16="Petrol",'GWP &amp; Emission Factors '!$E$95,'GWP &amp; Emission Factors '!$E$96)*M16,0)+IF(M17&gt;0,IF($C$17="Petrol",'GWP &amp; Emission Factors '!$E$95,'GWP &amp; Emission Factors '!$E$96)*M17,0)+IF(M18&gt;0,IF($C$18="Petrol",'GWP &amp; Emission Factors '!$E$95,'GWP &amp; Emission Factors '!$E$96)*M18,0)+IF(M19&gt;0,IF($C$19="Petrol",'GWP &amp; Emission Factors '!$E$95,'GWP &amp; Emission Factors '!$E$96)*M19,0)+IF(M20&gt;0,IF($C$20="Petrol",'GWP &amp; Emission Factors '!$E$95,'GWP &amp; Emission Factors '!$E$96)*M20,0)+IF(M21&gt;0,IF($C$21="Petrol",'GWP &amp; Emission Factors '!$E$95,'GWP &amp; Emission Factors '!$E$96)*M21,0)+IF(M22&gt;0,IF($C$22="Petrol",'GWP &amp; Emission Factors '!$E$95,'GWP &amp; Emission Factors '!$E$96)*M22,0)</f>
        <v>0</v>
      </c>
      <c r="N23" s="274">
        <f>IF(N13&gt;0,IF($C$13="Petrol",'GWP &amp; Emission Factors '!$E$95,'GWP &amp; Emission Factors '!$E$96)*N13,0)+IF(N14&gt;0,IF($C$14="Petrol",'GWP &amp; Emission Factors '!$E$95,'GWP &amp; Emission Factors '!$E$96)*N14,0)+IF(N15&gt;0,IF($C$15="Petrol",'GWP &amp; Emission Factors '!$E$95,'GWP &amp; Emission Factors '!$E$96)*N15,0)+IF(N16&gt;0,IF($C$16="Petrol",'GWP &amp; Emission Factors '!$E$95,'GWP &amp; Emission Factors '!$E$96)*N16,0)+IF(N17&gt;0,IF($C$17="Petrol",'GWP &amp; Emission Factors '!$E$95,'GWP &amp; Emission Factors '!$E$96)*N17,0)+IF(N18&gt;0,IF($C$18="Petrol",'GWP &amp; Emission Factors '!$E$95,'GWP &amp; Emission Factors '!$E$96)*N18,0)+IF(N19&gt;0,IF($C$19="Petrol",'GWP &amp; Emission Factors '!$E$95,'GWP &amp; Emission Factors '!$E$96)*N19,0)+IF(N20&gt;0,IF($C$20="Petrol",'GWP &amp; Emission Factors '!$E$95,'GWP &amp; Emission Factors '!$E$96)*N20,0)+IF(N21&gt;0,IF($C$21="Petrol",'GWP &amp; Emission Factors '!$E$95,'GWP &amp; Emission Factors '!$E$96)*N21,0)+IF(N22&gt;0,IF($C$22="Petrol",'GWP &amp; Emission Factors '!$E$95,'GWP &amp; Emission Factors '!$E$96)*N22,0)</f>
        <v>0</v>
      </c>
      <c r="O23" s="274">
        <f>IF(O13&gt;0,IF($C$13="Petrol",'GWP &amp; Emission Factors '!$E$95,'GWP &amp; Emission Factors '!$E$96)*O13,0)+IF(O14&gt;0,IF($C$14="Petrol",'GWP &amp; Emission Factors '!$E$95,'GWP &amp; Emission Factors '!$E$96)*O14,0)+IF(O15&gt;0,IF($C$15="Petrol",'GWP &amp; Emission Factors '!$E$95,'GWP &amp; Emission Factors '!$E$96)*O15,0)+IF(O16&gt;0,IF($C$16="Petrol",'GWP &amp; Emission Factors '!$E$95,'GWP &amp; Emission Factors '!$E$96)*O16,0)+IF(O17&gt;0,IF($C$17="Petrol",'GWP &amp; Emission Factors '!$E$95,'GWP &amp; Emission Factors '!$E$96)*O17,0)+IF(O18&gt;0,IF($C$18="Petrol",'GWP &amp; Emission Factors '!$E$95,'GWP &amp; Emission Factors '!$E$96)*O18,0)+IF(O19&gt;0,IF($C$19="Petrol",'GWP &amp; Emission Factors '!$E$95,'GWP &amp; Emission Factors '!$E$96)*O19,0)+IF(O20&gt;0,IF($C$20="Petrol",'GWP &amp; Emission Factors '!$E$95,'GWP &amp; Emission Factors '!$E$96)*O20,0)+IF(O21&gt;0,IF($C$21="Petrol",'GWP &amp; Emission Factors '!$E$95,'GWP &amp; Emission Factors '!$E$96)*O21,0)+IF(O22&gt;0,IF($C$22="Petrol",'GWP &amp; Emission Factors '!$E$95,'GWP &amp; Emission Factors '!$E$96)*O22,0)</f>
        <v>0</v>
      </c>
      <c r="P23" s="274">
        <f>IF(P13&gt;0,IF($C$13="Petrol",'GWP &amp; Emission Factors '!$E$95,'GWP &amp; Emission Factors '!$E$96)*P13,0)+IF(P14&gt;0,IF($C$14="Petrol",'GWP &amp; Emission Factors '!$E$95,'GWP &amp; Emission Factors '!$E$96)*P14,0)+IF(P15&gt;0,IF($C$15="Petrol",'GWP &amp; Emission Factors '!$E$95,'GWP &amp; Emission Factors '!$E$96)*P15,0)+IF(P16&gt;0,IF($C$16="Petrol",'GWP &amp; Emission Factors '!$E$95,'GWP &amp; Emission Factors '!$E$96)*P16,0)+IF(P17&gt;0,IF($C$17="Petrol",'GWP &amp; Emission Factors '!$E$95,'GWP &amp; Emission Factors '!$E$96)*P17,0)+IF(P18&gt;0,IF($C$18="Petrol",'GWP &amp; Emission Factors '!$E$95,'GWP &amp; Emission Factors '!$E$96)*P18,0)+IF(P19&gt;0,IF($C$19="Petrol",'GWP &amp; Emission Factors '!$E$95,'GWP &amp; Emission Factors '!$E$96)*P19,0)+IF(P20&gt;0,IF($C$20="Petrol",'GWP &amp; Emission Factors '!$E$95,'GWP &amp; Emission Factors '!$E$96)*P20,0)+IF(P21&gt;0,IF($C$21="Petrol",'GWP &amp; Emission Factors '!$E$95,'GWP &amp; Emission Factors '!$E$96)*P21,0)+IF(P22&gt;0,IF($C$22="Petrol",'GWP &amp; Emission Factors '!$E$95,'GWP &amp; Emission Factors '!$E$96)*P22,0)</f>
        <v>0</v>
      </c>
      <c r="Q23" s="274">
        <f>IF(Q13&gt;0,IF($C$13="Petrol",'GWP &amp; Emission Factors '!$E$95,'GWP &amp; Emission Factors '!$E$96)*Q13,0)+IF(Q14&gt;0,IF($C$14="Petrol",'GWP &amp; Emission Factors '!$E$95,'GWP &amp; Emission Factors '!$E$96)*Q14,0)+IF(Q15&gt;0,IF($C$15="Petrol",'GWP &amp; Emission Factors '!$E$95,'GWP &amp; Emission Factors '!$E$96)*Q15,0)+IF(Q16&gt;0,IF($C$16="Petrol",'GWP &amp; Emission Factors '!$E$95,'GWP &amp; Emission Factors '!$E$96)*Q16,0)+IF(Q17&gt;0,IF($C$17="Petrol",'GWP &amp; Emission Factors '!$E$95,'GWP &amp; Emission Factors '!$E$96)*Q17,0)+IF(Q18&gt;0,IF($C$18="Petrol",'GWP &amp; Emission Factors '!$E$95,'GWP &amp; Emission Factors '!$E$96)*Q18,0)+IF(Q19&gt;0,IF($C$19="Petrol",'GWP &amp; Emission Factors '!$E$95,'GWP &amp; Emission Factors '!$E$96)*Q19,0)+IF(Q20&gt;0,IF($C$20="Petrol",'GWP &amp; Emission Factors '!$E$95,'GWP &amp; Emission Factors '!$E$96)*Q20,0)+IF(Q21&gt;0,IF($C$21="Petrol",'GWP &amp; Emission Factors '!$E$95,'GWP &amp; Emission Factors '!$E$96)*Q21,0)+IF(Q22&gt;0,IF($C$22="Petrol",'GWP &amp; Emission Factors '!$E$95,'GWP &amp; Emission Factors '!$E$96)*Q22,0)</f>
        <v>1.1357600000000001</v>
      </c>
    </row>
    <row r="24" spans="3:17" x14ac:dyDescent="0.25">
      <c r="C24" s="266"/>
      <c r="D24" s="267"/>
      <c r="E24" s="267"/>
      <c r="F24" s="267"/>
      <c r="G24" s="267"/>
      <c r="H24" s="267"/>
      <c r="I24" s="267"/>
      <c r="J24" s="267"/>
      <c r="K24" s="267"/>
      <c r="L24" s="267"/>
      <c r="M24" s="267"/>
      <c r="N24" s="267"/>
      <c r="O24" s="267"/>
      <c r="P24" s="267"/>
    </row>
    <row r="25" spans="3:17" x14ac:dyDescent="0.25">
      <c r="C25" s="266"/>
      <c r="D25" s="267"/>
      <c r="E25" s="267"/>
      <c r="F25" s="267"/>
      <c r="G25" s="267"/>
      <c r="H25" s="267"/>
      <c r="I25" s="267"/>
      <c r="J25" s="267"/>
      <c r="K25" s="267"/>
      <c r="L25" s="267"/>
      <c r="M25" s="267"/>
      <c r="N25" s="267"/>
      <c r="O25" s="267"/>
      <c r="P25" s="267"/>
    </row>
    <row r="26" spans="3:17" x14ac:dyDescent="0.25">
      <c r="C26" s="266"/>
      <c r="D26" s="267"/>
      <c r="E26" s="267"/>
      <c r="F26" s="267"/>
      <c r="G26" s="267"/>
      <c r="H26" s="267"/>
      <c r="I26" s="267"/>
      <c r="J26" s="267"/>
      <c r="K26" s="267"/>
      <c r="L26" s="267"/>
      <c r="M26" s="267"/>
      <c r="N26" s="267"/>
      <c r="O26" s="267"/>
      <c r="P26" s="267"/>
    </row>
    <row r="27" spans="3:17" ht="24.95" customHeight="1" x14ac:dyDescent="0.25">
      <c r="C27" s="927" t="s">
        <v>169</v>
      </c>
      <c r="D27" s="928"/>
      <c r="E27" s="919" t="s">
        <v>271</v>
      </c>
      <c r="F27" s="920"/>
      <c r="G27" s="920"/>
      <c r="H27" s="920"/>
      <c r="I27" s="920"/>
      <c r="J27" s="920"/>
      <c r="K27" s="920"/>
      <c r="L27" s="920"/>
      <c r="M27" s="920"/>
      <c r="N27" s="920"/>
      <c r="O27" s="920"/>
      <c r="P27" s="921"/>
      <c r="Q27" s="924" t="s">
        <v>276</v>
      </c>
    </row>
    <row r="28" spans="3:17" ht="24" customHeight="1" x14ac:dyDescent="0.25">
      <c r="C28" s="929"/>
      <c r="D28" s="930"/>
      <c r="E28" s="238" t="s">
        <v>250</v>
      </c>
      <c r="F28" s="238" t="s">
        <v>251</v>
      </c>
      <c r="G28" s="238" t="s">
        <v>252</v>
      </c>
      <c r="H28" s="238" t="s">
        <v>253</v>
      </c>
      <c r="I28" s="238" t="s">
        <v>139</v>
      </c>
      <c r="J28" s="238" t="s">
        <v>254</v>
      </c>
      <c r="K28" s="238" t="s">
        <v>255</v>
      </c>
      <c r="L28" s="238" t="s">
        <v>256</v>
      </c>
      <c r="M28" s="238" t="s">
        <v>257</v>
      </c>
      <c r="N28" s="238" t="s">
        <v>258</v>
      </c>
      <c r="O28" s="238" t="s">
        <v>259</v>
      </c>
      <c r="P28" s="238" t="s">
        <v>260</v>
      </c>
      <c r="Q28" s="924"/>
    </row>
    <row r="29" spans="3:17" ht="20.100000000000001" customHeight="1" x14ac:dyDescent="0.25">
      <c r="C29" s="935" t="s">
        <v>68</v>
      </c>
      <c r="D29" s="936"/>
      <c r="E29" s="236"/>
      <c r="F29" s="236">
        <v>200000</v>
      </c>
      <c r="G29" s="236"/>
      <c r="H29" s="236"/>
      <c r="I29" s="236"/>
      <c r="J29" s="236"/>
      <c r="K29" s="236"/>
      <c r="L29" s="236"/>
      <c r="M29" s="236"/>
      <c r="N29" s="236"/>
      <c r="O29" s="236"/>
      <c r="P29" s="236"/>
      <c r="Q29" s="273">
        <f>SUM(E29:P29)</f>
        <v>200000</v>
      </c>
    </row>
    <row r="30" spans="3:17" ht="20.100000000000001" customHeight="1" x14ac:dyDescent="0.25">
      <c r="C30" s="935" t="str">
        <f>IF($C$29=G114,G115,G114)</f>
        <v>Petrol</v>
      </c>
      <c r="D30" s="936"/>
      <c r="E30" s="236"/>
      <c r="F30" s="236"/>
      <c r="G30" s="236"/>
      <c r="H30" s="236"/>
      <c r="I30" s="236"/>
      <c r="J30" s="236"/>
      <c r="K30" s="236"/>
      <c r="L30" s="236"/>
      <c r="M30" s="236"/>
      <c r="N30" s="236"/>
      <c r="O30" s="236"/>
      <c r="P30" s="236"/>
      <c r="Q30" s="273">
        <f t="shared" ref="Q30:Q31" si="1">SUM(E30:P30)</f>
        <v>0</v>
      </c>
    </row>
    <row r="31" spans="3:17" ht="21.95" customHeight="1" x14ac:dyDescent="0.25">
      <c r="C31" s="933" t="s">
        <v>280</v>
      </c>
      <c r="D31" s="934"/>
      <c r="E31" s="274">
        <f>IF(E$29&gt;0,IF($C$29=$G$114, 'GWP &amp; Emission Factors '!$D$7,'GWP &amp; Emission Factors '!$D$6)*E$29,0)+IF(E$30&gt;0,IF($C$30=$G$114, 'GWP &amp; Emission Factors '!$D$7,'GWP &amp; Emission Factors '!$D$6)*E$30,0)</f>
        <v>0</v>
      </c>
      <c r="F31" s="274">
        <f>IF(F$29&gt;0,IF($C$29=$G$114, 'GWP &amp; Emission Factors '!$D$7,'GWP &amp; Emission Factors '!$D$6)*F$29,0)+IF(F$30&gt;0,IF($C$30=$G$114, 'GWP &amp; Emission Factors '!$D$7,'GWP &amp; Emission Factors '!$D$6)*F$30,0)</f>
        <v>528</v>
      </c>
      <c r="G31" s="274">
        <f>IF(G$29&gt;0,IF($C$29=$G$114, 'GWP &amp; Emission Factors '!$D$7,'GWP &amp; Emission Factors '!$D$6)*G$29,0)+IF(G$30&gt;0,IF($C$30=$G$114, 'GWP &amp; Emission Factors '!$D$7,'GWP &amp; Emission Factors '!$D$6)*G$30,0)</f>
        <v>0</v>
      </c>
      <c r="H31" s="274">
        <f>IF(H$29&gt;0,IF($C$29=$G$114, 'GWP &amp; Emission Factors '!$D$7,'GWP &amp; Emission Factors '!$D$6)*H$29,0)+IF(H$30&gt;0,IF($C$30=$G$114, 'GWP &amp; Emission Factors '!$D$7,'GWP &amp; Emission Factors '!$D$6)*H$30,0)</f>
        <v>0</v>
      </c>
      <c r="I31" s="274">
        <f>IF(I$29&gt;0,IF($C$29=$G$114, 'GWP &amp; Emission Factors '!$D$7,'GWP &amp; Emission Factors '!$D$6)*I$29,0)+IF(I$30&gt;0,IF($C$30=$G$114, 'GWP &amp; Emission Factors '!$D$7,'GWP &amp; Emission Factors '!$D$6)*I$30,0)</f>
        <v>0</v>
      </c>
      <c r="J31" s="274">
        <f>IF(J$29&gt;0,IF($C$29=$G$114, 'GWP &amp; Emission Factors '!$D$7,'GWP &amp; Emission Factors '!$D$6)*J$29,0)+IF(J$30&gt;0,IF($C$30=$G$114, 'GWP &amp; Emission Factors '!$D$7,'GWP &amp; Emission Factors '!$D$6)*J$30,0)</f>
        <v>0</v>
      </c>
      <c r="K31" s="274">
        <f>IF(K$29&gt;0,IF($C$29=$G$114, 'GWP &amp; Emission Factors '!$D$7,'GWP &amp; Emission Factors '!$D$6)*K$29,0)+IF(K$30&gt;0,IF($C$30=$G$114, 'GWP &amp; Emission Factors '!$D$7,'GWP &amp; Emission Factors '!$D$6)*K$30,0)</f>
        <v>0</v>
      </c>
      <c r="L31" s="274">
        <f>IF(L$29&gt;0,IF($C$29=$G$114, 'GWP &amp; Emission Factors '!$D$7,'GWP &amp; Emission Factors '!$D$6)*L$29,0)+IF(L$30&gt;0,IF($C$30=$G$114, 'GWP &amp; Emission Factors '!$D$7,'GWP &amp; Emission Factors '!$D$6)*L$30,0)</f>
        <v>0</v>
      </c>
      <c r="M31" s="274">
        <f>IF(M$29&gt;0,IF($C$29=$G$114, 'GWP &amp; Emission Factors '!$D$7,'GWP &amp; Emission Factors '!$D$6)*M$29,0)+IF(M$30&gt;0,IF($C$30=$G$114, 'GWP &amp; Emission Factors '!$D$7,'GWP &amp; Emission Factors '!$D$6)*M$30,0)</f>
        <v>0</v>
      </c>
      <c r="N31" s="274">
        <f>IF(N$29&gt;0,IF($C$29=$G$114, 'GWP &amp; Emission Factors '!$D$7,'GWP &amp; Emission Factors '!$D$6)*N$29,0)+IF(N$30&gt;0,IF($C$30=$G$114, 'GWP &amp; Emission Factors '!$D$7,'GWP &amp; Emission Factors '!$D$6)*N$30,0)</f>
        <v>0</v>
      </c>
      <c r="O31" s="274">
        <f>IF(O$29&gt;0,IF($C$29=$G$114, 'GWP &amp; Emission Factors '!$D$7,'GWP &amp; Emission Factors '!$D$6)*O$29,0)+IF(O$30&gt;0,IF($C$30=$G$114, 'GWP &amp; Emission Factors '!$D$7,'GWP &amp; Emission Factors '!$D$6)*O$30,0)</f>
        <v>0</v>
      </c>
      <c r="P31" s="274">
        <f>IF(P$29&gt;0,IF($C$29=$G$114, 'GWP &amp; Emission Factors '!$D$7,'GWP &amp; Emission Factors '!$D$6)*P$29,0)+IF(P$30&gt;0,IF($C$30=$G$114, 'GWP &amp; Emission Factors '!$D$7,'GWP &amp; Emission Factors '!$D$6)*P$30,0)</f>
        <v>0</v>
      </c>
      <c r="Q31" s="275">
        <f t="shared" si="1"/>
        <v>528</v>
      </c>
    </row>
    <row r="32" spans="3:17" ht="21.95" customHeight="1" x14ac:dyDescent="0.25">
      <c r="C32" s="266"/>
      <c r="D32" s="267"/>
      <c r="E32" s="267"/>
      <c r="F32" s="267"/>
      <c r="G32" s="267"/>
      <c r="H32" s="267"/>
      <c r="I32" s="267"/>
      <c r="J32" s="267"/>
      <c r="K32" s="267"/>
      <c r="L32" s="267"/>
      <c r="M32" s="267"/>
      <c r="N32" s="267"/>
      <c r="O32" s="267"/>
      <c r="P32" s="267"/>
    </row>
    <row r="36" spans="3:17" ht="20.100000000000001" customHeight="1" x14ac:dyDescent="0.25">
      <c r="C36" s="922" t="s">
        <v>269</v>
      </c>
      <c r="D36" s="923"/>
      <c r="E36" s="238" t="s">
        <v>250</v>
      </c>
      <c r="F36" s="238" t="s">
        <v>251</v>
      </c>
      <c r="G36" s="238" t="s">
        <v>252</v>
      </c>
      <c r="H36" s="238" t="s">
        <v>253</v>
      </c>
      <c r="I36" s="238" t="s">
        <v>139</v>
      </c>
      <c r="J36" s="238" t="s">
        <v>254</v>
      </c>
      <c r="K36" s="238" t="s">
        <v>255</v>
      </c>
      <c r="L36" s="238" t="s">
        <v>256</v>
      </c>
      <c r="M36" s="238" t="s">
        <v>257</v>
      </c>
      <c r="N36" s="238" t="s">
        <v>258</v>
      </c>
      <c r="O36" s="238" t="s">
        <v>259</v>
      </c>
      <c r="P36" s="238" t="s">
        <v>260</v>
      </c>
      <c r="Q36" s="238" t="s">
        <v>270</v>
      </c>
    </row>
    <row r="37" spans="3:17" ht="30" customHeight="1" x14ac:dyDescent="0.25">
      <c r="C37" s="931" t="s">
        <v>147</v>
      </c>
      <c r="D37" s="932"/>
      <c r="E37" s="161">
        <f>MAX(E23,E31)</f>
        <v>0.42591000000000007</v>
      </c>
      <c r="F37" s="161">
        <f t="shared" ref="F37:P37" si="2">MAX(F23,F31)</f>
        <v>528</v>
      </c>
      <c r="G37" s="161">
        <f t="shared" si="2"/>
        <v>0</v>
      </c>
      <c r="H37" s="161">
        <f t="shared" si="2"/>
        <v>0</v>
      </c>
      <c r="I37" s="161">
        <f t="shared" si="2"/>
        <v>0</v>
      </c>
      <c r="J37" s="161">
        <f t="shared" si="2"/>
        <v>0</v>
      </c>
      <c r="K37" s="161">
        <f t="shared" si="2"/>
        <v>0</v>
      </c>
      <c r="L37" s="161">
        <f t="shared" si="2"/>
        <v>0</v>
      </c>
      <c r="M37" s="161">
        <f t="shared" si="2"/>
        <v>0</v>
      </c>
      <c r="N37" s="161">
        <f t="shared" si="2"/>
        <v>0</v>
      </c>
      <c r="O37" s="161">
        <f t="shared" si="2"/>
        <v>0</v>
      </c>
      <c r="P37" s="161">
        <f t="shared" si="2"/>
        <v>0</v>
      </c>
      <c r="Q37" s="161">
        <f>SUM(E37:P37)</f>
        <v>528.42591000000004</v>
      </c>
    </row>
    <row r="38" spans="3:17" ht="30" customHeight="1" x14ac:dyDescent="0.25">
      <c r="C38" s="931" t="s">
        <v>160</v>
      </c>
      <c r="D38" s="932"/>
      <c r="E38" s="161">
        <f>$E$37/'Electrical Energy Consumption'!$I$104</f>
        <v>1.3739032258064518E-2</v>
      </c>
      <c r="F38" s="161">
        <f>$F$37/'Electrical Energy Consumption'!$I$105</f>
        <v>18.857142857142858</v>
      </c>
      <c r="G38" s="161">
        <f>$G$37/'Electrical Energy Consumption'!$I$106</f>
        <v>0</v>
      </c>
      <c r="H38" s="161">
        <f>$H$37/'Electrical Energy Consumption'!$I$107</f>
        <v>0</v>
      </c>
      <c r="I38" s="161">
        <f>$I$37/'Electrical Energy Consumption'!$I$108</f>
        <v>0</v>
      </c>
      <c r="J38" s="161">
        <f>$J$37/'Electrical Energy Consumption'!$I$109</f>
        <v>0</v>
      </c>
      <c r="K38" s="161">
        <f>$K$37/'Electrical Energy Consumption'!$I$110</f>
        <v>0</v>
      </c>
      <c r="L38" s="161">
        <f>$L$37/'Electrical Energy Consumption'!$I$111</f>
        <v>0</v>
      </c>
      <c r="M38" s="161">
        <f>$M$37/'Electrical Energy Consumption'!$I$112</f>
        <v>0</v>
      </c>
      <c r="N38" s="161">
        <f>$N$37/'Electrical Energy Consumption'!$I$113</f>
        <v>0</v>
      </c>
      <c r="O38" s="161">
        <f>$O$37/'Electrical Energy Consumption'!$I$114</f>
        <v>0</v>
      </c>
      <c r="P38" s="161">
        <f>$P$37/'Electrical Energy Consumption'!$I$115</f>
        <v>0</v>
      </c>
      <c r="Q38" s="161">
        <f>AVERAGE(E38:P38)</f>
        <v>1.5725734907834104</v>
      </c>
    </row>
    <row r="39" spans="3:17" ht="30" customHeight="1" x14ac:dyDescent="0.25">
      <c r="C39" s="931" t="s">
        <v>159</v>
      </c>
      <c r="D39" s="932"/>
      <c r="E39" s="161">
        <f>IF(($E$40=0),0,($E$38/$E$40))</f>
        <v>1.2490029325513197E-3</v>
      </c>
      <c r="F39" s="161">
        <f>IF(($F$40=0),0,($F$38/$F$40))</f>
        <v>0.7857142857142857</v>
      </c>
      <c r="G39" s="161">
        <f>IF(($G$40=0),0,($G$38/$G$40))</f>
        <v>0</v>
      </c>
      <c r="H39" s="161">
        <f>IF(($H$40=0),0,($H$38/$H$40))</f>
        <v>0</v>
      </c>
      <c r="I39" s="161">
        <f>IF(($I$40=0),0,($I$38/$I$40))</f>
        <v>0</v>
      </c>
      <c r="J39" s="161">
        <f>IF(($J$40=0),0,($J$38/$J$40))</f>
        <v>0</v>
      </c>
      <c r="K39" s="161">
        <f>IF(($K$40=0),0,($K$38/$K$40))</f>
        <v>0</v>
      </c>
      <c r="L39" s="161">
        <f>IF(($L$40=0),0,($L$38/$L$40))</f>
        <v>0</v>
      </c>
      <c r="M39" s="161">
        <f>IF(($M$40=0),0,($M$38/$M$40))</f>
        <v>0</v>
      </c>
      <c r="N39" s="161">
        <f>IF(($N$40=0),0,($N$38/$N$40))</f>
        <v>0</v>
      </c>
      <c r="O39" s="161">
        <f>IF(($O$40=0),0,($O$38/$O$40))</f>
        <v>0</v>
      </c>
      <c r="P39" s="161">
        <f>IF(($P$40=0),0,($P$38/$P$40))</f>
        <v>0</v>
      </c>
      <c r="Q39" s="161">
        <f>AVERAGE(E39:P39)</f>
        <v>6.5580274053903084E-2</v>
      </c>
    </row>
    <row r="40" spans="3:17" ht="30" customHeight="1" x14ac:dyDescent="0.25">
      <c r="C40" s="931" t="s">
        <v>281</v>
      </c>
      <c r="D40" s="932"/>
      <c r="E40" s="162">
        <f>'Project Emission Distribution'!$F$8</f>
        <v>11</v>
      </c>
      <c r="F40" s="162">
        <f>'Project Emission Distribution'!$F$9</f>
        <v>24</v>
      </c>
      <c r="G40" s="162">
        <f>'Project Emission Distribution'!$F$10</f>
        <v>16</v>
      </c>
      <c r="H40" s="162">
        <f>'Project Emission Distribution'!$F$11</f>
        <v>16</v>
      </c>
      <c r="I40" s="162">
        <f>'Project Emission Distribution'!$F$12</f>
        <v>15</v>
      </c>
      <c r="J40" s="162">
        <f>'Project Emission Distribution'!$F$13</f>
        <v>15</v>
      </c>
      <c r="K40" s="162">
        <f>'Project Emission Distribution'!$F$14</f>
        <v>8</v>
      </c>
      <c r="L40" s="162">
        <f>'Project Emission Distribution'!$F$15</f>
        <v>1</v>
      </c>
      <c r="M40" s="162">
        <f>'Project Emission Distribution'!$F$16</f>
        <v>1</v>
      </c>
      <c r="N40" s="162">
        <f>'Project Emission Distribution'!$F$17</f>
        <v>1</v>
      </c>
      <c r="O40" s="162">
        <f>'Project Emission Distribution'!$F$18</f>
        <v>1</v>
      </c>
      <c r="P40" s="162">
        <f>'Project Emission Distribution'!$F$19</f>
        <v>1</v>
      </c>
      <c r="Q40" s="162">
        <f>SUM(E40:P40)</f>
        <v>110</v>
      </c>
    </row>
    <row r="42" spans="3:17" ht="38.25" customHeight="1" x14ac:dyDescent="0.25">
      <c r="C42" s="165"/>
      <c r="D42" s="166"/>
      <c r="E42" s="166"/>
      <c r="F42" s="166"/>
      <c r="G42" s="166"/>
      <c r="H42" s="166"/>
    </row>
    <row r="43" spans="3:17" x14ac:dyDescent="0.25">
      <c r="C43" s="167"/>
      <c r="D43" s="167"/>
      <c r="E43" s="157"/>
      <c r="F43" s="157"/>
      <c r="G43" s="157"/>
      <c r="H43" s="157"/>
    </row>
    <row r="44" spans="3:17" ht="38.25" x14ac:dyDescent="0.25">
      <c r="C44" s="234" t="s">
        <v>158</v>
      </c>
      <c r="D44" s="234" t="s">
        <v>149</v>
      </c>
      <c r="E44" s="234" t="s">
        <v>150</v>
      </c>
      <c r="F44" s="234" t="s">
        <v>168</v>
      </c>
      <c r="G44" s="157"/>
      <c r="H44" s="157"/>
    </row>
    <row r="45" spans="3:17" x14ac:dyDescent="0.25">
      <c r="C45" s="168" t="str">
        <f>'Project Emission Distribution'!D25</f>
        <v>A201</v>
      </c>
      <c r="D45" s="169">
        <f>'Project Emission Distribution'!E25</f>
        <v>44562</v>
      </c>
      <c r="E45" s="169">
        <f>'Project Emission Distribution'!F25</f>
        <v>44681</v>
      </c>
      <c r="F45" s="170">
        <f>SUMIFS($E$114:$E$478,$D$114:$D$478,"&gt;="&amp;D45,$D$114:$D$478,"&lt;="&amp;E45)</f>
        <v>22.03871909090909</v>
      </c>
      <c r="G45" s="157"/>
      <c r="H45" s="157"/>
    </row>
    <row r="46" spans="3:17" x14ac:dyDescent="0.25">
      <c r="C46" s="168" t="str">
        <f>'Project Emission Distribution'!D26</f>
        <v>AN02</v>
      </c>
      <c r="D46" s="171">
        <f>'Project Emission Distribution'!E26</f>
        <v>44593</v>
      </c>
      <c r="E46" s="171">
        <f>'Project Emission Distribution'!F26</f>
        <v>44620</v>
      </c>
      <c r="F46" s="170">
        <f t="shared" ref="F46:F104" si="3">SUMIFS($E$114:$E$478,$D$114:$D$478,"&gt;="&amp;D46,$D$114:$D$478,"&lt;="&amp;E46)</f>
        <v>22</v>
      </c>
      <c r="G46" s="157"/>
      <c r="H46" s="157"/>
    </row>
    <row r="47" spans="3:17" x14ac:dyDescent="0.25">
      <c r="C47" s="168" t="str">
        <f>'Project Emission Distribution'!D27</f>
        <v>AN03</v>
      </c>
      <c r="D47" s="169">
        <f>'Project Emission Distribution'!E27</f>
        <v>44593</v>
      </c>
      <c r="E47" s="169">
        <f>'Project Emission Distribution'!F27</f>
        <v>44781</v>
      </c>
      <c r="F47" s="170">
        <f t="shared" si="3"/>
        <v>22</v>
      </c>
      <c r="G47" s="157"/>
      <c r="H47" s="157"/>
    </row>
    <row r="48" spans="3:17" x14ac:dyDescent="0.25">
      <c r="C48" s="168" t="str">
        <f>'Project Emission Distribution'!D28</f>
        <v>AN04</v>
      </c>
      <c r="D48" s="171">
        <f>'Project Emission Distribution'!E28</f>
        <v>44583</v>
      </c>
      <c r="E48" s="171">
        <f>'Project Emission Distribution'!F28</f>
        <v>44635</v>
      </c>
      <c r="F48" s="170">
        <f t="shared" si="3"/>
        <v>22.012490029325512</v>
      </c>
      <c r="G48" s="157"/>
      <c r="H48" s="157"/>
    </row>
    <row r="49" spans="3:8" x14ac:dyDescent="0.25">
      <c r="C49" s="168" t="str">
        <f>'Project Emission Distribution'!D29</f>
        <v>AN05</v>
      </c>
      <c r="D49" s="169">
        <f>'Project Emission Distribution'!E29</f>
        <v>44614</v>
      </c>
      <c r="E49" s="169">
        <f>'Project Emission Distribution'!F29</f>
        <v>44770</v>
      </c>
      <c r="F49" s="170">
        <f t="shared" si="3"/>
        <v>5.5</v>
      </c>
      <c r="G49" s="157"/>
      <c r="H49" s="157"/>
    </row>
    <row r="50" spans="3:8" x14ac:dyDescent="0.25">
      <c r="C50" s="168" t="str">
        <f>'Project Emission Distribution'!D30</f>
        <v>AN06</v>
      </c>
      <c r="D50" s="171">
        <f>'Project Emission Distribution'!E30</f>
        <v>44593</v>
      </c>
      <c r="E50" s="171">
        <f>'Project Emission Distribution'!F30</f>
        <v>44781</v>
      </c>
      <c r="F50" s="170">
        <f t="shared" si="3"/>
        <v>22</v>
      </c>
      <c r="G50" s="157"/>
      <c r="H50" s="157"/>
    </row>
    <row r="51" spans="3:8" x14ac:dyDescent="0.25">
      <c r="C51" s="168" t="str">
        <f>'Project Emission Distribution'!D31</f>
        <v>AN07</v>
      </c>
      <c r="D51" s="169">
        <f>'Project Emission Distribution'!E31</f>
        <v>44583</v>
      </c>
      <c r="E51" s="169">
        <f>'Project Emission Distribution'!F31</f>
        <v>44635</v>
      </c>
      <c r="F51" s="170">
        <f t="shared" si="3"/>
        <v>22.012490029325512</v>
      </c>
      <c r="G51" s="157"/>
      <c r="H51" s="157"/>
    </row>
    <row r="52" spans="3:8" x14ac:dyDescent="0.25">
      <c r="C52" s="168" t="str">
        <f>'Project Emission Distribution'!D32</f>
        <v>AN08</v>
      </c>
      <c r="D52" s="171">
        <f>'Project Emission Distribution'!E32</f>
        <v>44614</v>
      </c>
      <c r="E52" s="171">
        <f>'Project Emission Distribution'!F32</f>
        <v>44770</v>
      </c>
      <c r="F52" s="170">
        <f t="shared" si="3"/>
        <v>5.5</v>
      </c>
      <c r="G52" s="157"/>
      <c r="H52" s="157"/>
    </row>
    <row r="53" spans="3:8" x14ac:dyDescent="0.25">
      <c r="C53" s="168" t="str">
        <f>'Project Emission Distribution'!D33</f>
        <v>AN09</v>
      </c>
      <c r="D53" s="169">
        <f>'Project Emission Distribution'!E33</f>
        <v>44593</v>
      </c>
      <c r="E53" s="169">
        <f>'Project Emission Distribution'!F33</f>
        <v>44781</v>
      </c>
      <c r="F53" s="170">
        <f t="shared" si="3"/>
        <v>22</v>
      </c>
      <c r="G53" s="157"/>
      <c r="H53" s="157"/>
    </row>
    <row r="54" spans="3:8" x14ac:dyDescent="0.25">
      <c r="C54" s="168" t="str">
        <f>'Project Emission Distribution'!D34</f>
        <v>AN10</v>
      </c>
      <c r="D54" s="171">
        <f>'Project Emission Distribution'!E34</f>
        <v>44583</v>
      </c>
      <c r="E54" s="171">
        <f>'Project Emission Distribution'!F34</f>
        <v>44635</v>
      </c>
      <c r="F54" s="170">
        <f t="shared" si="3"/>
        <v>22.012490029325512</v>
      </c>
      <c r="G54" s="157"/>
      <c r="H54" s="157"/>
    </row>
    <row r="55" spans="3:8" x14ac:dyDescent="0.25">
      <c r="C55" s="168" t="str">
        <f>'Project Emission Distribution'!D35</f>
        <v>AN11</v>
      </c>
      <c r="D55" s="169">
        <f>'Project Emission Distribution'!E35</f>
        <v>44614</v>
      </c>
      <c r="E55" s="169">
        <f>'Project Emission Distribution'!F35</f>
        <v>44770</v>
      </c>
      <c r="F55" s="170">
        <f t="shared" si="3"/>
        <v>5.5</v>
      </c>
      <c r="G55" s="157"/>
      <c r="H55" s="157"/>
    </row>
    <row r="56" spans="3:8" x14ac:dyDescent="0.25">
      <c r="C56" s="168" t="str">
        <f>'Project Emission Distribution'!D36</f>
        <v>AN12</v>
      </c>
      <c r="D56" s="171">
        <f>'Project Emission Distribution'!E36</f>
        <v>44593</v>
      </c>
      <c r="E56" s="171">
        <f>'Project Emission Distribution'!F36</f>
        <v>44781</v>
      </c>
      <c r="F56" s="170">
        <f t="shared" si="3"/>
        <v>22</v>
      </c>
      <c r="G56" s="157"/>
      <c r="H56" s="157"/>
    </row>
    <row r="57" spans="3:8" x14ac:dyDescent="0.25">
      <c r="C57" s="168" t="str">
        <f>'Project Emission Distribution'!D37</f>
        <v>AN13</v>
      </c>
      <c r="D57" s="169">
        <f>'Project Emission Distribution'!E37</f>
        <v>44593</v>
      </c>
      <c r="E57" s="169">
        <f>'Project Emission Distribution'!F37</f>
        <v>44781</v>
      </c>
      <c r="F57" s="170">
        <f t="shared" si="3"/>
        <v>22</v>
      </c>
      <c r="G57" s="157"/>
      <c r="H57" s="157"/>
    </row>
    <row r="58" spans="3:8" x14ac:dyDescent="0.25">
      <c r="C58" s="168" t="str">
        <f>'Project Emission Distribution'!D38</f>
        <v>AN14</v>
      </c>
      <c r="D58" s="171">
        <f>'Project Emission Distribution'!E38</f>
        <v>44583</v>
      </c>
      <c r="E58" s="171">
        <f>'Project Emission Distribution'!F38</f>
        <v>44635</v>
      </c>
      <c r="F58" s="170">
        <f t="shared" si="3"/>
        <v>22.012490029325512</v>
      </c>
      <c r="G58" s="157"/>
      <c r="H58" s="157"/>
    </row>
    <row r="59" spans="3:8" x14ac:dyDescent="0.25">
      <c r="C59" s="168" t="str">
        <f>'Project Emission Distribution'!D39</f>
        <v>AN15</v>
      </c>
      <c r="D59" s="169">
        <f>'Project Emission Distribution'!E39</f>
        <v>44614</v>
      </c>
      <c r="E59" s="169">
        <f>'Project Emission Distribution'!F39</f>
        <v>44770</v>
      </c>
      <c r="F59" s="170">
        <f t="shared" si="3"/>
        <v>5.5</v>
      </c>
      <c r="G59" s="157"/>
      <c r="H59" s="157"/>
    </row>
    <row r="60" spans="3:8" x14ac:dyDescent="0.25">
      <c r="C60" s="168" t="str">
        <f>'Project Emission Distribution'!D40</f>
        <v>AN16</v>
      </c>
      <c r="D60" s="171">
        <f>'Project Emission Distribution'!E40</f>
        <v>44593</v>
      </c>
      <c r="E60" s="171">
        <f>'Project Emission Distribution'!F40</f>
        <v>44781</v>
      </c>
      <c r="F60" s="170">
        <f t="shared" si="3"/>
        <v>22</v>
      </c>
      <c r="G60" s="157"/>
      <c r="H60" s="157"/>
    </row>
    <row r="61" spans="3:8" x14ac:dyDescent="0.25">
      <c r="C61" s="168" t="str">
        <f>'Project Emission Distribution'!D41</f>
        <v>AN17</v>
      </c>
      <c r="D61" s="169">
        <f>'Project Emission Distribution'!E41</f>
        <v>44583</v>
      </c>
      <c r="E61" s="169">
        <f>'Project Emission Distribution'!F41</f>
        <v>44635</v>
      </c>
      <c r="F61" s="170">
        <f t="shared" si="3"/>
        <v>22.012490029325512</v>
      </c>
      <c r="G61" s="157"/>
      <c r="H61" s="157"/>
    </row>
    <row r="62" spans="3:8" x14ac:dyDescent="0.25">
      <c r="C62" s="168" t="str">
        <f>'Project Emission Distribution'!D42</f>
        <v>AN18</v>
      </c>
      <c r="D62" s="171">
        <f>'Project Emission Distribution'!E42</f>
        <v>44614</v>
      </c>
      <c r="E62" s="171">
        <f>'Project Emission Distribution'!F42</f>
        <v>44770</v>
      </c>
      <c r="F62" s="170">
        <f t="shared" si="3"/>
        <v>5.5</v>
      </c>
      <c r="G62" s="157"/>
      <c r="H62" s="157"/>
    </row>
    <row r="63" spans="3:8" x14ac:dyDescent="0.25">
      <c r="C63" s="168" t="str">
        <f>'Project Emission Distribution'!D43</f>
        <v>AN19</v>
      </c>
      <c r="D63" s="169">
        <f>'Project Emission Distribution'!E43</f>
        <v>44593</v>
      </c>
      <c r="E63" s="169">
        <f>'Project Emission Distribution'!F43</f>
        <v>44781</v>
      </c>
      <c r="F63" s="170">
        <f t="shared" si="3"/>
        <v>22</v>
      </c>
      <c r="G63" s="157"/>
      <c r="H63" s="157"/>
    </row>
    <row r="64" spans="3:8" x14ac:dyDescent="0.25">
      <c r="C64" s="168" t="str">
        <f>'Project Emission Distribution'!D44</f>
        <v>AN20</v>
      </c>
      <c r="D64" s="171">
        <f>'Project Emission Distribution'!E44</f>
        <v>44583</v>
      </c>
      <c r="E64" s="171">
        <f>'Project Emission Distribution'!F44</f>
        <v>44635</v>
      </c>
      <c r="F64" s="170">
        <f t="shared" si="3"/>
        <v>22.012490029325512</v>
      </c>
      <c r="G64" s="157"/>
      <c r="H64" s="157"/>
    </row>
    <row r="65" spans="3:8" x14ac:dyDescent="0.25">
      <c r="C65" s="168" t="str">
        <f>'Project Emission Distribution'!D45</f>
        <v>AN21</v>
      </c>
      <c r="D65" s="169">
        <f>'Project Emission Distribution'!E45</f>
        <v>44614</v>
      </c>
      <c r="E65" s="169">
        <f>'Project Emission Distribution'!F45</f>
        <v>44770</v>
      </c>
      <c r="F65" s="170">
        <f t="shared" si="3"/>
        <v>5.5</v>
      </c>
      <c r="G65" s="157"/>
      <c r="H65" s="157"/>
    </row>
    <row r="66" spans="3:8" x14ac:dyDescent="0.25">
      <c r="C66" s="168" t="str">
        <f>'Project Emission Distribution'!D46</f>
        <v>AN22</v>
      </c>
      <c r="D66" s="171">
        <f>'Project Emission Distribution'!E46</f>
        <v>44562</v>
      </c>
      <c r="E66" s="171">
        <f>'Project Emission Distribution'!F46</f>
        <v>44781</v>
      </c>
      <c r="F66" s="170">
        <f t="shared" si="3"/>
        <v>22.03871909090909</v>
      </c>
      <c r="G66" s="157"/>
      <c r="H66" s="157"/>
    </row>
    <row r="67" spans="3:8" x14ac:dyDescent="0.25">
      <c r="C67" s="168" t="str">
        <f>'Project Emission Distribution'!D47</f>
        <v>AN23</v>
      </c>
      <c r="D67" s="169">
        <f>'Project Emission Distribution'!E47</f>
        <v>44583</v>
      </c>
      <c r="E67" s="169">
        <f>'Project Emission Distribution'!F47</f>
        <v>44635</v>
      </c>
      <c r="F67" s="170">
        <f t="shared" si="3"/>
        <v>22.012490029325512</v>
      </c>
      <c r="G67" s="157"/>
      <c r="H67" s="157"/>
    </row>
    <row r="68" spans="3:8" x14ac:dyDescent="0.25">
      <c r="C68" s="168" t="str">
        <f>'Project Emission Distribution'!D48</f>
        <v>AN24</v>
      </c>
      <c r="D68" s="171">
        <f>'Project Emission Distribution'!E48</f>
        <v>44583</v>
      </c>
      <c r="E68" s="171">
        <f>'Project Emission Distribution'!F48</f>
        <v>44770</v>
      </c>
      <c r="F68" s="170">
        <f t="shared" si="3"/>
        <v>22.012490029325512</v>
      </c>
      <c r="G68" s="157"/>
      <c r="H68" s="157"/>
    </row>
    <row r="69" spans="3:8" x14ac:dyDescent="0.25">
      <c r="C69" s="168" t="str">
        <f>'Project Emission Distribution'!D49</f>
        <v>AN25</v>
      </c>
      <c r="D69" s="169">
        <f>'Project Emission Distribution'!E49</f>
        <v>44562</v>
      </c>
      <c r="E69" s="169">
        <f>'Project Emission Distribution'!F49</f>
        <v>44614</v>
      </c>
      <c r="F69" s="170">
        <f t="shared" si="3"/>
        <v>17.324433376623382</v>
      </c>
      <c r="G69" s="157"/>
      <c r="H69" s="157"/>
    </row>
    <row r="70" spans="3:8" x14ac:dyDescent="0.25">
      <c r="C70" s="168" t="str">
        <f>'Project Emission Distribution'!D50</f>
        <v>AN26</v>
      </c>
      <c r="D70" s="171">
        <f>'Project Emission Distribution'!E50</f>
        <v>44774</v>
      </c>
      <c r="E70" s="171">
        <f>'Project Emission Distribution'!F50</f>
        <v>44926</v>
      </c>
      <c r="F70" s="170">
        <f t="shared" si="3"/>
        <v>0</v>
      </c>
      <c r="G70" s="157"/>
      <c r="H70" s="157"/>
    </row>
    <row r="71" spans="3:8" x14ac:dyDescent="0.25">
      <c r="C71" s="168" t="str">
        <f>'Project Emission Distribution'!D51</f>
        <v>AN27</v>
      </c>
      <c r="D71" s="169" t="str">
        <f>'Project Emission Distribution'!E51</f>
        <v/>
      </c>
      <c r="E71" s="169" t="str">
        <f>'Project Emission Distribution'!F51</f>
        <v/>
      </c>
      <c r="F71" s="170">
        <f t="shared" si="3"/>
        <v>0</v>
      </c>
      <c r="G71" s="157"/>
      <c r="H71" s="157"/>
    </row>
    <row r="72" spans="3:8" x14ac:dyDescent="0.25">
      <c r="C72" s="168" t="str">
        <f>'Project Emission Distribution'!D52</f>
        <v>AN28</v>
      </c>
      <c r="D72" s="171" t="str">
        <f>'Project Emission Distribution'!E52</f>
        <v/>
      </c>
      <c r="E72" s="171" t="str">
        <f>'Project Emission Distribution'!F52</f>
        <v/>
      </c>
      <c r="F72" s="170">
        <f t="shared" si="3"/>
        <v>0</v>
      </c>
      <c r="G72" s="157"/>
      <c r="H72" s="157"/>
    </row>
    <row r="73" spans="3:8" x14ac:dyDescent="0.25">
      <c r="C73" s="168" t="str">
        <f>'Project Emission Distribution'!D53</f>
        <v>AN29</v>
      </c>
      <c r="D73" s="169" t="str">
        <f>'Project Emission Distribution'!E53</f>
        <v/>
      </c>
      <c r="E73" s="169" t="str">
        <f>'Project Emission Distribution'!F53</f>
        <v/>
      </c>
      <c r="F73" s="170">
        <f t="shared" si="3"/>
        <v>0</v>
      </c>
      <c r="G73" s="157"/>
      <c r="H73" s="157"/>
    </row>
    <row r="74" spans="3:8" x14ac:dyDescent="0.25">
      <c r="C74" s="168" t="str">
        <f>'Project Emission Distribution'!D54</f>
        <v>AN30</v>
      </c>
      <c r="D74" s="171" t="str">
        <f>'Project Emission Distribution'!E54</f>
        <v/>
      </c>
      <c r="E74" s="171" t="str">
        <f>'Project Emission Distribution'!F54</f>
        <v/>
      </c>
      <c r="F74" s="170">
        <f t="shared" si="3"/>
        <v>0</v>
      </c>
      <c r="G74" s="157"/>
      <c r="H74" s="157"/>
    </row>
    <row r="75" spans="3:8" x14ac:dyDescent="0.25">
      <c r="C75" s="168" t="str">
        <f>'Project Emission Distribution'!D55</f>
        <v>AN31</v>
      </c>
      <c r="D75" s="169" t="str">
        <f>'Project Emission Distribution'!E55</f>
        <v/>
      </c>
      <c r="E75" s="169" t="str">
        <f>'Project Emission Distribution'!F55</f>
        <v/>
      </c>
      <c r="F75" s="170">
        <f t="shared" si="3"/>
        <v>0</v>
      </c>
      <c r="G75" s="157"/>
      <c r="H75" s="157"/>
    </row>
    <row r="76" spans="3:8" x14ac:dyDescent="0.25">
      <c r="C76" s="168" t="str">
        <f>'Project Emission Distribution'!D56</f>
        <v>AN32</v>
      </c>
      <c r="D76" s="171" t="str">
        <f>'Project Emission Distribution'!E56</f>
        <v/>
      </c>
      <c r="E76" s="171" t="str">
        <f>'Project Emission Distribution'!F56</f>
        <v/>
      </c>
      <c r="F76" s="170">
        <f t="shared" si="3"/>
        <v>0</v>
      </c>
      <c r="G76" s="157"/>
      <c r="H76" s="157"/>
    </row>
    <row r="77" spans="3:8" x14ac:dyDescent="0.25">
      <c r="C77" s="168" t="str">
        <f>'Project Emission Distribution'!D57</f>
        <v>AN33</v>
      </c>
      <c r="D77" s="169" t="str">
        <f>'Project Emission Distribution'!E57</f>
        <v/>
      </c>
      <c r="E77" s="169" t="str">
        <f>'Project Emission Distribution'!F57</f>
        <v/>
      </c>
      <c r="F77" s="170">
        <f t="shared" si="3"/>
        <v>0</v>
      </c>
      <c r="G77" s="157"/>
      <c r="H77" s="157"/>
    </row>
    <row r="78" spans="3:8" x14ac:dyDescent="0.25">
      <c r="C78" s="168" t="str">
        <f>'Project Emission Distribution'!D58</f>
        <v>AN34</v>
      </c>
      <c r="D78" s="171" t="str">
        <f>'Project Emission Distribution'!E58</f>
        <v/>
      </c>
      <c r="E78" s="171" t="str">
        <f>'Project Emission Distribution'!F58</f>
        <v/>
      </c>
      <c r="F78" s="170">
        <f t="shared" si="3"/>
        <v>0</v>
      </c>
      <c r="G78" s="157"/>
      <c r="H78" s="157"/>
    </row>
    <row r="79" spans="3:8" x14ac:dyDescent="0.25">
      <c r="C79" s="168" t="str">
        <f>'Project Emission Distribution'!D59</f>
        <v>AN35</v>
      </c>
      <c r="D79" s="169" t="str">
        <f>'Project Emission Distribution'!E59</f>
        <v/>
      </c>
      <c r="E79" s="169" t="str">
        <f>'Project Emission Distribution'!F59</f>
        <v/>
      </c>
      <c r="F79" s="170">
        <f t="shared" si="3"/>
        <v>0</v>
      </c>
      <c r="G79" s="157"/>
      <c r="H79" s="157"/>
    </row>
    <row r="80" spans="3:8" x14ac:dyDescent="0.25">
      <c r="C80" s="168" t="str">
        <f>'Project Emission Distribution'!D60</f>
        <v>AN36</v>
      </c>
      <c r="D80" s="171" t="str">
        <f>'Project Emission Distribution'!E60</f>
        <v/>
      </c>
      <c r="E80" s="171" t="str">
        <f>'Project Emission Distribution'!F60</f>
        <v/>
      </c>
      <c r="F80" s="170">
        <f t="shared" si="3"/>
        <v>0</v>
      </c>
      <c r="G80" s="157"/>
      <c r="H80" s="157"/>
    </row>
    <row r="81" spans="3:8" x14ac:dyDescent="0.25">
      <c r="C81" s="168" t="str">
        <f>'Project Emission Distribution'!D61</f>
        <v>AN37</v>
      </c>
      <c r="D81" s="169" t="str">
        <f>'Project Emission Distribution'!E61</f>
        <v/>
      </c>
      <c r="E81" s="169" t="str">
        <f>'Project Emission Distribution'!F61</f>
        <v/>
      </c>
      <c r="F81" s="170">
        <f t="shared" si="3"/>
        <v>0</v>
      </c>
      <c r="G81" s="157"/>
      <c r="H81" s="157"/>
    </row>
    <row r="82" spans="3:8" x14ac:dyDescent="0.25">
      <c r="C82" s="168" t="str">
        <f>'Project Emission Distribution'!D62</f>
        <v>AN38</v>
      </c>
      <c r="D82" s="171" t="str">
        <f>'Project Emission Distribution'!E62</f>
        <v/>
      </c>
      <c r="E82" s="171" t="str">
        <f>'Project Emission Distribution'!F62</f>
        <v/>
      </c>
      <c r="F82" s="170">
        <f t="shared" si="3"/>
        <v>0</v>
      </c>
      <c r="G82" s="157"/>
      <c r="H82" s="157"/>
    </row>
    <row r="83" spans="3:8" x14ac:dyDescent="0.25">
      <c r="C83" s="168" t="str">
        <f>'Project Emission Distribution'!D63</f>
        <v>AN39</v>
      </c>
      <c r="D83" s="169" t="str">
        <f>'Project Emission Distribution'!E63</f>
        <v/>
      </c>
      <c r="E83" s="169" t="str">
        <f>'Project Emission Distribution'!F63</f>
        <v/>
      </c>
      <c r="F83" s="170">
        <f t="shared" si="3"/>
        <v>0</v>
      </c>
      <c r="G83" s="157"/>
      <c r="H83" s="157"/>
    </row>
    <row r="84" spans="3:8" x14ac:dyDescent="0.25">
      <c r="C84" s="168" t="str">
        <f>'Project Emission Distribution'!D64</f>
        <v>AN40</v>
      </c>
      <c r="D84" s="171" t="str">
        <f>'Project Emission Distribution'!E64</f>
        <v/>
      </c>
      <c r="E84" s="171" t="str">
        <f>'Project Emission Distribution'!F64</f>
        <v/>
      </c>
      <c r="F84" s="170">
        <f t="shared" si="3"/>
        <v>0</v>
      </c>
      <c r="G84" s="157"/>
      <c r="H84" s="157"/>
    </row>
    <row r="85" spans="3:8" x14ac:dyDescent="0.25">
      <c r="C85" s="168" t="str">
        <f>'Project Emission Distribution'!D65</f>
        <v>AN41</v>
      </c>
      <c r="D85" s="169" t="str">
        <f>'Project Emission Distribution'!E65</f>
        <v/>
      </c>
      <c r="E85" s="169" t="str">
        <f>'Project Emission Distribution'!F65</f>
        <v/>
      </c>
      <c r="F85" s="170">
        <f t="shared" si="3"/>
        <v>0</v>
      </c>
      <c r="G85" s="157"/>
      <c r="H85" s="157"/>
    </row>
    <row r="86" spans="3:8" x14ac:dyDescent="0.25">
      <c r="C86" s="168" t="str">
        <f>'Project Emission Distribution'!D66</f>
        <v>AN42</v>
      </c>
      <c r="D86" s="171" t="str">
        <f>'Project Emission Distribution'!E66</f>
        <v/>
      </c>
      <c r="E86" s="171" t="str">
        <f>'Project Emission Distribution'!F66</f>
        <v/>
      </c>
      <c r="F86" s="170">
        <f t="shared" si="3"/>
        <v>0</v>
      </c>
      <c r="G86" s="157"/>
      <c r="H86" s="157"/>
    </row>
    <row r="87" spans="3:8" x14ac:dyDescent="0.25">
      <c r="C87" s="168" t="str">
        <f>'Project Emission Distribution'!D67</f>
        <v>AN43</v>
      </c>
      <c r="D87" s="169" t="str">
        <f>'Project Emission Distribution'!E67</f>
        <v/>
      </c>
      <c r="E87" s="169" t="str">
        <f>'Project Emission Distribution'!F67</f>
        <v/>
      </c>
      <c r="F87" s="170">
        <f t="shared" si="3"/>
        <v>0</v>
      </c>
      <c r="G87" s="157"/>
      <c r="H87" s="157"/>
    </row>
    <row r="88" spans="3:8" x14ac:dyDescent="0.25">
      <c r="C88" s="168" t="str">
        <f>'Project Emission Distribution'!D68</f>
        <v>AN44</v>
      </c>
      <c r="D88" s="171" t="str">
        <f>'Project Emission Distribution'!E68</f>
        <v/>
      </c>
      <c r="E88" s="171" t="str">
        <f>'Project Emission Distribution'!F68</f>
        <v/>
      </c>
      <c r="F88" s="170">
        <f t="shared" si="3"/>
        <v>0</v>
      </c>
      <c r="G88" s="157"/>
      <c r="H88" s="157"/>
    </row>
    <row r="89" spans="3:8" x14ac:dyDescent="0.25">
      <c r="C89" s="168" t="str">
        <f>'Project Emission Distribution'!D69</f>
        <v>AN45</v>
      </c>
      <c r="D89" s="169" t="str">
        <f>'Project Emission Distribution'!E69</f>
        <v/>
      </c>
      <c r="E89" s="169" t="str">
        <f>'Project Emission Distribution'!F69</f>
        <v/>
      </c>
      <c r="F89" s="170">
        <f t="shared" si="3"/>
        <v>0</v>
      </c>
      <c r="G89" s="157"/>
      <c r="H89" s="157"/>
    </row>
    <row r="90" spans="3:8" x14ac:dyDescent="0.25">
      <c r="C90" s="168" t="str">
        <f>'Project Emission Distribution'!D70</f>
        <v>AN46</v>
      </c>
      <c r="D90" s="171" t="str">
        <f>'Project Emission Distribution'!E70</f>
        <v/>
      </c>
      <c r="E90" s="171" t="str">
        <f>'Project Emission Distribution'!F70</f>
        <v/>
      </c>
      <c r="F90" s="170">
        <f t="shared" si="3"/>
        <v>0</v>
      </c>
      <c r="G90" s="157"/>
      <c r="H90" s="157"/>
    </row>
    <row r="91" spans="3:8" x14ac:dyDescent="0.25">
      <c r="C91" s="168" t="str">
        <f>'Project Emission Distribution'!D71</f>
        <v>AN47</v>
      </c>
      <c r="D91" s="169" t="str">
        <f>'Project Emission Distribution'!E71</f>
        <v/>
      </c>
      <c r="E91" s="169" t="str">
        <f>'Project Emission Distribution'!F71</f>
        <v/>
      </c>
      <c r="F91" s="170">
        <f t="shared" si="3"/>
        <v>0</v>
      </c>
      <c r="G91" s="157"/>
      <c r="H91" s="157"/>
    </row>
    <row r="92" spans="3:8" x14ac:dyDescent="0.25">
      <c r="C92" s="168" t="str">
        <f>'Project Emission Distribution'!D72</f>
        <v>AN48</v>
      </c>
      <c r="D92" s="171" t="str">
        <f>'Project Emission Distribution'!E72</f>
        <v/>
      </c>
      <c r="E92" s="171" t="str">
        <f>'Project Emission Distribution'!F72</f>
        <v/>
      </c>
      <c r="F92" s="170">
        <f t="shared" si="3"/>
        <v>0</v>
      </c>
      <c r="G92" s="157"/>
      <c r="H92" s="157"/>
    </row>
    <row r="93" spans="3:8" x14ac:dyDescent="0.25">
      <c r="C93" s="168" t="str">
        <f>'Project Emission Distribution'!D73</f>
        <v>AN49</v>
      </c>
      <c r="D93" s="169" t="str">
        <f>'Project Emission Distribution'!E73</f>
        <v/>
      </c>
      <c r="E93" s="169" t="str">
        <f>'Project Emission Distribution'!F73</f>
        <v/>
      </c>
      <c r="F93" s="170">
        <f t="shared" si="3"/>
        <v>0</v>
      </c>
      <c r="G93" s="157"/>
      <c r="H93" s="157"/>
    </row>
    <row r="94" spans="3:8" x14ac:dyDescent="0.25">
      <c r="C94" s="168" t="str">
        <f>'Project Emission Distribution'!D74</f>
        <v>AN50</v>
      </c>
      <c r="D94" s="171" t="str">
        <f>'Project Emission Distribution'!E74</f>
        <v/>
      </c>
      <c r="E94" s="171" t="str">
        <f>'Project Emission Distribution'!F74</f>
        <v/>
      </c>
      <c r="F94" s="170">
        <f t="shared" si="3"/>
        <v>0</v>
      </c>
      <c r="G94" s="157"/>
      <c r="H94" s="157"/>
    </row>
    <row r="95" spans="3:8" x14ac:dyDescent="0.25">
      <c r="C95" s="168" t="str">
        <f>'Project Emission Distribution'!D75</f>
        <v>AN51</v>
      </c>
      <c r="D95" s="169" t="str">
        <f>'Project Emission Distribution'!E75</f>
        <v/>
      </c>
      <c r="E95" s="169" t="str">
        <f>'Project Emission Distribution'!F75</f>
        <v/>
      </c>
      <c r="F95" s="170">
        <f t="shared" si="3"/>
        <v>0</v>
      </c>
      <c r="G95" s="157"/>
      <c r="H95" s="157"/>
    </row>
    <row r="96" spans="3:8" x14ac:dyDescent="0.25">
      <c r="C96" s="168" t="str">
        <f>'Project Emission Distribution'!D76</f>
        <v>AN52</v>
      </c>
      <c r="D96" s="171" t="str">
        <f>'Project Emission Distribution'!E76</f>
        <v/>
      </c>
      <c r="E96" s="171" t="str">
        <f>'Project Emission Distribution'!F76</f>
        <v/>
      </c>
      <c r="F96" s="170">
        <f t="shared" si="3"/>
        <v>0</v>
      </c>
      <c r="G96" s="157"/>
      <c r="H96" s="157"/>
    </row>
    <row r="97" spans="3:8" x14ac:dyDescent="0.25">
      <c r="C97" s="168" t="str">
        <f>'Project Emission Distribution'!D77</f>
        <v>AN53</v>
      </c>
      <c r="D97" s="169" t="str">
        <f>'Project Emission Distribution'!E77</f>
        <v/>
      </c>
      <c r="E97" s="169" t="str">
        <f>'Project Emission Distribution'!F77</f>
        <v/>
      </c>
      <c r="F97" s="170">
        <f t="shared" si="3"/>
        <v>0</v>
      </c>
      <c r="G97" s="157"/>
      <c r="H97" s="157"/>
    </row>
    <row r="98" spans="3:8" x14ac:dyDescent="0.25">
      <c r="C98" s="168" t="str">
        <f>'Project Emission Distribution'!D78</f>
        <v>AN54</v>
      </c>
      <c r="D98" s="171" t="str">
        <f>'Project Emission Distribution'!E78</f>
        <v/>
      </c>
      <c r="E98" s="171" t="str">
        <f>'Project Emission Distribution'!F78</f>
        <v/>
      </c>
      <c r="F98" s="170">
        <f t="shared" si="3"/>
        <v>0</v>
      </c>
      <c r="G98" s="157"/>
      <c r="H98" s="157"/>
    </row>
    <row r="99" spans="3:8" x14ac:dyDescent="0.25">
      <c r="C99" s="168" t="str">
        <f>'Project Emission Distribution'!D79</f>
        <v>AN55</v>
      </c>
      <c r="D99" s="169" t="str">
        <f>'Project Emission Distribution'!E79</f>
        <v/>
      </c>
      <c r="E99" s="169" t="str">
        <f>'Project Emission Distribution'!F79</f>
        <v/>
      </c>
      <c r="F99" s="170">
        <f t="shared" si="3"/>
        <v>0</v>
      </c>
      <c r="G99" s="157"/>
      <c r="H99" s="157"/>
    </row>
    <row r="100" spans="3:8" x14ac:dyDescent="0.25">
      <c r="C100" s="168" t="str">
        <f>'Project Emission Distribution'!D80</f>
        <v>AN56</v>
      </c>
      <c r="D100" s="171" t="str">
        <f>'Project Emission Distribution'!E80</f>
        <v/>
      </c>
      <c r="E100" s="171" t="str">
        <f>'Project Emission Distribution'!F80</f>
        <v/>
      </c>
      <c r="F100" s="170">
        <f t="shared" si="3"/>
        <v>0</v>
      </c>
      <c r="G100" s="157"/>
      <c r="H100" s="157"/>
    </row>
    <row r="101" spans="3:8" x14ac:dyDescent="0.25">
      <c r="C101" s="168" t="str">
        <f>'Project Emission Distribution'!D81</f>
        <v>AN57</v>
      </c>
      <c r="D101" s="169" t="str">
        <f>'Project Emission Distribution'!E81</f>
        <v/>
      </c>
      <c r="E101" s="169" t="str">
        <f>'Project Emission Distribution'!F81</f>
        <v/>
      </c>
      <c r="F101" s="170">
        <f t="shared" si="3"/>
        <v>0</v>
      </c>
      <c r="G101" s="157"/>
      <c r="H101" s="157"/>
    </row>
    <row r="102" spans="3:8" x14ac:dyDescent="0.25">
      <c r="C102" s="168" t="str">
        <f>'Project Emission Distribution'!D82</f>
        <v>AN58</v>
      </c>
      <c r="D102" s="171" t="str">
        <f>'Project Emission Distribution'!E82</f>
        <v/>
      </c>
      <c r="E102" s="171" t="str">
        <f>'Project Emission Distribution'!F82</f>
        <v/>
      </c>
      <c r="F102" s="170">
        <f t="shared" si="3"/>
        <v>0</v>
      </c>
      <c r="G102" s="157"/>
      <c r="H102" s="157"/>
    </row>
    <row r="103" spans="3:8" x14ac:dyDescent="0.25">
      <c r="C103" s="168" t="str">
        <f>'Project Emission Distribution'!D83</f>
        <v>AN59</v>
      </c>
      <c r="D103" s="169" t="str">
        <f>'Project Emission Distribution'!E83</f>
        <v/>
      </c>
      <c r="E103" s="169" t="str">
        <f>'Project Emission Distribution'!F83</f>
        <v/>
      </c>
      <c r="F103" s="170">
        <f t="shared" si="3"/>
        <v>0</v>
      </c>
      <c r="G103" s="157"/>
      <c r="H103" s="157"/>
    </row>
    <row r="104" spans="3:8" x14ac:dyDescent="0.25">
      <c r="C104" s="168" t="str">
        <f>'Project Emission Distribution'!D84</f>
        <v>AN60</v>
      </c>
      <c r="D104" s="171" t="str">
        <f>'Project Emission Distribution'!E84</f>
        <v/>
      </c>
      <c r="E104" s="171" t="str">
        <f>'Project Emission Distribution'!F84</f>
        <v/>
      </c>
      <c r="F104" s="170">
        <f t="shared" si="3"/>
        <v>0</v>
      </c>
      <c r="G104" s="157"/>
      <c r="H104" s="157"/>
    </row>
    <row r="105" spans="3:8" x14ac:dyDescent="0.25">
      <c r="C105" s="157"/>
      <c r="D105" s="157"/>
      <c r="E105" s="157"/>
      <c r="F105" s="157"/>
      <c r="G105" s="157"/>
      <c r="H105" s="157"/>
    </row>
    <row r="106" spans="3:8" x14ac:dyDescent="0.25">
      <c r="C106" s="157"/>
      <c r="D106" s="157"/>
      <c r="E106" s="157"/>
      <c r="F106" s="157"/>
      <c r="G106" s="157"/>
      <c r="H106" s="157"/>
    </row>
    <row r="107" spans="3:8" x14ac:dyDescent="0.25">
      <c r="C107" s="157"/>
      <c r="D107" s="157"/>
      <c r="E107" s="157"/>
      <c r="F107" s="157"/>
      <c r="G107" s="157"/>
      <c r="H107" s="157"/>
    </row>
    <row r="108" spans="3:8" x14ac:dyDescent="0.25">
      <c r="C108" s="157"/>
      <c r="D108" s="157"/>
      <c r="E108" s="157"/>
      <c r="F108" s="157"/>
      <c r="G108" s="157"/>
      <c r="H108" s="157"/>
    </row>
    <row r="109" spans="3:8" x14ac:dyDescent="0.25">
      <c r="C109" s="157"/>
      <c r="D109" s="157"/>
      <c r="E109" s="157"/>
      <c r="F109" s="157"/>
      <c r="G109" s="157"/>
      <c r="H109" s="157"/>
    </row>
    <row r="110" spans="3:8" x14ac:dyDescent="0.25">
      <c r="C110" s="157"/>
      <c r="D110" s="157"/>
      <c r="E110" s="157"/>
      <c r="F110" s="157"/>
      <c r="G110" s="157"/>
      <c r="H110" s="157"/>
    </row>
    <row r="111" spans="3:8" x14ac:dyDescent="0.25">
      <c r="C111" s="157"/>
      <c r="D111" s="157"/>
      <c r="E111" s="157"/>
      <c r="F111" s="157"/>
      <c r="G111" s="157"/>
      <c r="H111" s="157"/>
    </row>
    <row r="112" spans="3:8" x14ac:dyDescent="0.25">
      <c r="C112" s="157"/>
      <c r="D112" s="157"/>
      <c r="E112" s="157"/>
      <c r="F112" s="157"/>
      <c r="G112" s="157"/>
      <c r="H112" s="157"/>
    </row>
    <row r="113" spans="4:9" ht="75" x14ac:dyDescent="0.25">
      <c r="D113" s="215" t="s">
        <v>5</v>
      </c>
      <c r="E113" s="214" t="s">
        <v>159</v>
      </c>
      <c r="F113" s="157"/>
      <c r="G113" s="269" t="s">
        <v>169</v>
      </c>
      <c r="H113" s="157"/>
      <c r="I113" s="157"/>
    </row>
    <row r="114" spans="4:9" x14ac:dyDescent="0.25">
      <c r="D114" s="172">
        <v>44562</v>
      </c>
      <c r="E114" s="173">
        <f t="shared" ref="E114:E144" si="4">$E$39</f>
        <v>1.2490029325513197E-3</v>
      </c>
      <c r="F114" s="157"/>
      <c r="G114" s="277" t="s">
        <v>68</v>
      </c>
      <c r="H114" s="157"/>
      <c r="I114" s="157"/>
    </row>
    <row r="115" spans="4:9" x14ac:dyDescent="0.25">
      <c r="D115" s="172">
        <v>44563</v>
      </c>
      <c r="E115" s="173">
        <f t="shared" si="4"/>
        <v>1.2490029325513197E-3</v>
      </c>
      <c r="F115" s="157"/>
      <c r="G115" s="278" t="s">
        <v>91</v>
      </c>
      <c r="H115" s="157"/>
      <c r="I115" s="157"/>
    </row>
    <row r="116" spans="4:9" x14ac:dyDescent="0.25">
      <c r="D116" s="172">
        <v>44564</v>
      </c>
      <c r="E116" s="173">
        <f t="shared" si="4"/>
        <v>1.2490029325513197E-3</v>
      </c>
      <c r="F116" s="157"/>
      <c r="G116" s="157"/>
      <c r="H116" s="157"/>
      <c r="I116" s="157"/>
    </row>
    <row r="117" spans="4:9" x14ac:dyDescent="0.25">
      <c r="D117" s="172">
        <v>44565</v>
      </c>
      <c r="E117" s="173">
        <f t="shared" si="4"/>
        <v>1.2490029325513197E-3</v>
      </c>
      <c r="F117" s="157"/>
      <c r="G117" s="157"/>
      <c r="H117" s="157"/>
      <c r="I117" s="157"/>
    </row>
    <row r="118" spans="4:9" x14ac:dyDescent="0.25">
      <c r="D118" s="172">
        <v>44566</v>
      </c>
      <c r="E118" s="173">
        <f t="shared" si="4"/>
        <v>1.2490029325513197E-3</v>
      </c>
      <c r="F118" s="157"/>
      <c r="G118" s="157"/>
      <c r="H118" s="157"/>
      <c r="I118" s="157"/>
    </row>
    <row r="119" spans="4:9" x14ac:dyDescent="0.25">
      <c r="D119" s="172">
        <v>44567</v>
      </c>
      <c r="E119" s="173">
        <f t="shared" si="4"/>
        <v>1.2490029325513197E-3</v>
      </c>
      <c r="F119" s="157"/>
      <c r="G119" s="157"/>
      <c r="H119" s="157"/>
      <c r="I119" s="157"/>
    </row>
    <row r="120" spans="4:9" x14ac:dyDescent="0.25">
      <c r="D120" s="172">
        <v>44568</v>
      </c>
      <c r="E120" s="173">
        <f t="shared" si="4"/>
        <v>1.2490029325513197E-3</v>
      </c>
      <c r="F120" s="157"/>
      <c r="G120" s="157"/>
      <c r="H120" s="157"/>
      <c r="I120" s="157"/>
    </row>
    <row r="121" spans="4:9" x14ac:dyDescent="0.25">
      <c r="D121" s="172">
        <v>44569</v>
      </c>
      <c r="E121" s="173">
        <f t="shared" si="4"/>
        <v>1.2490029325513197E-3</v>
      </c>
      <c r="F121" s="157"/>
      <c r="G121" s="157"/>
      <c r="H121" s="157"/>
      <c r="I121" s="157"/>
    </row>
    <row r="122" spans="4:9" x14ac:dyDescent="0.25">
      <c r="D122" s="172">
        <v>44570</v>
      </c>
      <c r="E122" s="173">
        <f t="shared" si="4"/>
        <v>1.2490029325513197E-3</v>
      </c>
      <c r="F122" s="157"/>
      <c r="G122" s="157"/>
      <c r="H122" s="157"/>
      <c r="I122" s="157"/>
    </row>
    <row r="123" spans="4:9" x14ac:dyDescent="0.25">
      <c r="D123" s="172">
        <v>44571</v>
      </c>
      <c r="E123" s="173">
        <f t="shared" si="4"/>
        <v>1.2490029325513197E-3</v>
      </c>
      <c r="F123" s="157"/>
      <c r="G123" s="157"/>
      <c r="H123" s="157"/>
      <c r="I123" s="157"/>
    </row>
    <row r="124" spans="4:9" x14ac:dyDescent="0.25">
      <c r="D124" s="172">
        <v>44572</v>
      </c>
      <c r="E124" s="173">
        <f t="shared" si="4"/>
        <v>1.2490029325513197E-3</v>
      </c>
      <c r="F124" s="157"/>
      <c r="G124" s="157"/>
      <c r="H124" s="157"/>
      <c r="I124" s="157"/>
    </row>
    <row r="125" spans="4:9" x14ac:dyDescent="0.25">
      <c r="D125" s="172">
        <v>44573</v>
      </c>
      <c r="E125" s="173">
        <f t="shared" si="4"/>
        <v>1.2490029325513197E-3</v>
      </c>
      <c r="F125" s="157"/>
      <c r="G125" s="157"/>
      <c r="H125" s="157"/>
      <c r="I125" s="157"/>
    </row>
    <row r="126" spans="4:9" x14ac:dyDescent="0.25">
      <c r="D126" s="172">
        <v>44574</v>
      </c>
      <c r="E126" s="173">
        <f t="shared" si="4"/>
        <v>1.2490029325513197E-3</v>
      </c>
      <c r="F126" s="157"/>
      <c r="G126" s="157"/>
      <c r="H126" s="157"/>
      <c r="I126" s="157"/>
    </row>
    <row r="127" spans="4:9" x14ac:dyDescent="0.25">
      <c r="D127" s="172">
        <v>44575</v>
      </c>
      <c r="E127" s="173">
        <f t="shared" si="4"/>
        <v>1.2490029325513197E-3</v>
      </c>
      <c r="F127" s="157"/>
      <c r="G127" s="157"/>
      <c r="H127" s="157"/>
      <c r="I127" s="157"/>
    </row>
    <row r="128" spans="4:9" x14ac:dyDescent="0.25">
      <c r="D128" s="172">
        <v>44576</v>
      </c>
      <c r="E128" s="173">
        <f t="shared" si="4"/>
        <v>1.2490029325513197E-3</v>
      </c>
      <c r="F128" s="157"/>
      <c r="G128" s="157"/>
      <c r="H128" s="157"/>
      <c r="I128" s="157"/>
    </row>
    <row r="129" spans="4:9" x14ac:dyDescent="0.25">
      <c r="D129" s="172">
        <v>44577</v>
      </c>
      <c r="E129" s="173">
        <f t="shared" si="4"/>
        <v>1.2490029325513197E-3</v>
      </c>
      <c r="F129" s="157"/>
      <c r="G129" s="157"/>
      <c r="H129" s="157"/>
      <c r="I129" s="157"/>
    </row>
    <row r="130" spans="4:9" x14ac:dyDescent="0.25">
      <c r="D130" s="172">
        <v>44578</v>
      </c>
      <c r="E130" s="173">
        <f t="shared" si="4"/>
        <v>1.2490029325513197E-3</v>
      </c>
      <c r="F130" s="157"/>
      <c r="G130" s="157"/>
      <c r="H130" s="157"/>
      <c r="I130" s="157"/>
    </row>
    <row r="131" spans="4:9" x14ac:dyDescent="0.25">
      <c r="D131" s="172">
        <v>44579</v>
      </c>
      <c r="E131" s="173">
        <f t="shared" si="4"/>
        <v>1.2490029325513197E-3</v>
      </c>
      <c r="F131" s="157"/>
      <c r="G131" s="157"/>
      <c r="H131" s="157"/>
      <c r="I131" s="157"/>
    </row>
    <row r="132" spans="4:9" x14ac:dyDescent="0.25">
      <c r="D132" s="172">
        <v>44580</v>
      </c>
      <c r="E132" s="173">
        <f t="shared" si="4"/>
        <v>1.2490029325513197E-3</v>
      </c>
      <c r="F132" s="157"/>
      <c r="G132" s="157"/>
      <c r="H132" s="157"/>
      <c r="I132" s="157"/>
    </row>
    <row r="133" spans="4:9" x14ac:dyDescent="0.25">
      <c r="D133" s="172">
        <v>44581</v>
      </c>
      <c r="E133" s="173">
        <f t="shared" si="4"/>
        <v>1.2490029325513197E-3</v>
      </c>
      <c r="F133" s="157"/>
      <c r="G133" s="157"/>
      <c r="H133" s="157"/>
      <c r="I133" s="157"/>
    </row>
    <row r="134" spans="4:9" x14ac:dyDescent="0.25">
      <c r="D134" s="172">
        <v>44582</v>
      </c>
      <c r="E134" s="173">
        <f t="shared" si="4"/>
        <v>1.2490029325513197E-3</v>
      </c>
      <c r="F134" s="157"/>
      <c r="G134" s="157"/>
      <c r="H134" s="157"/>
      <c r="I134" s="157"/>
    </row>
    <row r="135" spans="4:9" x14ac:dyDescent="0.25">
      <c r="D135" s="172">
        <v>44583</v>
      </c>
      <c r="E135" s="173">
        <f t="shared" si="4"/>
        <v>1.2490029325513197E-3</v>
      </c>
      <c r="F135" s="157"/>
      <c r="G135" s="157"/>
      <c r="H135" s="157"/>
      <c r="I135" s="157"/>
    </row>
    <row r="136" spans="4:9" x14ac:dyDescent="0.25">
      <c r="D136" s="172">
        <v>44584</v>
      </c>
      <c r="E136" s="173">
        <f t="shared" si="4"/>
        <v>1.2490029325513197E-3</v>
      </c>
      <c r="F136" s="157"/>
      <c r="G136" s="157"/>
      <c r="H136" s="157"/>
      <c r="I136" s="157"/>
    </row>
    <row r="137" spans="4:9" x14ac:dyDescent="0.25">
      <c r="D137" s="172">
        <v>44585</v>
      </c>
      <c r="E137" s="173">
        <f t="shared" si="4"/>
        <v>1.2490029325513197E-3</v>
      </c>
      <c r="F137" s="157"/>
      <c r="G137" s="157"/>
      <c r="H137" s="157"/>
      <c r="I137" s="157"/>
    </row>
    <row r="138" spans="4:9" x14ac:dyDescent="0.25">
      <c r="D138" s="172">
        <v>44586</v>
      </c>
      <c r="E138" s="173">
        <f t="shared" si="4"/>
        <v>1.2490029325513197E-3</v>
      </c>
      <c r="F138" s="157"/>
      <c r="G138" s="157"/>
      <c r="H138" s="157"/>
      <c r="I138" s="157"/>
    </row>
    <row r="139" spans="4:9" x14ac:dyDescent="0.25">
      <c r="D139" s="172">
        <v>44587</v>
      </c>
      <c r="E139" s="173">
        <f t="shared" si="4"/>
        <v>1.2490029325513197E-3</v>
      </c>
      <c r="F139" s="157"/>
      <c r="G139" s="157"/>
      <c r="H139" s="157"/>
      <c r="I139" s="157"/>
    </row>
    <row r="140" spans="4:9" x14ac:dyDescent="0.25">
      <c r="D140" s="172">
        <v>44588</v>
      </c>
      <c r="E140" s="173">
        <f t="shared" si="4"/>
        <v>1.2490029325513197E-3</v>
      </c>
      <c r="F140" s="157"/>
      <c r="G140" s="157"/>
      <c r="H140" s="157"/>
      <c r="I140" s="157"/>
    </row>
    <row r="141" spans="4:9" x14ac:dyDescent="0.25">
      <c r="D141" s="172">
        <v>44589</v>
      </c>
      <c r="E141" s="173">
        <f t="shared" si="4"/>
        <v>1.2490029325513197E-3</v>
      </c>
      <c r="F141" s="157"/>
      <c r="G141" s="157"/>
      <c r="H141" s="157"/>
      <c r="I141" s="157"/>
    </row>
    <row r="142" spans="4:9" x14ac:dyDescent="0.25">
      <c r="D142" s="172">
        <v>44590</v>
      </c>
      <c r="E142" s="173">
        <f t="shared" si="4"/>
        <v>1.2490029325513197E-3</v>
      </c>
      <c r="F142" s="157"/>
      <c r="G142" s="157"/>
      <c r="H142" s="157"/>
      <c r="I142" s="157"/>
    </row>
    <row r="143" spans="4:9" x14ac:dyDescent="0.25">
      <c r="D143" s="172">
        <v>44591</v>
      </c>
      <c r="E143" s="173">
        <f t="shared" si="4"/>
        <v>1.2490029325513197E-3</v>
      </c>
      <c r="F143" s="157"/>
      <c r="G143" s="157"/>
      <c r="H143" s="157"/>
      <c r="I143" s="157"/>
    </row>
    <row r="144" spans="4:9" x14ac:dyDescent="0.25">
      <c r="D144" s="172">
        <v>44592</v>
      </c>
      <c r="E144" s="173">
        <f t="shared" si="4"/>
        <v>1.2490029325513197E-3</v>
      </c>
      <c r="F144" s="157"/>
      <c r="G144" s="157"/>
      <c r="H144" s="157"/>
      <c r="I144" s="157"/>
    </row>
    <row r="145" spans="4:9" x14ac:dyDescent="0.25">
      <c r="D145" s="172">
        <v>44593</v>
      </c>
      <c r="E145" s="173">
        <f t="shared" ref="E145:E172" si="5">$F$39</f>
        <v>0.7857142857142857</v>
      </c>
      <c r="F145" s="157"/>
      <c r="G145" s="157"/>
      <c r="H145" s="157"/>
      <c r="I145" s="157"/>
    </row>
    <row r="146" spans="4:9" x14ac:dyDescent="0.25">
      <c r="D146" s="172">
        <v>44594</v>
      </c>
      <c r="E146" s="173">
        <f t="shared" si="5"/>
        <v>0.7857142857142857</v>
      </c>
      <c r="F146" s="157"/>
      <c r="G146" s="157"/>
      <c r="H146" s="157"/>
      <c r="I146" s="157"/>
    </row>
    <row r="147" spans="4:9" x14ac:dyDescent="0.25">
      <c r="D147" s="172">
        <v>44595</v>
      </c>
      <c r="E147" s="173">
        <f t="shared" si="5"/>
        <v>0.7857142857142857</v>
      </c>
      <c r="F147" s="157"/>
      <c r="G147" s="157"/>
      <c r="H147" s="157"/>
      <c r="I147" s="157"/>
    </row>
    <row r="148" spans="4:9" x14ac:dyDescent="0.25">
      <c r="D148" s="172">
        <v>44596</v>
      </c>
      <c r="E148" s="173">
        <f t="shared" si="5"/>
        <v>0.7857142857142857</v>
      </c>
      <c r="F148" s="157"/>
      <c r="G148" s="157"/>
      <c r="H148" s="157"/>
      <c r="I148" s="157"/>
    </row>
    <row r="149" spans="4:9" x14ac:dyDescent="0.25">
      <c r="D149" s="172">
        <v>44597</v>
      </c>
      <c r="E149" s="173">
        <f t="shared" si="5"/>
        <v>0.7857142857142857</v>
      </c>
      <c r="F149" s="157"/>
      <c r="G149" s="157"/>
      <c r="H149" s="157"/>
      <c r="I149" s="157"/>
    </row>
    <row r="150" spans="4:9" x14ac:dyDescent="0.25">
      <c r="D150" s="172">
        <v>44598</v>
      </c>
      <c r="E150" s="173">
        <f t="shared" si="5"/>
        <v>0.7857142857142857</v>
      </c>
      <c r="F150" s="157"/>
      <c r="G150" s="157"/>
      <c r="H150" s="157"/>
      <c r="I150" s="157"/>
    </row>
    <row r="151" spans="4:9" x14ac:dyDescent="0.25">
      <c r="D151" s="172">
        <v>44599</v>
      </c>
      <c r="E151" s="173">
        <f t="shared" si="5"/>
        <v>0.7857142857142857</v>
      </c>
      <c r="F151" s="157"/>
      <c r="G151" s="157"/>
      <c r="H151" s="157"/>
      <c r="I151" s="157"/>
    </row>
    <row r="152" spans="4:9" x14ac:dyDescent="0.25">
      <c r="D152" s="172">
        <v>44600</v>
      </c>
      <c r="E152" s="173">
        <f t="shared" si="5"/>
        <v>0.7857142857142857</v>
      </c>
      <c r="F152" s="157"/>
      <c r="G152" s="157"/>
      <c r="H152" s="157"/>
      <c r="I152" s="157"/>
    </row>
    <row r="153" spans="4:9" x14ac:dyDescent="0.25">
      <c r="D153" s="172">
        <v>44601</v>
      </c>
      <c r="E153" s="173">
        <f t="shared" si="5"/>
        <v>0.7857142857142857</v>
      </c>
      <c r="F153" s="157"/>
      <c r="G153" s="157"/>
      <c r="H153" s="157"/>
      <c r="I153" s="157"/>
    </row>
    <row r="154" spans="4:9" x14ac:dyDescent="0.25">
      <c r="D154" s="172">
        <v>44602</v>
      </c>
      <c r="E154" s="173">
        <f t="shared" si="5"/>
        <v>0.7857142857142857</v>
      </c>
      <c r="F154" s="157"/>
      <c r="G154" s="157"/>
      <c r="H154" s="157"/>
      <c r="I154" s="157"/>
    </row>
    <row r="155" spans="4:9" x14ac:dyDescent="0.25">
      <c r="D155" s="172">
        <v>44603</v>
      </c>
      <c r="E155" s="173">
        <f t="shared" si="5"/>
        <v>0.7857142857142857</v>
      </c>
      <c r="F155" s="157"/>
      <c r="G155" s="157"/>
      <c r="H155" s="157"/>
      <c r="I155" s="157"/>
    </row>
    <row r="156" spans="4:9" x14ac:dyDescent="0.25">
      <c r="D156" s="172">
        <v>44604</v>
      </c>
      <c r="E156" s="173">
        <f t="shared" si="5"/>
        <v>0.7857142857142857</v>
      </c>
      <c r="F156" s="157"/>
      <c r="G156" s="157"/>
      <c r="H156" s="157"/>
      <c r="I156" s="157"/>
    </row>
    <row r="157" spans="4:9" x14ac:dyDescent="0.25">
      <c r="D157" s="172">
        <v>44605</v>
      </c>
      <c r="E157" s="173">
        <f t="shared" si="5"/>
        <v>0.7857142857142857</v>
      </c>
      <c r="F157" s="157"/>
      <c r="G157" s="157"/>
      <c r="H157" s="157"/>
      <c r="I157" s="157"/>
    </row>
    <row r="158" spans="4:9" x14ac:dyDescent="0.25">
      <c r="D158" s="172">
        <v>44606</v>
      </c>
      <c r="E158" s="173">
        <f t="shared" si="5"/>
        <v>0.7857142857142857</v>
      </c>
      <c r="F158" s="157"/>
      <c r="G158" s="157"/>
      <c r="H158" s="157"/>
      <c r="I158" s="157"/>
    </row>
    <row r="159" spans="4:9" x14ac:dyDescent="0.25">
      <c r="D159" s="172">
        <v>44607</v>
      </c>
      <c r="E159" s="173">
        <f t="shared" si="5"/>
        <v>0.7857142857142857</v>
      </c>
      <c r="F159" s="157"/>
      <c r="G159" s="157"/>
      <c r="H159" s="157"/>
      <c r="I159" s="157"/>
    </row>
    <row r="160" spans="4:9" x14ac:dyDescent="0.25">
      <c r="D160" s="172">
        <v>44608</v>
      </c>
      <c r="E160" s="173">
        <f t="shared" si="5"/>
        <v>0.7857142857142857</v>
      </c>
      <c r="F160" s="157"/>
      <c r="G160" s="157"/>
      <c r="H160" s="157"/>
      <c r="I160" s="157"/>
    </row>
    <row r="161" spans="4:9" x14ac:dyDescent="0.25">
      <c r="D161" s="172">
        <v>44609</v>
      </c>
      <c r="E161" s="173">
        <f t="shared" si="5"/>
        <v>0.7857142857142857</v>
      </c>
      <c r="F161" s="157"/>
      <c r="G161" s="157"/>
      <c r="H161" s="157"/>
      <c r="I161" s="157"/>
    </row>
    <row r="162" spans="4:9" x14ac:dyDescent="0.25">
      <c r="D162" s="172">
        <v>44610</v>
      </c>
      <c r="E162" s="173">
        <f t="shared" si="5"/>
        <v>0.7857142857142857</v>
      </c>
      <c r="F162" s="157"/>
      <c r="G162" s="157"/>
      <c r="H162" s="157"/>
      <c r="I162" s="157"/>
    </row>
    <row r="163" spans="4:9" x14ac:dyDescent="0.25">
      <c r="D163" s="172">
        <v>44611</v>
      </c>
      <c r="E163" s="173">
        <f t="shared" si="5"/>
        <v>0.7857142857142857</v>
      </c>
      <c r="F163" s="157"/>
      <c r="G163" s="157"/>
      <c r="H163" s="157"/>
      <c r="I163" s="157"/>
    </row>
    <row r="164" spans="4:9" x14ac:dyDescent="0.25">
      <c r="D164" s="172">
        <v>44612</v>
      </c>
      <c r="E164" s="173">
        <f t="shared" si="5"/>
        <v>0.7857142857142857</v>
      </c>
      <c r="F164" s="157"/>
      <c r="G164" s="157"/>
      <c r="H164" s="157"/>
      <c r="I164" s="157"/>
    </row>
    <row r="165" spans="4:9" x14ac:dyDescent="0.25">
      <c r="D165" s="172">
        <v>44613</v>
      </c>
      <c r="E165" s="173">
        <f t="shared" si="5"/>
        <v>0.7857142857142857</v>
      </c>
      <c r="F165" s="157"/>
      <c r="G165" s="157"/>
      <c r="H165" s="157"/>
      <c r="I165" s="157"/>
    </row>
    <row r="166" spans="4:9" x14ac:dyDescent="0.25">
      <c r="D166" s="172">
        <v>44614</v>
      </c>
      <c r="E166" s="173">
        <f t="shared" si="5"/>
        <v>0.7857142857142857</v>
      </c>
      <c r="F166" s="157"/>
      <c r="G166" s="157"/>
      <c r="H166" s="157"/>
      <c r="I166" s="157"/>
    </row>
    <row r="167" spans="4:9" x14ac:dyDescent="0.25">
      <c r="D167" s="172">
        <v>44615</v>
      </c>
      <c r="E167" s="173">
        <f t="shared" si="5"/>
        <v>0.7857142857142857</v>
      </c>
      <c r="F167" s="157"/>
      <c r="G167" s="157"/>
      <c r="H167" s="157"/>
      <c r="I167" s="157"/>
    </row>
    <row r="168" spans="4:9" x14ac:dyDescent="0.25">
      <c r="D168" s="172">
        <v>44616</v>
      </c>
      <c r="E168" s="173">
        <f t="shared" si="5"/>
        <v>0.7857142857142857</v>
      </c>
      <c r="F168" s="157"/>
      <c r="G168" s="157"/>
      <c r="H168" s="157"/>
      <c r="I168" s="157"/>
    </row>
    <row r="169" spans="4:9" x14ac:dyDescent="0.25">
      <c r="D169" s="172">
        <v>44617</v>
      </c>
      <c r="E169" s="173">
        <f t="shared" si="5"/>
        <v>0.7857142857142857</v>
      </c>
      <c r="F169" s="157"/>
      <c r="G169" s="157"/>
      <c r="H169" s="157"/>
      <c r="I169" s="157"/>
    </row>
    <row r="170" spans="4:9" x14ac:dyDescent="0.25">
      <c r="D170" s="172">
        <v>44618</v>
      </c>
      <c r="E170" s="173">
        <f t="shared" si="5"/>
        <v>0.7857142857142857</v>
      </c>
      <c r="F170" s="157"/>
      <c r="G170" s="157"/>
      <c r="H170" s="157"/>
      <c r="I170" s="157"/>
    </row>
    <row r="171" spans="4:9" x14ac:dyDescent="0.25">
      <c r="D171" s="172">
        <v>44619</v>
      </c>
      <c r="E171" s="173">
        <f t="shared" si="5"/>
        <v>0.7857142857142857</v>
      </c>
      <c r="F171" s="157"/>
      <c r="G171" s="157"/>
      <c r="H171" s="157"/>
      <c r="I171" s="157"/>
    </row>
    <row r="172" spans="4:9" x14ac:dyDescent="0.25">
      <c r="D172" s="172">
        <v>44620</v>
      </c>
      <c r="E172" s="173">
        <f t="shared" si="5"/>
        <v>0.7857142857142857</v>
      </c>
      <c r="F172" s="157"/>
      <c r="G172" s="157"/>
      <c r="H172" s="157"/>
      <c r="I172" s="157"/>
    </row>
    <row r="173" spans="4:9" x14ac:dyDescent="0.25">
      <c r="D173" s="172">
        <v>44621</v>
      </c>
      <c r="E173" s="173">
        <f t="shared" ref="E173:E203" si="6">$G$39</f>
        <v>0</v>
      </c>
      <c r="F173" s="157"/>
      <c r="G173" s="157"/>
      <c r="H173" s="157"/>
      <c r="I173" s="157"/>
    </row>
    <row r="174" spans="4:9" x14ac:dyDescent="0.25">
      <c r="D174" s="172">
        <v>44622</v>
      </c>
      <c r="E174" s="173">
        <f t="shared" si="6"/>
        <v>0</v>
      </c>
      <c r="F174" s="157"/>
      <c r="G174" s="157"/>
      <c r="H174" s="157"/>
      <c r="I174" s="157"/>
    </row>
    <row r="175" spans="4:9" x14ac:dyDescent="0.25">
      <c r="D175" s="172">
        <v>44623</v>
      </c>
      <c r="E175" s="173">
        <f t="shared" si="6"/>
        <v>0</v>
      </c>
      <c r="F175" s="157"/>
      <c r="G175" s="157"/>
      <c r="H175" s="157"/>
      <c r="I175" s="157"/>
    </row>
    <row r="176" spans="4:9" x14ac:dyDescent="0.25">
      <c r="D176" s="172">
        <v>44624</v>
      </c>
      <c r="E176" s="173">
        <f t="shared" si="6"/>
        <v>0</v>
      </c>
      <c r="F176" s="157"/>
      <c r="G176" s="157"/>
      <c r="H176" s="157"/>
      <c r="I176" s="157"/>
    </row>
    <row r="177" spans="4:9" x14ac:dyDescent="0.25">
      <c r="D177" s="172">
        <v>44625</v>
      </c>
      <c r="E177" s="173">
        <f t="shared" si="6"/>
        <v>0</v>
      </c>
      <c r="F177" s="157"/>
      <c r="G177" s="157"/>
      <c r="H177" s="157"/>
      <c r="I177" s="157"/>
    </row>
    <row r="178" spans="4:9" x14ac:dyDescent="0.25">
      <c r="D178" s="172">
        <v>44626</v>
      </c>
      <c r="E178" s="173">
        <f t="shared" si="6"/>
        <v>0</v>
      </c>
      <c r="F178" s="157"/>
      <c r="G178" s="157"/>
      <c r="H178" s="157"/>
      <c r="I178" s="157"/>
    </row>
    <row r="179" spans="4:9" x14ac:dyDescent="0.25">
      <c r="D179" s="172">
        <v>44627</v>
      </c>
      <c r="E179" s="173">
        <f t="shared" si="6"/>
        <v>0</v>
      </c>
      <c r="F179" s="157"/>
      <c r="G179" s="157"/>
      <c r="H179" s="157"/>
      <c r="I179" s="157"/>
    </row>
    <row r="180" spans="4:9" x14ac:dyDescent="0.25">
      <c r="D180" s="172">
        <v>44628</v>
      </c>
      <c r="E180" s="173">
        <f t="shared" si="6"/>
        <v>0</v>
      </c>
      <c r="F180" s="157"/>
      <c r="G180" s="157"/>
      <c r="H180" s="157"/>
      <c r="I180" s="157"/>
    </row>
    <row r="181" spans="4:9" x14ac:dyDescent="0.25">
      <c r="D181" s="172">
        <v>44629</v>
      </c>
      <c r="E181" s="173">
        <f t="shared" si="6"/>
        <v>0</v>
      </c>
      <c r="F181" s="157"/>
      <c r="G181" s="157"/>
      <c r="H181" s="157"/>
      <c r="I181" s="157"/>
    </row>
    <row r="182" spans="4:9" x14ac:dyDescent="0.25">
      <c r="D182" s="172">
        <v>44630</v>
      </c>
      <c r="E182" s="173">
        <f t="shared" si="6"/>
        <v>0</v>
      </c>
      <c r="F182" s="157"/>
      <c r="G182" s="157"/>
      <c r="H182" s="157"/>
      <c r="I182" s="157"/>
    </row>
    <row r="183" spans="4:9" x14ac:dyDescent="0.25">
      <c r="D183" s="172">
        <v>44631</v>
      </c>
      <c r="E183" s="173">
        <f t="shared" si="6"/>
        <v>0</v>
      </c>
      <c r="F183" s="157"/>
      <c r="G183" s="157"/>
      <c r="H183" s="157"/>
      <c r="I183" s="157"/>
    </row>
    <row r="184" spans="4:9" x14ac:dyDescent="0.25">
      <c r="D184" s="172">
        <v>44632</v>
      </c>
      <c r="E184" s="173">
        <f t="shared" si="6"/>
        <v>0</v>
      </c>
      <c r="F184" s="157"/>
      <c r="G184" s="157"/>
      <c r="H184" s="157"/>
      <c r="I184" s="157"/>
    </row>
    <row r="185" spans="4:9" x14ac:dyDescent="0.25">
      <c r="D185" s="172">
        <v>44633</v>
      </c>
      <c r="E185" s="173">
        <f t="shared" si="6"/>
        <v>0</v>
      </c>
      <c r="F185" s="157"/>
      <c r="G185" s="157"/>
      <c r="H185" s="157"/>
      <c r="I185" s="157"/>
    </row>
    <row r="186" spans="4:9" x14ac:dyDescent="0.25">
      <c r="D186" s="172">
        <v>44634</v>
      </c>
      <c r="E186" s="173">
        <f t="shared" si="6"/>
        <v>0</v>
      </c>
      <c r="F186" s="157"/>
      <c r="G186" s="157"/>
      <c r="H186" s="157"/>
      <c r="I186" s="157"/>
    </row>
    <row r="187" spans="4:9" x14ac:dyDescent="0.25">
      <c r="D187" s="172">
        <v>44635</v>
      </c>
      <c r="E187" s="173">
        <f t="shared" si="6"/>
        <v>0</v>
      </c>
      <c r="F187" s="157"/>
      <c r="G187" s="157"/>
      <c r="H187" s="157"/>
      <c r="I187" s="157"/>
    </row>
    <row r="188" spans="4:9" x14ac:dyDescent="0.25">
      <c r="D188" s="172">
        <v>44636</v>
      </c>
      <c r="E188" s="173">
        <f t="shared" si="6"/>
        <v>0</v>
      </c>
      <c r="F188" s="157"/>
      <c r="G188" s="157"/>
      <c r="H188" s="157"/>
      <c r="I188" s="157"/>
    </row>
    <row r="189" spans="4:9" x14ac:dyDescent="0.25">
      <c r="D189" s="172">
        <v>44637</v>
      </c>
      <c r="E189" s="173">
        <f t="shared" si="6"/>
        <v>0</v>
      </c>
      <c r="F189" s="157"/>
      <c r="G189" s="157"/>
      <c r="H189" s="157"/>
      <c r="I189" s="157"/>
    </row>
    <row r="190" spans="4:9" x14ac:dyDescent="0.25">
      <c r="D190" s="172">
        <v>44638</v>
      </c>
      <c r="E190" s="173">
        <f t="shared" si="6"/>
        <v>0</v>
      </c>
      <c r="F190" s="157"/>
      <c r="G190" s="157"/>
      <c r="H190" s="157"/>
      <c r="I190" s="157"/>
    </row>
    <row r="191" spans="4:9" x14ac:dyDescent="0.25">
      <c r="D191" s="172">
        <v>44639</v>
      </c>
      <c r="E191" s="173">
        <f t="shared" si="6"/>
        <v>0</v>
      </c>
      <c r="F191" s="157"/>
      <c r="G191" s="157"/>
      <c r="H191" s="157"/>
      <c r="I191" s="157"/>
    </row>
    <row r="192" spans="4:9" x14ac:dyDescent="0.25">
      <c r="D192" s="172">
        <v>44640</v>
      </c>
      <c r="E192" s="173">
        <f t="shared" si="6"/>
        <v>0</v>
      </c>
      <c r="F192" s="157"/>
      <c r="G192" s="157"/>
      <c r="H192" s="157"/>
      <c r="I192" s="157"/>
    </row>
    <row r="193" spans="4:9" x14ac:dyDescent="0.25">
      <c r="D193" s="172">
        <v>44641</v>
      </c>
      <c r="E193" s="173">
        <f t="shared" si="6"/>
        <v>0</v>
      </c>
      <c r="F193" s="157"/>
      <c r="G193" s="157"/>
      <c r="H193" s="157"/>
      <c r="I193" s="157"/>
    </row>
    <row r="194" spans="4:9" x14ac:dyDescent="0.25">
      <c r="D194" s="172">
        <v>44642</v>
      </c>
      <c r="E194" s="173">
        <f t="shared" si="6"/>
        <v>0</v>
      </c>
      <c r="F194" s="157"/>
      <c r="G194" s="157"/>
      <c r="H194" s="157"/>
      <c r="I194" s="157"/>
    </row>
    <row r="195" spans="4:9" x14ac:dyDescent="0.25">
      <c r="D195" s="172">
        <v>44643</v>
      </c>
      <c r="E195" s="173">
        <f t="shared" si="6"/>
        <v>0</v>
      </c>
      <c r="F195" s="157"/>
      <c r="G195" s="157"/>
      <c r="H195" s="157"/>
      <c r="I195" s="157"/>
    </row>
    <row r="196" spans="4:9" x14ac:dyDescent="0.25">
      <c r="D196" s="172">
        <v>44644</v>
      </c>
      <c r="E196" s="173">
        <f t="shared" si="6"/>
        <v>0</v>
      </c>
      <c r="F196" s="157"/>
      <c r="G196" s="157"/>
      <c r="H196" s="157"/>
      <c r="I196" s="157"/>
    </row>
    <row r="197" spans="4:9" x14ac:dyDescent="0.25">
      <c r="D197" s="172">
        <v>44645</v>
      </c>
      <c r="E197" s="173">
        <f t="shared" si="6"/>
        <v>0</v>
      </c>
      <c r="F197" s="157"/>
      <c r="G197" s="157"/>
      <c r="H197" s="157"/>
      <c r="I197" s="157"/>
    </row>
    <row r="198" spans="4:9" x14ac:dyDescent="0.25">
      <c r="D198" s="172">
        <v>44646</v>
      </c>
      <c r="E198" s="173">
        <f t="shared" si="6"/>
        <v>0</v>
      </c>
      <c r="F198" s="157"/>
      <c r="G198" s="157"/>
      <c r="H198" s="157"/>
      <c r="I198" s="157"/>
    </row>
    <row r="199" spans="4:9" x14ac:dyDescent="0.25">
      <c r="D199" s="172">
        <v>44647</v>
      </c>
      <c r="E199" s="173">
        <f t="shared" si="6"/>
        <v>0</v>
      </c>
      <c r="F199" s="157"/>
      <c r="G199" s="157"/>
      <c r="H199" s="157"/>
      <c r="I199" s="157"/>
    </row>
    <row r="200" spans="4:9" x14ac:dyDescent="0.25">
      <c r="D200" s="172">
        <v>44648</v>
      </c>
      <c r="E200" s="173">
        <f t="shared" si="6"/>
        <v>0</v>
      </c>
      <c r="F200" s="157"/>
      <c r="G200" s="157"/>
      <c r="H200" s="157"/>
      <c r="I200" s="157"/>
    </row>
    <row r="201" spans="4:9" x14ac:dyDescent="0.25">
      <c r="D201" s="172">
        <v>44649</v>
      </c>
      <c r="E201" s="173">
        <f t="shared" si="6"/>
        <v>0</v>
      </c>
      <c r="F201" s="157"/>
      <c r="G201" s="157"/>
      <c r="H201" s="157"/>
      <c r="I201" s="157"/>
    </row>
    <row r="202" spans="4:9" x14ac:dyDescent="0.25">
      <c r="D202" s="172">
        <v>44650</v>
      </c>
      <c r="E202" s="173">
        <f t="shared" si="6"/>
        <v>0</v>
      </c>
      <c r="F202" s="157"/>
      <c r="G202" s="157"/>
      <c r="H202" s="157"/>
      <c r="I202" s="157"/>
    </row>
    <row r="203" spans="4:9" x14ac:dyDescent="0.25">
      <c r="D203" s="172">
        <v>44651</v>
      </c>
      <c r="E203" s="173">
        <f t="shared" si="6"/>
        <v>0</v>
      </c>
      <c r="F203" s="157"/>
      <c r="G203" s="157"/>
      <c r="H203" s="157"/>
      <c r="I203" s="157"/>
    </row>
    <row r="204" spans="4:9" x14ac:dyDescent="0.25">
      <c r="D204" s="172">
        <v>44652</v>
      </c>
      <c r="E204" s="173">
        <f t="shared" ref="E204:E233" si="7">$H$39</f>
        <v>0</v>
      </c>
      <c r="F204" s="157"/>
      <c r="G204" s="157"/>
      <c r="H204" s="157"/>
      <c r="I204" s="157"/>
    </row>
    <row r="205" spans="4:9" x14ac:dyDescent="0.25">
      <c r="D205" s="172">
        <v>44653</v>
      </c>
      <c r="E205" s="173">
        <f t="shared" si="7"/>
        <v>0</v>
      </c>
      <c r="F205" s="157"/>
      <c r="G205" s="157"/>
      <c r="H205" s="157"/>
      <c r="I205" s="157"/>
    </row>
    <row r="206" spans="4:9" x14ac:dyDescent="0.25">
      <c r="D206" s="172">
        <v>44654</v>
      </c>
      <c r="E206" s="173">
        <f t="shared" si="7"/>
        <v>0</v>
      </c>
      <c r="F206" s="157"/>
      <c r="G206" s="157"/>
      <c r="H206" s="157"/>
      <c r="I206" s="157"/>
    </row>
    <row r="207" spans="4:9" x14ac:dyDescent="0.25">
      <c r="D207" s="172">
        <v>44655</v>
      </c>
      <c r="E207" s="173">
        <f t="shared" si="7"/>
        <v>0</v>
      </c>
      <c r="F207" s="157"/>
      <c r="G207" s="157"/>
      <c r="H207" s="157"/>
      <c r="I207" s="157"/>
    </row>
    <row r="208" spans="4:9" x14ac:dyDescent="0.25">
      <c r="D208" s="172">
        <v>44656</v>
      </c>
      <c r="E208" s="173">
        <f t="shared" si="7"/>
        <v>0</v>
      </c>
      <c r="F208" s="157"/>
      <c r="G208" s="157"/>
      <c r="H208" s="157"/>
      <c r="I208" s="157"/>
    </row>
    <row r="209" spans="4:9" x14ac:dyDescent="0.25">
      <c r="D209" s="172">
        <v>44657</v>
      </c>
      <c r="E209" s="173">
        <f t="shared" si="7"/>
        <v>0</v>
      </c>
      <c r="F209" s="157"/>
      <c r="G209" s="157"/>
      <c r="H209" s="157"/>
      <c r="I209" s="157"/>
    </row>
    <row r="210" spans="4:9" x14ac:dyDescent="0.25">
      <c r="D210" s="172">
        <v>44658</v>
      </c>
      <c r="E210" s="173">
        <f t="shared" si="7"/>
        <v>0</v>
      </c>
      <c r="F210" s="157"/>
      <c r="G210" s="157"/>
      <c r="H210" s="157"/>
      <c r="I210" s="157"/>
    </row>
    <row r="211" spans="4:9" x14ac:dyDescent="0.25">
      <c r="D211" s="172">
        <v>44659</v>
      </c>
      <c r="E211" s="173">
        <f t="shared" si="7"/>
        <v>0</v>
      </c>
      <c r="F211" s="157"/>
      <c r="G211" s="157"/>
      <c r="H211" s="157"/>
      <c r="I211" s="157"/>
    </row>
    <row r="212" spans="4:9" x14ac:dyDescent="0.25">
      <c r="D212" s="172">
        <v>44660</v>
      </c>
      <c r="E212" s="173">
        <f t="shared" si="7"/>
        <v>0</v>
      </c>
      <c r="F212" s="157"/>
      <c r="G212" s="157"/>
      <c r="H212" s="157"/>
      <c r="I212" s="157"/>
    </row>
    <row r="213" spans="4:9" x14ac:dyDescent="0.25">
      <c r="D213" s="172">
        <v>44661</v>
      </c>
      <c r="E213" s="173">
        <f t="shared" si="7"/>
        <v>0</v>
      </c>
      <c r="F213" s="157"/>
      <c r="G213" s="157"/>
      <c r="H213" s="157"/>
      <c r="I213" s="157"/>
    </row>
    <row r="214" spans="4:9" x14ac:dyDescent="0.25">
      <c r="D214" s="172">
        <v>44662</v>
      </c>
      <c r="E214" s="173">
        <f t="shared" si="7"/>
        <v>0</v>
      </c>
      <c r="F214" s="157"/>
      <c r="G214" s="157"/>
      <c r="H214" s="157"/>
      <c r="I214" s="157"/>
    </row>
    <row r="215" spans="4:9" x14ac:dyDescent="0.25">
      <c r="D215" s="172">
        <v>44663</v>
      </c>
      <c r="E215" s="173">
        <f t="shared" si="7"/>
        <v>0</v>
      </c>
      <c r="F215" s="157"/>
      <c r="G215" s="157"/>
      <c r="H215" s="157"/>
      <c r="I215" s="157"/>
    </row>
    <row r="216" spans="4:9" x14ac:dyDescent="0.25">
      <c r="D216" s="172">
        <v>44664</v>
      </c>
      <c r="E216" s="173">
        <f t="shared" si="7"/>
        <v>0</v>
      </c>
      <c r="F216" s="157"/>
      <c r="G216" s="157"/>
      <c r="H216" s="157"/>
      <c r="I216" s="157"/>
    </row>
    <row r="217" spans="4:9" x14ac:dyDescent="0.25">
      <c r="D217" s="172">
        <v>44665</v>
      </c>
      <c r="E217" s="173">
        <f t="shared" si="7"/>
        <v>0</v>
      </c>
      <c r="F217" s="157"/>
      <c r="G217" s="157"/>
      <c r="H217" s="157"/>
      <c r="I217" s="157"/>
    </row>
    <row r="218" spans="4:9" x14ac:dyDescent="0.25">
      <c r="D218" s="172">
        <v>44666</v>
      </c>
      <c r="E218" s="173">
        <f t="shared" si="7"/>
        <v>0</v>
      </c>
      <c r="F218" s="157"/>
      <c r="G218" s="157"/>
      <c r="H218" s="157"/>
      <c r="I218" s="157"/>
    </row>
    <row r="219" spans="4:9" x14ac:dyDescent="0.25">
      <c r="D219" s="172">
        <v>44667</v>
      </c>
      <c r="E219" s="173">
        <f t="shared" si="7"/>
        <v>0</v>
      </c>
      <c r="F219" s="157"/>
      <c r="G219" s="157"/>
      <c r="H219" s="157"/>
      <c r="I219" s="157"/>
    </row>
    <row r="220" spans="4:9" x14ac:dyDescent="0.25">
      <c r="D220" s="172">
        <v>44668</v>
      </c>
      <c r="E220" s="173">
        <f t="shared" si="7"/>
        <v>0</v>
      </c>
      <c r="F220" s="157"/>
      <c r="G220" s="157"/>
      <c r="H220" s="157"/>
      <c r="I220" s="157"/>
    </row>
    <row r="221" spans="4:9" x14ac:dyDescent="0.25">
      <c r="D221" s="172">
        <v>44669</v>
      </c>
      <c r="E221" s="173">
        <f t="shared" si="7"/>
        <v>0</v>
      </c>
      <c r="F221" s="157"/>
      <c r="G221" s="157"/>
      <c r="H221" s="157"/>
      <c r="I221" s="157"/>
    </row>
    <row r="222" spans="4:9" x14ac:dyDescent="0.25">
      <c r="D222" s="172">
        <v>44670</v>
      </c>
      <c r="E222" s="173">
        <f t="shared" si="7"/>
        <v>0</v>
      </c>
      <c r="F222" s="157"/>
      <c r="G222" s="157"/>
      <c r="H222" s="157"/>
      <c r="I222" s="157"/>
    </row>
    <row r="223" spans="4:9" x14ac:dyDescent="0.25">
      <c r="D223" s="172">
        <v>44671</v>
      </c>
      <c r="E223" s="173">
        <f t="shared" si="7"/>
        <v>0</v>
      </c>
      <c r="F223" s="157"/>
      <c r="G223" s="157"/>
      <c r="H223" s="157"/>
      <c r="I223" s="157"/>
    </row>
    <row r="224" spans="4:9" x14ac:dyDescent="0.25">
      <c r="D224" s="172">
        <v>44672</v>
      </c>
      <c r="E224" s="173">
        <f t="shared" si="7"/>
        <v>0</v>
      </c>
      <c r="F224" s="157"/>
      <c r="G224" s="157"/>
      <c r="H224" s="157"/>
      <c r="I224" s="157"/>
    </row>
    <row r="225" spans="4:9" x14ac:dyDescent="0.25">
      <c r="D225" s="172">
        <v>44673</v>
      </c>
      <c r="E225" s="173">
        <f t="shared" si="7"/>
        <v>0</v>
      </c>
      <c r="F225" s="157"/>
      <c r="G225" s="157"/>
      <c r="H225" s="157"/>
      <c r="I225" s="157"/>
    </row>
    <row r="226" spans="4:9" x14ac:dyDescent="0.25">
      <c r="D226" s="172">
        <v>44674</v>
      </c>
      <c r="E226" s="173">
        <f t="shared" si="7"/>
        <v>0</v>
      </c>
      <c r="F226" s="157"/>
      <c r="G226" s="157"/>
      <c r="H226" s="157"/>
      <c r="I226" s="157"/>
    </row>
    <row r="227" spans="4:9" x14ac:dyDescent="0.25">
      <c r="D227" s="172">
        <v>44675</v>
      </c>
      <c r="E227" s="173">
        <f t="shared" si="7"/>
        <v>0</v>
      </c>
      <c r="F227" s="157"/>
      <c r="G227" s="157"/>
      <c r="H227" s="157"/>
      <c r="I227" s="157"/>
    </row>
    <row r="228" spans="4:9" x14ac:dyDescent="0.25">
      <c r="D228" s="172">
        <v>44676</v>
      </c>
      <c r="E228" s="173">
        <f t="shared" si="7"/>
        <v>0</v>
      </c>
      <c r="F228" s="157"/>
      <c r="G228" s="157"/>
      <c r="H228" s="157"/>
      <c r="I228" s="157"/>
    </row>
    <row r="229" spans="4:9" x14ac:dyDescent="0.25">
      <c r="D229" s="172">
        <v>44677</v>
      </c>
      <c r="E229" s="173">
        <f t="shared" si="7"/>
        <v>0</v>
      </c>
      <c r="F229" s="157"/>
      <c r="G229" s="157"/>
      <c r="H229" s="157"/>
      <c r="I229" s="157"/>
    </row>
    <row r="230" spans="4:9" x14ac:dyDescent="0.25">
      <c r="D230" s="172">
        <v>44678</v>
      </c>
      <c r="E230" s="173">
        <f t="shared" si="7"/>
        <v>0</v>
      </c>
      <c r="F230" s="157"/>
      <c r="G230" s="157"/>
      <c r="H230" s="157"/>
      <c r="I230" s="157"/>
    </row>
    <row r="231" spans="4:9" x14ac:dyDescent="0.25">
      <c r="D231" s="172">
        <v>44679</v>
      </c>
      <c r="E231" s="173">
        <f t="shared" si="7"/>
        <v>0</v>
      </c>
      <c r="F231" s="157"/>
      <c r="G231" s="157"/>
      <c r="H231" s="157"/>
      <c r="I231" s="157"/>
    </row>
    <row r="232" spans="4:9" x14ac:dyDescent="0.25">
      <c r="D232" s="172">
        <v>44680</v>
      </c>
      <c r="E232" s="173">
        <f t="shared" si="7"/>
        <v>0</v>
      </c>
      <c r="F232" s="157"/>
      <c r="G232" s="157"/>
      <c r="H232" s="157"/>
      <c r="I232" s="157"/>
    </row>
    <row r="233" spans="4:9" x14ac:dyDescent="0.25">
      <c r="D233" s="172">
        <v>44681</v>
      </c>
      <c r="E233" s="173">
        <f t="shared" si="7"/>
        <v>0</v>
      </c>
      <c r="F233" s="157"/>
      <c r="G233" s="157"/>
      <c r="H233" s="157"/>
      <c r="I233" s="157"/>
    </row>
    <row r="234" spans="4:9" x14ac:dyDescent="0.25">
      <c r="D234" s="172">
        <v>44682</v>
      </c>
      <c r="E234" s="173">
        <f t="shared" ref="E234:E264" si="8">$I$39</f>
        <v>0</v>
      </c>
      <c r="F234" s="157"/>
      <c r="G234" s="157"/>
      <c r="H234" s="157"/>
      <c r="I234" s="157"/>
    </row>
    <row r="235" spans="4:9" x14ac:dyDescent="0.25">
      <c r="D235" s="172">
        <v>44683</v>
      </c>
      <c r="E235" s="173">
        <f t="shared" si="8"/>
        <v>0</v>
      </c>
      <c r="F235" s="157"/>
      <c r="G235" s="157"/>
      <c r="H235" s="157"/>
      <c r="I235" s="157"/>
    </row>
    <row r="236" spans="4:9" x14ac:dyDescent="0.25">
      <c r="D236" s="172">
        <v>44684</v>
      </c>
      <c r="E236" s="173">
        <f t="shared" si="8"/>
        <v>0</v>
      </c>
      <c r="F236" s="157"/>
      <c r="G236" s="157"/>
      <c r="H236" s="157"/>
      <c r="I236" s="157"/>
    </row>
    <row r="237" spans="4:9" x14ac:dyDescent="0.25">
      <c r="D237" s="172">
        <v>44685</v>
      </c>
      <c r="E237" s="173">
        <f t="shared" si="8"/>
        <v>0</v>
      </c>
      <c r="F237" s="157"/>
      <c r="G237" s="157"/>
      <c r="H237" s="157"/>
      <c r="I237" s="157"/>
    </row>
    <row r="238" spans="4:9" x14ac:dyDescent="0.25">
      <c r="D238" s="172">
        <v>44686</v>
      </c>
      <c r="E238" s="173">
        <f t="shared" si="8"/>
        <v>0</v>
      </c>
      <c r="F238" s="157"/>
      <c r="G238" s="157"/>
      <c r="H238" s="157"/>
      <c r="I238" s="157"/>
    </row>
    <row r="239" spans="4:9" x14ac:dyDescent="0.25">
      <c r="D239" s="172">
        <v>44687</v>
      </c>
      <c r="E239" s="173">
        <f t="shared" si="8"/>
        <v>0</v>
      </c>
      <c r="F239" s="157"/>
      <c r="G239" s="157"/>
      <c r="H239" s="157"/>
      <c r="I239" s="157"/>
    </row>
    <row r="240" spans="4:9" x14ac:dyDescent="0.25">
      <c r="D240" s="172">
        <v>44688</v>
      </c>
      <c r="E240" s="173">
        <f t="shared" si="8"/>
        <v>0</v>
      </c>
      <c r="F240" s="157"/>
      <c r="G240" s="157"/>
      <c r="H240" s="157"/>
      <c r="I240" s="157"/>
    </row>
    <row r="241" spans="4:9" x14ac:dyDescent="0.25">
      <c r="D241" s="172">
        <v>44689</v>
      </c>
      <c r="E241" s="173">
        <f t="shared" si="8"/>
        <v>0</v>
      </c>
      <c r="F241" s="157"/>
      <c r="G241" s="157"/>
      <c r="H241" s="157"/>
      <c r="I241" s="157"/>
    </row>
    <row r="242" spans="4:9" x14ac:dyDescent="0.25">
      <c r="D242" s="172">
        <v>44690</v>
      </c>
      <c r="E242" s="173">
        <f t="shared" si="8"/>
        <v>0</v>
      </c>
      <c r="F242" s="157"/>
      <c r="G242" s="157"/>
      <c r="H242" s="157"/>
      <c r="I242" s="157"/>
    </row>
    <row r="243" spans="4:9" x14ac:dyDescent="0.25">
      <c r="D243" s="172">
        <v>44691</v>
      </c>
      <c r="E243" s="173">
        <f t="shared" si="8"/>
        <v>0</v>
      </c>
      <c r="F243" s="157"/>
      <c r="G243" s="157"/>
      <c r="H243" s="157"/>
      <c r="I243" s="157"/>
    </row>
    <row r="244" spans="4:9" x14ac:dyDescent="0.25">
      <c r="D244" s="172">
        <v>44692</v>
      </c>
      <c r="E244" s="173">
        <f t="shared" si="8"/>
        <v>0</v>
      </c>
      <c r="F244" s="157"/>
      <c r="G244" s="157"/>
      <c r="H244" s="157"/>
      <c r="I244" s="157"/>
    </row>
    <row r="245" spans="4:9" x14ac:dyDescent="0.25">
      <c r="D245" s="172">
        <v>44693</v>
      </c>
      <c r="E245" s="173">
        <f t="shared" si="8"/>
        <v>0</v>
      </c>
      <c r="F245" s="157"/>
      <c r="G245" s="157"/>
      <c r="H245" s="157"/>
      <c r="I245" s="157"/>
    </row>
    <row r="246" spans="4:9" x14ac:dyDescent="0.25">
      <c r="D246" s="172">
        <v>44694</v>
      </c>
      <c r="E246" s="173">
        <f t="shared" si="8"/>
        <v>0</v>
      </c>
      <c r="F246" s="157"/>
      <c r="G246" s="157"/>
      <c r="H246" s="157"/>
      <c r="I246" s="157"/>
    </row>
    <row r="247" spans="4:9" x14ac:dyDescent="0.25">
      <c r="D247" s="172">
        <v>44695</v>
      </c>
      <c r="E247" s="173">
        <f t="shared" si="8"/>
        <v>0</v>
      </c>
      <c r="F247" s="157"/>
      <c r="G247" s="157"/>
      <c r="H247" s="157"/>
      <c r="I247" s="157"/>
    </row>
    <row r="248" spans="4:9" x14ac:dyDescent="0.25">
      <c r="D248" s="172">
        <v>44696</v>
      </c>
      <c r="E248" s="173">
        <f t="shared" si="8"/>
        <v>0</v>
      </c>
      <c r="F248" s="157"/>
      <c r="G248" s="157"/>
      <c r="H248" s="157"/>
      <c r="I248" s="157"/>
    </row>
    <row r="249" spans="4:9" x14ac:dyDescent="0.25">
      <c r="D249" s="172">
        <v>44697</v>
      </c>
      <c r="E249" s="173">
        <f t="shared" si="8"/>
        <v>0</v>
      </c>
      <c r="F249" s="157"/>
      <c r="G249" s="157"/>
      <c r="H249" s="157"/>
      <c r="I249" s="157"/>
    </row>
    <row r="250" spans="4:9" x14ac:dyDescent="0.25">
      <c r="D250" s="172">
        <v>44698</v>
      </c>
      <c r="E250" s="173">
        <f t="shared" si="8"/>
        <v>0</v>
      </c>
      <c r="F250" s="157"/>
      <c r="G250" s="157"/>
      <c r="H250" s="157"/>
      <c r="I250" s="157"/>
    </row>
    <row r="251" spans="4:9" x14ac:dyDescent="0.25">
      <c r="D251" s="172">
        <v>44699</v>
      </c>
      <c r="E251" s="173">
        <f t="shared" si="8"/>
        <v>0</v>
      </c>
      <c r="F251" s="157"/>
      <c r="G251" s="157"/>
      <c r="H251" s="157"/>
      <c r="I251" s="157"/>
    </row>
    <row r="252" spans="4:9" x14ac:dyDescent="0.25">
      <c r="D252" s="172">
        <v>44700</v>
      </c>
      <c r="E252" s="173">
        <f t="shared" si="8"/>
        <v>0</v>
      </c>
      <c r="F252" s="157"/>
      <c r="G252" s="157"/>
      <c r="H252" s="157"/>
      <c r="I252" s="157"/>
    </row>
    <row r="253" spans="4:9" x14ac:dyDescent="0.25">
      <c r="D253" s="172">
        <v>44701</v>
      </c>
      <c r="E253" s="173">
        <f t="shared" si="8"/>
        <v>0</v>
      </c>
      <c r="F253" s="157"/>
      <c r="G253" s="157"/>
      <c r="H253" s="157"/>
      <c r="I253" s="157"/>
    </row>
    <row r="254" spans="4:9" x14ac:dyDescent="0.25">
      <c r="D254" s="172">
        <v>44702</v>
      </c>
      <c r="E254" s="173">
        <f t="shared" si="8"/>
        <v>0</v>
      </c>
      <c r="F254" s="157"/>
      <c r="G254" s="157"/>
      <c r="H254" s="157"/>
      <c r="I254" s="157"/>
    </row>
    <row r="255" spans="4:9" x14ac:dyDescent="0.25">
      <c r="D255" s="172">
        <v>44703</v>
      </c>
      <c r="E255" s="173">
        <f t="shared" si="8"/>
        <v>0</v>
      </c>
      <c r="F255" s="157"/>
      <c r="G255" s="157"/>
      <c r="H255" s="157"/>
      <c r="I255" s="157"/>
    </row>
    <row r="256" spans="4:9" x14ac:dyDescent="0.25">
      <c r="D256" s="172">
        <v>44704</v>
      </c>
      <c r="E256" s="173">
        <f t="shared" si="8"/>
        <v>0</v>
      </c>
      <c r="F256" s="157"/>
      <c r="G256" s="157"/>
      <c r="H256" s="157"/>
      <c r="I256" s="157"/>
    </row>
    <row r="257" spans="4:9" x14ac:dyDescent="0.25">
      <c r="D257" s="172">
        <v>44705</v>
      </c>
      <c r="E257" s="173">
        <f t="shared" si="8"/>
        <v>0</v>
      </c>
      <c r="F257" s="157"/>
      <c r="G257" s="157"/>
      <c r="H257" s="157"/>
      <c r="I257" s="157"/>
    </row>
    <row r="258" spans="4:9" x14ac:dyDescent="0.25">
      <c r="D258" s="172">
        <v>44706</v>
      </c>
      <c r="E258" s="173">
        <f t="shared" si="8"/>
        <v>0</v>
      </c>
      <c r="F258" s="157"/>
      <c r="G258" s="157"/>
      <c r="H258" s="157"/>
      <c r="I258" s="157"/>
    </row>
    <row r="259" spans="4:9" x14ac:dyDescent="0.25">
      <c r="D259" s="172">
        <v>44707</v>
      </c>
      <c r="E259" s="173">
        <f t="shared" si="8"/>
        <v>0</v>
      </c>
      <c r="F259" s="157"/>
      <c r="G259" s="157"/>
      <c r="H259" s="157"/>
      <c r="I259" s="157"/>
    </row>
    <row r="260" spans="4:9" x14ac:dyDescent="0.25">
      <c r="D260" s="172">
        <v>44708</v>
      </c>
      <c r="E260" s="173">
        <f t="shared" si="8"/>
        <v>0</v>
      </c>
      <c r="F260" s="157"/>
      <c r="G260" s="157"/>
      <c r="H260" s="157"/>
      <c r="I260" s="157"/>
    </row>
    <row r="261" spans="4:9" x14ac:dyDescent="0.25">
      <c r="D261" s="172">
        <v>44709</v>
      </c>
      <c r="E261" s="173">
        <f t="shared" si="8"/>
        <v>0</v>
      </c>
      <c r="F261" s="157"/>
      <c r="G261" s="157"/>
      <c r="H261" s="157"/>
      <c r="I261" s="157"/>
    </row>
    <row r="262" spans="4:9" x14ac:dyDescent="0.25">
      <c r="D262" s="172">
        <v>44710</v>
      </c>
      <c r="E262" s="173">
        <f t="shared" si="8"/>
        <v>0</v>
      </c>
      <c r="F262" s="157"/>
      <c r="G262" s="157"/>
      <c r="H262" s="157"/>
      <c r="I262" s="157"/>
    </row>
    <row r="263" spans="4:9" x14ac:dyDescent="0.25">
      <c r="D263" s="172">
        <v>44711</v>
      </c>
      <c r="E263" s="173">
        <f t="shared" si="8"/>
        <v>0</v>
      </c>
      <c r="F263" s="157"/>
      <c r="G263" s="157"/>
      <c r="H263" s="157"/>
      <c r="I263" s="157"/>
    </row>
    <row r="264" spans="4:9" x14ac:dyDescent="0.25">
      <c r="D264" s="172">
        <v>44712</v>
      </c>
      <c r="E264" s="173">
        <f t="shared" si="8"/>
        <v>0</v>
      </c>
      <c r="F264" s="157"/>
      <c r="G264" s="157"/>
      <c r="H264" s="157"/>
      <c r="I264" s="157"/>
    </row>
    <row r="265" spans="4:9" x14ac:dyDescent="0.25">
      <c r="D265" s="172">
        <v>44713</v>
      </c>
      <c r="E265" s="173">
        <f t="shared" ref="E265:E294" si="9">$J$39</f>
        <v>0</v>
      </c>
      <c r="F265" s="157"/>
      <c r="G265" s="157"/>
      <c r="H265" s="157"/>
      <c r="I265" s="157"/>
    </row>
    <row r="266" spans="4:9" x14ac:dyDescent="0.25">
      <c r="D266" s="172">
        <v>44714</v>
      </c>
      <c r="E266" s="173">
        <f t="shared" si="9"/>
        <v>0</v>
      </c>
      <c r="F266" s="157"/>
      <c r="G266" s="157"/>
      <c r="H266" s="157"/>
      <c r="I266" s="157"/>
    </row>
    <row r="267" spans="4:9" x14ac:dyDescent="0.25">
      <c r="D267" s="172">
        <v>44715</v>
      </c>
      <c r="E267" s="173">
        <f t="shared" si="9"/>
        <v>0</v>
      </c>
      <c r="F267" s="157"/>
      <c r="G267" s="157"/>
      <c r="H267" s="157"/>
      <c r="I267" s="157"/>
    </row>
    <row r="268" spans="4:9" x14ac:dyDescent="0.25">
      <c r="D268" s="172">
        <v>44716</v>
      </c>
      <c r="E268" s="173">
        <f t="shared" si="9"/>
        <v>0</v>
      </c>
      <c r="F268" s="157"/>
      <c r="G268" s="157"/>
      <c r="H268" s="157"/>
      <c r="I268" s="157"/>
    </row>
    <row r="269" spans="4:9" x14ac:dyDescent="0.25">
      <c r="D269" s="172">
        <v>44717</v>
      </c>
      <c r="E269" s="173">
        <f t="shared" si="9"/>
        <v>0</v>
      </c>
      <c r="F269" s="157"/>
      <c r="G269" s="157"/>
      <c r="H269" s="157"/>
      <c r="I269" s="157"/>
    </row>
    <row r="270" spans="4:9" x14ac:dyDescent="0.25">
      <c r="D270" s="172">
        <v>44718</v>
      </c>
      <c r="E270" s="173">
        <f t="shared" si="9"/>
        <v>0</v>
      </c>
      <c r="F270" s="157"/>
      <c r="G270" s="157"/>
      <c r="H270" s="157"/>
      <c r="I270" s="157"/>
    </row>
    <row r="271" spans="4:9" x14ac:dyDescent="0.25">
      <c r="D271" s="172">
        <v>44719</v>
      </c>
      <c r="E271" s="173">
        <f t="shared" si="9"/>
        <v>0</v>
      </c>
      <c r="F271" s="157"/>
      <c r="G271" s="157"/>
      <c r="H271" s="157"/>
      <c r="I271" s="157"/>
    </row>
    <row r="272" spans="4:9" x14ac:dyDescent="0.25">
      <c r="D272" s="172">
        <v>44720</v>
      </c>
      <c r="E272" s="173">
        <f t="shared" si="9"/>
        <v>0</v>
      </c>
      <c r="F272" s="157"/>
      <c r="G272" s="157"/>
      <c r="H272" s="157"/>
      <c r="I272" s="157"/>
    </row>
    <row r="273" spans="4:9" x14ac:dyDescent="0.25">
      <c r="D273" s="172">
        <v>44721</v>
      </c>
      <c r="E273" s="173">
        <f t="shared" si="9"/>
        <v>0</v>
      </c>
      <c r="F273" s="157"/>
      <c r="G273" s="157"/>
      <c r="H273" s="157"/>
      <c r="I273" s="157"/>
    </row>
    <row r="274" spans="4:9" x14ac:dyDescent="0.25">
      <c r="D274" s="172">
        <v>44722</v>
      </c>
      <c r="E274" s="173">
        <f t="shared" si="9"/>
        <v>0</v>
      </c>
      <c r="F274" s="157"/>
      <c r="G274" s="157"/>
      <c r="H274" s="157"/>
      <c r="I274" s="157"/>
    </row>
    <row r="275" spans="4:9" x14ac:dyDescent="0.25">
      <c r="D275" s="172">
        <v>44723</v>
      </c>
      <c r="E275" s="173">
        <f t="shared" si="9"/>
        <v>0</v>
      </c>
      <c r="F275" s="157"/>
      <c r="G275" s="157"/>
      <c r="H275" s="157"/>
      <c r="I275" s="157"/>
    </row>
    <row r="276" spans="4:9" x14ac:dyDescent="0.25">
      <c r="D276" s="172">
        <v>44724</v>
      </c>
      <c r="E276" s="173">
        <f t="shared" si="9"/>
        <v>0</v>
      </c>
      <c r="F276" s="157"/>
      <c r="G276" s="157"/>
      <c r="H276" s="157"/>
      <c r="I276" s="157"/>
    </row>
    <row r="277" spans="4:9" x14ac:dyDescent="0.25">
      <c r="D277" s="172">
        <v>44725</v>
      </c>
      <c r="E277" s="173">
        <f t="shared" si="9"/>
        <v>0</v>
      </c>
      <c r="F277" s="157"/>
      <c r="G277" s="157"/>
      <c r="H277" s="157"/>
      <c r="I277" s="157"/>
    </row>
    <row r="278" spans="4:9" x14ac:dyDescent="0.25">
      <c r="D278" s="172">
        <v>44726</v>
      </c>
      <c r="E278" s="173">
        <f t="shared" si="9"/>
        <v>0</v>
      </c>
      <c r="F278" s="157"/>
      <c r="G278" s="157"/>
      <c r="H278" s="157"/>
      <c r="I278" s="157"/>
    </row>
    <row r="279" spans="4:9" x14ac:dyDescent="0.25">
      <c r="D279" s="172">
        <v>44727</v>
      </c>
      <c r="E279" s="173">
        <f t="shared" si="9"/>
        <v>0</v>
      </c>
      <c r="F279" s="157"/>
      <c r="G279" s="157"/>
      <c r="H279" s="157"/>
      <c r="I279" s="157"/>
    </row>
    <row r="280" spans="4:9" x14ac:dyDescent="0.25">
      <c r="D280" s="172">
        <v>44728</v>
      </c>
      <c r="E280" s="173">
        <f t="shared" si="9"/>
        <v>0</v>
      </c>
      <c r="F280" s="157"/>
      <c r="G280" s="157"/>
      <c r="H280" s="157"/>
      <c r="I280" s="157"/>
    </row>
    <row r="281" spans="4:9" x14ac:dyDescent="0.25">
      <c r="D281" s="172">
        <v>44729</v>
      </c>
      <c r="E281" s="173">
        <f t="shared" si="9"/>
        <v>0</v>
      </c>
      <c r="F281" s="157"/>
      <c r="G281" s="157"/>
      <c r="H281" s="157"/>
      <c r="I281" s="157"/>
    </row>
    <row r="282" spans="4:9" x14ac:dyDescent="0.25">
      <c r="D282" s="172">
        <v>44730</v>
      </c>
      <c r="E282" s="173">
        <f t="shared" si="9"/>
        <v>0</v>
      </c>
      <c r="F282" s="157"/>
      <c r="G282" s="157"/>
      <c r="H282" s="157"/>
      <c r="I282" s="157"/>
    </row>
    <row r="283" spans="4:9" x14ac:dyDescent="0.25">
      <c r="D283" s="172">
        <v>44731</v>
      </c>
      <c r="E283" s="173">
        <f t="shared" si="9"/>
        <v>0</v>
      </c>
      <c r="F283" s="157"/>
      <c r="G283" s="157"/>
      <c r="H283" s="157"/>
      <c r="I283" s="157"/>
    </row>
    <row r="284" spans="4:9" x14ac:dyDescent="0.25">
      <c r="D284" s="172">
        <v>44732</v>
      </c>
      <c r="E284" s="173">
        <f t="shared" si="9"/>
        <v>0</v>
      </c>
      <c r="F284" s="157"/>
      <c r="G284" s="157"/>
      <c r="H284" s="157"/>
      <c r="I284" s="157"/>
    </row>
    <row r="285" spans="4:9" x14ac:dyDescent="0.25">
      <c r="D285" s="172">
        <v>44733</v>
      </c>
      <c r="E285" s="173">
        <f t="shared" si="9"/>
        <v>0</v>
      </c>
      <c r="F285" s="157"/>
      <c r="G285" s="157"/>
      <c r="H285" s="157"/>
      <c r="I285" s="157"/>
    </row>
    <row r="286" spans="4:9" x14ac:dyDescent="0.25">
      <c r="D286" s="172">
        <v>44734</v>
      </c>
      <c r="E286" s="173">
        <f t="shared" si="9"/>
        <v>0</v>
      </c>
      <c r="F286" s="157"/>
      <c r="G286" s="157"/>
      <c r="H286" s="157"/>
      <c r="I286" s="157"/>
    </row>
    <row r="287" spans="4:9" x14ac:dyDescent="0.25">
      <c r="D287" s="172">
        <v>44735</v>
      </c>
      <c r="E287" s="173">
        <f t="shared" si="9"/>
        <v>0</v>
      </c>
      <c r="F287" s="157"/>
      <c r="G287" s="157"/>
      <c r="H287" s="157"/>
      <c r="I287" s="157"/>
    </row>
    <row r="288" spans="4:9" x14ac:dyDescent="0.25">
      <c r="D288" s="172">
        <v>44736</v>
      </c>
      <c r="E288" s="173">
        <f t="shared" si="9"/>
        <v>0</v>
      </c>
      <c r="F288" s="157"/>
      <c r="G288" s="157"/>
      <c r="H288" s="157"/>
      <c r="I288" s="157"/>
    </row>
    <row r="289" spans="4:9" x14ac:dyDescent="0.25">
      <c r="D289" s="172">
        <v>44737</v>
      </c>
      <c r="E289" s="173">
        <f t="shared" si="9"/>
        <v>0</v>
      </c>
      <c r="F289" s="157"/>
      <c r="G289" s="157"/>
      <c r="H289" s="157"/>
      <c r="I289" s="157"/>
    </row>
    <row r="290" spans="4:9" x14ac:dyDescent="0.25">
      <c r="D290" s="172">
        <v>44738</v>
      </c>
      <c r="E290" s="173">
        <f t="shared" si="9"/>
        <v>0</v>
      </c>
      <c r="F290" s="157"/>
      <c r="G290" s="157"/>
      <c r="H290" s="157"/>
      <c r="I290" s="157"/>
    </row>
    <row r="291" spans="4:9" x14ac:dyDescent="0.25">
      <c r="D291" s="172">
        <v>44739</v>
      </c>
      <c r="E291" s="173">
        <f t="shared" si="9"/>
        <v>0</v>
      </c>
      <c r="F291" s="157"/>
      <c r="G291" s="157"/>
      <c r="H291" s="157"/>
      <c r="I291" s="157"/>
    </row>
    <row r="292" spans="4:9" x14ac:dyDescent="0.25">
      <c r="D292" s="172">
        <v>44740</v>
      </c>
      <c r="E292" s="173">
        <f t="shared" si="9"/>
        <v>0</v>
      </c>
      <c r="F292" s="157"/>
      <c r="G292" s="157"/>
      <c r="H292" s="157"/>
      <c r="I292" s="157"/>
    </row>
    <row r="293" spans="4:9" x14ac:dyDescent="0.25">
      <c r="D293" s="172">
        <v>44741</v>
      </c>
      <c r="E293" s="173">
        <f t="shared" si="9"/>
        <v>0</v>
      </c>
      <c r="F293" s="157"/>
      <c r="G293" s="157"/>
      <c r="H293" s="157"/>
      <c r="I293" s="157"/>
    </row>
    <row r="294" spans="4:9" x14ac:dyDescent="0.25">
      <c r="D294" s="172">
        <v>44742</v>
      </c>
      <c r="E294" s="173">
        <f t="shared" si="9"/>
        <v>0</v>
      </c>
      <c r="F294" s="157"/>
      <c r="G294" s="157"/>
      <c r="H294" s="157"/>
      <c r="I294" s="157"/>
    </row>
    <row r="295" spans="4:9" x14ac:dyDescent="0.25">
      <c r="D295" s="172">
        <v>44743</v>
      </c>
      <c r="E295" s="173">
        <f t="shared" ref="E295:E325" si="10">$K$39</f>
        <v>0</v>
      </c>
      <c r="F295" s="157"/>
      <c r="G295" s="157"/>
      <c r="H295" s="157"/>
      <c r="I295" s="157"/>
    </row>
    <row r="296" spans="4:9" x14ac:dyDescent="0.25">
      <c r="D296" s="172">
        <v>44744</v>
      </c>
      <c r="E296" s="173">
        <f t="shared" si="10"/>
        <v>0</v>
      </c>
      <c r="F296" s="157"/>
      <c r="G296" s="157"/>
      <c r="H296" s="157"/>
      <c r="I296" s="157"/>
    </row>
    <row r="297" spans="4:9" x14ac:dyDescent="0.25">
      <c r="D297" s="172">
        <v>44745</v>
      </c>
      <c r="E297" s="173">
        <f t="shared" si="10"/>
        <v>0</v>
      </c>
      <c r="F297" s="157"/>
      <c r="G297" s="157"/>
      <c r="H297" s="157"/>
      <c r="I297" s="157"/>
    </row>
    <row r="298" spans="4:9" x14ac:dyDescent="0.25">
      <c r="D298" s="172">
        <v>44746</v>
      </c>
      <c r="E298" s="173">
        <f t="shared" si="10"/>
        <v>0</v>
      </c>
      <c r="F298" s="157"/>
      <c r="G298" s="157"/>
      <c r="H298" s="157"/>
      <c r="I298" s="157"/>
    </row>
    <row r="299" spans="4:9" x14ac:dyDescent="0.25">
      <c r="D299" s="172">
        <v>44747</v>
      </c>
      <c r="E299" s="173">
        <f t="shared" si="10"/>
        <v>0</v>
      </c>
      <c r="F299" s="157"/>
      <c r="G299" s="157"/>
      <c r="H299" s="157"/>
      <c r="I299" s="157"/>
    </row>
    <row r="300" spans="4:9" x14ac:dyDescent="0.25">
      <c r="D300" s="172">
        <v>44748</v>
      </c>
      <c r="E300" s="173">
        <f t="shared" si="10"/>
        <v>0</v>
      </c>
      <c r="F300" s="157"/>
      <c r="G300" s="157"/>
      <c r="H300" s="157"/>
      <c r="I300" s="157"/>
    </row>
    <row r="301" spans="4:9" x14ac:dyDescent="0.25">
      <c r="D301" s="172">
        <v>44749</v>
      </c>
      <c r="E301" s="173">
        <f t="shared" si="10"/>
        <v>0</v>
      </c>
      <c r="F301" s="157"/>
      <c r="G301" s="157"/>
      <c r="H301" s="157"/>
      <c r="I301" s="157"/>
    </row>
    <row r="302" spans="4:9" x14ac:dyDescent="0.25">
      <c r="D302" s="172">
        <v>44750</v>
      </c>
      <c r="E302" s="173">
        <f t="shared" si="10"/>
        <v>0</v>
      </c>
      <c r="F302" s="157"/>
      <c r="G302" s="157"/>
      <c r="H302" s="157"/>
      <c r="I302" s="157"/>
    </row>
    <row r="303" spans="4:9" x14ac:dyDescent="0.25">
      <c r="D303" s="172">
        <v>44751</v>
      </c>
      <c r="E303" s="173">
        <f t="shared" si="10"/>
        <v>0</v>
      </c>
      <c r="F303" s="157"/>
      <c r="G303" s="157"/>
      <c r="H303" s="157"/>
      <c r="I303" s="157"/>
    </row>
    <row r="304" spans="4:9" x14ac:dyDescent="0.25">
      <c r="D304" s="172">
        <v>44752</v>
      </c>
      <c r="E304" s="173">
        <f t="shared" si="10"/>
        <v>0</v>
      </c>
      <c r="F304" s="157"/>
      <c r="G304" s="157"/>
      <c r="H304" s="157"/>
      <c r="I304" s="157"/>
    </row>
    <row r="305" spans="4:9" x14ac:dyDescent="0.25">
      <c r="D305" s="172">
        <v>44753</v>
      </c>
      <c r="E305" s="173">
        <f t="shared" si="10"/>
        <v>0</v>
      </c>
      <c r="F305" s="157"/>
      <c r="G305" s="157"/>
      <c r="H305" s="157"/>
      <c r="I305" s="157"/>
    </row>
    <row r="306" spans="4:9" x14ac:dyDescent="0.25">
      <c r="D306" s="172">
        <v>44754</v>
      </c>
      <c r="E306" s="173">
        <f t="shared" si="10"/>
        <v>0</v>
      </c>
      <c r="F306" s="157"/>
      <c r="G306" s="157"/>
      <c r="H306" s="157"/>
      <c r="I306" s="157"/>
    </row>
    <row r="307" spans="4:9" x14ac:dyDescent="0.25">
      <c r="D307" s="172">
        <v>44755</v>
      </c>
      <c r="E307" s="173">
        <f t="shared" si="10"/>
        <v>0</v>
      </c>
      <c r="F307" s="157"/>
      <c r="G307" s="157"/>
      <c r="H307" s="157"/>
      <c r="I307" s="157"/>
    </row>
    <row r="308" spans="4:9" x14ac:dyDescent="0.25">
      <c r="D308" s="172">
        <v>44756</v>
      </c>
      <c r="E308" s="173">
        <f t="shared" si="10"/>
        <v>0</v>
      </c>
      <c r="F308" s="157"/>
      <c r="G308" s="157"/>
      <c r="H308" s="157"/>
      <c r="I308" s="157"/>
    </row>
    <row r="309" spans="4:9" x14ac:dyDescent="0.25">
      <c r="D309" s="172">
        <v>44757</v>
      </c>
      <c r="E309" s="173">
        <f t="shared" si="10"/>
        <v>0</v>
      </c>
      <c r="F309" s="157"/>
      <c r="G309" s="157"/>
      <c r="H309" s="157"/>
      <c r="I309" s="157"/>
    </row>
    <row r="310" spans="4:9" x14ac:dyDescent="0.25">
      <c r="D310" s="172">
        <v>44758</v>
      </c>
      <c r="E310" s="173">
        <f t="shared" si="10"/>
        <v>0</v>
      </c>
      <c r="F310" s="157"/>
      <c r="G310" s="157"/>
      <c r="H310" s="157"/>
      <c r="I310" s="157"/>
    </row>
    <row r="311" spans="4:9" x14ac:dyDescent="0.25">
      <c r="D311" s="172">
        <v>44759</v>
      </c>
      <c r="E311" s="173">
        <f t="shared" si="10"/>
        <v>0</v>
      </c>
      <c r="F311" s="157"/>
      <c r="G311" s="157"/>
      <c r="H311" s="157"/>
      <c r="I311" s="157"/>
    </row>
    <row r="312" spans="4:9" x14ac:dyDescent="0.25">
      <c r="D312" s="172">
        <v>44760</v>
      </c>
      <c r="E312" s="173">
        <f t="shared" si="10"/>
        <v>0</v>
      </c>
      <c r="F312" s="157"/>
      <c r="G312" s="157"/>
      <c r="H312" s="157"/>
      <c r="I312" s="157"/>
    </row>
    <row r="313" spans="4:9" x14ac:dyDescent="0.25">
      <c r="D313" s="172">
        <v>44761</v>
      </c>
      <c r="E313" s="173">
        <f t="shared" si="10"/>
        <v>0</v>
      </c>
      <c r="F313" s="157"/>
      <c r="G313" s="157"/>
      <c r="H313" s="157"/>
      <c r="I313" s="157"/>
    </row>
    <row r="314" spans="4:9" x14ac:dyDescent="0.25">
      <c r="D314" s="172">
        <v>44762</v>
      </c>
      <c r="E314" s="173">
        <f t="shared" si="10"/>
        <v>0</v>
      </c>
      <c r="F314" s="157"/>
      <c r="G314" s="157"/>
      <c r="H314" s="157"/>
      <c r="I314" s="157"/>
    </row>
    <row r="315" spans="4:9" x14ac:dyDescent="0.25">
      <c r="D315" s="172">
        <v>44763</v>
      </c>
      <c r="E315" s="173">
        <f t="shared" si="10"/>
        <v>0</v>
      </c>
      <c r="F315" s="157"/>
      <c r="G315" s="157"/>
      <c r="H315" s="157"/>
      <c r="I315" s="157"/>
    </row>
    <row r="316" spans="4:9" x14ac:dyDescent="0.25">
      <c r="D316" s="172">
        <v>44764</v>
      </c>
      <c r="E316" s="173">
        <f t="shared" si="10"/>
        <v>0</v>
      </c>
      <c r="F316" s="157"/>
      <c r="G316" s="157"/>
      <c r="H316" s="157"/>
      <c r="I316" s="157"/>
    </row>
    <row r="317" spans="4:9" x14ac:dyDescent="0.25">
      <c r="D317" s="172">
        <v>44765</v>
      </c>
      <c r="E317" s="173">
        <f t="shared" si="10"/>
        <v>0</v>
      </c>
      <c r="F317" s="157"/>
      <c r="G317" s="157"/>
      <c r="H317" s="157"/>
      <c r="I317" s="157"/>
    </row>
    <row r="318" spans="4:9" x14ac:dyDescent="0.25">
      <c r="D318" s="172">
        <v>44766</v>
      </c>
      <c r="E318" s="173">
        <f t="shared" si="10"/>
        <v>0</v>
      </c>
      <c r="F318" s="157"/>
      <c r="G318" s="157"/>
      <c r="H318" s="157"/>
      <c r="I318" s="157"/>
    </row>
    <row r="319" spans="4:9" x14ac:dyDescent="0.25">
      <c r="D319" s="172">
        <v>44767</v>
      </c>
      <c r="E319" s="173">
        <f t="shared" si="10"/>
        <v>0</v>
      </c>
      <c r="F319" s="157"/>
      <c r="G319" s="157"/>
      <c r="H319" s="157"/>
      <c r="I319" s="157"/>
    </row>
    <row r="320" spans="4:9" x14ac:dyDescent="0.25">
      <c r="D320" s="172">
        <v>44768</v>
      </c>
      <c r="E320" s="173">
        <f t="shared" si="10"/>
        <v>0</v>
      </c>
      <c r="F320" s="157"/>
      <c r="G320" s="157"/>
      <c r="H320" s="157"/>
      <c r="I320" s="157"/>
    </row>
    <row r="321" spans="4:9" x14ac:dyDescent="0.25">
      <c r="D321" s="172">
        <v>44769</v>
      </c>
      <c r="E321" s="173">
        <f t="shared" si="10"/>
        <v>0</v>
      </c>
      <c r="F321" s="157"/>
      <c r="G321" s="157"/>
      <c r="H321" s="157"/>
      <c r="I321" s="157"/>
    </row>
    <row r="322" spans="4:9" x14ac:dyDescent="0.25">
      <c r="D322" s="172">
        <v>44770</v>
      </c>
      <c r="E322" s="173">
        <f t="shared" si="10"/>
        <v>0</v>
      </c>
      <c r="F322" s="157"/>
      <c r="G322" s="157"/>
      <c r="H322" s="157"/>
      <c r="I322" s="157"/>
    </row>
    <row r="323" spans="4:9" x14ac:dyDescent="0.25">
      <c r="D323" s="172">
        <v>44771</v>
      </c>
      <c r="E323" s="173">
        <f t="shared" si="10"/>
        <v>0</v>
      </c>
      <c r="F323" s="157"/>
      <c r="G323" s="157"/>
      <c r="H323" s="157"/>
      <c r="I323" s="157"/>
    </row>
    <row r="324" spans="4:9" x14ac:dyDescent="0.25">
      <c r="D324" s="172">
        <v>44772</v>
      </c>
      <c r="E324" s="173">
        <f t="shared" si="10"/>
        <v>0</v>
      </c>
      <c r="F324" s="157"/>
      <c r="G324" s="157"/>
      <c r="H324" s="157"/>
      <c r="I324" s="157"/>
    </row>
    <row r="325" spans="4:9" x14ac:dyDescent="0.25">
      <c r="D325" s="172">
        <v>44773</v>
      </c>
      <c r="E325" s="173">
        <f t="shared" si="10"/>
        <v>0</v>
      </c>
      <c r="F325" s="157"/>
      <c r="G325" s="157"/>
      <c r="H325" s="157"/>
      <c r="I325" s="157"/>
    </row>
    <row r="326" spans="4:9" x14ac:dyDescent="0.25">
      <c r="D326" s="172">
        <v>44774</v>
      </c>
      <c r="E326" s="173">
        <f t="shared" ref="E326:E356" si="11">$L$39</f>
        <v>0</v>
      </c>
      <c r="F326" s="157"/>
      <c r="G326" s="157"/>
      <c r="H326" s="157"/>
      <c r="I326" s="157"/>
    </row>
    <row r="327" spans="4:9" x14ac:dyDescent="0.25">
      <c r="D327" s="172">
        <v>44775</v>
      </c>
      <c r="E327" s="173">
        <f t="shared" si="11"/>
        <v>0</v>
      </c>
      <c r="F327" s="157"/>
      <c r="G327" s="157"/>
      <c r="H327" s="157"/>
      <c r="I327" s="157"/>
    </row>
    <row r="328" spans="4:9" x14ac:dyDescent="0.25">
      <c r="D328" s="172">
        <v>44776</v>
      </c>
      <c r="E328" s="173">
        <f t="shared" si="11"/>
        <v>0</v>
      </c>
      <c r="F328" s="157"/>
      <c r="G328" s="157"/>
      <c r="H328" s="157"/>
      <c r="I328" s="157"/>
    </row>
    <row r="329" spans="4:9" x14ac:dyDescent="0.25">
      <c r="D329" s="172">
        <v>44777</v>
      </c>
      <c r="E329" s="173">
        <f t="shared" si="11"/>
        <v>0</v>
      </c>
      <c r="F329" s="157"/>
      <c r="G329" s="157"/>
      <c r="H329" s="157"/>
      <c r="I329" s="157"/>
    </row>
    <row r="330" spans="4:9" x14ac:dyDescent="0.25">
      <c r="D330" s="172">
        <v>44778</v>
      </c>
      <c r="E330" s="173">
        <f t="shared" si="11"/>
        <v>0</v>
      </c>
      <c r="F330" s="157"/>
      <c r="G330" s="157"/>
      <c r="H330" s="157"/>
      <c r="I330" s="157"/>
    </row>
    <row r="331" spans="4:9" x14ac:dyDescent="0.25">
      <c r="D331" s="172">
        <v>44779</v>
      </c>
      <c r="E331" s="173">
        <f t="shared" si="11"/>
        <v>0</v>
      </c>
      <c r="F331" s="157"/>
      <c r="G331" s="157"/>
      <c r="H331" s="157"/>
      <c r="I331" s="157"/>
    </row>
    <row r="332" spans="4:9" x14ac:dyDescent="0.25">
      <c r="D332" s="172">
        <v>44780</v>
      </c>
      <c r="E332" s="173">
        <f t="shared" si="11"/>
        <v>0</v>
      </c>
      <c r="F332" s="157"/>
      <c r="G332" s="157"/>
      <c r="H332" s="157"/>
      <c r="I332" s="157"/>
    </row>
    <row r="333" spans="4:9" x14ac:dyDescent="0.25">
      <c r="D333" s="172">
        <v>44781</v>
      </c>
      <c r="E333" s="173">
        <f t="shared" si="11"/>
        <v>0</v>
      </c>
      <c r="F333" s="157"/>
      <c r="G333" s="157"/>
      <c r="H333" s="157"/>
      <c r="I333" s="157"/>
    </row>
    <row r="334" spans="4:9" x14ac:dyDescent="0.25">
      <c r="D334" s="172">
        <v>44782</v>
      </c>
      <c r="E334" s="173">
        <f t="shared" si="11"/>
        <v>0</v>
      </c>
      <c r="F334" s="157"/>
      <c r="G334" s="157"/>
      <c r="H334" s="157"/>
      <c r="I334" s="157"/>
    </row>
    <row r="335" spans="4:9" x14ac:dyDescent="0.25">
      <c r="D335" s="172">
        <v>44783</v>
      </c>
      <c r="E335" s="173">
        <f t="shared" si="11"/>
        <v>0</v>
      </c>
      <c r="F335" s="157"/>
      <c r="G335" s="157"/>
      <c r="H335" s="157"/>
      <c r="I335" s="157"/>
    </row>
    <row r="336" spans="4:9" x14ac:dyDescent="0.25">
      <c r="D336" s="172">
        <v>44784</v>
      </c>
      <c r="E336" s="173">
        <f t="shared" si="11"/>
        <v>0</v>
      </c>
      <c r="F336" s="157"/>
      <c r="G336" s="157"/>
      <c r="H336" s="157"/>
      <c r="I336" s="157"/>
    </row>
    <row r="337" spans="4:9" x14ac:dyDescent="0.25">
      <c r="D337" s="172">
        <v>44785</v>
      </c>
      <c r="E337" s="173">
        <f t="shared" si="11"/>
        <v>0</v>
      </c>
      <c r="F337" s="157"/>
      <c r="G337" s="157"/>
      <c r="H337" s="157"/>
      <c r="I337" s="157"/>
    </row>
    <row r="338" spans="4:9" x14ac:dyDescent="0.25">
      <c r="D338" s="172">
        <v>44786</v>
      </c>
      <c r="E338" s="173">
        <f t="shared" si="11"/>
        <v>0</v>
      </c>
      <c r="F338" s="157"/>
      <c r="G338" s="157"/>
      <c r="H338" s="157"/>
      <c r="I338" s="157"/>
    </row>
    <row r="339" spans="4:9" x14ac:dyDescent="0.25">
      <c r="D339" s="172">
        <v>44787</v>
      </c>
      <c r="E339" s="173">
        <f t="shared" si="11"/>
        <v>0</v>
      </c>
      <c r="F339" s="157"/>
      <c r="G339" s="157"/>
      <c r="H339" s="157"/>
      <c r="I339" s="157"/>
    </row>
    <row r="340" spans="4:9" x14ac:dyDescent="0.25">
      <c r="D340" s="172">
        <v>44788</v>
      </c>
      <c r="E340" s="173">
        <f t="shared" si="11"/>
        <v>0</v>
      </c>
      <c r="F340" s="157"/>
      <c r="G340" s="157"/>
      <c r="H340" s="157"/>
      <c r="I340" s="157"/>
    </row>
    <row r="341" spans="4:9" x14ac:dyDescent="0.25">
      <c r="D341" s="172">
        <v>44789</v>
      </c>
      <c r="E341" s="173">
        <f t="shared" si="11"/>
        <v>0</v>
      </c>
      <c r="F341" s="157"/>
      <c r="G341" s="157"/>
      <c r="H341" s="157"/>
      <c r="I341" s="157"/>
    </row>
    <row r="342" spans="4:9" x14ac:dyDescent="0.25">
      <c r="D342" s="172">
        <v>44790</v>
      </c>
      <c r="E342" s="173">
        <f t="shared" si="11"/>
        <v>0</v>
      </c>
      <c r="F342" s="157"/>
      <c r="G342" s="157"/>
      <c r="H342" s="157"/>
      <c r="I342" s="157"/>
    </row>
    <row r="343" spans="4:9" x14ac:dyDescent="0.25">
      <c r="D343" s="172">
        <v>44791</v>
      </c>
      <c r="E343" s="173">
        <f t="shared" si="11"/>
        <v>0</v>
      </c>
      <c r="F343" s="157"/>
      <c r="G343" s="157"/>
      <c r="H343" s="157"/>
      <c r="I343" s="157"/>
    </row>
    <row r="344" spans="4:9" x14ac:dyDescent="0.25">
      <c r="D344" s="172">
        <v>44792</v>
      </c>
      <c r="E344" s="173">
        <f t="shared" si="11"/>
        <v>0</v>
      </c>
      <c r="F344" s="157"/>
      <c r="G344" s="157"/>
      <c r="H344" s="157"/>
      <c r="I344" s="157"/>
    </row>
    <row r="345" spans="4:9" x14ac:dyDescent="0.25">
      <c r="D345" s="172">
        <v>44793</v>
      </c>
      <c r="E345" s="173">
        <f t="shared" si="11"/>
        <v>0</v>
      </c>
      <c r="F345" s="157"/>
      <c r="G345" s="157"/>
      <c r="H345" s="157"/>
      <c r="I345" s="157"/>
    </row>
    <row r="346" spans="4:9" x14ac:dyDescent="0.25">
      <c r="D346" s="172">
        <v>44794</v>
      </c>
      <c r="E346" s="173">
        <f t="shared" si="11"/>
        <v>0</v>
      </c>
      <c r="F346" s="157"/>
      <c r="G346" s="157"/>
      <c r="H346" s="157"/>
      <c r="I346" s="157"/>
    </row>
    <row r="347" spans="4:9" x14ac:dyDescent="0.25">
      <c r="D347" s="172">
        <v>44795</v>
      </c>
      <c r="E347" s="173">
        <f t="shared" si="11"/>
        <v>0</v>
      </c>
      <c r="F347" s="157"/>
      <c r="G347" s="157"/>
      <c r="H347" s="157"/>
      <c r="I347" s="157"/>
    </row>
    <row r="348" spans="4:9" x14ac:dyDescent="0.25">
      <c r="D348" s="172">
        <v>44796</v>
      </c>
      <c r="E348" s="173">
        <f t="shared" si="11"/>
        <v>0</v>
      </c>
      <c r="F348" s="157"/>
      <c r="G348" s="157"/>
      <c r="H348" s="157"/>
      <c r="I348" s="157"/>
    </row>
    <row r="349" spans="4:9" x14ac:dyDescent="0.25">
      <c r="D349" s="172">
        <v>44797</v>
      </c>
      <c r="E349" s="173">
        <f t="shared" si="11"/>
        <v>0</v>
      </c>
      <c r="F349" s="157"/>
      <c r="G349" s="157"/>
      <c r="H349" s="157"/>
      <c r="I349" s="157"/>
    </row>
    <row r="350" spans="4:9" x14ac:dyDescent="0.25">
      <c r="D350" s="172">
        <v>44798</v>
      </c>
      <c r="E350" s="173">
        <f t="shared" si="11"/>
        <v>0</v>
      </c>
      <c r="F350" s="157"/>
      <c r="G350" s="157"/>
      <c r="H350" s="157"/>
      <c r="I350" s="157"/>
    </row>
    <row r="351" spans="4:9" x14ac:dyDescent="0.25">
      <c r="D351" s="172">
        <v>44799</v>
      </c>
      <c r="E351" s="173">
        <f t="shared" si="11"/>
        <v>0</v>
      </c>
      <c r="F351" s="157"/>
      <c r="G351" s="157"/>
      <c r="H351" s="157"/>
      <c r="I351" s="157"/>
    </row>
    <row r="352" spans="4:9" x14ac:dyDescent="0.25">
      <c r="D352" s="172">
        <v>44800</v>
      </c>
      <c r="E352" s="173">
        <f t="shared" si="11"/>
        <v>0</v>
      </c>
      <c r="F352" s="157"/>
      <c r="G352" s="157"/>
      <c r="H352" s="157"/>
      <c r="I352" s="157"/>
    </row>
    <row r="353" spans="4:9" x14ac:dyDescent="0.25">
      <c r="D353" s="172">
        <v>44801</v>
      </c>
      <c r="E353" s="173">
        <f t="shared" si="11"/>
        <v>0</v>
      </c>
      <c r="F353" s="157"/>
      <c r="G353" s="157"/>
      <c r="H353" s="157"/>
      <c r="I353" s="157"/>
    </row>
    <row r="354" spans="4:9" x14ac:dyDescent="0.25">
      <c r="D354" s="172">
        <v>44802</v>
      </c>
      <c r="E354" s="173">
        <f t="shared" si="11"/>
        <v>0</v>
      </c>
      <c r="F354" s="157"/>
      <c r="G354" s="157"/>
      <c r="H354" s="157"/>
      <c r="I354" s="157"/>
    </row>
    <row r="355" spans="4:9" x14ac:dyDescent="0.25">
      <c r="D355" s="172">
        <v>44803</v>
      </c>
      <c r="E355" s="173">
        <f t="shared" si="11"/>
        <v>0</v>
      </c>
      <c r="F355" s="157"/>
      <c r="G355" s="157"/>
      <c r="H355" s="157"/>
      <c r="I355" s="157"/>
    </row>
    <row r="356" spans="4:9" x14ac:dyDescent="0.25">
      <c r="D356" s="172">
        <v>44804</v>
      </c>
      <c r="E356" s="173">
        <f t="shared" si="11"/>
        <v>0</v>
      </c>
      <c r="F356" s="157"/>
      <c r="G356" s="157"/>
      <c r="H356" s="157"/>
      <c r="I356" s="157"/>
    </row>
    <row r="357" spans="4:9" x14ac:dyDescent="0.25">
      <c r="D357" s="172">
        <v>44805</v>
      </c>
      <c r="E357" s="173">
        <f t="shared" ref="E357:E386" si="12">$M$39</f>
        <v>0</v>
      </c>
      <c r="F357" s="157"/>
      <c r="G357" s="157"/>
      <c r="H357" s="157"/>
      <c r="I357" s="157"/>
    </row>
    <row r="358" spans="4:9" x14ac:dyDescent="0.25">
      <c r="D358" s="172">
        <v>44806</v>
      </c>
      <c r="E358" s="173">
        <f t="shared" si="12"/>
        <v>0</v>
      </c>
      <c r="F358" s="157"/>
      <c r="G358" s="157"/>
      <c r="H358" s="157"/>
      <c r="I358" s="157"/>
    </row>
    <row r="359" spans="4:9" x14ac:dyDescent="0.25">
      <c r="D359" s="172">
        <v>44807</v>
      </c>
      <c r="E359" s="173">
        <f t="shared" si="12"/>
        <v>0</v>
      </c>
      <c r="F359" s="157"/>
      <c r="G359" s="157"/>
      <c r="H359" s="157"/>
      <c r="I359" s="157"/>
    </row>
    <row r="360" spans="4:9" x14ac:dyDescent="0.25">
      <c r="D360" s="172">
        <v>44808</v>
      </c>
      <c r="E360" s="173">
        <f t="shared" si="12"/>
        <v>0</v>
      </c>
      <c r="F360" s="157"/>
      <c r="G360" s="157"/>
      <c r="H360" s="157"/>
      <c r="I360" s="157"/>
    </row>
    <row r="361" spans="4:9" x14ac:dyDescent="0.25">
      <c r="D361" s="172">
        <v>44809</v>
      </c>
      <c r="E361" s="173">
        <f t="shared" si="12"/>
        <v>0</v>
      </c>
      <c r="F361" s="157"/>
      <c r="G361" s="157"/>
      <c r="H361" s="157"/>
      <c r="I361" s="157"/>
    </row>
    <row r="362" spans="4:9" x14ac:dyDescent="0.25">
      <c r="D362" s="172">
        <v>44810</v>
      </c>
      <c r="E362" s="173">
        <f t="shared" si="12"/>
        <v>0</v>
      </c>
      <c r="F362" s="157"/>
      <c r="G362" s="157"/>
      <c r="H362" s="157"/>
      <c r="I362" s="157"/>
    </row>
    <row r="363" spans="4:9" x14ac:dyDescent="0.25">
      <c r="D363" s="172">
        <v>44811</v>
      </c>
      <c r="E363" s="173">
        <f t="shared" si="12"/>
        <v>0</v>
      </c>
      <c r="F363" s="157"/>
      <c r="G363" s="157"/>
      <c r="H363" s="157"/>
      <c r="I363" s="157"/>
    </row>
    <row r="364" spans="4:9" x14ac:dyDescent="0.25">
      <c r="D364" s="172">
        <v>44812</v>
      </c>
      <c r="E364" s="173">
        <f t="shared" si="12"/>
        <v>0</v>
      </c>
      <c r="F364" s="157"/>
      <c r="G364" s="157"/>
      <c r="H364" s="157"/>
      <c r="I364" s="157"/>
    </row>
    <row r="365" spans="4:9" x14ac:dyDescent="0.25">
      <c r="D365" s="172">
        <v>44813</v>
      </c>
      <c r="E365" s="173">
        <f t="shared" si="12"/>
        <v>0</v>
      </c>
      <c r="F365" s="157"/>
      <c r="G365" s="157"/>
      <c r="H365" s="157"/>
      <c r="I365" s="157"/>
    </row>
    <row r="366" spans="4:9" x14ac:dyDescent="0.25">
      <c r="D366" s="172">
        <v>44814</v>
      </c>
      <c r="E366" s="173">
        <f t="shared" si="12"/>
        <v>0</v>
      </c>
      <c r="F366" s="157"/>
      <c r="G366" s="157"/>
      <c r="H366" s="157"/>
      <c r="I366" s="157"/>
    </row>
    <row r="367" spans="4:9" x14ac:dyDescent="0.25">
      <c r="D367" s="172">
        <v>44815</v>
      </c>
      <c r="E367" s="173">
        <f t="shared" si="12"/>
        <v>0</v>
      </c>
      <c r="F367" s="157"/>
      <c r="G367" s="157"/>
      <c r="H367" s="157"/>
      <c r="I367" s="157"/>
    </row>
    <row r="368" spans="4:9" x14ac:dyDescent="0.25">
      <c r="D368" s="172">
        <v>44816</v>
      </c>
      <c r="E368" s="173">
        <f t="shared" si="12"/>
        <v>0</v>
      </c>
      <c r="F368" s="157"/>
      <c r="G368" s="157"/>
      <c r="H368" s="157"/>
      <c r="I368" s="157"/>
    </row>
    <row r="369" spans="4:9" x14ac:dyDescent="0.25">
      <c r="D369" s="172">
        <v>44817</v>
      </c>
      <c r="E369" s="173">
        <f t="shared" si="12"/>
        <v>0</v>
      </c>
      <c r="F369" s="157"/>
      <c r="G369" s="157"/>
      <c r="H369" s="157"/>
      <c r="I369" s="157"/>
    </row>
    <row r="370" spans="4:9" x14ac:dyDescent="0.25">
      <c r="D370" s="172">
        <v>44818</v>
      </c>
      <c r="E370" s="173">
        <f t="shared" si="12"/>
        <v>0</v>
      </c>
      <c r="F370" s="157"/>
      <c r="G370" s="157"/>
      <c r="H370" s="157"/>
      <c r="I370" s="157"/>
    </row>
    <row r="371" spans="4:9" x14ac:dyDescent="0.25">
      <c r="D371" s="172">
        <v>44819</v>
      </c>
      <c r="E371" s="173">
        <f t="shared" si="12"/>
        <v>0</v>
      </c>
      <c r="F371" s="157"/>
      <c r="G371" s="157"/>
      <c r="H371" s="157"/>
      <c r="I371" s="157"/>
    </row>
    <row r="372" spans="4:9" x14ac:dyDescent="0.25">
      <c r="D372" s="172">
        <v>44820</v>
      </c>
      <c r="E372" s="173">
        <f t="shared" si="12"/>
        <v>0</v>
      </c>
      <c r="F372" s="157"/>
      <c r="G372" s="157"/>
      <c r="H372" s="157"/>
      <c r="I372" s="157"/>
    </row>
    <row r="373" spans="4:9" x14ac:dyDescent="0.25">
      <c r="D373" s="172">
        <v>44821</v>
      </c>
      <c r="E373" s="173">
        <f t="shared" si="12"/>
        <v>0</v>
      </c>
      <c r="F373" s="157"/>
      <c r="G373" s="157"/>
      <c r="H373" s="157"/>
      <c r="I373" s="157"/>
    </row>
    <row r="374" spans="4:9" x14ac:dyDescent="0.25">
      <c r="D374" s="172">
        <v>44822</v>
      </c>
      <c r="E374" s="173">
        <f t="shared" si="12"/>
        <v>0</v>
      </c>
      <c r="F374" s="157"/>
      <c r="G374" s="157"/>
      <c r="H374" s="157"/>
      <c r="I374" s="157"/>
    </row>
    <row r="375" spans="4:9" x14ac:dyDescent="0.25">
      <c r="D375" s="172">
        <v>44823</v>
      </c>
      <c r="E375" s="173">
        <f t="shared" si="12"/>
        <v>0</v>
      </c>
      <c r="F375" s="157"/>
      <c r="G375" s="157"/>
      <c r="H375" s="157"/>
      <c r="I375" s="157"/>
    </row>
    <row r="376" spans="4:9" x14ac:dyDescent="0.25">
      <c r="D376" s="172">
        <v>44824</v>
      </c>
      <c r="E376" s="173">
        <f t="shared" si="12"/>
        <v>0</v>
      </c>
      <c r="F376" s="157"/>
      <c r="G376" s="157"/>
      <c r="H376" s="157"/>
      <c r="I376" s="157"/>
    </row>
    <row r="377" spans="4:9" x14ac:dyDescent="0.25">
      <c r="D377" s="172">
        <v>44825</v>
      </c>
      <c r="E377" s="173">
        <f t="shared" si="12"/>
        <v>0</v>
      </c>
      <c r="F377" s="157"/>
      <c r="G377" s="157"/>
      <c r="H377" s="157"/>
      <c r="I377" s="157"/>
    </row>
    <row r="378" spans="4:9" x14ac:dyDescent="0.25">
      <c r="D378" s="172">
        <v>44826</v>
      </c>
      <c r="E378" s="173">
        <f t="shared" si="12"/>
        <v>0</v>
      </c>
      <c r="F378" s="157"/>
      <c r="G378" s="157"/>
      <c r="H378" s="157"/>
      <c r="I378" s="157"/>
    </row>
    <row r="379" spans="4:9" x14ac:dyDescent="0.25">
      <c r="D379" s="172">
        <v>44827</v>
      </c>
      <c r="E379" s="173">
        <f t="shared" si="12"/>
        <v>0</v>
      </c>
      <c r="F379" s="157"/>
      <c r="G379" s="157"/>
      <c r="H379" s="157"/>
      <c r="I379" s="157"/>
    </row>
    <row r="380" spans="4:9" x14ac:dyDescent="0.25">
      <c r="D380" s="172">
        <v>44828</v>
      </c>
      <c r="E380" s="173">
        <f t="shared" si="12"/>
        <v>0</v>
      </c>
      <c r="F380" s="157"/>
      <c r="G380" s="157"/>
      <c r="H380" s="157"/>
      <c r="I380" s="157"/>
    </row>
    <row r="381" spans="4:9" x14ac:dyDescent="0.25">
      <c r="D381" s="172">
        <v>44829</v>
      </c>
      <c r="E381" s="173">
        <f t="shared" si="12"/>
        <v>0</v>
      </c>
      <c r="F381" s="157"/>
      <c r="G381" s="157"/>
      <c r="H381" s="157"/>
      <c r="I381" s="157"/>
    </row>
    <row r="382" spans="4:9" x14ac:dyDescent="0.25">
      <c r="D382" s="172">
        <v>44830</v>
      </c>
      <c r="E382" s="173">
        <f t="shared" si="12"/>
        <v>0</v>
      </c>
      <c r="F382" s="157"/>
      <c r="G382" s="157"/>
      <c r="H382" s="157"/>
      <c r="I382" s="157"/>
    </row>
    <row r="383" spans="4:9" x14ac:dyDescent="0.25">
      <c r="D383" s="172">
        <v>44831</v>
      </c>
      <c r="E383" s="173">
        <f t="shared" si="12"/>
        <v>0</v>
      </c>
      <c r="F383" s="157"/>
      <c r="G383" s="157"/>
      <c r="H383" s="157"/>
      <c r="I383" s="157"/>
    </row>
    <row r="384" spans="4:9" x14ac:dyDescent="0.25">
      <c r="D384" s="172">
        <v>44832</v>
      </c>
      <c r="E384" s="173">
        <f t="shared" si="12"/>
        <v>0</v>
      </c>
      <c r="F384" s="157"/>
      <c r="G384" s="157"/>
      <c r="H384" s="157"/>
      <c r="I384" s="157"/>
    </row>
    <row r="385" spans="4:9" x14ac:dyDescent="0.25">
      <c r="D385" s="172">
        <v>44833</v>
      </c>
      <c r="E385" s="173">
        <f t="shared" si="12"/>
        <v>0</v>
      </c>
      <c r="F385" s="157"/>
      <c r="G385" s="157"/>
      <c r="H385" s="157"/>
      <c r="I385" s="157"/>
    </row>
    <row r="386" spans="4:9" x14ac:dyDescent="0.25">
      <c r="D386" s="172">
        <v>44834</v>
      </c>
      <c r="E386" s="173">
        <f t="shared" si="12"/>
        <v>0</v>
      </c>
      <c r="F386" s="157"/>
      <c r="G386" s="157"/>
      <c r="H386" s="157"/>
      <c r="I386" s="157"/>
    </row>
    <row r="387" spans="4:9" x14ac:dyDescent="0.25">
      <c r="D387" s="172">
        <v>44835</v>
      </c>
      <c r="E387" s="173">
        <f t="shared" ref="E387:E417" si="13">$N$39</f>
        <v>0</v>
      </c>
      <c r="F387" s="157"/>
      <c r="G387" s="157"/>
      <c r="H387" s="157"/>
      <c r="I387" s="157"/>
    </row>
    <row r="388" spans="4:9" x14ac:dyDescent="0.25">
      <c r="D388" s="172">
        <v>44836</v>
      </c>
      <c r="E388" s="173">
        <f t="shared" si="13"/>
        <v>0</v>
      </c>
      <c r="F388" s="157"/>
      <c r="G388" s="157"/>
      <c r="H388" s="157"/>
      <c r="I388" s="157"/>
    </row>
    <row r="389" spans="4:9" x14ac:dyDescent="0.25">
      <c r="D389" s="172">
        <v>44837</v>
      </c>
      <c r="E389" s="173">
        <f t="shared" si="13"/>
        <v>0</v>
      </c>
      <c r="F389" s="157"/>
      <c r="G389" s="157"/>
      <c r="H389" s="157"/>
      <c r="I389" s="157"/>
    </row>
    <row r="390" spans="4:9" x14ac:dyDescent="0.25">
      <c r="D390" s="172">
        <v>44838</v>
      </c>
      <c r="E390" s="173">
        <f t="shared" si="13"/>
        <v>0</v>
      </c>
      <c r="F390" s="157"/>
      <c r="G390" s="157"/>
      <c r="H390" s="157"/>
      <c r="I390" s="157"/>
    </row>
    <row r="391" spans="4:9" x14ac:dyDescent="0.25">
      <c r="D391" s="172">
        <v>44839</v>
      </c>
      <c r="E391" s="173">
        <f t="shared" si="13"/>
        <v>0</v>
      </c>
      <c r="F391" s="157"/>
      <c r="G391" s="157"/>
      <c r="H391" s="157"/>
      <c r="I391" s="157"/>
    </row>
    <row r="392" spans="4:9" x14ac:dyDescent="0.25">
      <c r="D392" s="172">
        <v>44840</v>
      </c>
      <c r="E392" s="173">
        <f t="shared" si="13"/>
        <v>0</v>
      </c>
      <c r="F392" s="157"/>
      <c r="G392" s="157"/>
      <c r="H392" s="157"/>
      <c r="I392" s="157"/>
    </row>
    <row r="393" spans="4:9" x14ac:dyDescent="0.25">
      <c r="D393" s="172">
        <v>44841</v>
      </c>
      <c r="E393" s="173">
        <f t="shared" si="13"/>
        <v>0</v>
      </c>
      <c r="F393" s="157"/>
      <c r="G393" s="157"/>
      <c r="H393" s="157"/>
      <c r="I393" s="157"/>
    </row>
    <row r="394" spans="4:9" x14ac:dyDescent="0.25">
      <c r="D394" s="172">
        <v>44842</v>
      </c>
      <c r="E394" s="173">
        <f t="shared" si="13"/>
        <v>0</v>
      </c>
      <c r="F394" s="157"/>
      <c r="G394" s="157"/>
      <c r="H394" s="157"/>
      <c r="I394" s="157"/>
    </row>
    <row r="395" spans="4:9" x14ac:dyDescent="0.25">
      <c r="D395" s="172">
        <v>44843</v>
      </c>
      <c r="E395" s="173">
        <f t="shared" si="13"/>
        <v>0</v>
      </c>
      <c r="F395" s="157"/>
      <c r="G395" s="157"/>
      <c r="H395" s="157"/>
      <c r="I395" s="157"/>
    </row>
    <row r="396" spans="4:9" x14ac:dyDescent="0.25">
      <c r="D396" s="172">
        <v>44844</v>
      </c>
      <c r="E396" s="173">
        <f t="shared" si="13"/>
        <v>0</v>
      </c>
      <c r="F396" s="157"/>
      <c r="G396" s="157"/>
      <c r="H396" s="157"/>
      <c r="I396" s="157"/>
    </row>
    <row r="397" spans="4:9" x14ac:dyDescent="0.25">
      <c r="D397" s="172">
        <v>44845</v>
      </c>
      <c r="E397" s="173">
        <f t="shared" si="13"/>
        <v>0</v>
      </c>
      <c r="F397" s="157"/>
      <c r="G397" s="157"/>
      <c r="H397" s="157"/>
      <c r="I397" s="157"/>
    </row>
    <row r="398" spans="4:9" x14ac:dyDescent="0.25">
      <c r="D398" s="172">
        <v>44846</v>
      </c>
      <c r="E398" s="173">
        <f t="shared" si="13"/>
        <v>0</v>
      </c>
      <c r="F398" s="157"/>
      <c r="G398" s="157"/>
      <c r="H398" s="157"/>
      <c r="I398" s="157"/>
    </row>
    <row r="399" spans="4:9" x14ac:dyDescent="0.25">
      <c r="D399" s="172">
        <v>44847</v>
      </c>
      <c r="E399" s="173">
        <f t="shared" si="13"/>
        <v>0</v>
      </c>
      <c r="F399" s="157"/>
      <c r="G399" s="157"/>
      <c r="H399" s="157"/>
      <c r="I399" s="157"/>
    </row>
    <row r="400" spans="4:9" x14ac:dyDescent="0.25">
      <c r="D400" s="172">
        <v>44848</v>
      </c>
      <c r="E400" s="173">
        <f t="shared" si="13"/>
        <v>0</v>
      </c>
      <c r="F400" s="157"/>
      <c r="G400" s="157"/>
      <c r="H400" s="157"/>
      <c r="I400" s="157"/>
    </row>
    <row r="401" spans="4:9" x14ac:dyDescent="0.25">
      <c r="D401" s="172">
        <v>44849</v>
      </c>
      <c r="E401" s="173">
        <f t="shared" si="13"/>
        <v>0</v>
      </c>
      <c r="F401" s="157"/>
      <c r="G401" s="157"/>
      <c r="H401" s="157"/>
      <c r="I401" s="157"/>
    </row>
    <row r="402" spans="4:9" x14ac:dyDescent="0.25">
      <c r="D402" s="172">
        <v>44850</v>
      </c>
      <c r="E402" s="173">
        <f t="shared" si="13"/>
        <v>0</v>
      </c>
      <c r="F402" s="157"/>
      <c r="G402" s="157"/>
      <c r="H402" s="157"/>
      <c r="I402" s="157"/>
    </row>
    <row r="403" spans="4:9" x14ac:dyDescent="0.25">
      <c r="D403" s="172">
        <v>44851</v>
      </c>
      <c r="E403" s="173">
        <f t="shared" si="13"/>
        <v>0</v>
      </c>
      <c r="F403" s="157"/>
      <c r="G403" s="157"/>
      <c r="H403" s="157"/>
      <c r="I403" s="157"/>
    </row>
    <row r="404" spans="4:9" x14ac:dyDescent="0.25">
      <c r="D404" s="172">
        <v>44852</v>
      </c>
      <c r="E404" s="173">
        <f t="shared" si="13"/>
        <v>0</v>
      </c>
      <c r="F404" s="157"/>
      <c r="G404" s="157"/>
      <c r="H404" s="157"/>
      <c r="I404" s="157"/>
    </row>
    <row r="405" spans="4:9" x14ac:dyDescent="0.25">
      <c r="D405" s="172">
        <v>44853</v>
      </c>
      <c r="E405" s="173">
        <f t="shared" si="13"/>
        <v>0</v>
      </c>
      <c r="F405" s="157"/>
      <c r="G405" s="157"/>
      <c r="H405" s="157"/>
      <c r="I405" s="157"/>
    </row>
    <row r="406" spans="4:9" x14ac:dyDescent="0.25">
      <c r="D406" s="172">
        <v>44854</v>
      </c>
      <c r="E406" s="173">
        <f t="shared" si="13"/>
        <v>0</v>
      </c>
      <c r="F406" s="157"/>
      <c r="G406" s="157"/>
      <c r="H406" s="157"/>
      <c r="I406" s="157"/>
    </row>
    <row r="407" spans="4:9" x14ac:dyDescent="0.25">
      <c r="D407" s="172">
        <v>44855</v>
      </c>
      <c r="E407" s="173">
        <f t="shared" si="13"/>
        <v>0</v>
      </c>
      <c r="F407" s="157"/>
      <c r="G407" s="157"/>
      <c r="H407" s="157"/>
      <c r="I407" s="157"/>
    </row>
    <row r="408" spans="4:9" x14ac:dyDescent="0.25">
      <c r="D408" s="172">
        <v>44856</v>
      </c>
      <c r="E408" s="173">
        <f t="shared" si="13"/>
        <v>0</v>
      </c>
      <c r="F408" s="157"/>
      <c r="G408" s="157"/>
      <c r="H408" s="157"/>
      <c r="I408" s="157"/>
    </row>
    <row r="409" spans="4:9" x14ac:dyDescent="0.25">
      <c r="D409" s="172">
        <v>44857</v>
      </c>
      <c r="E409" s="173">
        <f t="shared" si="13"/>
        <v>0</v>
      </c>
      <c r="F409" s="157"/>
      <c r="G409" s="157"/>
      <c r="H409" s="157"/>
      <c r="I409" s="157"/>
    </row>
    <row r="410" spans="4:9" x14ac:dyDescent="0.25">
      <c r="D410" s="172">
        <v>44858</v>
      </c>
      <c r="E410" s="173">
        <f t="shared" si="13"/>
        <v>0</v>
      </c>
      <c r="F410" s="157"/>
      <c r="G410" s="157"/>
      <c r="H410" s="157"/>
      <c r="I410" s="157"/>
    </row>
    <row r="411" spans="4:9" x14ac:dyDescent="0.25">
      <c r="D411" s="172">
        <v>44859</v>
      </c>
      <c r="E411" s="173">
        <f t="shared" si="13"/>
        <v>0</v>
      </c>
      <c r="F411" s="157"/>
      <c r="G411" s="157"/>
      <c r="H411" s="157"/>
      <c r="I411" s="157"/>
    </row>
    <row r="412" spans="4:9" x14ac:dyDescent="0.25">
      <c r="D412" s="172">
        <v>44860</v>
      </c>
      <c r="E412" s="173">
        <f t="shared" si="13"/>
        <v>0</v>
      </c>
      <c r="F412" s="157"/>
      <c r="G412" s="157"/>
      <c r="H412" s="157"/>
      <c r="I412" s="157"/>
    </row>
    <row r="413" spans="4:9" x14ac:dyDescent="0.25">
      <c r="D413" s="172">
        <v>44861</v>
      </c>
      <c r="E413" s="173">
        <f t="shared" si="13"/>
        <v>0</v>
      </c>
      <c r="F413" s="157"/>
      <c r="G413" s="157"/>
      <c r="H413" s="157"/>
      <c r="I413" s="157"/>
    </row>
    <row r="414" spans="4:9" x14ac:dyDescent="0.25">
      <c r="D414" s="172">
        <v>44862</v>
      </c>
      <c r="E414" s="173">
        <f t="shared" si="13"/>
        <v>0</v>
      </c>
      <c r="F414" s="157"/>
      <c r="G414" s="157"/>
      <c r="H414" s="157"/>
      <c r="I414" s="157"/>
    </row>
    <row r="415" spans="4:9" x14ac:dyDescent="0.25">
      <c r="D415" s="172">
        <v>44863</v>
      </c>
      <c r="E415" s="173">
        <f t="shared" si="13"/>
        <v>0</v>
      </c>
      <c r="F415" s="157"/>
      <c r="G415" s="157"/>
      <c r="H415" s="157"/>
      <c r="I415" s="157"/>
    </row>
    <row r="416" spans="4:9" x14ac:dyDescent="0.25">
      <c r="D416" s="172">
        <v>44864</v>
      </c>
      <c r="E416" s="173">
        <f t="shared" si="13"/>
        <v>0</v>
      </c>
      <c r="F416" s="157"/>
      <c r="G416" s="157"/>
      <c r="H416" s="157"/>
      <c r="I416" s="157"/>
    </row>
    <row r="417" spans="4:9" x14ac:dyDescent="0.25">
      <c r="D417" s="172">
        <v>44865</v>
      </c>
      <c r="E417" s="173">
        <f t="shared" si="13"/>
        <v>0</v>
      </c>
      <c r="F417" s="157"/>
      <c r="G417" s="157"/>
      <c r="H417" s="157"/>
      <c r="I417" s="157"/>
    </row>
    <row r="418" spans="4:9" x14ac:dyDescent="0.25">
      <c r="D418" s="172">
        <v>44866</v>
      </c>
      <c r="E418" s="173">
        <f t="shared" ref="E418:E447" si="14">$O$39</f>
        <v>0</v>
      </c>
      <c r="F418" s="157"/>
      <c r="G418" s="157"/>
      <c r="H418" s="157"/>
      <c r="I418" s="157"/>
    </row>
    <row r="419" spans="4:9" x14ac:dyDescent="0.25">
      <c r="D419" s="172">
        <v>44867</v>
      </c>
      <c r="E419" s="173">
        <f t="shared" si="14"/>
        <v>0</v>
      </c>
      <c r="F419" s="157"/>
      <c r="G419" s="157"/>
      <c r="H419" s="157"/>
      <c r="I419" s="157"/>
    </row>
    <row r="420" spans="4:9" x14ac:dyDescent="0.25">
      <c r="D420" s="172">
        <v>44868</v>
      </c>
      <c r="E420" s="173">
        <f t="shared" si="14"/>
        <v>0</v>
      </c>
      <c r="F420" s="157"/>
      <c r="G420" s="157"/>
      <c r="H420" s="157"/>
      <c r="I420" s="157"/>
    </row>
    <row r="421" spans="4:9" x14ac:dyDescent="0.25">
      <c r="D421" s="172">
        <v>44869</v>
      </c>
      <c r="E421" s="173">
        <f t="shared" si="14"/>
        <v>0</v>
      </c>
      <c r="F421" s="157"/>
      <c r="G421" s="157"/>
      <c r="H421" s="157"/>
      <c r="I421" s="157"/>
    </row>
    <row r="422" spans="4:9" x14ac:dyDescent="0.25">
      <c r="D422" s="172">
        <v>44870</v>
      </c>
      <c r="E422" s="173">
        <f t="shared" si="14"/>
        <v>0</v>
      </c>
      <c r="F422" s="157"/>
      <c r="G422" s="157"/>
      <c r="H422" s="157"/>
      <c r="I422" s="157"/>
    </row>
    <row r="423" spans="4:9" x14ac:dyDescent="0.25">
      <c r="D423" s="172">
        <v>44871</v>
      </c>
      <c r="E423" s="173">
        <f t="shared" si="14"/>
        <v>0</v>
      </c>
      <c r="F423" s="157"/>
      <c r="G423" s="157"/>
      <c r="H423" s="157"/>
      <c r="I423" s="157"/>
    </row>
    <row r="424" spans="4:9" x14ac:dyDescent="0.25">
      <c r="D424" s="172">
        <v>44872</v>
      </c>
      <c r="E424" s="173">
        <f t="shared" si="14"/>
        <v>0</v>
      </c>
      <c r="F424" s="157"/>
      <c r="G424" s="157"/>
      <c r="H424" s="157"/>
      <c r="I424" s="157"/>
    </row>
    <row r="425" spans="4:9" x14ac:dyDescent="0.25">
      <c r="D425" s="172">
        <v>44873</v>
      </c>
      <c r="E425" s="173">
        <f t="shared" si="14"/>
        <v>0</v>
      </c>
      <c r="F425" s="157"/>
      <c r="G425" s="157"/>
      <c r="H425" s="157"/>
      <c r="I425" s="157"/>
    </row>
    <row r="426" spans="4:9" x14ac:dyDescent="0.25">
      <c r="D426" s="172">
        <v>44874</v>
      </c>
      <c r="E426" s="173">
        <f t="shared" si="14"/>
        <v>0</v>
      </c>
      <c r="F426" s="157"/>
      <c r="G426" s="157"/>
      <c r="H426" s="157"/>
      <c r="I426" s="157"/>
    </row>
    <row r="427" spans="4:9" x14ac:dyDescent="0.25">
      <c r="D427" s="172">
        <v>44875</v>
      </c>
      <c r="E427" s="173">
        <f t="shared" si="14"/>
        <v>0</v>
      </c>
      <c r="F427" s="157"/>
      <c r="G427" s="157"/>
      <c r="H427" s="157"/>
      <c r="I427" s="157"/>
    </row>
    <row r="428" spans="4:9" x14ac:dyDescent="0.25">
      <c r="D428" s="172">
        <v>44876</v>
      </c>
      <c r="E428" s="173">
        <f t="shared" si="14"/>
        <v>0</v>
      </c>
      <c r="F428" s="157"/>
      <c r="G428" s="157"/>
      <c r="H428" s="157"/>
      <c r="I428" s="157"/>
    </row>
    <row r="429" spans="4:9" x14ac:dyDescent="0.25">
      <c r="D429" s="172">
        <v>44877</v>
      </c>
      <c r="E429" s="173">
        <f t="shared" si="14"/>
        <v>0</v>
      </c>
      <c r="F429" s="157"/>
      <c r="G429" s="157"/>
      <c r="H429" s="157"/>
      <c r="I429" s="157"/>
    </row>
    <row r="430" spans="4:9" x14ac:dyDescent="0.25">
      <c r="D430" s="172">
        <v>44878</v>
      </c>
      <c r="E430" s="173">
        <f t="shared" si="14"/>
        <v>0</v>
      </c>
      <c r="F430" s="157"/>
      <c r="G430" s="157"/>
      <c r="H430" s="157"/>
      <c r="I430" s="157"/>
    </row>
    <row r="431" spans="4:9" x14ac:dyDescent="0.25">
      <c r="D431" s="172">
        <v>44879</v>
      </c>
      <c r="E431" s="173">
        <f t="shared" si="14"/>
        <v>0</v>
      </c>
      <c r="F431" s="157"/>
      <c r="G431" s="157"/>
      <c r="H431" s="157"/>
      <c r="I431" s="157"/>
    </row>
    <row r="432" spans="4:9" x14ac:dyDescent="0.25">
      <c r="D432" s="172">
        <v>44880</v>
      </c>
      <c r="E432" s="173">
        <f t="shared" si="14"/>
        <v>0</v>
      </c>
      <c r="F432" s="157"/>
      <c r="G432" s="157"/>
      <c r="H432" s="157"/>
      <c r="I432" s="157"/>
    </row>
    <row r="433" spans="4:9" x14ac:dyDescent="0.25">
      <c r="D433" s="172">
        <v>44881</v>
      </c>
      <c r="E433" s="173">
        <f t="shared" si="14"/>
        <v>0</v>
      </c>
      <c r="F433" s="157"/>
      <c r="G433" s="157"/>
      <c r="H433" s="157"/>
      <c r="I433" s="157"/>
    </row>
    <row r="434" spans="4:9" x14ac:dyDescent="0.25">
      <c r="D434" s="172">
        <v>44882</v>
      </c>
      <c r="E434" s="173">
        <f t="shared" si="14"/>
        <v>0</v>
      </c>
      <c r="F434" s="157"/>
      <c r="G434" s="157"/>
      <c r="H434" s="157"/>
      <c r="I434" s="157"/>
    </row>
    <row r="435" spans="4:9" x14ac:dyDescent="0.25">
      <c r="D435" s="172">
        <v>44883</v>
      </c>
      <c r="E435" s="173">
        <f t="shared" si="14"/>
        <v>0</v>
      </c>
      <c r="F435" s="157"/>
      <c r="G435" s="157"/>
      <c r="H435" s="157"/>
      <c r="I435" s="157"/>
    </row>
    <row r="436" spans="4:9" x14ac:dyDescent="0.25">
      <c r="D436" s="172">
        <v>44884</v>
      </c>
      <c r="E436" s="173">
        <f t="shared" si="14"/>
        <v>0</v>
      </c>
      <c r="F436" s="157"/>
      <c r="G436" s="157"/>
      <c r="H436" s="157"/>
      <c r="I436" s="157"/>
    </row>
    <row r="437" spans="4:9" x14ac:dyDescent="0.25">
      <c r="D437" s="172">
        <v>44885</v>
      </c>
      <c r="E437" s="173">
        <f t="shared" si="14"/>
        <v>0</v>
      </c>
      <c r="F437" s="157"/>
      <c r="G437" s="157"/>
      <c r="H437" s="157"/>
      <c r="I437" s="157"/>
    </row>
    <row r="438" spans="4:9" x14ac:dyDescent="0.25">
      <c r="D438" s="172">
        <v>44886</v>
      </c>
      <c r="E438" s="173">
        <f t="shared" si="14"/>
        <v>0</v>
      </c>
      <c r="F438" s="157"/>
      <c r="G438" s="157"/>
      <c r="H438" s="157"/>
      <c r="I438" s="157"/>
    </row>
    <row r="439" spans="4:9" x14ac:dyDescent="0.25">
      <c r="D439" s="172">
        <v>44887</v>
      </c>
      <c r="E439" s="173">
        <f t="shared" si="14"/>
        <v>0</v>
      </c>
      <c r="F439" s="157"/>
      <c r="G439" s="157"/>
      <c r="H439" s="157"/>
      <c r="I439" s="157"/>
    </row>
    <row r="440" spans="4:9" x14ac:dyDescent="0.25">
      <c r="D440" s="172">
        <v>44888</v>
      </c>
      <c r="E440" s="173">
        <f t="shared" si="14"/>
        <v>0</v>
      </c>
      <c r="F440" s="157"/>
      <c r="G440" s="157"/>
      <c r="H440" s="157"/>
      <c r="I440" s="157"/>
    </row>
    <row r="441" spans="4:9" x14ac:dyDescent="0.25">
      <c r="D441" s="172">
        <v>44889</v>
      </c>
      <c r="E441" s="173">
        <f t="shared" si="14"/>
        <v>0</v>
      </c>
      <c r="F441" s="157"/>
      <c r="G441" s="157"/>
      <c r="H441" s="157"/>
      <c r="I441" s="157"/>
    </row>
    <row r="442" spans="4:9" x14ac:dyDescent="0.25">
      <c r="D442" s="172">
        <v>44890</v>
      </c>
      <c r="E442" s="173">
        <f t="shared" si="14"/>
        <v>0</v>
      </c>
      <c r="F442" s="157"/>
      <c r="G442" s="157"/>
      <c r="H442" s="157"/>
      <c r="I442" s="157"/>
    </row>
    <row r="443" spans="4:9" x14ac:dyDescent="0.25">
      <c r="D443" s="172">
        <v>44891</v>
      </c>
      <c r="E443" s="173">
        <f t="shared" si="14"/>
        <v>0</v>
      </c>
      <c r="F443" s="157"/>
      <c r="G443" s="157"/>
      <c r="H443" s="157"/>
      <c r="I443" s="157"/>
    </row>
    <row r="444" spans="4:9" x14ac:dyDescent="0.25">
      <c r="D444" s="172">
        <v>44892</v>
      </c>
      <c r="E444" s="173">
        <f t="shared" si="14"/>
        <v>0</v>
      </c>
      <c r="F444" s="157"/>
      <c r="G444" s="157"/>
      <c r="H444" s="157"/>
      <c r="I444" s="157"/>
    </row>
    <row r="445" spans="4:9" x14ac:dyDescent="0.25">
      <c r="D445" s="172">
        <v>44893</v>
      </c>
      <c r="E445" s="173">
        <f t="shared" si="14"/>
        <v>0</v>
      </c>
      <c r="F445" s="157"/>
      <c r="G445" s="157"/>
      <c r="H445" s="157"/>
      <c r="I445" s="157"/>
    </row>
    <row r="446" spans="4:9" x14ac:dyDescent="0.25">
      <c r="D446" s="172">
        <v>44894</v>
      </c>
      <c r="E446" s="173">
        <f t="shared" si="14"/>
        <v>0</v>
      </c>
      <c r="F446" s="157"/>
      <c r="G446" s="157"/>
      <c r="H446" s="157"/>
      <c r="I446" s="157"/>
    </row>
    <row r="447" spans="4:9" x14ac:dyDescent="0.25">
      <c r="D447" s="172">
        <v>44895</v>
      </c>
      <c r="E447" s="173">
        <f t="shared" si="14"/>
        <v>0</v>
      </c>
      <c r="F447" s="157"/>
      <c r="G447" s="157"/>
      <c r="H447" s="157"/>
      <c r="I447" s="157"/>
    </row>
    <row r="448" spans="4:9" x14ac:dyDescent="0.25">
      <c r="D448" s="172">
        <v>44896</v>
      </c>
      <c r="E448" s="173">
        <f t="shared" ref="E448:E478" si="15">$P$39</f>
        <v>0</v>
      </c>
      <c r="F448" s="157"/>
      <c r="G448" s="157"/>
      <c r="H448" s="157"/>
      <c r="I448" s="157"/>
    </row>
    <row r="449" spans="4:9" x14ac:dyDescent="0.25">
      <c r="D449" s="172">
        <v>44897</v>
      </c>
      <c r="E449" s="173">
        <f t="shared" si="15"/>
        <v>0</v>
      </c>
      <c r="F449" s="157"/>
      <c r="G449" s="157"/>
      <c r="H449" s="157"/>
      <c r="I449" s="157"/>
    </row>
    <row r="450" spans="4:9" x14ac:dyDescent="0.25">
      <c r="D450" s="172">
        <v>44898</v>
      </c>
      <c r="E450" s="173">
        <f t="shared" si="15"/>
        <v>0</v>
      </c>
      <c r="F450" s="157"/>
      <c r="G450" s="157"/>
      <c r="H450" s="157"/>
      <c r="I450" s="157"/>
    </row>
    <row r="451" spans="4:9" x14ac:dyDescent="0.25">
      <c r="D451" s="172">
        <v>44899</v>
      </c>
      <c r="E451" s="173">
        <f t="shared" si="15"/>
        <v>0</v>
      </c>
      <c r="F451" s="157"/>
      <c r="G451" s="157"/>
      <c r="H451" s="157"/>
      <c r="I451" s="157"/>
    </row>
    <row r="452" spans="4:9" x14ac:dyDescent="0.25">
      <c r="D452" s="172">
        <v>44900</v>
      </c>
      <c r="E452" s="173">
        <f t="shared" si="15"/>
        <v>0</v>
      </c>
      <c r="F452" s="157"/>
      <c r="G452" s="157"/>
      <c r="H452" s="157"/>
      <c r="I452" s="157"/>
    </row>
    <row r="453" spans="4:9" x14ac:dyDescent="0.25">
      <c r="D453" s="172">
        <v>44901</v>
      </c>
      <c r="E453" s="173">
        <f t="shared" si="15"/>
        <v>0</v>
      </c>
      <c r="F453" s="157"/>
      <c r="G453" s="157"/>
      <c r="H453" s="157"/>
      <c r="I453" s="157"/>
    </row>
    <row r="454" spans="4:9" x14ac:dyDescent="0.25">
      <c r="D454" s="172">
        <v>44902</v>
      </c>
      <c r="E454" s="173">
        <f t="shared" si="15"/>
        <v>0</v>
      </c>
      <c r="F454" s="157"/>
      <c r="G454" s="157"/>
      <c r="H454" s="157"/>
      <c r="I454" s="157"/>
    </row>
    <row r="455" spans="4:9" x14ac:dyDescent="0.25">
      <c r="D455" s="172">
        <v>44903</v>
      </c>
      <c r="E455" s="173">
        <f t="shared" si="15"/>
        <v>0</v>
      </c>
      <c r="F455" s="157"/>
      <c r="G455" s="157"/>
      <c r="H455" s="157"/>
      <c r="I455" s="157"/>
    </row>
    <row r="456" spans="4:9" x14ac:dyDescent="0.25">
      <c r="D456" s="172">
        <v>44904</v>
      </c>
      <c r="E456" s="173">
        <f t="shared" si="15"/>
        <v>0</v>
      </c>
      <c r="F456" s="157"/>
      <c r="G456" s="157"/>
      <c r="H456" s="157"/>
      <c r="I456" s="157"/>
    </row>
    <row r="457" spans="4:9" x14ac:dyDescent="0.25">
      <c r="D457" s="172">
        <v>44905</v>
      </c>
      <c r="E457" s="173">
        <f t="shared" si="15"/>
        <v>0</v>
      </c>
      <c r="F457" s="157"/>
      <c r="G457" s="157"/>
      <c r="H457" s="157"/>
      <c r="I457" s="157"/>
    </row>
    <row r="458" spans="4:9" x14ac:dyDescent="0.25">
      <c r="D458" s="172">
        <v>44906</v>
      </c>
      <c r="E458" s="173">
        <f t="shared" si="15"/>
        <v>0</v>
      </c>
      <c r="F458" s="157"/>
      <c r="G458" s="157"/>
      <c r="H458" s="157"/>
      <c r="I458" s="157"/>
    </row>
    <row r="459" spans="4:9" x14ac:dyDescent="0.25">
      <c r="D459" s="172">
        <v>44907</v>
      </c>
      <c r="E459" s="173">
        <f t="shared" si="15"/>
        <v>0</v>
      </c>
      <c r="F459" s="157"/>
      <c r="G459" s="157"/>
      <c r="H459" s="157"/>
      <c r="I459" s="157"/>
    </row>
    <row r="460" spans="4:9" x14ac:dyDescent="0.25">
      <c r="D460" s="172">
        <v>44908</v>
      </c>
      <c r="E460" s="173">
        <f t="shared" si="15"/>
        <v>0</v>
      </c>
      <c r="F460" s="157"/>
      <c r="G460" s="157"/>
      <c r="H460" s="157"/>
      <c r="I460" s="157"/>
    </row>
    <row r="461" spans="4:9" x14ac:dyDescent="0.25">
      <c r="D461" s="172">
        <v>44909</v>
      </c>
      <c r="E461" s="173">
        <f t="shared" si="15"/>
        <v>0</v>
      </c>
      <c r="F461" s="157"/>
      <c r="G461" s="157"/>
      <c r="H461" s="157"/>
      <c r="I461" s="157"/>
    </row>
    <row r="462" spans="4:9" x14ac:dyDescent="0.25">
      <c r="D462" s="172">
        <v>44910</v>
      </c>
      <c r="E462" s="173">
        <f t="shared" si="15"/>
        <v>0</v>
      </c>
      <c r="F462" s="157"/>
      <c r="G462" s="157"/>
      <c r="H462" s="157"/>
      <c r="I462" s="157"/>
    </row>
    <row r="463" spans="4:9" x14ac:dyDescent="0.25">
      <c r="D463" s="172">
        <v>44911</v>
      </c>
      <c r="E463" s="173">
        <f t="shared" si="15"/>
        <v>0</v>
      </c>
      <c r="F463" s="157"/>
      <c r="G463" s="157"/>
      <c r="H463" s="157"/>
      <c r="I463" s="157"/>
    </row>
    <row r="464" spans="4:9" x14ac:dyDescent="0.25">
      <c r="D464" s="172">
        <v>44912</v>
      </c>
      <c r="E464" s="173">
        <f t="shared" si="15"/>
        <v>0</v>
      </c>
      <c r="F464" s="157"/>
      <c r="G464" s="157"/>
      <c r="H464" s="157"/>
      <c r="I464" s="157"/>
    </row>
    <row r="465" spans="4:9" x14ac:dyDescent="0.25">
      <c r="D465" s="172">
        <v>44913</v>
      </c>
      <c r="E465" s="173">
        <f t="shared" si="15"/>
        <v>0</v>
      </c>
      <c r="F465" s="157"/>
      <c r="G465" s="157"/>
      <c r="H465" s="157"/>
      <c r="I465" s="157"/>
    </row>
    <row r="466" spans="4:9" x14ac:dyDescent="0.25">
      <c r="D466" s="172">
        <v>44914</v>
      </c>
      <c r="E466" s="173">
        <f t="shared" si="15"/>
        <v>0</v>
      </c>
      <c r="F466" s="157"/>
      <c r="G466" s="157"/>
      <c r="H466" s="157"/>
      <c r="I466" s="157"/>
    </row>
    <row r="467" spans="4:9" x14ac:dyDescent="0.25">
      <c r="D467" s="172">
        <v>44915</v>
      </c>
      <c r="E467" s="173">
        <f t="shared" si="15"/>
        <v>0</v>
      </c>
      <c r="F467" s="157"/>
      <c r="G467" s="157"/>
      <c r="H467" s="157"/>
      <c r="I467" s="157"/>
    </row>
    <row r="468" spans="4:9" x14ac:dyDescent="0.25">
      <c r="D468" s="172">
        <v>44916</v>
      </c>
      <c r="E468" s="173">
        <f t="shared" si="15"/>
        <v>0</v>
      </c>
      <c r="F468" s="157"/>
      <c r="G468" s="157"/>
      <c r="H468" s="157"/>
      <c r="I468" s="157"/>
    </row>
    <row r="469" spans="4:9" x14ac:dyDescent="0.25">
      <c r="D469" s="172">
        <v>44917</v>
      </c>
      <c r="E469" s="173">
        <f t="shared" si="15"/>
        <v>0</v>
      </c>
      <c r="F469" s="157"/>
      <c r="G469" s="157"/>
      <c r="H469" s="157"/>
      <c r="I469" s="157"/>
    </row>
    <row r="470" spans="4:9" x14ac:dyDescent="0.25">
      <c r="D470" s="172">
        <v>44918</v>
      </c>
      <c r="E470" s="173">
        <f t="shared" si="15"/>
        <v>0</v>
      </c>
      <c r="F470" s="157"/>
      <c r="G470" s="157"/>
      <c r="H470" s="157"/>
      <c r="I470" s="157"/>
    </row>
    <row r="471" spans="4:9" x14ac:dyDescent="0.25">
      <c r="D471" s="172">
        <v>44919</v>
      </c>
      <c r="E471" s="173">
        <f t="shared" si="15"/>
        <v>0</v>
      </c>
      <c r="F471" s="157"/>
      <c r="G471" s="157"/>
      <c r="H471" s="157"/>
      <c r="I471" s="157"/>
    </row>
    <row r="472" spans="4:9" x14ac:dyDescent="0.25">
      <c r="D472" s="172">
        <v>44920</v>
      </c>
      <c r="E472" s="173">
        <f t="shared" si="15"/>
        <v>0</v>
      </c>
      <c r="F472" s="157"/>
      <c r="G472" s="157"/>
      <c r="H472" s="157"/>
      <c r="I472" s="157"/>
    </row>
    <row r="473" spans="4:9" x14ac:dyDescent="0.25">
      <c r="D473" s="172">
        <v>44921</v>
      </c>
      <c r="E473" s="173">
        <f t="shared" si="15"/>
        <v>0</v>
      </c>
      <c r="F473" s="157"/>
      <c r="G473" s="157"/>
      <c r="H473" s="157"/>
      <c r="I473" s="157"/>
    </row>
    <row r="474" spans="4:9" x14ac:dyDescent="0.25">
      <c r="D474" s="172">
        <v>44922</v>
      </c>
      <c r="E474" s="173">
        <f t="shared" si="15"/>
        <v>0</v>
      </c>
      <c r="F474" s="157"/>
      <c r="G474" s="157"/>
      <c r="H474" s="157"/>
      <c r="I474" s="157"/>
    </row>
    <row r="475" spans="4:9" x14ac:dyDescent="0.25">
      <c r="D475" s="172">
        <v>44923</v>
      </c>
      <c r="E475" s="173">
        <f t="shared" si="15"/>
        <v>0</v>
      </c>
      <c r="F475" s="157"/>
      <c r="G475" s="157"/>
      <c r="H475" s="157"/>
      <c r="I475" s="157"/>
    </row>
    <row r="476" spans="4:9" x14ac:dyDescent="0.25">
      <c r="D476" s="172">
        <v>44924</v>
      </c>
      <c r="E476" s="173">
        <f t="shared" si="15"/>
        <v>0</v>
      </c>
      <c r="F476" s="157"/>
      <c r="G476" s="157"/>
      <c r="H476" s="157"/>
      <c r="I476" s="157"/>
    </row>
    <row r="477" spans="4:9" x14ac:dyDescent="0.25">
      <c r="D477" s="172">
        <v>44925</v>
      </c>
      <c r="E477" s="173">
        <f t="shared" si="15"/>
        <v>0</v>
      </c>
      <c r="F477" s="157"/>
      <c r="G477" s="157"/>
      <c r="H477" s="157"/>
      <c r="I477" s="157"/>
    </row>
    <row r="478" spans="4:9" x14ac:dyDescent="0.25">
      <c r="D478" s="172">
        <v>44926</v>
      </c>
      <c r="E478" s="173">
        <f t="shared" si="15"/>
        <v>0</v>
      </c>
      <c r="F478" s="157"/>
      <c r="G478" s="157"/>
      <c r="H478" s="157"/>
      <c r="I478" s="157"/>
    </row>
  </sheetData>
  <mergeCells count="16">
    <mergeCell ref="C37:D37"/>
    <mergeCell ref="C38:D38"/>
    <mergeCell ref="C39:D39"/>
    <mergeCell ref="C40:D40"/>
    <mergeCell ref="C23:D23"/>
    <mergeCell ref="C29:D29"/>
    <mergeCell ref="C30:D30"/>
    <mergeCell ref="C31:D31"/>
    <mergeCell ref="E27:P27"/>
    <mergeCell ref="C36:D36"/>
    <mergeCell ref="Q27:Q28"/>
    <mergeCell ref="D11:D12"/>
    <mergeCell ref="E11:P11"/>
    <mergeCell ref="Q11:Q12"/>
    <mergeCell ref="C11:C12"/>
    <mergeCell ref="C27:D28"/>
  </mergeCells>
  <dataValidations count="4">
    <dataValidation type="decimal" operator="greaterThanOrEqual" allowBlank="1" showInputMessage="1" showErrorMessage="1" error="Please enter the values in numbers." promptTitle="Enter Fuel Conumption in litres" prompt="Enter monthly total Diesel Consumption in litres" sqref="E30:P30 E14:P22" xr:uid="{0E169D51-BCD1-484D-9F7B-BD67BECD269F}">
      <formula1>0</formula1>
    </dataValidation>
    <dataValidation type="decimal" operator="greaterThanOrEqual" allowBlank="1" showInputMessage="1" showErrorMessage="1" error="Please enter the values in numbers." prompt="Enter monthly total Petrol Consumption in litres" sqref="E29:P29 E13:P13" xr:uid="{33514CAF-4ACB-4441-9029-C30AC89EDD80}">
      <formula1>0</formula1>
    </dataValidation>
    <dataValidation type="list" allowBlank="1" showInputMessage="1" showErrorMessage="1" sqref="C13:C22 C29:D29" xr:uid="{AC0BACEC-45B9-4DA2-B995-22A982EE1DE8}">
      <formula1>$G$114:$G$115</formula1>
    </dataValidation>
    <dataValidation sqref="C30:D30" xr:uid="{5021DA17-1F0F-458E-9875-2B4F2F45E950}"/>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B5DD6-6AB7-47A7-B61B-D60F7898BA43}">
  <dimension ref="A1:U476"/>
  <sheetViews>
    <sheetView topLeftCell="A31" zoomScaleNormal="100" workbookViewId="0">
      <selection activeCell="C36" sqref="C36"/>
    </sheetView>
  </sheetViews>
  <sheetFormatPr defaultColWidth="8.5703125" defaultRowHeight="15" x14ac:dyDescent="0.25"/>
  <cols>
    <col min="1" max="1" width="5.7109375" style="1" customWidth="1"/>
    <col min="2" max="2" width="2.140625" style="1" customWidth="1"/>
    <col min="3" max="3" width="21.42578125" style="1" customWidth="1"/>
    <col min="4" max="4" width="11.42578125" style="1" customWidth="1"/>
    <col min="5" max="5" width="10.28515625" style="1" customWidth="1"/>
    <col min="6" max="6" width="11.7109375" style="1" customWidth="1"/>
    <col min="7" max="17" width="9.5703125" style="1" customWidth="1"/>
    <col min="18" max="18" width="13" style="1" customWidth="1"/>
    <col min="19" max="19" width="1.5703125" style="1" customWidth="1"/>
    <col min="20" max="20" width="5.7109375" style="1" customWidth="1"/>
    <col min="21" max="21" width="1.28515625" style="1" customWidth="1"/>
    <col min="22" max="16384" width="8.5703125" style="1"/>
  </cols>
  <sheetData>
    <row r="1" spans="1:21" ht="24.95" customHeight="1" x14ac:dyDescent="0.35">
      <c r="A1" s="375"/>
      <c r="B1" s="375"/>
      <c r="C1" s="375"/>
      <c r="D1" s="375"/>
      <c r="E1" s="376" t="s">
        <v>248</v>
      </c>
      <c r="F1" s="375"/>
      <c r="G1" s="377"/>
      <c r="H1" s="377"/>
      <c r="I1" s="377"/>
      <c r="J1" s="375"/>
      <c r="K1" s="375"/>
      <c r="L1" s="375"/>
      <c r="M1" s="375"/>
      <c r="N1" s="375"/>
      <c r="O1" s="375"/>
      <c r="P1" s="375"/>
      <c r="Q1" s="375"/>
      <c r="R1" s="375"/>
      <c r="S1" s="375"/>
      <c r="T1" s="375"/>
      <c r="U1" s="375"/>
    </row>
    <row r="3" spans="1:21" x14ac:dyDescent="0.25">
      <c r="C3" s="63"/>
      <c r="D3" s="64"/>
      <c r="E3" s="64"/>
    </row>
    <row r="4" spans="1:21" x14ac:dyDescent="0.25">
      <c r="C4" s="204"/>
      <c r="D4" s="156"/>
      <c r="E4" s="156"/>
      <c r="F4" s="156"/>
      <c r="G4" s="156"/>
      <c r="H4" s="153"/>
      <c r="I4" s="153"/>
      <c r="J4" s="153"/>
      <c r="K4" s="153"/>
      <c r="L4" s="153"/>
      <c r="M4" s="153"/>
      <c r="N4" s="153"/>
      <c r="O4" s="153"/>
    </row>
    <row r="5" spans="1:21" x14ac:dyDescent="0.25">
      <c r="C5" s="155"/>
      <c r="D5" s="156"/>
      <c r="E5" s="156"/>
      <c r="F5" s="156"/>
      <c r="G5" s="156"/>
      <c r="H5" s="153"/>
      <c r="I5" s="153"/>
      <c r="J5" s="153"/>
      <c r="K5" s="153"/>
      <c r="L5" s="153"/>
      <c r="M5" s="153"/>
      <c r="N5" s="153"/>
      <c r="O5" s="153"/>
    </row>
    <row r="6" spans="1:21" x14ac:dyDescent="0.25">
      <c r="C6" s="63"/>
      <c r="D6" s="64"/>
      <c r="E6" s="64"/>
    </row>
    <row r="7" spans="1:21" x14ac:dyDescent="0.25">
      <c r="C7" s="63"/>
      <c r="D7" s="64"/>
      <c r="E7" s="64"/>
    </row>
    <row r="8" spans="1:21" x14ac:dyDescent="0.25">
      <c r="C8" s="63"/>
      <c r="D8" s="64"/>
      <c r="E8" s="64"/>
    </row>
    <row r="9" spans="1:21" x14ac:dyDescent="0.25">
      <c r="C9" s="63"/>
      <c r="D9" s="64"/>
      <c r="E9" s="64"/>
    </row>
    <row r="10" spans="1:21" x14ac:dyDescent="0.25">
      <c r="C10" s="63"/>
      <c r="D10" s="64"/>
      <c r="E10" s="64"/>
    </row>
    <row r="11" spans="1:21" ht="15" customHeight="1" x14ac:dyDescent="0.25">
      <c r="C11" s="937" t="s">
        <v>153</v>
      </c>
      <c r="D11" s="939" t="s">
        <v>152</v>
      </c>
      <c r="E11" s="939" t="s">
        <v>2357</v>
      </c>
      <c r="F11" s="940" t="s">
        <v>2339</v>
      </c>
      <c r="G11" s="941"/>
      <c r="H11" s="941"/>
      <c r="I11" s="941"/>
      <c r="J11" s="941"/>
      <c r="K11" s="941"/>
      <c r="L11" s="941"/>
      <c r="M11" s="941"/>
      <c r="N11" s="941"/>
      <c r="O11" s="941"/>
      <c r="P11" s="941"/>
      <c r="Q11" s="941"/>
    </row>
    <row r="12" spans="1:21" ht="50.25" customHeight="1" x14ac:dyDescent="0.25">
      <c r="C12" s="938"/>
      <c r="D12" s="939"/>
      <c r="E12" s="939"/>
      <c r="F12" s="810" t="s">
        <v>250</v>
      </c>
      <c r="G12" s="810" t="s">
        <v>251</v>
      </c>
      <c r="H12" s="810" t="s">
        <v>252</v>
      </c>
      <c r="I12" s="810" t="s">
        <v>253</v>
      </c>
      <c r="J12" s="810" t="s">
        <v>139</v>
      </c>
      <c r="K12" s="810" t="s">
        <v>254</v>
      </c>
      <c r="L12" s="810" t="s">
        <v>255</v>
      </c>
      <c r="M12" s="810" t="s">
        <v>256</v>
      </c>
      <c r="N12" s="810" t="s">
        <v>257</v>
      </c>
      <c r="O12" s="810" t="s">
        <v>258</v>
      </c>
      <c r="P12" s="810" t="s">
        <v>259</v>
      </c>
      <c r="Q12" s="810" t="s">
        <v>260</v>
      </c>
      <c r="R12" s="254" t="s">
        <v>134</v>
      </c>
    </row>
    <row r="13" spans="1:21" x14ac:dyDescent="0.25">
      <c r="C13" s="242" t="s">
        <v>433</v>
      </c>
      <c r="D13" s="244">
        <v>10</v>
      </c>
      <c r="E13" s="245">
        <v>100</v>
      </c>
      <c r="F13" s="244">
        <v>25</v>
      </c>
      <c r="G13" s="244"/>
      <c r="H13" s="244">
        <v>20</v>
      </c>
      <c r="I13" s="244"/>
      <c r="J13" s="244"/>
      <c r="K13" s="244"/>
      <c r="L13" s="244"/>
      <c r="M13" s="244"/>
      <c r="N13" s="244"/>
      <c r="O13" s="244"/>
      <c r="P13" s="244"/>
      <c r="Q13" s="244"/>
      <c r="R13" s="243">
        <f>(D13*E13*SUM(F13:Q13)*'GWP &amp; Emission Factors '!E96)</f>
        <v>6.3886500000000011</v>
      </c>
    </row>
    <row r="14" spans="1:21" x14ac:dyDescent="0.25">
      <c r="C14" s="242" t="s">
        <v>434</v>
      </c>
      <c r="D14" s="244">
        <v>10</v>
      </c>
      <c r="E14" s="245">
        <v>100</v>
      </c>
      <c r="F14" s="244"/>
      <c r="G14" s="244"/>
      <c r="H14" s="244"/>
      <c r="I14" s="244"/>
      <c r="J14" s="244">
        <v>28</v>
      </c>
      <c r="K14" s="244"/>
      <c r="L14" s="244"/>
      <c r="M14" s="244"/>
      <c r="N14" s="244"/>
      <c r="O14" s="244"/>
      <c r="P14" s="244"/>
      <c r="Q14" s="244"/>
      <c r="R14" s="243">
        <f>(D14*E14*SUM(F14:Q14)*'GWP &amp; Emission Factors '!E95)</f>
        <v>4.8560400000000001</v>
      </c>
    </row>
    <row r="15" spans="1:21" x14ac:dyDescent="0.25">
      <c r="C15" s="242" t="s">
        <v>154</v>
      </c>
      <c r="D15" s="244">
        <v>10</v>
      </c>
      <c r="E15" s="245">
        <v>100</v>
      </c>
      <c r="F15" s="244"/>
      <c r="G15" s="244"/>
      <c r="H15" s="244"/>
      <c r="I15" s="244"/>
      <c r="J15" s="244"/>
      <c r="K15" s="244">
        <v>27</v>
      </c>
      <c r="L15" s="244"/>
      <c r="M15" s="244"/>
      <c r="N15" s="244"/>
      <c r="O15" s="244"/>
      <c r="P15" s="244"/>
      <c r="Q15" s="244"/>
      <c r="R15" s="243">
        <f>(D15*E15*SUM(F15:Q15)*'GWP &amp; Emission Factors '!E103)</f>
        <v>6.1739422560000001</v>
      </c>
    </row>
    <row r="16" spans="1:21" x14ac:dyDescent="0.25">
      <c r="C16" s="242" t="s">
        <v>155</v>
      </c>
      <c r="D16" s="244">
        <v>10</v>
      </c>
      <c r="E16" s="245">
        <v>100</v>
      </c>
      <c r="F16" s="244"/>
      <c r="G16" s="244"/>
      <c r="H16" s="244"/>
      <c r="I16" s="244"/>
      <c r="J16" s="244"/>
      <c r="K16" s="244"/>
      <c r="L16" s="244"/>
      <c r="M16" s="244"/>
      <c r="N16" s="244"/>
      <c r="O16" s="244"/>
      <c r="P16" s="244"/>
      <c r="Q16" s="244"/>
      <c r="R16" s="243">
        <f>(E16*Q16*SUM(F16:Q16)*'GWP &amp; Emission Factors '!E98)</f>
        <v>0</v>
      </c>
    </row>
    <row r="17" spans="3:18" x14ac:dyDescent="0.25">
      <c r="C17" s="242" t="s">
        <v>156</v>
      </c>
      <c r="D17" s="244">
        <v>10</v>
      </c>
      <c r="E17" s="245">
        <v>100</v>
      </c>
      <c r="F17" s="244"/>
      <c r="G17" s="244">
        <v>27</v>
      </c>
      <c r="H17" s="244"/>
      <c r="I17" s="244">
        <v>30</v>
      </c>
      <c r="J17" s="244"/>
      <c r="K17" s="244"/>
      <c r="L17" s="244"/>
      <c r="M17" s="244"/>
      <c r="N17" s="244"/>
      <c r="O17" s="244"/>
      <c r="P17" s="244"/>
      <c r="Q17" s="244"/>
      <c r="R17" s="243">
        <f>(D17*E17*SUM(F17:Q17)*'GWP &amp; Emission Factors '!E97)</f>
        <v>3.7547024245964176</v>
      </c>
    </row>
    <row r="18" spans="3:18" x14ac:dyDescent="0.25">
      <c r="C18" s="242"/>
      <c r="D18" s="244"/>
      <c r="E18" s="245"/>
      <c r="F18" s="244"/>
      <c r="G18" s="244"/>
      <c r="H18" s="244"/>
      <c r="I18" s="244"/>
      <c r="J18" s="244"/>
      <c r="K18" s="244"/>
      <c r="L18" s="244"/>
      <c r="M18" s="244"/>
      <c r="N18" s="244"/>
      <c r="O18" s="244"/>
      <c r="P18" s="244"/>
      <c r="Q18" s="244"/>
      <c r="R18" s="243"/>
    </row>
    <row r="19" spans="3:18" x14ac:dyDescent="0.25">
      <c r="C19" s="242"/>
      <c r="D19" s="244"/>
      <c r="E19" s="245"/>
      <c r="F19" s="244"/>
      <c r="G19" s="244"/>
      <c r="H19" s="244"/>
      <c r="I19" s="244"/>
      <c r="J19" s="244"/>
      <c r="K19" s="244"/>
      <c r="L19" s="244"/>
      <c r="M19" s="244"/>
      <c r="N19" s="244"/>
      <c r="O19" s="244"/>
      <c r="P19" s="244"/>
      <c r="Q19" s="244"/>
      <c r="R19" s="243"/>
    </row>
    <row r="20" spans="3:18" x14ac:dyDescent="0.25">
      <c r="C20" s="242"/>
      <c r="D20" s="244"/>
      <c r="E20" s="245"/>
      <c r="F20" s="244"/>
      <c r="G20" s="244"/>
      <c r="H20" s="244"/>
      <c r="I20" s="244"/>
      <c r="J20" s="244"/>
      <c r="K20" s="244"/>
      <c r="L20" s="244"/>
      <c r="M20" s="244"/>
      <c r="N20" s="244"/>
      <c r="O20" s="244"/>
      <c r="P20" s="244"/>
      <c r="Q20" s="244"/>
      <c r="R20" s="243"/>
    </row>
    <row r="21" spans="3:18" x14ac:dyDescent="0.25">
      <c r="C21" s="242"/>
      <c r="D21" s="244"/>
      <c r="E21" s="245"/>
      <c r="F21" s="244"/>
      <c r="G21" s="244"/>
      <c r="H21" s="244"/>
      <c r="I21" s="244"/>
      <c r="J21" s="244"/>
      <c r="K21" s="244"/>
      <c r="L21" s="244"/>
      <c r="M21" s="244"/>
      <c r="N21" s="244"/>
      <c r="O21" s="244"/>
      <c r="P21" s="244"/>
      <c r="Q21" s="244"/>
      <c r="R21" s="243"/>
    </row>
    <row r="22" spans="3:18" x14ac:dyDescent="0.25">
      <c r="C22" s="242"/>
      <c r="D22" s="244"/>
      <c r="E22" s="245"/>
      <c r="F22" s="244"/>
      <c r="G22" s="244"/>
      <c r="H22" s="244"/>
      <c r="I22" s="244"/>
      <c r="J22" s="244"/>
      <c r="K22" s="244"/>
      <c r="L22" s="244"/>
      <c r="M22" s="244"/>
      <c r="N22" s="244"/>
      <c r="O22" s="244"/>
      <c r="P22" s="244"/>
      <c r="Q22" s="244"/>
      <c r="R22" s="243"/>
    </row>
    <row r="23" spans="3:18" ht="20.25" customHeight="1" x14ac:dyDescent="0.25">
      <c r="C23" s="232"/>
      <c r="D23" s="232"/>
      <c r="E23" s="232"/>
      <c r="F23" s="232"/>
      <c r="G23" s="232"/>
      <c r="H23" s="232"/>
      <c r="I23" s="232"/>
      <c r="J23" s="232"/>
      <c r="K23" s="232"/>
      <c r="L23" s="232"/>
      <c r="M23" s="232"/>
      <c r="N23" s="232"/>
      <c r="O23" s="232"/>
      <c r="P23" s="232"/>
      <c r="Q23" s="232"/>
      <c r="R23" s="819">
        <f>SUM(R13:R22)</f>
        <v>21.173334680596419</v>
      </c>
    </row>
    <row r="24" spans="3:18" x14ac:dyDescent="0.25">
      <c r="C24" s="131"/>
      <c r="D24" s="65"/>
      <c r="E24" s="65"/>
      <c r="F24" s="25"/>
      <c r="G24" s="25"/>
    </row>
    <row r="25" spans="3:18" x14ac:dyDescent="0.25">
      <c r="C25" s="131"/>
      <c r="D25" s="65"/>
      <c r="E25" s="65"/>
      <c r="F25" s="25"/>
      <c r="G25" s="25"/>
    </row>
    <row r="26" spans="3:18" x14ac:dyDescent="0.25">
      <c r="C26" s="131"/>
      <c r="D26" s="65"/>
      <c r="E26" s="65"/>
      <c r="F26" s="25"/>
      <c r="G26" s="25"/>
    </row>
    <row r="27" spans="3:18" s="26" customFormat="1" ht="25.5" x14ac:dyDescent="0.25">
      <c r="C27" s="943" t="s">
        <v>269</v>
      </c>
      <c r="D27" s="944"/>
      <c r="E27" s="945"/>
      <c r="F27" s="810" t="s">
        <v>250</v>
      </c>
      <c r="G27" s="810" t="s">
        <v>251</v>
      </c>
      <c r="H27" s="810" t="s">
        <v>252</v>
      </c>
      <c r="I27" s="810" t="s">
        <v>253</v>
      </c>
      <c r="J27" s="810" t="s">
        <v>139</v>
      </c>
      <c r="K27" s="810" t="s">
        <v>254</v>
      </c>
      <c r="L27" s="810" t="s">
        <v>255</v>
      </c>
      <c r="M27" s="810" t="s">
        <v>256</v>
      </c>
      <c r="N27" s="810" t="s">
        <v>257</v>
      </c>
      <c r="O27" s="810" t="s">
        <v>258</v>
      </c>
      <c r="P27" s="810" t="s">
        <v>259</v>
      </c>
      <c r="Q27" s="810" t="s">
        <v>260</v>
      </c>
      <c r="R27" s="810" t="s">
        <v>270</v>
      </c>
    </row>
    <row r="28" spans="3:18" x14ac:dyDescent="0.25">
      <c r="C28" s="946" t="s">
        <v>147</v>
      </c>
      <c r="D28" s="947"/>
      <c r="E28" s="948"/>
      <c r="F28" s="161">
        <f>(($D$13*$E$13*F13*'GWP &amp; Emission Factors '!$E$96)+ ($D$14*$E$14*F14*'GWP &amp; Emission Factors '!$E$95)+ ($D$15*$E$15*F15*'GWP &amp; Emission Factors '!$E$103) + ($D$16*$E$16*F16*'GWP &amp; Emission Factors '!$E$98 )+ ($D$17*$E$17*F17*'GWP &amp; Emission Factors '!$E$97))</f>
        <v>3.5492500000000007</v>
      </c>
      <c r="G28" s="161">
        <f>(($D$13*$E$13*G13*'GWP &amp; Emission Factors '!$E$96)+($D$14*$E$14*G14*'GWP &amp; Emission Factors '!$E$95)+($D$15*$E$15*G15*'GWP &amp; Emission Factors '!$E$103)+($D$16*$E$16*G16*'GWP &amp; Emission Factors '!$E$98)+($D$17*$E$17*G17*'GWP &amp; Emission Factors '!$E$97))</f>
        <v>1.7785432537561978</v>
      </c>
      <c r="H28" s="161">
        <f>(($D$13*$E$13*H13*'GWP &amp; Emission Factors '!$E$96)+ ($D$14*$E$14*H14*'GWP &amp; Emission Factors '!$E$95)+ ($D$15*$E$15*H15*'GWP &amp; Emission Factors '!$E$103) + ($D$16*$E$16*H16*'GWP &amp; Emission Factors '!$E$98 )+ ($D$17*$E$17*H17*'GWP &amp; Emission Factors '!$E$97))</f>
        <v>2.8394000000000004</v>
      </c>
      <c r="I28" s="161">
        <f>(($D$13*$E$13*I13*'GWP &amp; Emission Factors '!$E$96)+ ($D$14*$E$14*I14*'GWP &amp; Emission Factors '!$E$95)+ ($D$15*$E$15*I15*'GWP &amp; Emission Factors '!$E$103) + ($D$16*$E$16*I16*'GWP &amp; Emission Factors '!$E$98 )+ ($D$17*$E$17*I17*'GWP &amp; Emission Factors '!$E$97))</f>
        <v>1.97615917084022</v>
      </c>
      <c r="J28" s="161">
        <f>(($D$13*$E$13*J13*'GWP &amp; Emission Factors '!$E$96)+ ($D$14*$E$14*J14*'GWP &amp; Emission Factors '!$E$95)+ ($D$15*$E$15*J15*'GWP &amp; Emission Factors '!$E103) + ($D$16*$E$16*J16*'GWP &amp; Emission Factors '!$E$98 )+ ($D$17*$E$17*J17*'GWP &amp; Emission Factors '!$E$97))</f>
        <v>4.8560400000000001</v>
      </c>
      <c r="K28" s="161">
        <f>(($D$13*$E$13*K13*'GWP &amp; Emission Factors '!$E$96)+ ($D$14*$E$14*K14*'GWP &amp; Emission Factors '!$E$95)+ ($D$15*$E$15*K15*'GWP &amp; Emission Factors '!$E$103) + ($D$16*$E$16*K16*'GWP &amp; Emission Factors '!$E$98 )+ ($D$17*$E$17*K17*'GWP &amp; Emission Factors '!$E$97))</f>
        <v>6.1739422560000001</v>
      </c>
      <c r="L28" s="161">
        <f>(($D$13*$E$13*L13*'GWP &amp; Emission Factors '!$E$96)+ ($D$14*$E$14*L14*'GWP &amp; Emission Factors '!$E$95)+ ($D$15*$E$15*L15*'GWP &amp; Emission Factors '!$E$103) + ($D$16*$E$16*L16*'GWP &amp; Emission Factors '!$E$98 )+ ($D$17*$E$17*L17*'GWP &amp; Emission Factors '!$E$97))</f>
        <v>0</v>
      </c>
      <c r="M28" s="161">
        <f>(($D$13*$E$13*M13*'GWP &amp; Emission Factors '!$E$96)+ ($D$14*$E$14*M14*'GWP &amp; Emission Factors '!$E$95)+ ($D$15*$E$15*M15*'GWP &amp; Emission Factors '!$E$103) + ($D$16*$E$16*M16*'GWP &amp; Emission Factors '!$E$98 )+ ($D$17*$E$17*M17*'GWP &amp; Emission Factors '!$E$97))</f>
        <v>0</v>
      </c>
      <c r="N28" s="161">
        <f>(($D$13*$E$13*N13*'GWP &amp; Emission Factors '!$E$96)+ ($D$14*$E$14*N14*'GWP &amp; Emission Factors '!$E$95)+ ($D$15*$E$15*N15*'GWP &amp; Emission Factors '!$E$103) + ($D$16*$E$16*N16*'GWP &amp; Emission Factors '!$E$98 )+ ($D$17*$E$17*N17*'GWP &amp; Emission Factors '!$E$97))</f>
        <v>0</v>
      </c>
      <c r="O28" s="161">
        <f>(($D$13*$E$13*O13*'GWP &amp; Emission Factors '!$E$96)+ ($D$14*$E$14*O14*'GWP &amp; Emission Factors '!$E$95)+ ($D$15*$E$15*O15*'GWP &amp; Emission Factors '!$E$103) + ($D$16*$E$16*O16*'GWP &amp; Emission Factors '!$E$98 )+ ($D$17*$E$17*O17*'GWP &amp; Emission Factors '!$E$97))</f>
        <v>0</v>
      </c>
      <c r="P28" s="161">
        <f>(($D$13*$E$13*P13*'GWP &amp; Emission Factors '!$E$96)+ ($D$14*$E$14*P14*'GWP &amp; Emission Factors '!$E$95)+ ($D$15*$E$15*P15*'GWP &amp; Emission Factors '!$E$103) + ($D$16*$E$16*P16*'GWP &amp; Emission Factors '!$E$98 )+ ($D$17*$E$17*P17*'GWP &amp; Emission Factors '!$E$97))</f>
        <v>0</v>
      </c>
      <c r="Q28" s="161">
        <f>(($D$13*$E$13*Q13*'GWP &amp; Emission Factors '!$E$96)+ ($D$14*$E$14*Q14*'GWP &amp; Emission Factors '!$E$95)+ ($D$15*$E$15*Q15*'GWP &amp; Emission Factors '!$E$103) + ($D$16*$E$16*Q16*'GWP &amp; Emission Factors '!$E$98 )+ ($D$17*$E$17*Q17*'GWP &amp; Emission Factors '!$E$97))</f>
        <v>0</v>
      </c>
      <c r="R28" s="161">
        <f>SUM(F28:Q28)</f>
        <v>21.173334680596419</v>
      </c>
    </row>
    <row r="29" spans="3:18" ht="15" customHeight="1" x14ac:dyDescent="0.25">
      <c r="C29" s="946" t="s">
        <v>160</v>
      </c>
      <c r="D29" s="947"/>
      <c r="E29" s="948"/>
      <c r="F29" s="161">
        <f>$F$28/'Electrical Energy Consumption'!$I$104</f>
        <v>0.11449193548387099</v>
      </c>
      <c r="G29" s="161">
        <f>$G$28/'Electrical Energy Consumption'!$I$105</f>
        <v>6.3519401919864202E-2</v>
      </c>
      <c r="H29" s="161">
        <f>$H$28/'Electrical Energy Consumption'!$I$106</f>
        <v>9.1593548387096782E-2</v>
      </c>
      <c r="I29" s="161">
        <f>$I$28/'Electrical Energy Consumption'!$I$107</f>
        <v>6.5871972361340667E-2</v>
      </c>
      <c r="J29" s="161">
        <f>$J$28/'Electrical Energy Consumption'!$I$108</f>
        <v>0.15664645161290322</v>
      </c>
      <c r="K29" s="161">
        <f>$K$28/'Electrical Energy Consumption'!$I$109</f>
        <v>0.20579807520000001</v>
      </c>
      <c r="L29" s="161">
        <f>$L$28/'Electrical Energy Consumption'!$I$110</f>
        <v>0</v>
      </c>
      <c r="M29" s="161">
        <f>$M$28/'Electrical Energy Consumption'!$I$111</f>
        <v>0</v>
      </c>
      <c r="N29" s="161">
        <f>$N$28/'Electrical Energy Consumption'!$I$112</f>
        <v>0</v>
      </c>
      <c r="O29" s="161">
        <f>$O$28/'Electrical Energy Consumption'!$I$113</f>
        <v>0</v>
      </c>
      <c r="P29" s="161">
        <f>$P$28/'Electrical Energy Consumption'!$I$114</f>
        <v>0</v>
      </c>
      <c r="Q29" s="161">
        <f>$Q$28/'Electrical Energy Consumption'!$I$115</f>
        <v>0</v>
      </c>
      <c r="R29" s="161">
        <f>AVERAGE(F29:Q29)</f>
        <v>5.8160115413756326E-2</v>
      </c>
    </row>
    <row r="30" spans="3:18" ht="18.75" customHeight="1" x14ac:dyDescent="0.25">
      <c r="C30" s="946" t="s">
        <v>159</v>
      </c>
      <c r="D30" s="947"/>
      <c r="E30" s="948"/>
      <c r="F30" s="161">
        <f>IF(($F$31=0),0,($F$29/$F$31))</f>
        <v>1.0408357771261E-2</v>
      </c>
      <c r="G30" s="161">
        <f>IF(($G$31=0),0,($G$29/$G$31))</f>
        <v>2.6466417466610086E-3</v>
      </c>
      <c r="H30" s="161">
        <f>IF(($H$31=0),0,($H$29/$H$31))</f>
        <v>5.7245967741935489E-3</v>
      </c>
      <c r="I30" s="161">
        <f>IF(($I$31=0),0,($I$29/$I$31))</f>
        <v>4.1169982725837917E-3</v>
      </c>
      <c r="J30" s="161">
        <f>IF(($J$31=0),0,($J$29/$J$31))</f>
        <v>1.0443096774193548E-2</v>
      </c>
      <c r="K30" s="161">
        <f>IF(($K$31=0),0,($K$29/$K$31))</f>
        <v>1.3719871680000001E-2</v>
      </c>
      <c r="L30" s="161">
        <f>IF(($L$31=0),0,($L$29/$L$31))</f>
        <v>0</v>
      </c>
      <c r="M30" s="161">
        <f>IF(($M$31=0),0,($M$29/$M$31))</f>
        <v>0</v>
      </c>
      <c r="N30" s="161">
        <f>IF(($N$31=0),0,($N$29/$N$31))</f>
        <v>0</v>
      </c>
      <c r="O30" s="161">
        <f>IF(($O$31=0),0,($O$29/$O$31))</f>
        <v>0</v>
      </c>
      <c r="P30" s="161">
        <f>IF(($P$31=0),0,($P$29/$P$31))</f>
        <v>0</v>
      </c>
      <c r="Q30" s="161">
        <f>IF(($Q$31=0),0,($Q$29/$Q$31))</f>
        <v>0</v>
      </c>
      <c r="R30" s="161">
        <f>AVERAGE(F30:Q30)</f>
        <v>3.9216302515744086E-3</v>
      </c>
    </row>
    <row r="31" spans="3:18" ht="15" customHeight="1" x14ac:dyDescent="0.25">
      <c r="C31" s="946" t="s">
        <v>281</v>
      </c>
      <c r="D31" s="947"/>
      <c r="E31" s="948"/>
      <c r="F31" s="162">
        <f>'Project Emission Distribution'!$F$8</f>
        <v>11</v>
      </c>
      <c r="G31" s="162">
        <f>'Project Emission Distribution'!$F$9</f>
        <v>24</v>
      </c>
      <c r="H31" s="162">
        <f>'Project Emission Distribution'!$F$10</f>
        <v>16</v>
      </c>
      <c r="I31" s="162">
        <f>'Project Emission Distribution'!$F$11</f>
        <v>16</v>
      </c>
      <c r="J31" s="162">
        <f>'Project Emission Distribution'!$F$12</f>
        <v>15</v>
      </c>
      <c r="K31" s="162">
        <f>'Project Emission Distribution'!$F$13</f>
        <v>15</v>
      </c>
      <c r="L31" s="162">
        <f>'Project Emission Distribution'!$F$14</f>
        <v>8</v>
      </c>
      <c r="M31" s="162">
        <f>'Project Emission Distribution'!$F$15</f>
        <v>1</v>
      </c>
      <c r="N31" s="162">
        <f>'Project Emission Distribution'!$F$16</f>
        <v>1</v>
      </c>
      <c r="O31" s="162">
        <f>'Project Emission Distribution'!$F$17</f>
        <v>1</v>
      </c>
      <c r="P31" s="162">
        <f>'Project Emission Distribution'!$F$18</f>
        <v>1</v>
      </c>
      <c r="Q31" s="162">
        <f>'Project Emission Distribution'!$F$19</f>
        <v>1</v>
      </c>
      <c r="R31" s="162">
        <f>SUM(F31:Q31)</f>
        <v>110</v>
      </c>
    </row>
    <row r="32" spans="3:18" x14ac:dyDescent="0.25">
      <c r="C32" s="131"/>
      <c r="D32" s="65"/>
      <c r="E32" s="65"/>
      <c r="F32" s="25"/>
      <c r="G32" s="25"/>
    </row>
    <row r="33" spans="3:7" x14ac:dyDescent="0.25">
      <c r="C33" s="942"/>
      <c r="D33" s="942"/>
      <c r="E33" s="942"/>
      <c r="F33" s="942"/>
      <c r="G33" s="25"/>
    </row>
    <row r="34" spans="3:7" x14ac:dyDescent="0.25">
      <c r="C34" s="63"/>
      <c r="D34" s="64"/>
      <c r="E34" s="64"/>
    </row>
    <row r="35" spans="3:7" ht="29.25" customHeight="1" x14ac:dyDescent="0.25">
      <c r="C35" s="232" t="s">
        <v>158</v>
      </c>
      <c r="D35" s="232" t="s">
        <v>149</v>
      </c>
      <c r="E35" s="232" t="s">
        <v>150</v>
      </c>
      <c r="F35" s="232" t="s">
        <v>168</v>
      </c>
    </row>
    <row r="36" spans="3:7" x14ac:dyDescent="0.25">
      <c r="C36" s="168" t="str">
        <f>'Project Emission Distribution'!D25</f>
        <v>A201</v>
      </c>
      <c r="D36" s="191">
        <f>'Project Emission Distribution'!E25</f>
        <v>44562</v>
      </c>
      <c r="E36" s="191">
        <f>'Project Emission Distribution'!F25</f>
        <v>44681</v>
      </c>
      <c r="F36" s="170">
        <f>SUMIFS($D$112:$D$476,$C$112:$C$476,"&gt;="&amp;D36,$C$112:$C$476,"&lt;="&amp;E36)</f>
        <v>0.69773750799311485</v>
      </c>
    </row>
    <row r="37" spans="3:7" x14ac:dyDescent="0.25">
      <c r="C37" s="168" t="str">
        <f>'Project Emission Distribution'!D26</f>
        <v>AN02</v>
      </c>
      <c r="D37" s="191">
        <f>'Project Emission Distribution'!E26</f>
        <v>44593</v>
      </c>
      <c r="E37" s="191">
        <f>'Project Emission Distribution'!F26</f>
        <v>44620</v>
      </c>
      <c r="F37" s="170">
        <f t="shared" ref="F37:F71" si="0">SUMIFS($D$112:$D$476,$C$112:$C$476,"&gt;="&amp;D37,$C$112:$C$476,"&lt;="&amp;E37)</f>
        <v>7.410596890650821E-2</v>
      </c>
    </row>
    <row r="38" spans="3:7" x14ac:dyDescent="0.25">
      <c r="C38" s="168" t="str">
        <f>'Project Emission Distribution'!D27</f>
        <v>AN03</v>
      </c>
      <c r="D38" s="191">
        <f>'Project Emission Distribution'!E27</f>
        <v>44593</v>
      </c>
      <c r="E38" s="191">
        <f>'Project Emission Distribution'!F27</f>
        <v>44781</v>
      </c>
      <c r="F38" s="170">
        <f t="shared" si="0"/>
        <v>1.1104105674840206</v>
      </c>
    </row>
    <row r="39" spans="3:7" x14ac:dyDescent="0.25">
      <c r="C39" s="168" t="str">
        <f>'Project Emission Distribution'!D28</f>
        <v>AN04</v>
      </c>
      <c r="D39" s="191">
        <f>'Project Emission Distribution'!E28</f>
        <v>44583</v>
      </c>
      <c r="E39" s="191">
        <f>'Project Emission Distribution'!F28</f>
        <v>44635</v>
      </c>
      <c r="F39" s="170">
        <f t="shared" si="0"/>
        <v>0.26405849823202154</v>
      </c>
    </row>
    <row r="40" spans="3:7" x14ac:dyDescent="0.25">
      <c r="C40" s="168" t="str">
        <f>'Project Emission Distribution'!D29</f>
        <v>AN05</v>
      </c>
      <c r="D40" s="191">
        <f>'Project Emission Distribution'!E29</f>
        <v>44614</v>
      </c>
      <c r="E40" s="191">
        <f>'Project Emission Distribution'!F29</f>
        <v>44770</v>
      </c>
      <c r="F40" s="170">
        <f t="shared" si="0"/>
        <v>1.0548310908041398</v>
      </c>
    </row>
    <row r="41" spans="3:7" x14ac:dyDescent="0.25">
      <c r="C41" s="168" t="str">
        <f>'Project Emission Distribution'!D30</f>
        <v>AN06</v>
      </c>
      <c r="D41" s="191">
        <f>'Project Emission Distribution'!E30</f>
        <v>44593</v>
      </c>
      <c r="E41" s="191">
        <f>'Project Emission Distribution'!F30</f>
        <v>44781</v>
      </c>
      <c r="F41" s="170">
        <f t="shared" si="0"/>
        <v>1.1104105674840206</v>
      </c>
    </row>
    <row r="42" spans="3:7" x14ac:dyDescent="0.25">
      <c r="C42" s="168" t="str">
        <f>'Project Emission Distribution'!D31</f>
        <v>AN07</v>
      </c>
      <c r="D42" s="191">
        <f>'Project Emission Distribution'!E31</f>
        <v>44583</v>
      </c>
      <c r="E42" s="191">
        <f>'Project Emission Distribution'!F31</f>
        <v>44635</v>
      </c>
      <c r="F42" s="170">
        <f t="shared" si="0"/>
        <v>0.26405849823202154</v>
      </c>
    </row>
    <row r="43" spans="3:7" x14ac:dyDescent="0.25">
      <c r="C43" s="168" t="str">
        <f>'Project Emission Distribution'!D32</f>
        <v>AN08</v>
      </c>
      <c r="D43" s="191">
        <f>'Project Emission Distribution'!E32</f>
        <v>44614</v>
      </c>
      <c r="E43" s="191">
        <f>'Project Emission Distribution'!F32</f>
        <v>44770</v>
      </c>
      <c r="F43" s="170">
        <f t="shared" si="0"/>
        <v>1.0548310908041398</v>
      </c>
    </row>
    <row r="44" spans="3:7" x14ac:dyDescent="0.25">
      <c r="C44" s="168" t="str">
        <f>'Project Emission Distribution'!D33</f>
        <v>AN09</v>
      </c>
      <c r="D44" s="191">
        <f>'Project Emission Distribution'!E33</f>
        <v>44593</v>
      </c>
      <c r="E44" s="191">
        <f>'Project Emission Distribution'!F33</f>
        <v>44781</v>
      </c>
      <c r="F44" s="170">
        <f t="shared" si="0"/>
        <v>1.1104105674840206</v>
      </c>
    </row>
    <row r="45" spans="3:7" x14ac:dyDescent="0.25">
      <c r="C45" s="168" t="str">
        <f>'Project Emission Distribution'!D34</f>
        <v>AN10</v>
      </c>
      <c r="D45" s="191">
        <f>'Project Emission Distribution'!E34</f>
        <v>44583</v>
      </c>
      <c r="E45" s="191">
        <f>'Project Emission Distribution'!F34</f>
        <v>44635</v>
      </c>
      <c r="F45" s="170">
        <f t="shared" si="0"/>
        <v>0.26405849823202154</v>
      </c>
    </row>
    <row r="46" spans="3:7" x14ac:dyDescent="0.25">
      <c r="C46" s="168" t="str">
        <f>'Project Emission Distribution'!D35</f>
        <v>AN11</v>
      </c>
      <c r="D46" s="191">
        <f>'Project Emission Distribution'!E35</f>
        <v>44614</v>
      </c>
      <c r="E46" s="191">
        <f>'Project Emission Distribution'!F35</f>
        <v>44770</v>
      </c>
      <c r="F46" s="170">
        <f t="shared" si="0"/>
        <v>1.0548310908041398</v>
      </c>
    </row>
    <row r="47" spans="3:7" x14ac:dyDescent="0.25">
      <c r="C47" s="168" t="str">
        <f>'Project Emission Distribution'!D36</f>
        <v>AN12</v>
      </c>
      <c r="D47" s="191">
        <f>'Project Emission Distribution'!E36</f>
        <v>44593</v>
      </c>
      <c r="E47" s="191">
        <f>'Project Emission Distribution'!F36</f>
        <v>44781</v>
      </c>
      <c r="F47" s="170">
        <f t="shared" si="0"/>
        <v>1.1104105674840206</v>
      </c>
    </row>
    <row r="48" spans="3:7" x14ac:dyDescent="0.25">
      <c r="C48" s="168" t="str">
        <f>'Project Emission Distribution'!D37</f>
        <v>AN13</v>
      </c>
      <c r="D48" s="191">
        <f>'Project Emission Distribution'!E37</f>
        <v>44593</v>
      </c>
      <c r="E48" s="191">
        <f>'Project Emission Distribution'!F37</f>
        <v>44781</v>
      </c>
      <c r="F48" s="170">
        <f t="shared" si="0"/>
        <v>1.1104105674840206</v>
      </c>
    </row>
    <row r="49" spans="3:6" x14ac:dyDescent="0.25">
      <c r="C49" s="168" t="str">
        <f>'Project Emission Distribution'!D38</f>
        <v>AN14</v>
      </c>
      <c r="D49" s="191">
        <f>'Project Emission Distribution'!E38</f>
        <v>44583</v>
      </c>
      <c r="E49" s="191">
        <f>'Project Emission Distribution'!F38</f>
        <v>44635</v>
      </c>
      <c r="F49" s="170">
        <f t="shared" si="0"/>
        <v>0.26405849823202154</v>
      </c>
    </row>
    <row r="50" spans="3:6" x14ac:dyDescent="0.25">
      <c r="C50" s="168" t="str">
        <f>'Project Emission Distribution'!D39</f>
        <v>AN15</v>
      </c>
      <c r="D50" s="191">
        <f>'Project Emission Distribution'!E39</f>
        <v>44614</v>
      </c>
      <c r="E50" s="191">
        <f>'Project Emission Distribution'!F39</f>
        <v>44770</v>
      </c>
      <c r="F50" s="170">
        <f t="shared" si="0"/>
        <v>1.0548310908041398</v>
      </c>
    </row>
    <row r="51" spans="3:6" x14ac:dyDescent="0.25">
      <c r="C51" s="168" t="str">
        <f>'Project Emission Distribution'!D40</f>
        <v>AN16</v>
      </c>
      <c r="D51" s="191">
        <f>'Project Emission Distribution'!E40</f>
        <v>44593</v>
      </c>
      <c r="E51" s="191">
        <f>'Project Emission Distribution'!F40</f>
        <v>44781</v>
      </c>
      <c r="F51" s="170">
        <f t="shared" si="0"/>
        <v>1.1104105674840206</v>
      </c>
    </row>
    <row r="52" spans="3:6" x14ac:dyDescent="0.25">
      <c r="C52" s="168" t="str">
        <f>'Project Emission Distribution'!D41</f>
        <v>AN17</v>
      </c>
      <c r="D52" s="191">
        <f>'Project Emission Distribution'!E41</f>
        <v>44583</v>
      </c>
      <c r="E52" s="191">
        <f>'Project Emission Distribution'!F41</f>
        <v>44635</v>
      </c>
      <c r="F52" s="170">
        <f t="shared" si="0"/>
        <v>0.26405849823202154</v>
      </c>
    </row>
    <row r="53" spans="3:6" x14ac:dyDescent="0.25">
      <c r="C53" s="168" t="str">
        <f>'Project Emission Distribution'!D42</f>
        <v>AN18</v>
      </c>
      <c r="D53" s="191">
        <f>'Project Emission Distribution'!E42</f>
        <v>44614</v>
      </c>
      <c r="E53" s="191">
        <f>'Project Emission Distribution'!F42</f>
        <v>44770</v>
      </c>
      <c r="F53" s="170">
        <f t="shared" si="0"/>
        <v>1.0548310908041398</v>
      </c>
    </row>
    <row r="54" spans="3:6" x14ac:dyDescent="0.25">
      <c r="C54" s="168" t="str">
        <f>'Project Emission Distribution'!D43</f>
        <v>AN19</v>
      </c>
      <c r="D54" s="191">
        <f>'Project Emission Distribution'!E43</f>
        <v>44593</v>
      </c>
      <c r="E54" s="191">
        <f>'Project Emission Distribution'!F43</f>
        <v>44781</v>
      </c>
      <c r="F54" s="170">
        <f t="shared" si="0"/>
        <v>1.1104105674840206</v>
      </c>
    </row>
    <row r="55" spans="3:6" x14ac:dyDescent="0.25">
      <c r="C55" s="168" t="str">
        <f>'Project Emission Distribution'!D44</f>
        <v>AN20</v>
      </c>
      <c r="D55" s="191">
        <f>'Project Emission Distribution'!E44</f>
        <v>44583</v>
      </c>
      <c r="E55" s="191">
        <f>'Project Emission Distribution'!F44</f>
        <v>44635</v>
      </c>
      <c r="F55" s="170">
        <f t="shared" si="0"/>
        <v>0.26405849823202154</v>
      </c>
    </row>
    <row r="56" spans="3:6" x14ac:dyDescent="0.25">
      <c r="C56" s="168" t="str">
        <f>'Project Emission Distribution'!D45</f>
        <v>AN21</v>
      </c>
      <c r="D56" s="191">
        <f>'Project Emission Distribution'!E45</f>
        <v>44614</v>
      </c>
      <c r="E56" s="191">
        <f>'Project Emission Distribution'!F45</f>
        <v>44770</v>
      </c>
      <c r="F56" s="170">
        <f t="shared" si="0"/>
        <v>1.0548310908041398</v>
      </c>
    </row>
    <row r="57" spans="3:6" x14ac:dyDescent="0.25">
      <c r="C57" s="168" t="str">
        <f>'Project Emission Distribution'!D46</f>
        <v>AN22</v>
      </c>
      <c r="D57" s="191">
        <f>'Project Emission Distribution'!E46</f>
        <v>44562</v>
      </c>
      <c r="E57" s="191">
        <f>'Project Emission Distribution'!F46</f>
        <v>44781</v>
      </c>
      <c r="F57" s="170">
        <f t="shared" si="0"/>
        <v>1.4330696583931142</v>
      </c>
    </row>
    <row r="58" spans="3:6" x14ac:dyDescent="0.25">
      <c r="C58" s="168" t="str">
        <f>'Project Emission Distribution'!D47</f>
        <v>AN23</v>
      </c>
      <c r="D58" s="191">
        <f>'Project Emission Distribution'!E47</f>
        <v>44583</v>
      </c>
      <c r="E58" s="191">
        <f>'Project Emission Distribution'!F47</f>
        <v>44635</v>
      </c>
      <c r="F58" s="170">
        <f t="shared" si="0"/>
        <v>0.26405849823202154</v>
      </c>
    </row>
    <row r="59" spans="3:6" x14ac:dyDescent="0.25">
      <c r="C59" s="168" t="str">
        <f>'Project Emission Distribution'!D48</f>
        <v>AN24</v>
      </c>
      <c r="D59" s="191">
        <f>'Project Emission Distribution'!E48</f>
        <v>44583</v>
      </c>
      <c r="E59" s="191">
        <f>'Project Emission Distribution'!F48</f>
        <v>44770</v>
      </c>
      <c r="F59" s="170">
        <f t="shared" si="0"/>
        <v>1.2144941451966311</v>
      </c>
    </row>
    <row r="60" spans="3:6" x14ac:dyDescent="0.25">
      <c r="C60" s="168" t="str">
        <f>'Project Emission Distribution'!D49</f>
        <v>AN25</v>
      </c>
      <c r="D60" s="191">
        <f>'Project Emission Distribution'!E49</f>
        <v>44562</v>
      </c>
      <c r="E60" s="191">
        <f>'Project Emission Distribution'!F49</f>
        <v>44614</v>
      </c>
      <c r="F60" s="170">
        <f t="shared" si="0"/>
        <v>0.3808852093356333</v>
      </c>
    </row>
    <row r="61" spans="3:6" x14ac:dyDescent="0.25">
      <c r="C61" s="168" t="str">
        <f>'Project Emission Distribution'!D50</f>
        <v>AN26</v>
      </c>
      <c r="D61" s="191">
        <f>'Project Emission Distribution'!E50</f>
        <v>44774</v>
      </c>
      <c r="E61" s="191">
        <f>'Project Emission Distribution'!F50</f>
        <v>44926</v>
      </c>
      <c r="F61" s="170">
        <f t="shared" si="0"/>
        <v>0</v>
      </c>
    </row>
    <row r="62" spans="3:6" x14ac:dyDescent="0.25">
      <c r="C62" s="168" t="str">
        <f>'Project Emission Distribution'!D51</f>
        <v>AN27</v>
      </c>
      <c r="D62" s="191" t="str">
        <f>'Project Emission Distribution'!E51</f>
        <v/>
      </c>
      <c r="E62" s="191" t="str">
        <f>'Project Emission Distribution'!F51</f>
        <v/>
      </c>
      <c r="F62" s="170">
        <f t="shared" si="0"/>
        <v>0</v>
      </c>
    </row>
    <row r="63" spans="3:6" x14ac:dyDescent="0.25">
      <c r="C63" s="168" t="str">
        <f>'Project Emission Distribution'!D52</f>
        <v>AN28</v>
      </c>
      <c r="D63" s="191" t="str">
        <f>'Project Emission Distribution'!E52</f>
        <v/>
      </c>
      <c r="E63" s="191" t="str">
        <f>'Project Emission Distribution'!F52</f>
        <v/>
      </c>
      <c r="F63" s="170">
        <f t="shared" si="0"/>
        <v>0</v>
      </c>
    </row>
    <row r="64" spans="3:6" x14ac:dyDescent="0.25">
      <c r="C64" s="168" t="str">
        <f>'Project Emission Distribution'!D53</f>
        <v>AN29</v>
      </c>
      <c r="D64" s="191" t="str">
        <f>'Project Emission Distribution'!E53</f>
        <v/>
      </c>
      <c r="E64" s="191" t="str">
        <f>'Project Emission Distribution'!F53</f>
        <v/>
      </c>
      <c r="F64" s="170">
        <f t="shared" si="0"/>
        <v>0</v>
      </c>
    </row>
    <row r="65" spans="3:6" x14ac:dyDescent="0.25">
      <c r="C65" s="168" t="str">
        <f>'Project Emission Distribution'!D54</f>
        <v>AN30</v>
      </c>
      <c r="D65" s="191" t="str">
        <f>'Project Emission Distribution'!E54</f>
        <v/>
      </c>
      <c r="E65" s="191" t="str">
        <f>'Project Emission Distribution'!F54</f>
        <v/>
      </c>
      <c r="F65" s="170">
        <f t="shared" si="0"/>
        <v>0</v>
      </c>
    </row>
    <row r="66" spans="3:6" x14ac:dyDescent="0.25">
      <c r="C66" s="168" t="str">
        <f>'Project Emission Distribution'!D55</f>
        <v>AN31</v>
      </c>
      <c r="D66" s="191" t="str">
        <f>'Project Emission Distribution'!E55</f>
        <v/>
      </c>
      <c r="E66" s="191" t="str">
        <f>'Project Emission Distribution'!F55</f>
        <v/>
      </c>
      <c r="F66" s="170">
        <f t="shared" si="0"/>
        <v>0</v>
      </c>
    </row>
    <row r="67" spans="3:6" x14ac:dyDescent="0.25">
      <c r="C67" s="168" t="str">
        <f>'Project Emission Distribution'!D56</f>
        <v>AN32</v>
      </c>
      <c r="D67" s="191" t="str">
        <f>'Project Emission Distribution'!E56</f>
        <v/>
      </c>
      <c r="E67" s="191" t="str">
        <f>'Project Emission Distribution'!F56</f>
        <v/>
      </c>
      <c r="F67" s="170">
        <f t="shared" si="0"/>
        <v>0</v>
      </c>
    </row>
    <row r="68" spans="3:6" x14ac:dyDescent="0.25">
      <c r="C68" s="168" t="str">
        <f>'Project Emission Distribution'!D57</f>
        <v>AN33</v>
      </c>
      <c r="D68" s="191" t="str">
        <f>'Project Emission Distribution'!E57</f>
        <v/>
      </c>
      <c r="E68" s="191" t="str">
        <f>'Project Emission Distribution'!F57</f>
        <v/>
      </c>
      <c r="F68" s="170">
        <f t="shared" si="0"/>
        <v>0</v>
      </c>
    </row>
    <row r="69" spans="3:6" x14ac:dyDescent="0.25">
      <c r="C69" s="168" t="str">
        <f>'Project Emission Distribution'!D58</f>
        <v>AN34</v>
      </c>
      <c r="D69" s="191" t="str">
        <f>'Project Emission Distribution'!E58</f>
        <v/>
      </c>
      <c r="E69" s="191" t="str">
        <f>'Project Emission Distribution'!F58</f>
        <v/>
      </c>
      <c r="F69" s="170">
        <f t="shared" si="0"/>
        <v>0</v>
      </c>
    </row>
    <row r="70" spans="3:6" x14ac:dyDescent="0.25">
      <c r="C70" s="168" t="str">
        <f>'Project Emission Distribution'!D59</f>
        <v>AN35</v>
      </c>
      <c r="D70" s="191" t="str">
        <f>'Project Emission Distribution'!E59</f>
        <v/>
      </c>
      <c r="E70" s="191" t="str">
        <f>'Project Emission Distribution'!F59</f>
        <v/>
      </c>
      <c r="F70" s="170">
        <f t="shared" si="0"/>
        <v>0</v>
      </c>
    </row>
    <row r="71" spans="3:6" x14ac:dyDescent="0.25">
      <c r="C71" s="168" t="str">
        <f>'Project Emission Distribution'!D60</f>
        <v>AN36</v>
      </c>
      <c r="D71" s="191" t="str">
        <f>'Project Emission Distribution'!E60</f>
        <v/>
      </c>
      <c r="E71" s="191" t="str">
        <f>'Project Emission Distribution'!F60</f>
        <v/>
      </c>
      <c r="F71" s="170">
        <f t="shared" si="0"/>
        <v>0</v>
      </c>
    </row>
    <row r="72" spans="3:6" x14ac:dyDescent="0.25">
      <c r="C72" s="168" t="str">
        <f>'Project Emission Distribution'!D61</f>
        <v>AN37</v>
      </c>
      <c r="D72" s="191" t="str">
        <f>'Project Emission Distribution'!E61</f>
        <v/>
      </c>
      <c r="E72" s="191" t="str">
        <f>'Project Emission Distribution'!F61</f>
        <v/>
      </c>
      <c r="F72" s="170">
        <f t="shared" ref="F72:F95" si="1">SUMIFS($D$112:$D$476,$C$112:$C$476,"&gt;="&amp;D72,$C$112:$C$476,"&lt;="&amp;E72)</f>
        <v>0</v>
      </c>
    </row>
    <row r="73" spans="3:6" x14ac:dyDescent="0.25">
      <c r="C73" s="168" t="str">
        <f>'Project Emission Distribution'!D62</f>
        <v>AN38</v>
      </c>
      <c r="D73" s="191" t="str">
        <f>'Project Emission Distribution'!E62</f>
        <v/>
      </c>
      <c r="E73" s="191" t="str">
        <f>'Project Emission Distribution'!F62</f>
        <v/>
      </c>
      <c r="F73" s="170">
        <f t="shared" si="1"/>
        <v>0</v>
      </c>
    </row>
    <row r="74" spans="3:6" x14ac:dyDescent="0.25">
      <c r="C74" s="168" t="str">
        <f>'Project Emission Distribution'!D63</f>
        <v>AN39</v>
      </c>
      <c r="D74" s="191" t="str">
        <f>'Project Emission Distribution'!E63</f>
        <v/>
      </c>
      <c r="E74" s="191" t="str">
        <f>'Project Emission Distribution'!F63</f>
        <v/>
      </c>
      <c r="F74" s="170">
        <f t="shared" si="1"/>
        <v>0</v>
      </c>
    </row>
    <row r="75" spans="3:6" x14ac:dyDescent="0.25">
      <c r="C75" s="168" t="str">
        <f>'Project Emission Distribution'!D64</f>
        <v>AN40</v>
      </c>
      <c r="D75" s="191" t="str">
        <f>'Project Emission Distribution'!E64</f>
        <v/>
      </c>
      <c r="E75" s="191" t="str">
        <f>'Project Emission Distribution'!F64</f>
        <v/>
      </c>
      <c r="F75" s="170">
        <f t="shared" si="1"/>
        <v>0</v>
      </c>
    </row>
    <row r="76" spans="3:6" x14ac:dyDescent="0.25">
      <c r="C76" s="168" t="str">
        <f>'Project Emission Distribution'!D65</f>
        <v>AN41</v>
      </c>
      <c r="D76" s="191" t="str">
        <f>'Project Emission Distribution'!E65</f>
        <v/>
      </c>
      <c r="E76" s="191" t="str">
        <f>'Project Emission Distribution'!F65</f>
        <v/>
      </c>
      <c r="F76" s="170">
        <f t="shared" si="1"/>
        <v>0</v>
      </c>
    </row>
    <row r="77" spans="3:6" x14ac:dyDescent="0.25">
      <c r="C77" s="168" t="str">
        <f>'Project Emission Distribution'!D66</f>
        <v>AN42</v>
      </c>
      <c r="D77" s="191" t="str">
        <f>'Project Emission Distribution'!E66</f>
        <v/>
      </c>
      <c r="E77" s="191" t="str">
        <f>'Project Emission Distribution'!F66</f>
        <v/>
      </c>
      <c r="F77" s="170">
        <f t="shared" si="1"/>
        <v>0</v>
      </c>
    </row>
    <row r="78" spans="3:6" x14ac:dyDescent="0.25">
      <c r="C78" s="168" t="str">
        <f>'Project Emission Distribution'!D67</f>
        <v>AN43</v>
      </c>
      <c r="D78" s="191" t="str">
        <f>'Project Emission Distribution'!E67</f>
        <v/>
      </c>
      <c r="E78" s="191" t="str">
        <f>'Project Emission Distribution'!F67</f>
        <v/>
      </c>
      <c r="F78" s="170">
        <f t="shared" si="1"/>
        <v>0</v>
      </c>
    </row>
    <row r="79" spans="3:6" x14ac:dyDescent="0.25">
      <c r="C79" s="168" t="str">
        <f>'Project Emission Distribution'!D68</f>
        <v>AN44</v>
      </c>
      <c r="D79" s="191" t="str">
        <f>'Project Emission Distribution'!E68</f>
        <v/>
      </c>
      <c r="E79" s="191" t="str">
        <f>'Project Emission Distribution'!F68</f>
        <v/>
      </c>
      <c r="F79" s="170">
        <f t="shared" si="1"/>
        <v>0</v>
      </c>
    </row>
    <row r="80" spans="3:6" x14ac:dyDescent="0.25">
      <c r="C80" s="168" t="str">
        <f>'Project Emission Distribution'!D69</f>
        <v>AN45</v>
      </c>
      <c r="D80" s="191" t="str">
        <f>'Project Emission Distribution'!E69</f>
        <v/>
      </c>
      <c r="E80" s="191" t="str">
        <f>'Project Emission Distribution'!F69</f>
        <v/>
      </c>
      <c r="F80" s="170">
        <f t="shared" si="1"/>
        <v>0</v>
      </c>
    </row>
    <row r="81" spans="3:6" x14ac:dyDescent="0.25">
      <c r="C81" s="168" t="str">
        <f>'Project Emission Distribution'!D70</f>
        <v>AN46</v>
      </c>
      <c r="D81" s="191" t="str">
        <f>'Project Emission Distribution'!E70</f>
        <v/>
      </c>
      <c r="E81" s="191" t="str">
        <f>'Project Emission Distribution'!F70</f>
        <v/>
      </c>
      <c r="F81" s="170">
        <f t="shared" si="1"/>
        <v>0</v>
      </c>
    </row>
    <row r="82" spans="3:6" x14ac:dyDescent="0.25">
      <c r="C82" s="168" t="str">
        <f>'Project Emission Distribution'!D71</f>
        <v>AN47</v>
      </c>
      <c r="D82" s="191" t="str">
        <f>'Project Emission Distribution'!E71</f>
        <v/>
      </c>
      <c r="E82" s="191" t="str">
        <f>'Project Emission Distribution'!F71</f>
        <v/>
      </c>
      <c r="F82" s="170">
        <f t="shared" si="1"/>
        <v>0</v>
      </c>
    </row>
    <row r="83" spans="3:6" x14ac:dyDescent="0.25">
      <c r="C83" s="168" t="str">
        <f>'Project Emission Distribution'!D72</f>
        <v>AN48</v>
      </c>
      <c r="D83" s="191" t="str">
        <f>'Project Emission Distribution'!E72</f>
        <v/>
      </c>
      <c r="E83" s="191" t="str">
        <f>'Project Emission Distribution'!F72</f>
        <v/>
      </c>
      <c r="F83" s="170">
        <f t="shared" si="1"/>
        <v>0</v>
      </c>
    </row>
    <row r="84" spans="3:6" x14ac:dyDescent="0.25">
      <c r="C84" s="168" t="str">
        <f>'Project Emission Distribution'!D73</f>
        <v>AN49</v>
      </c>
      <c r="D84" s="191" t="str">
        <f>'Project Emission Distribution'!E73</f>
        <v/>
      </c>
      <c r="E84" s="191" t="str">
        <f>'Project Emission Distribution'!F73</f>
        <v/>
      </c>
      <c r="F84" s="170">
        <f t="shared" si="1"/>
        <v>0</v>
      </c>
    </row>
    <row r="85" spans="3:6" x14ac:dyDescent="0.25">
      <c r="C85" s="168" t="str">
        <f>'Project Emission Distribution'!D74</f>
        <v>AN50</v>
      </c>
      <c r="D85" s="191" t="str">
        <f>'Project Emission Distribution'!E74</f>
        <v/>
      </c>
      <c r="E85" s="191" t="str">
        <f>'Project Emission Distribution'!F74</f>
        <v/>
      </c>
      <c r="F85" s="170">
        <f t="shared" si="1"/>
        <v>0</v>
      </c>
    </row>
    <row r="86" spans="3:6" x14ac:dyDescent="0.25">
      <c r="C86" s="168" t="str">
        <f>'Project Emission Distribution'!D75</f>
        <v>AN51</v>
      </c>
      <c r="D86" s="191" t="str">
        <f>'Project Emission Distribution'!E75</f>
        <v/>
      </c>
      <c r="E86" s="191" t="str">
        <f>'Project Emission Distribution'!F75</f>
        <v/>
      </c>
      <c r="F86" s="170">
        <f t="shared" si="1"/>
        <v>0</v>
      </c>
    </row>
    <row r="87" spans="3:6" x14ac:dyDescent="0.25">
      <c r="C87" s="168" t="str">
        <f>'Project Emission Distribution'!D76</f>
        <v>AN52</v>
      </c>
      <c r="D87" s="191" t="str">
        <f>'Project Emission Distribution'!E76</f>
        <v/>
      </c>
      <c r="E87" s="191" t="str">
        <f>'Project Emission Distribution'!F76</f>
        <v/>
      </c>
      <c r="F87" s="170">
        <f t="shared" si="1"/>
        <v>0</v>
      </c>
    </row>
    <row r="88" spans="3:6" x14ac:dyDescent="0.25">
      <c r="C88" s="168" t="str">
        <f>'Project Emission Distribution'!D77</f>
        <v>AN53</v>
      </c>
      <c r="D88" s="191" t="str">
        <f>'Project Emission Distribution'!E77</f>
        <v/>
      </c>
      <c r="E88" s="191" t="str">
        <f>'Project Emission Distribution'!F77</f>
        <v/>
      </c>
      <c r="F88" s="170">
        <f t="shared" si="1"/>
        <v>0</v>
      </c>
    </row>
    <row r="89" spans="3:6" x14ac:dyDescent="0.25">
      <c r="C89" s="168" t="str">
        <f>'Project Emission Distribution'!D78</f>
        <v>AN54</v>
      </c>
      <c r="D89" s="191" t="str">
        <f>'Project Emission Distribution'!E78</f>
        <v/>
      </c>
      <c r="E89" s="191" t="str">
        <f>'Project Emission Distribution'!F78</f>
        <v/>
      </c>
      <c r="F89" s="170">
        <f t="shared" si="1"/>
        <v>0</v>
      </c>
    </row>
    <row r="90" spans="3:6" x14ac:dyDescent="0.25">
      <c r="C90" s="168" t="str">
        <f>'Project Emission Distribution'!D79</f>
        <v>AN55</v>
      </c>
      <c r="D90" s="191" t="str">
        <f>'Project Emission Distribution'!E79</f>
        <v/>
      </c>
      <c r="E90" s="191" t="str">
        <f>'Project Emission Distribution'!F79</f>
        <v/>
      </c>
      <c r="F90" s="170">
        <f t="shared" si="1"/>
        <v>0</v>
      </c>
    </row>
    <row r="91" spans="3:6" x14ac:dyDescent="0.25">
      <c r="C91" s="168" t="str">
        <f>'Project Emission Distribution'!D80</f>
        <v>AN56</v>
      </c>
      <c r="D91" s="191" t="str">
        <f>'Project Emission Distribution'!E80</f>
        <v/>
      </c>
      <c r="E91" s="191" t="str">
        <f>'Project Emission Distribution'!F80</f>
        <v/>
      </c>
      <c r="F91" s="170">
        <f t="shared" si="1"/>
        <v>0</v>
      </c>
    </row>
    <row r="92" spans="3:6" x14ac:dyDescent="0.25">
      <c r="C92" s="168" t="str">
        <f>'Project Emission Distribution'!D81</f>
        <v>AN57</v>
      </c>
      <c r="D92" s="191" t="str">
        <f>'Project Emission Distribution'!E81</f>
        <v/>
      </c>
      <c r="E92" s="191" t="str">
        <f>'Project Emission Distribution'!F81</f>
        <v/>
      </c>
      <c r="F92" s="170">
        <f t="shared" si="1"/>
        <v>0</v>
      </c>
    </row>
    <row r="93" spans="3:6" x14ac:dyDescent="0.25">
      <c r="C93" s="168" t="str">
        <f>'Project Emission Distribution'!D82</f>
        <v>AN58</v>
      </c>
      <c r="D93" s="191" t="str">
        <f>'Project Emission Distribution'!E82</f>
        <v/>
      </c>
      <c r="E93" s="191" t="str">
        <f>'Project Emission Distribution'!F82</f>
        <v/>
      </c>
      <c r="F93" s="170">
        <f t="shared" si="1"/>
        <v>0</v>
      </c>
    </row>
    <row r="94" spans="3:6" x14ac:dyDescent="0.25">
      <c r="C94" s="168" t="str">
        <f>'Project Emission Distribution'!D83</f>
        <v>AN59</v>
      </c>
      <c r="D94" s="191" t="str">
        <f>'Project Emission Distribution'!E83</f>
        <v/>
      </c>
      <c r="E94" s="191" t="str">
        <f>'Project Emission Distribution'!F83</f>
        <v/>
      </c>
      <c r="F94" s="170">
        <f t="shared" si="1"/>
        <v>0</v>
      </c>
    </row>
    <row r="95" spans="3:6" x14ac:dyDescent="0.25">
      <c r="C95" s="168" t="str">
        <f>'Project Emission Distribution'!D84</f>
        <v>AN60</v>
      </c>
      <c r="D95" s="191" t="str">
        <f>'Project Emission Distribution'!E84</f>
        <v/>
      </c>
      <c r="E95" s="191" t="str">
        <f>'Project Emission Distribution'!F84</f>
        <v/>
      </c>
      <c r="F95" s="170">
        <f t="shared" si="1"/>
        <v>0</v>
      </c>
    </row>
    <row r="111" spans="3:4" ht="75" x14ac:dyDescent="0.25">
      <c r="C111" s="215" t="s">
        <v>5</v>
      </c>
      <c r="D111" s="214" t="s">
        <v>159</v>
      </c>
    </row>
    <row r="112" spans="3:4" x14ac:dyDescent="0.25">
      <c r="C112" s="172">
        <v>44562</v>
      </c>
      <c r="D112" s="173">
        <f>$F$30</f>
        <v>1.0408357771261E-2</v>
      </c>
    </row>
    <row r="113" spans="3:4" x14ac:dyDescent="0.25">
      <c r="C113" s="172">
        <v>44563</v>
      </c>
      <c r="D113" s="173">
        <f t="shared" ref="D113:D142" si="2">$F$30</f>
        <v>1.0408357771261E-2</v>
      </c>
    </row>
    <row r="114" spans="3:4" x14ac:dyDescent="0.25">
      <c r="C114" s="172">
        <v>44564</v>
      </c>
      <c r="D114" s="173">
        <f t="shared" si="2"/>
        <v>1.0408357771261E-2</v>
      </c>
    </row>
    <row r="115" spans="3:4" x14ac:dyDescent="0.25">
      <c r="C115" s="172">
        <v>44565</v>
      </c>
      <c r="D115" s="173">
        <f t="shared" si="2"/>
        <v>1.0408357771261E-2</v>
      </c>
    </row>
    <row r="116" spans="3:4" x14ac:dyDescent="0.25">
      <c r="C116" s="172">
        <v>44566</v>
      </c>
      <c r="D116" s="173">
        <f t="shared" si="2"/>
        <v>1.0408357771261E-2</v>
      </c>
    </row>
    <row r="117" spans="3:4" x14ac:dyDescent="0.25">
      <c r="C117" s="172">
        <v>44567</v>
      </c>
      <c r="D117" s="173">
        <f t="shared" si="2"/>
        <v>1.0408357771261E-2</v>
      </c>
    </row>
    <row r="118" spans="3:4" x14ac:dyDescent="0.25">
      <c r="C118" s="172">
        <v>44568</v>
      </c>
      <c r="D118" s="173">
        <f t="shared" si="2"/>
        <v>1.0408357771261E-2</v>
      </c>
    </row>
    <row r="119" spans="3:4" x14ac:dyDescent="0.25">
      <c r="C119" s="172">
        <v>44569</v>
      </c>
      <c r="D119" s="173">
        <f t="shared" si="2"/>
        <v>1.0408357771261E-2</v>
      </c>
    </row>
    <row r="120" spans="3:4" x14ac:dyDescent="0.25">
      <c r="C120" s="172">
        <v>44570</v>
      </c>
      <c r="D120" s="173">
        <f t="shared" si="2"/>
        <v>1.0408357771261E-2</v>
      </c>
    </row>
    <row r="121" spans="3:4" x14ac:dyDescent="0.25">
      <c r="C121" s="172">
        <v>44571</v>
      </c>
      <c r="D121" s="173">
        <f t="shared" si="2"/>
        <v>1.0408357771261E-2</v>
      </c>
    </row>
    <row r="122" spans="3:4" x14ac:dyDescent="0.25">
      <c r="C122" s="172">
        <v>44572</v>
      </c>
      <c r="D122" s="173">
        <f t="shared" si="2"/>
        <v>1.0408357771261E-2</v>
      </c>
    </row>
    <row r="123" spans="3:4" x14ac:dyDescent="0.25">
      <c r="C123" s="172">
        <v>44573</v>
      </c>
      <c r="D123" s="173">
        <f t="shared" si="2"/>
        <v>1.0408357771261E-2</v>
      </c>
    </row>
    <row r="124" spans="3:4" x14ac:dyDescent="0.25">
      <c r="C124" s="172">
        <v>44574</v>
      </c>
      <c r="D124" s="173">
        <f t="shared" si="2"/>
        <v>1.0408357771261E-2</v>
      </c>
    </row>
    <row r="125" spans="3:4" x14ac:dyDescent="0.25">
      <c r="C125" s="172">
        <v>44575</v>
      </c>
      <c r="D125" s="173">
        <f t="shared" si="2"/>
        <v>1.0408357771261E-2</v>
      </c>
    </row>
    <row r="126" spans="3:4" x14ac:dyDescent="0.25">
      <c r="C126" s="172">
        <v>44576</v>
      </c>
      <c r="D126" s="173">
        <f t="shared" si="2"/>
        <v>1.0408357771261E-2</v>
      </c>
    </row>
    <row r="127" spans="3:4" x14ac:dyDescent="0.25">
      <c r="C127" s="172">
        <v>44577</v>
      </c>
      <c r="D127" s="173">
        <f t="shared" si="2"/>
        <v>1.0408357771261E-2</v>
      </c>
    </row>
    <row r="128" spans="3:4" x14ac:dyDescent="0.25">
      <c r="C128" s="172">
        <v>44578</v>
      </c>
      <c r="D128" s="173">
        <f t="shared" si="2"/>
        <v>1.0408357771261E-2</v>
      </c>
    </row>
    <row r="129" spans="3:4" x14ac:dyDescent="0.25">
      <c r="C129" s="172">
        <v>44579</v>
      </c>
      <c r="D129" s="173">
        <f t="shared" si="2"/>
        <v>1.0408357771261E-2</v>
      </c>
    </row>
    <row r="130" spans="3:4" x14ac:dyDescent="0.25">
      <c r="C130" s="172">
        <v>44580</v>
      </c>
      <c r="D130" s="173">
        <f t="shared" si="2"/>
        <v>1.0408357771261E-2</v>
      </c>
    </row>
    <row r="131" spans="3:4" x14ac:dyDescent="0.25">
      <c r="C131" s="172">
        <v>44581</v>
      </c>
      <c r="D131" s="173">
        <f t="shared" si="2"/>
        <v>1.0408357771261E-2</v>
      </c>
    </row>
    <row r="132" spans="3:4" x14ac:dyDescent="0.25">
      <c r="C132" s="172">
        <v>44582</v>
      </c>
      <c r="D132" s="173">
        <f t="shared" si="2"/>
        <v>1.0408357771261E-2</v>
      </c>
    </row>
    <row r="133" spans="3:4" x14ac:dyDescent="0.25">
      <c r="C133" s="172">
        <v>44583</v>
      </c>
      <c r="D133" s="173">
        <f t="shared" si="2"/>
        <v>1.0408357771261E-2</v>
      </c>
    </row>
    <row r="134" spans="3:4" x14ac:dyDescent="0.25">
      <c r="C134" s="172">
        <v>44584</v>
      </c>
      <c r="D134" s="173">
        <f t="shared" si="2"/>
        <v>1.0408357771261E-2</v>
      </c>
    </row>
    <row r="135" spans="3:4" x14ac:dyDescent="0.25">
      <c r="C135" s="172">
        <v>44585</v>
      </c>
      <c r="D135" s="173">
        <f t="shared" si="2"/>
        <v>1.0408357771261E-2</v>
      </c>
    </row>
    <row r="136" spans="3:4" x14ac:dyDescent="0.25">
      <c r="C136" s="172">
        <v>44586</v>
      </c>
      <c r="D136" s="173">
        <f t="shared" si="2"/>
        <v>1.0408357771261E-2</v>
      </c>
    </row>
    <row r="137" spans="3:4" x14ac:dyDescent="0.25">
      <c r="C137" s="172">
        <v>44587</v>
      </c>
      <c r="D137" s="173">
        <f t="shared" si="2"/>
        <v>1.0408357771261E-2</v>
      </c>
    </row>
    <row r="138" spans="3:4" x14ac:dyDescent="0.25">
      <c r="C138" s="172">
        <v>44588</v>
      </c>
      <c r="D138" s="173">
        <f t="shared" si="2"/>
        <v>1.0408357771261E-2</v>
      </c>
    </row>
    <row r="139" spans="3:4" x14ac:dyDescent="0.25">
      <c r="C139" s="172">
        <v>44589</v>
      </c>
      <c r="D139" s="173">
        <f t="shared" si="2"/>
        <v>1.0408357771261E-2</v>
      </c>
    </row>
    <row r="140" spans="3:4" x14ac:dyDescent="0.25">
      <c r="C140" s="172">
        <v>44590</v>
      </c>
      <c r="D140" s="173">
        <f t="shared" si="2"/>
        <v>1.0408357771261E-2</v>
      </c>
    </row>
    <row r="141" spans="3:4" x14ac:dyDescent="0.25">
      <c r="C141" s="172">
        <v>44591</v>
      </c>
      <c r="D141" s="173">
        <f t="shared" si="2"/>
        <v>1.0408357771261E-2</v>
      </c>
    </row>
    <row r="142" spans="3:4" x14ac:dyDescent="0.25">
      <c r="C142" s="172">
        <v>44592</v>
      </c>
      <c r="D142" s="173">
        <f t="shared" si="2"/>
        <v>1.0408357771261E-2</v>
      </c>
    </row>
    <row r="143" spans="3:4" x14ac:dyDescent="0.25">
      <c r="C143" s="172">
        <v>44593</v>
      </c>
      <c r="D143" s="173">
        <f>$G$30</f>
        <v>2.6466417466610086E-3</v>
      </c>
    </row>
    <row r="144" spans="3:4" x14ac:dyDescent="0.25">
      <c r="C144" s="172">
        <v>44594</v>
      </c>
      <c r="D144" s="173">
        <f t="shared" ref="D144:D170" si="3">$G$30</f>
        <v>2.6466417466610086E-3</v>
      </c>
    </row>
    <row r="145" spans="3:4" x14ac:dyDescent="0.25">
      <c r="C145" s="172">
        <v>44595</v>
      </c>
      <c r="D145" s="173">
        <f t="shared" si="3"/>
        <v>2.6466417466610086E-3</v>
      </c>
    </row>
    <row r="146" spans="3:4" x14ac:dyDescent="0.25">
      <c r="C146" s="172">
        <v>44596</v>
      </c>
      <c r="D146" s="173">
        <f t="shared" si="3"/>
        <v>2.6466417466610086E-3</v>
      </c>
    </row>
    <row r="147" spans="3:4" x14ac:dyDescent="0.25">
      <c r="C147" s="172">
        <v>44597</v>
      </c>
      <c r="D147" s="173">
        <f t="shared" si="3"/>
        <v>2.6466417466610086E-3</v>
      </c>
    </row>
    <row r="148" spans="3:4" x14ac:dyDescent="0.25">
      <c r="C148" s="172">
        <v>44598</v>
      </c>
      <c r="D148" s="173">
        <f t="shared" si="3"/>
        <v>2.6466417466610086E-3</v>
      </c>
    </row>
    <row r="149" spans="3:4" x14ac:dyDescent="0.25">
      <c r="C149" s="172">
        <v>44599</v>
      </c>
      <c r="D149" s="173">
        <f t="shared" si="3"/>
        <v>2.6466417466610086E-3</v>
      </c>
    </row>
    <row r="150" spans="3:4" x14ac:dyDescent="0.25">
      <c r="C150" s="172">
        <v>44600</v>
      </c>
      <c r="D150" s="173">
        <f t="shared" si="3"/>
        <v>2.6466417466610086E-3</v>
      </c>
    </row>
    <row r="151" spans="3:4" x14ac:dyDescent="0.25">
      <c r="C151" s="172">
        <v>44601</v>
      </c>
      <c r="D151" s="173">
        <f t="shared" si="3"/>
        <v>2.6466417466610086E-3</v>
      </c>
    </row>
    <row r="152" spans="3:4" x14ac:dyDescent="0.25">
      <c r="C152" s="172">
        <v>44602</v>
      </c>
      <c r="D152" s="173">
        <f t="shared" si="3"/>
        <v>2.6466417466610086E-3</v>
      </c>
    </row>
    <row r="153" spans="3:4" x14ac:dyDescent="0.25">
      <c r="C153" s="172">
        <v>44603</v>
      </c>
      <c r="D153" s="173">
        <f t="shared" si="3"/>
        <v>2.6466417466610086E-3</v>
      </c>
    </row>
    <row r="154" spans="3:4" x14ac:dyDescent="0.25">
      <c r="C154" s="172">
        <v>44604</v>
      </c>
      <c r="D154" s="173">
        <f t="shared" si="3"/>
        <v>2.6466417466610086E-3</v>
      </c>
    </row>
    <row r="155" spans="3:4" x14ac:dyDescent="0.25">
      <c r="C155" s="172">
        <v>44605</v>
      </c>
      <c r="D155" s="173">
        <f t="shared" si="3"/>
        <v>2.6466417466610086E-3</v>
      </c>
    </row>
    <row r="156" spans="3:4" x14ac:dyDescent="0.25">
      <c r="C156" s="172">
        <v>44606</v>
      </c>
      <c r="D156" s="173">
        <f t="shared" si="3"/>
        <v>2.6466417466610086E-3</v>
      </c>
    </row>
    <row r="157" spans="3:4" x14ac:dyDescent="0.25">
      <c r="C157" s="172">
        <v>44607</v>
      </c>
      <c r="D157" s="173">
        <f t="shared" si="3"/>
        <v>2.6466417466610086E-3</v>
      </c>
    </row>
    <row r="158" spans="3:4" x14ac:dyDescent="0.25">
      <c r="C158" s="172">
        <v>44608</v>
      </c>
      <c r="D158" s="173">
        <f t="shared" si="3"/>
        <v>2.6466417466610086E-3</v>
      </c>
    </row>
    <row r="159" spans="3:4" x14ac:dyDescent="0.25">
      <c r="C159" s="172">
        <v>44609</v>
      </c>
      <c r="D159" s="173">
        <f t="shared" si="3"/>
        <v>2.6466417466610086E-3</v>
      </c>
    </row>
    <row r="160" spans="3:4" x14ac:dyDescent="0.25">
      <c r="C160" s="172">
        <v>44610</v>
      </c>
      <c r="D160" s="173">
        <f t="shared" si="3"/>
        <v>2.6466417466610086E-3</v>
      </c>
    </row>
    <row r="161" spans="3:4" x14ac:dyDescent="0.25">
      <c r="C161" s="172">
        <v>44611</v>
      </c>
      <c r="D161" s="173">
        <f t="shared" si="3"/>
        <v>2.6466417466610086E-3</v>
      </c>
    </row>
    <row r="162" spans="3:4" x14ac:dyDescent="0.25">
      <c r="C162" s="172">
        <v>44612</v>
      </c>
      <c r="D162" s="173">
        <f t="shared" si="3"/>
        <v>2.6466417466610086E-3</v>
      </c>
    </row>
    <row r="163" spans="3:4" x14ac:dyDescent="0.25">
      <c r="C163" s="172">
        <v>44613</v>
      </c>
      <c r="D163" s="173">
        <f t="shared" si="3"/>
        <v>2.6466417466610086E-3</v>
      </c>
    </row>
    <row r="164" spans="3:4" x14ac:dyDescent="0.25">
      <c r="C164" s="172">
        <v>44614</v>
      </c>
      <c r="D164" s="173">
        <f t="shared" si="3"/>
        <v>2.6466417466610086E-3</v>
      </c>
    </row>
    <row r="165" spans="3:4" x14ac:dyDescent="0.25">
      <c r="C165" s="172">
        <v>44615</v>
      </c>
      <c r="D165" s="173">
        <f t="shared" si="3"/>
        <v>2.6466417466610086E-3</v>
      </c>
    </row>
    <row r="166" spans="3:4" x14ac:dyDescent="0.25">
      <c r="C166" s="172">
        <v>44616</v>
      </c>
      <c r="D166" s="173">
        <f t="shared" si="3"/>
        <v>2.6466417466610086E-3</v>
      </c>
    </row>
    <row r="167" spans="3:4" x14ac:dyDescent="0.25">
      <c r="C167" s="172">
        <v>44617</v>
      </c>
      <c r="D167" s="173">
        <f t="shared" si="3"/>
        <v>2.6466417466610086E-3</v>
      </c>
    </row>
    <row r="168" spans="3:4" x14ac:dyDescent="0.25">
      <c r="C168" s="172">
        <v>44618</v>
      </c>
      <c r="D168" s="173">
        <f t="shared" si="3"/>
        <v>2.6466417466610086E-3</v>
      </c>
    </row>
    <row r="169" spans="3:4" x14ac:dyDescent="0.25">
      <c r="C169" s="172">
        <v>44619</v>
      </c>
      <c r="D169" s="173">
        <f t="shared" si="3"/>
        <v>2.6466417466610086E-3</v>
      </c>
    </row>
    <row r="170" spans="3:4" x14ac:dyDescent="0.25">
      <c r="C170" s="172">
        <v>44620</v>
      </c>
      <c r="D170" s="173">
        <f t="shared" si="3"/>
        <v>2.6466417466610086E-3</v>
      </c>
    </row>
    <row r="171" spans="3:4" x14ac:dyDescent="0.25">
      <c r="C171" s="172">
        <v>44621</v>
      </c>
      <c r="D171" s="173">
        <f>$H$30</f>
        <v>5.7245967741935489E-3</v>
      </c>
    </row>
    <row r="172" spans="3:4" x14ac:dyDescent="0.25">
      <c r="C172" s="172">
        <v>44622</v>
      </c>
      <c r="D172" s="173">
        <f t="shared" ref="D172:D201" si="4">$H$30</f>
        <v>5.7245967741935489E-3</v>
      </c>
    </row>
    <row r="173" spans="3:4" x14ac:dyDescent="0.25">
      <c r="C173" s="172">
        <v>44623</v>
      </c>
      <c r="D173" s="173">
        <f t="shared" si="4"/>
        <v>5.7245967741935489E-3</v>
      </c>
    </row>
    <row r="174" spans="3:4" x14ac:dyDescent="0.25">
      <c r="C174" s="172">
        <v>44624</v>
      </c>
      <c r="D174" s="173">
        <f t="shared" si="4"/>
        <v>5.7245967741935489E-3</v>
      </c>
    </row>
    <row r="175" spans="3:4" x14ac:dyDescent="0.25">
      <c r="C175" s="172">
        <v>44625</v>
      </c>
      <c r="D175" s="173">
        <f t="shared" si="4"/>
        <v>5.7245967741935489E-3</v>
      </c>
    </row>
    <row r="176" spans="3:4" x14ac:dyDescent="0.25">
      <c r="C176" s="172">
        <v>44626</v>
      </c>
      <c r="D176" s="173">
        <f t="shared" si="4"/>
        <v>5.7245967741935489E-3</v>
      </c>
    </row>
    <row r="177" spans="3:4" x14ac:dyDescent="0.25">
      <c r="C177" s="172">
        <v>44627</v>
      </c>
      <c r="D177" s="173">
        <f t="shared" si="4"/>
        <v>5.7245967741935489E-3</v>
      </c>
    </row>
    <row r="178" spans="3:4" x14ac:dyDescent="0.25">
      <c r="C178" s="172">
        <v>44628</v>
      </c>
      <c r="D178" s="173">
        <f t="shared" si="4"/>
        <v>5.7245967741935489E-3</v>
      </c>
    </row>
    <row r="179" spans="3:4" x14ac:dyDescent="0.25">
      <c r="C179" s="172">
        <v>44629</v>
      </c>
      <c r="D179" s="173">
        <f t="shared" si="4"/>
        <v>5.7245967741935489E-3</v>
      </c>
    </row>
    <row r="180" spans="3:4" x14ac:dyDescent="0.25">
      <c r="C180" s="172">
        <v>44630</v>
      </c>
      <c r="D180" s="173">
        <f t="shared" si="4"/>
        <v>5.7245967741935489E-3</v>
      </c>
    </row>
    <row r="181" spans="3:4" x14ac:dyDescent="0.25">
      <c r="C181" s="172">
        <v>44631</v>
      </c>
      <c r="D181" s="173">
        <f t="shared" si="4"/>
        <v>5.7245967741935489E-3</v>
      </c>
    </row>
    <row r="182" spans="3:4" x14ac:dyDescent="0.25">
      <c r="C182" s="172">
        <v>44632</v>
      </c>
      <c r="D182" s="173">
        <f t="shared" si="4"/>
        <v>5.7245967741935489E-3</v>
      </c>
    </row>
    <row r="183" spans="3:4" x14ac:dyDescent="0.25">
      <c r="C183" s="172">
        <v>44633</v>
      </c>
      <c r="D183" s="173">
        <f t="shared" si="4"/>
        <v>5.7245967741935489E-3</v>
      </c>
    </row>
    <row r="184" spans="3:4" x14ac:dyDescent="0.25">
      <c r="C184" s="172">
        <v>44634</v>
      </c>
      <c r="D184" s="173">
        <f t="shared" si="4"/>
        <v>5.7245967741935489E-3</v>
      </c>
    </row>
    <row r="185" spans="3:4" x14ac:dyDescent="0.25">
      <c r="C185" s="172">
        <v>44635</v>
      </c>
      <c r="D185" s="173">
        <f t="shared" si="4"/>
        <v>5.7245967741935489E-3</v>
      </c>
    </row>
    <row r="186" spans="3:4" x14ac:dyDescent="0.25">
      <c r="C186" s="172">
        <v>44636</v>
      </c>
      <c r="D186" s="173">
        <f t="shared" si="4"/>
        <v>5.7245967741935489E-3</v>
      </c>
    </row>
    <row r="187" spans="3:4" x14ac:dyDescent="0.25">
      <c r="C187" s="172">
        <v>44637</v>
      </c>
      <c r="D187" s="173">
        <f t="shared" si="4"/>
        <v>5.7245967741935489E-3</v>
      </c>
    </row>
    <row r="188" spans="3:4" x14ac:dyDescent="0.25">
      <c r="C188" s="172">
        <v>44638</v>
      </c>
      <c r="D188" s="173">
        <f t="shared" si="4"/>
        <v>5.7245967741935489E-3</v>
      </c>
    </row>
    <row r="189" spans="3:4" x14ac:dyDescent="0.25">
      <c r="C189" s="172">
        <v>44639</v>
      </c>
      <c r="D189" s="173">
        <f t="shared" si="4"/>
        <v>5.7245967741935489E-3</v>
      </c>
    </row>
    <row r="190" spans="3:4" x14ac:dyDescent="0.25">
      <c r="C190" s="172">
        <v>44640</v>
      </c>
      <c r="D190" s="173">
        <f t="shared" si="4"/>
        <v>5.7245967741935489E-3</v>
      </c>
    </row>
    <row r="191" spans="3:4" x14ac:dyDescent="0.25">
      <c r="C191" s="172">
        <v>44641</v>
      </c>
      <c r="D191" s="173">
        <f t="shared" si="4"/>
        <v>5.7245967741935489E-3</v>
      </c>
    </row>
    <row r="192" spans="3:4" x14ac:dyDescent="0.25">
      <c r="C192" s="172">
        <v>44642</v>
      </c>
      <c r="D192" s="173">
        <f t="shared" si="4"/>
        <v>5.7245967741935489E-3</v>
      </c>
    </row>
    <row r="193" spans="3:4" x14ac:dyDescent="0.25">
      <c r="C193" s="172">
        <v>44643</v>
      </c>
      <c r="D193" s="173">
        <f t="shared" si="4"/>
        <v>5.7245967741935489E-3</v>
      </c>
    </row>
    <row r="194" spans="3:4" x14ac:dyDescent="0.25">
      <c r="C194" s="172">
        <v>44644</v>
      </c>
      <c r="D194" s="173">
        <f t="shared" si="4"/>
        <v>5.7245967741935489E-3</v>
      </c>
    </row>
    <row r="195" spans="3:4" x14ac:dyDescent="0.25">
      <c r="C195" s="172">
        <v>44645</v>
      </c>
      <c r="D195" s="173">
        <f t="shared" si="4"/>
        <v>5.7245967741935489E-3</v>
      </c>
    </row>
    <row r="196" spans="3:4" x14ac:dyDescent="0.25">
      <c r="C196" s="172">
        <v>44646</v>
      </c>
      <c r="D196" s="173">
        <f t="shared" si="4"/>
        <v>5.7245967741935489E-3</v>
      </c>
    </row>
    <row r="197" spans="3:4" x14ac:dyDescent="0.25">
      <c r="C197" s="172">
        <v>44647</v>
      </c>
      <c r="D197" s="173">
        <f t="shared" si="4"/>
        <v>5.7245967741935489E-3</v>
      </c>
    </row>
    <row r="198" spans="3:4" x14ac:dyDescent="0.25">
      <c r="C198" s="172">
        <v>44648</v>
      </c>
      <c r="D198" s="173">
        <f t="shared" si="4"/>
        <v>5.7245967741935489E-3</v>
      </c>
    </row>
    <row r="199" spans="3:4" x14ac:dyDescent="0.25">
      <c r="C199" s="172">
        <v>44649</v>
      </c>
      <c r="D199" s="173">
        <f t="shared" si="4"/>
        <v>5.7245967741935489E-3</v>
      </c>
    </row>
    <row r="200" spans="3:4" x14ac:dyDescent="0.25">
      <c r="C200" s="172">
        <v>44650</v>
      </c>
      <c r="D200" s="173">
        <f t="shared" si="4"/>
        <v>5.7245967741935489E-3</v>
      </c>
    </row>
    <row r="201" spans="3:4" x14ac:dyDescent="0.25">
      <c r="C201" s="172">
        <v>44651</v>
      </c>
      <c r="D201" s="173">
        <f t="shared" si="4"/>
        <v>5.7245967741935489E-3</v>
      </c>
    </row>
    <row r="202" spans="3:4" x14ac:dyDescent="0.25">
      <c r="C202" s="172">
        <v>44652</v>
      </c>
      <c r="D202" s="173">
        <f>$I$30</f>
        <v>4.1169982725837917E-3</v>
      </c>
    </row>
    <row r="203" spans="3:4" x14ac:dyDescent="0.25">
      <c r="C203" s="172">
        <v>44653</v>
      </c>
      <c r="D203" s="173">
        <f t="shared" ref="D203:D231" si="5">$I$30</f>
        <v>4.1169982725837917E-3</v>
      </c>
    </row>
    <row r="204" spans="3:4" x14ac:dyDescent="0.25">
      <c r="C204" s="172">
        <v>44654</v>
      </c>
      <c r="D204" s="173">
        <f t="shared" si="5"/>
        <v>4.1169982725837917E-3</v>
      </c>
    </row>
    <row r="205" spans="3:4" x14ac:dyDescent="0.25">
      <c r="C205" s="172">
        <v>44655</v>
      </c>
      <c r="D205" s="173">
        <f t="shared" si="5"/>
        <v>4.1169982725837917E-3</v>
      </c>
    </row>
    <row r="206" spans="3:4" x14ac:dyDescent="0.25">
      <c r="C206" s="172">
        <v>44656</v>
      </c>
      <c r="D206" s="173">
        <f t="shared" si="5"/>
        <v>4.1169982725837917E-3</v>
      </c>
    </row>
    <row r="207" spans="3:4" x14ac:dyDescent="0.25">
      <c r="C207" s="172">
        <v>44657</v>
      </c>
      <c r="D207" s="173">
        <f t="shared" si="5"/>
        <v>4.1169982725837917E-3</v>
      </c>
    </row>
    <row r="208" spans="3:4" x14ac:dyDescent="0.25">
      <c r="C208" s="172">
        <v>44658</v>
      </c>
      <c r="D208" s="173">
        <f t="shared" si="5"/>
        <v>4.1169982725837917E-3</v>
      </c>
    </row>
    <row r="209" spans="3:4" x14ac:dyDescent="0.25">
      <c r="C209" s="172">
        <v>44659</v>
      </c>
      <c r="D209" s="173">
        <f t="shared" si="5"/>
        <v>4.1169982725837917E-3</v>
      </c>
    </row>
    <row r="210" spans="3:4" x14ac:dyDescent="0.25">
      <c r="C210" s="172">
        <v>44660</v>
      </c>
      <c r="D210" s="173">
        <f t="shared" si="5"/>
        <v>4.1169982725837917E-3</v>
      </c>
    </row>
    <row r="211" spans="3:4" x14ac:dyDescent="0.25">
      <c r="C211" s="172">
        <v>44661</v>
      </c>
      <c r="D211" s="173">
        <f t="shared" si="5"/>
        <v>4.1169982725837917E-3</v>
      </c>
    </row>
    <row r="212" spans="3:4" x14ac:dyDescent="0.25">
      <c r="C212" s="172">
        <v>44662</v>
      </c>
      <c r="D212" s="173">
        <f t="shared" si="5"/>
        <v>4.1169982725837917E-3</v>
      </c>
    </row>
    <row r="213" spans="3:4" x14ac:dyDescent="0.25">
      <c r="C213" s="172">
        <v>44663</v>
      </c>
      <c r="D213" s="173">
        <f t="shared" si="5"/>
        <v>4.1169982725837917E-3</v>
      </c>
    </row>
    <row r="214" spans="3:4" x14ac:dyDescent="0.25">
      <c r="C214" s="172">
        <v>44664</v>
      </c>
      <c r="D214" s="173">
        <f t="shared" si="5"/>
        <v>4.1169982725837917E-3</v>
      </c>
    </row>
    <row r="215" spans="3:4" x14ac:dyDescent="0.25">
      <c r="C215" s="172">
        <v>44665</v>
      </c>
      <c r="D215" s="173">
        <f t="shared" si="5"/>
        <v>4.1169982725837917E-3</v>
      </c>
    </row>
    <row r="216" spans="3:4" x14ac:dyDescent="0.25">
      <c r="C216" s="172">
        <v>44666</v>
      </c>
      <c r="D216" s="173">
        <f t="shared" si="5"/>
        <v>4.1169982725837917E-3</v>
      </c>
    </row>
    <row r="217" spans="3:4" x14ac:dyDescent="0.25">
      <c r="C217" s="172">
        <v>44667</v>
      </c>
      <c r="D217" s="173">
        <f t="shared" si="5"/>
        <v>4.1169982725837917E-3</v>
      </c>
    </row>
    <row r="218" spans="3:4" x14ac:dyDescent="0.25">
      <c r="C218" s="172">
        <v>44668</v>
      </c>
      <c r="D218" s="173">
        <f t="shared" si="5"/>
        <v>4.1169982725837917E-3</v>
      </c>
    </row>
    <row r="219" spans="3:4" x14ac:dyDescent="0.25">
      <c r="C219" s="172">
        <v>44669</v>
      </c>
      <c r="D219" s="173">
        <f t="shared" si="5"/>
        <v>4.1169982725837917E-3</v>
      </c>
    </row>
    <row r="220" spans="3:4" x14ac:dyDescent="0.25">
      <c r="C220" s="172">
        <v>44670</v>
      </c>
      <c r="D220" s="173">
        <f t="shared" si="5"/>
        <v>4.1169982725837917E-3</v>
      </c>
    </row>
    <row r="221" spans="3:4" x14ac:dyDescent="0.25">
      <c r="C221" s="172">
        <v>44671</v>
      </c>
      <c r="D221" s="173">
        <f t="shared" si="5"/>
        <v>4.1169982725837917E-3</v>
      </c>
    </row>
    <row r="222" spans="3:4" x14ac:dyDescent="0.25">
      <c r="C222" s="172">
        <v>44672</v>
      </c>
      <c r="D222" s="173">
        <f t="shared" si="5"/>
        <v>4.1169982725837917E-3</v>
      </c>
    </row>
    <row r="223" spans="3:4" x14ac:dyDescent="0.25">
      <c r="C223" s="172">
        <v>44673</v>
      </c>
      <c r="D223" s="173">
        <f t="shared" si="5"/>
        <v>4.1169982725837917E-3</v>
      </c>
    </row>
    <row r="224" spans="3:4" x14ac:dyDescent="0.25">
      <c r="C224" s="172">
        <v>44674</v>
      </c>
      <c r="D224" s="173">
        <f t="shared" si="5"/>
        <v>4.1169982725837917E-3</v>
      </c>
    </row>
    <row r="225" spans="3:4" x14ac:dyDescent="0.25">
      <c r="C225" s="172">
        <v>44675</v>
      </c>
      <c r="D225" s="173">
        <f t="shared" si="5"/>
        <v>4.1169982725837917E-3</v>
      </c>
    </row>
    <row r="226" spans="3:4" x14ac:dyDescent="0.25">
      <c r="C226" s="172">
        <v>44676</v>
      </c>
      <c r="D226" s="173">
        <f t="shared" si="5"/>
        <v>4.1169982725837917E-3</v>
      </c>
    </row>
    <row r="227" spans="3:4" x14ac:dyDescent="0.25">
      <c r="C227" s="172">
        <v>44677</v>
      </c>
      <c r="D227" s="173">
        <f t="shared" si="5"/>
        <v>4.1169982725837917E-3</v>
      </c>
    </row>
    <row r="228" spans="3:4" x14ac:dyDescent="0.25">
      <c r="C228" s="172">
        <v>44678</v>
      </c>
      <c r="D228" s="173">
        <f t="shared" si="5"/>
        <v>4.1169982725837917E-3</v>
      </c>
    </row>
    <row r="229" spans="3:4" x14ac:dyDescent="0.25">
      <c r="C229" s="172">
        <v>44679</v>
      </c>
      <c r="D229" s="173">
        <f t="shared" si="5"/>
        <v>4.1169982725837917E-3</v>
      </c>
    </row>
    <row r="230" spans="3:4" x14ac:dyDescent="0.25">
      <c r="C230" s="172">
        <v>44680</v>
      </c>
      <c r="D230" s="173">
        <f t="shared" si="5"/>
        <v>4.1169982725837917E-3</v>
      </c>
    </row>
    <row r="231" spans="3:4" x14ac:dyDescent="0.25">
      <c r="C231" s="172">
        <v>44681</v>
      </c>
      <c r="D231" s="173">
        <f t="shared" si="5"/>
        <v>4.1169982725837917E-3</v>
      </c>
    </row>
    <row r="232" spans="3:4" x14ac:dyDescent="0.25">
      <c r="C232" s="172">
        <v>44682</v>
      </c>
      <c r="D232" s="173">
        <f>$J$30</f>
        <v>1.0443096774193548E-2</v>
      </c>
    </row>
    <row r="233" spans="3:4" x14ac:dyDescent="0.25">
      <c r="C233" s="172">
        <v>44683</v>
      </c>
      <c r="D233" s="173">
        <f t="shared" ref="D233:D262" si="6">$J$30</f>
        <v>1.0443096774193548E-2</v>
      </c>
    </row>
    <row r="234" spans="3:4" x14ac:dyDescent="0.25">
      <c r="C234" s="172">
        <v>44684</v>
      </c>
      <c r="D234" s="173">
        <f t="shared" si="6"/>
        <v>1.0443096774193548E-2</v>
      </c>
    </row>
    <row r="235" spans="3:4" x14ac:dyDescent="0.25">
      <c r="C235" s="172">
        <v>44685</v>
      </c>
      <c r="D235" s="173">
        <f t="shared" si="6"/>
        <v>1.0443096774193548E-2</v>
      </c>
    </row>
    <row r="236" spans="3:4" x14ac:dyDescent="0.25">
      <c r="C236" s="172">
        <v>44686</v>
      </c>
      <c r="D236" s="173">
        <f t="shared" si="6"/>
        <v>1.0443096774193548E-2</v>
      </c>
    </row>
    <row r="237" spans="3:4" x14ac:dyDescent="0.25">
      <c r="C237" s="172">
        <v>44687</v>
      </c>
      <c r="D237" s="173">
        <f t="shared" si="6"/>
        <v>1.0443096774193548E-2</v>
      </c>
    </row>
    <row r="238" spans="3:4" x14ac:dyDescent="0.25">
      <c r="C238" s="172">
        <v>44688</v>
      </c>
      <c r="D238" s="173">
        <f t="shared" si="6"/>
        <v>1.0443096774193548E-2</v>
      </c>
    </row>
    <row r="239" spans="3:4" x14ac:dyDescent="0.25">
      <c r="C239" s="172">
        <v>44689</v>
      </c>
      <c r="D239" s="173">
        <f t="shared" si="6"/>
        <v>1.0443096774193548E-2</v>
      </c>
    </row>
    <row r="240" spans="3:4" x14ac:dyDescent="0.25">
      <c r="C240" s="172">
        <v>44690</v>
      </c>
      <c r="D240" s="173">
        <f t="shared" si="6"/>
        <v>1.0443096774193548E-2</v>
      </c>
    </row>
    <row r="241" spans="3:4" x14ac:dyDescent="0.25">
      <c r="C241" s="172">
        <v>44691</v>
      </c>
      <c r="D241" s="173">
        <f t="shared" si="6"/>
        <v>1.0443096774193548E-2</v>
      </c>
    </row>
    <row r="242" spans="3:4" x14ac:dyDescent="0.25">
      <c r="C242" s="172">
        <v>44692</v>
      </c>
      <c r="D242" s="173">
        <f t="shared" si="6"/>
        <v>1.0443096774193548E-2</v>
      </c>
    </row>
    <row r="243" spans="3:4" x14ac:dyDescent="0.25">
      <c r="C243" s="172">
        <v>44693</v>
      </c>
      <c r="D243" s="173">
        <f t="shared" si="6"/>
        <v>1.0443096774193548E-2</v>
      </c>
    </row>
    <row r="244" spans="3:4" x14ac:dyDescent="0.25">
      <c r="C244" s="172">
        <v>44694</v>
      </c>
      <c r="D244" s="173">
        <f t="shared" si="6"/>
        <v>1.0443096774193548E-2</v>
      </c>
    </row>
    <row r="245" spans="3:4" x14ac:dyDescent="0.25">
      <c r="C245" s="172">
        <v>44695</v>
      </c>
      <c r="D245" s="173">
        <f t="shared" si="6"/>
        <v>1.0443096774193548E-2</v>
      </c>
    </row>
    <row r="246" spans="3:4" x14ac:dyDescent="0.25">
      <c r="C246" s="172">
        <v>44696</v>
      </c>
      <c r="D246" s="173">
        <f t="shared" si="6"/>
        <v>1.0443096774193548E-2</v>
      </c>
    </row>
    <row r="247" spans="3:4" x14ac:dyDescent="0.25">
      <c r="C247" s="172">
        <v>44697</v>
      </c>
      <c r="D247" s="173">
        <f t="shared" si="6"/>
        <v>1.0443096774193548E-2</v>
      </c>
    </row>
    <row r="248" spans="3:4" x14ac:dyDescent="0.25">
      <c r="C248" s="172">
        <v>44698</v>
      </c>
      <c r="D248" s="173">
        <f t="shared" si="6"/>
        <v>1.0443096774193548E-2</v>
      </c>
    </row>
    <row r="249" spans="3:4" x14ac:dyDescent="0.25">
      <c r="C249" s="172">
        <v>44699</v>
      </c>
      <c r="D249" s="173">
        <f t="shared" si="6"/>
        <v>1.0443096774193548E-2</v>
      </c>
    </row>
    <row r="250" spans="3:4" x14ac:dyDescent="0.25">
      <c r="C250" s="172">
        <v>44700</v>
      </c>
      <c r="D250" s="173">
        <f t="shared" si="6"/>
        <v>1.0443096774193548E-2</v>
      </c>
    </row>
    <row r="251" spans="3:4" x14ac:dyDescent="0.25">
      <c r="C251" s="172">
        <v>44701</v>
      </c>
      <c r="D251" s="173">
        <f t="shared" si="6"/>
        <v>1.0443096774193548E-2</v>
      </c>
    </row>
    <row r="252" spans="3:4" x14ac:dyDescent="0.25">
      <c r="C252" s="172">
        <v>44702</v>
      </c>
      <c r="D252" s="173">
        <f t="shared" si="6"/>
        <v>1.0443096774193548E-2</v>
      </c>
    </row>
    <row r="253" spans="3:4" x14ac:dyDescent="0.25">
      <c r="C253" s="172">
        <v>44703</v>
      </c>
      <c r="D253" s="173">
        <f t="shared" si="6"/>
        <v>1.0443096774193548E-2</v>
      </c>
    </row>
    <row r="254" spans="3:4" x14ac:dyDescent="0.25">
      <c r="C254" s="172">
        <v>44704</v>
      </c>
      <c r="D254" s="173">
        <f t="shared" si="6"/>
        <v>1.0443096774193548E-2</v>
      </c>
    </row>
    <row r="255" spans="3:4" x14ac:dyDescent="0.25">
      <c r="C255" s="172">
        <v>44705</v>
      </c>
      <c r="D255" s="173">
        <f t="shared" si="6"/>
        <v>1.0443096774193548E-2</v>
      </c>
    </row>
    <row r="256" spans="3:4" x14ac:dyDescent="0.25">
      <c r="C256" s="172">
        <v>44706</v>
      </c>
      <c r="D256" s="173">
        <f t="shared" si="6"/>
        <v>1.0443096774193548E-2</v>
      </c>
    </row>
    <row r="257" spans="3:4" x14ac:dyDescent="0.25">
      <c r="C257" s="172">
        <v>44707</v>
      </c>
      <c r="D257" s="173">
        <f t="shared" si="6"/>
        <v>1.0443096774193548E-2</v>
      </c>
    </row>
    <row r="258" spans="3:4" x14ac:dyDescent="0.25">
      <c r="C258" s="172">
        <v>44708</v>
      </c>
      <c r="D258" s="173">
        <f t="shared" si="6"/>
        <v>1.0443096774193548E-2</v>
      </c>
    </row>
    <row r="259" spans="3:4" x14ac:dyDescent="0.25">
      <c r="C259" s="172">
        <v>44709</v>
      </c>
      <c r="D259" s="173">
        <f t="shared" si="6"/>
        <v>1.0443096774193548E-2</v>
      </c>
    </row>
    <row r="260" spans="3:4" x14ac:dyDescent="0.25">
      <c r="C260" s="172">
        <v>44710</v>
      </c>
      <c r="D260" s="173">
        <f t="shared" si="6"/>
        <v>1.0443096774193548E-2</v>
      </c>
    </row>
    <row r="261" spans="3:4" x14ac:dyDescent="0.25">
      <c r="C261" s="172">
        <v>44711</v>
      </c>
      <c r="D261" s="173">
        <f t="shared" si="6"/>
        <v>1.0443096774193548E-2</v>
      </c>
    </row>
    <row r="262" spans="3:4" x14ac:dyDescent="0.25">
      <c r="C262" s="172">
        <v>44712</v>
      </c>
      <c r="D262" s="173">
        <f t="shared" si="6"/>
        <v>1.0443096774193548E-2</v>
      </c>
    </row>
    <row r="263" spans="3:4" x14ac:dyDescent="0.25">
      <c r="C263" s="172">
        <v>44713</v>
      </c>
      <c r="D263" s="173">
        <f>$K$30</f>
        <v>1.3719871680000001E-2</v>
      </c>
    </row>
    <row r="264" spans="3:4" x14ac:dyDescent="0.25">
      <c r="C264" s="172">
        <v>44714</v>
      </c>
      <c r="D264" s="173">
        <f t="shared" ref="D264:D292" si="7">$K$30</f>
        <v>1.3719871680000001E-2</v>
      </c>
    </row>
    <row r="265" spans="3:4" x14ac:dyDescent="0.25">
      <c r="C265" s="172">
        <v>44715</v>
      </c>
      <c r="D265" s="173">
        <f t="shared" si="7"/>
        <v>1.3719871680000001E-2</v>
      </c>
    </row>
    <row r="266" spans="3:4" x14ac:dyDescent="0.25">
      <c r="C266" s="172">
        <v>44716</v>
      </c>
      <c r="D266" s="173">
        <f t="shared" si="7"/>
        <v>1.3719871680000001E-2</v>
      </c>
    </row>
    <row r="267" spans="3:4" x14ac:dyDescent="0.25">
      <c r="C267" s="172">
        <v>44717</v>
      </c>
      <c r="D267" s="173">
        <f t="shared" si="7"/>
        <v>1.3719871680000001E-2</v>
      </c>
    </row>
    <row r="268" spans="3:4" x14ac:dyDescent="0.25">
      <c r="C268" s="172">
        <v>44718</v>
      </c>
      <c r="D268" s="173">
        <f t="shared" si="7"/>
        <v>1.3719871680000001E-2</v>
      </c>
    </row>
    <row r="269" spans="3:4" x14ac:dyDescent="0.25">
      <c r="C269" s="172">
        <v>44719</v>
      </c>
      <c r="D269" s="173">
        <f t="shared" si="7"/>
        <v>1.3719871680000001E-2</v>
      </c>
    </row>
    <row r="270" spans="3:4" x14ac:dyDescent="0.25">
      <c r="C270" s="172">
        <v>44720</v>
      </c>
      <c r="D270" s="173">
        <f t="shared" si="7"/>
        <v>1.3719871680000001E-2</v>
      </c>
    </row>
    <row r="271" spans="3:4" x14ac:dyDescent="0.25">
      <c r="C271" s="172">
        <v>44721</v>
      </c>
      <c r="D271" s="173">
        <f t="shared" si="7"/>
        <v>1.3719871680000001E-2</v>
      </c>
    </row>
    <row r="272" spans="3:4" x14ac:dyDescent="0.25">
      <c r="C272" s="172">
        <v>44722</v>
      </c>
      <c r="D272" s="173">
        <f t="shared" si="7"/>
        <v>1.3719871680000001E-2</v>
      </c>
    </row>
    <row r="273" spans="3:4" x14ac:dyDescent="0.25">
      <c r="C273" s="172">
        <v>44723</v>
      </c>
      <c r="D273" s="173">
        <f t="shared" si="7"/>
        <v>1.3719871680000001E-2</v>
      </c>
    </row>
    <row r="274" spans="3:4" x14ac:dyDescent="0.25">
      <c r="C274" s="172">
        <v>44724</v>
      </c>
      <c r="D274" s="173">
        <f t="shared" si="7"/>
        <v>1.3719871680000001E-2</v>
      </c>
    </row>
    <row r="275" spans="3:4" x14ac:dyDescent="0.25">
      <c r="C275" s="172">
        <v>44725</v>
      </c>
      <c r="D275" s="173">
        <f t="shared" si="7"/>
        <v>1.3719871680000001E-2</v>
      </c>
    </row>
    <row r="276" spans="3:4" x14ac:dyDescent="0.25">
      <c r="C276" s="172">
        <v>44726</v>
      </c>
      <c r="D276" s="173">
        <f t="shared" si="7"/>
        <v>1.3719871680000001E-2</v>
      </c>
    </row>
    <row r="277" spans="3:4" x14ac:dyDescent="0.25">
      <c r="C277" s="172">
        <v>44727</v>
      </c>
      <c r="D277" s="173">
        <f t="shared" si="7"/>
        <v>1.3719871680000001E-2</v>
      </c>
    </row>
    <row r="278" spans="3:4" x14ac:dyDescent="0.25">
      <c r="C278" s="172">
        <v>44728</v>
      </c>
      <c r="D278" s="173">
        <f t="shared" si="7"/>
        <v>1.3719871680000001E-2</v>
      </c>
    </row>
    <row r="279" spans="3:4" x14ac:dyDescent="0.25">
      <c r="C279" s="172">
        <v>44729</v>
      </c>
      <c r="D279" s="173">
        <f t="shared" si="7"/>
        <v>1.3719871680000001E-2</v>
      </c>
    </row>
    <row r="280" spans="3:4" x14ac:dyDescent="0.25">
      <c r="C280" s="172">
        <v>44730</v>
      </c>
      <c r="D280" s="173">
        <f t="shared" si="7"/>
        <v>1.3719871680000001E-2</v>
      </c>
    </row>
    <row r="281" spans="3:4" x14ac:dyDescent="0.25">
      <c r="C281" s="172">
        <v>44731</v>
      </c>
      <c r="D281" s="173">
        <f t="shared" si="7"/>
        <v>1.3719871680000001E-2</v>
      </c>
    </row>
    <row r="282" spans="3:4" x14ac:dyDescent="0.25">
      <c r="C282" s="172">
        <v>44732</v>
      </c>
      <c r="D282" s="173">
        <f t="shared" si="7"/>
        <v>1.3719871680000001E-2</v>
      </c>
    </row>
    <row r="283" spans="3:4" x14ac:dyDescent="0.25">
      <c r="C283" s="172">
        <v>44733</v>
      </c>
      <c r="D283" s="173">
        <f t="shared" si="7"/>
        <v>1.3719871680000001E-2</v>
      </c>
    </row>
    <row r="284" spans="3:4" x14ac:dyDescent="0.25">
      <c r="C284" s="172">
        <v>44734</v>
      </c>
      <c r="D284" s="173">
        <f t="shared" si="7"/>
        <v>1.3719871680000001E-2</v>
      </c>
    </row>
    <row r="285" spans="3:4" x14ac:dyDescent="0.25">
      <c r="C285" s="172">
        <v>44735</v>
      </c>
      <c r="D285" s="173">
        <f t="shared" si="7"/>
        <v>1.3719871680000001E-2</v>
      </c>
    </row>
    <row r="286" spans="3:4" x14ac:dyDescent="0.25">
      <c r="C286" s="172">
        <v>44736</v>
      </c>
      <c r="D286" s="173">
        <f t="shared" si="7"/>
        <v>1.3719871680000001E-2</v>
      </c>
    </row>
    <row r="287" spans="3:4" x14ac:dyDescent="0.25">
      <c r="C287" s="172">
        <v>44737</v>
      </c>
      <c r="D287" s="173">
        <f t="shared" si="7"/>
        <v>1.3719871680000001E-2</v>
      </c>
    </row>
    <row r="288" spans="3:4" x14ac:dyDescent="0.25">
      <c r="C288" s="172">
        <v>44738</v>
      </c>
      <c r="D288" s="173">
        <f t="shared" si="7"/>
        <v>1.3719871680000001E-2</v>
      </c>
    </row>
    <row r="289" spans="3:4" x14ac:dyDescent="0.25">
      <c r="C289" s="172">
        <v>44739</v>
      </c>
      <c r="D289" s="173">
        <f t="shared" si="7"/>
        <v>1.3719871680000001E-2</v>
      </c>
    </row>
    <row r="290" spans="3:4" x14ac:dyDescent="0.25">
      <c r="C290" s="172">
        <v>44740</v>
      </c>
      <c r="D290" s="173">
        <f t="shared" si="7"/>
        <v>1.3719871680000001E-2</v>
      </c>
    </row>
    <row r="291" spans="3:4" x14ac:dyDescent="0.25">
      <c r="C291" s="172">
        <v>44741</v>
      </c>
      <c r="D291" s="173">
        <f t="shared" si="7"/>
        <v>1.3719871680000001E-2</v>
      </c>
    </row>
    <row r="292" spans="3:4" x14ac:dyDescent="0.25">
      <c r="C292" s="172">
        <v>44742</v>
      </c>
      <c r="D292" s="173">
        <f t="shared" si="7"/>
        <v>1.3719871680000001E-2</v>
      </c>
    </row>
    <row r="293" spans="3:4" x14ac:dyDescent="0.25">
      <c r="C293" s="172">
        <v>44743</v>
      </c>
      <c r="D293" s="173">
        <f>$L$30</f>
        <v>0</v>
      </c>
    </row>
    <row r="294" spans="3:4" x14ac:dyDescent="0.25">
      <c r="C294" s="172">
        <v>44744</v>
      </c>
      <c r="D294" s="173">
        <f t="shared" ref="D294:D323" si="8">$L$30</f>
        <v>0</v>
      </c>
    </row>
    <row r="295" spans="3:4" x14ac:dyDescent="0.25">
      <c r="C295" s="172">
        <v>44745</v>
      </c>
      <c r="D295" s="173">
        <f t="shared" si="8"/>
        <v>0</v>
      </c>
    </row>
    <row r="296" spans="3:4" x14ac:dyDescent="0.25">
      <c r="C296" s="172">
        <v>44746</v>
      </c>
      <c r="D296" s="173">
        <f t="shared" si="8"/>
        <v>0</v>
      </c>
    </row>
    <row r="297" spans="3:4" x14ac:dyDescent="0.25">
      <c r="C297" s="172">
        <v>44747</v>
      </c>
      <c r="D297" s="173">
        <f t="shared" si="8"/>
        <v>0</v>
      </c>
    </row>
    <row r="298" spans="3:4" x14ac:dyDescent="0.25">
      <c r="C298" s="172">
        <v>44748</v>
      </c>
      <c r="D298" s="173">
        <f t="shared" si="8"/>
        <v>0</v>
      </c>
    </row>
    <row r="299" spans="3:4" x14ac:dyDescent="0.25">
      <c r="C299" s="172">
        <v>44749</v>
      </c>
      <c r="D299" s="173">
        <f t="shared" si="8"/>
        <v>0</v>
      </c>
    </row>
    <row r="300" spans="3:4" x14ac:dyDescent="0.25">
      <c r="C300" s="172">
        <v>44750</v>
      </c>
      <c r="D300" s="173">
        <f t="shared" si="8"/>
        <v>0</v>
      </c>
    </row>
    <row r="301" spans="3:4" x14ac:dyDescent="0.25">
      <c r="C301" s="172">
        <v>44751</v>
      </c>
      <c r="D301" s="173">
        <f t="shared" si="8"/>
        <v>0</v>
      </c>
    </row>
    <row r="302" spans="3:4" x14ac:dyDescent="0.25">
      <c r="C302" s="172">
        <v>44752</v>
      </c>
      <c r="D302" s="173">
        <f t="shared" si="8"/>
        <v>0</v>
      </c>
    </row>
    <row r="303" spans="3:4" x14ac:dyDescent="0.25">
      <c r="C303" s="172">
        <v>44753</v>
      </c>
      <c r="D303" s="173">
        <f t="shared" si="8"/>
        <v>0</v>
      </c>
    </row>
    <row r="304" spans="3:4" x14ac:dyDescent="0.25">
      <c r="C304" s="172">
        <v>44754</v>
      </c>
      <c r="D304" s="173">
        <f t="shared" si="8"/>
        <v>0</v>
      </c>
    </row>
    <row r="305" spans="3:4" x14ac:dyDescent="0.25">
      <c r="C305" s="172">
        <v>44755</v>
      </c>
      <c r="D305" s="173">
        <f t="shared" si="8"/>
        <v>0</v>
      </c>
    </row>
    <row r="306" spans="3:4" x14ac:dyDescent="0.25">
      <c r="C306" s="172">
        <v>44756</v>
      </c>
      <c r="D306" s="173">
        <f t="shared" si="8"/>
        <v>0</v>
      </c>
    </row>
    <row r="307" spans="3:4" x14ac:dyDescent="0.25">
      <c r="C307" s="172">
        <v>44757</v>
      </c>
      <c r="D307" s="173">
        <f t="shared" si="8"/>
        <v>0</v>
      </c>
    </row>
    <row r="308" spans="3:4" x14ac:dyDescent="0.25">
      <c r="C308" s="172">
        <v>44758</v>
      </c>
      <c r="D308" s="173">
        <f t="shared" si="8"/>
        <v>0</v>
      </c>
    </row>
    <row r="309" spans="3:4" x14ac:dyDescent="0.25">
      <c r="C309" s="172">
        <v>44759</v>
      </c>
      <c r="D309" s="173">
        <f t="shared" si="8"/>
        <v>0</v>
      </c>
    </row>
    <row r="310" spans="3:4" x14ac:dyDescent="0.25">
      <c r="C310" s="172">
        <v>44760</v>
      </c>
      <c r="D310" s="173">
        <f t="shared" si="8"/>
        <v>0</v>
      </c>
    </row>
    <row r="311" spans="3:4" x14ac:dyDescent="0.25">
      <c r="C311" s="172">
        <v>44761</v>
      </c>
      <c r="D311" s="173">
        <f t="shared" si="8"/>
        <v>0</v>
      </c>
    </row>
    <row r="312" spans="3:4" x14ac:dyDescent="0.25">
      <c r="C312" s="172">
        <v>44762</v>
      </c>
      <c r="D312" s="173">
        <f t="shared" si="8"/>
        <v>0</v>
      </c>
    </row>
    <row r="313" spans="3:4" x14ac:dyDescent="0.25">
      <c r="C313" s="172">
        <v>44763</v>
      </c>
      <c r="D313" s="173">
        <f t="shared" si="8"/>
        <v>0</v>
      </c>
    </row>
    <row r="314" spans="3:4" x14ac:dyDescent="0.25">
      <c r="C314" s="172">
        <v>44764</v>
      </c>
      <c r="D314" s="173">
        <f t="shared" si="8"/>
        <v>0</v>
      </c>
    </row>
    <row r="315" spans="3:4" x14ac:dyDescent="0.25">
      <c r="C315" s="172">
        <v>44765</v>
      </c>
      <c r="D315" s="173">
        <f t="shared" si="8"/>
        <v>0</v>
      </c>
    </row>
    <row r="316" spans="3:4" x14ac:dyDescent="0.25">
      <c r="C316" s="172">
        <v>44766</v>
      </c>
      <c r="D316" s="173">
        <f t="shared" si="8"/>
        <v>0</v>
      </c>
    </row>
    <row r="317" spans="3:4" x14ac:dyDescent="0.25">
      <c r="C317" s="172">
        <v>44767</v>
      </c>
      <c r="D317" s="173">
        <f t="shared" si="8"/>
        <v>0</v>
      </c>
    </row>
    <row r="318" spans="3:4" x14ac:dyDescent="0.25">
      <c r="C318" s="172">
        <v>44768</v>
      </c>
      <c r="D318" s="173">
        <f t="shared" si="8"/>
        <v>0</v>
      </c>
    </row>
    <row r="319" spans="3:4" x14ac:dyDescent="0.25">
      <c r="C319" s="172">
        <v>44769</v>
      </c>
      <c r="D319" s="173">
        <f t="shared" si="8"/>
        <v>0</v>
      </c>
    </row>
    <row r="320" spans="3:4" x14ac:dyDescent="0.25">
      <c r="C320" s="172">
        <v>44770</v>
      </c>
      <c r="D320" s="173">
        <f t="shared" si="8"/>
        <v>0</v>
      </c>
    </row>
    <row r="321" spans="3:4" x14ac:dyDescent="0.25">
      <c r="C321" s="172">
        <v>44771</v>
      </c>
      <c r="D321" s="173">
        <f t="shared" si="8"/>
        <v>0</v>
      </c>
    </row>
    <row r="322" spans="3:4" x14ac:dyDescent="0.25">
      <c r="C322" s="172">
        <v>44772</v>
      </c>
      <c r="D322" s="173">
        <f t="shared" si="8"/>
        <v>0</v>
      </c>
    </row>
    <row r="323" spans="3:4" x14ac:dyDescent="0.25">
      <c r="C323" s="172">
        <v>44773</v>
      </c>
      <c r="D323" s="173">
        <f t="shared" si="8"/>
        <v>0</v>
      </c>
    </row>
    <row r="324" spans="3:4" x14ac:dyDescent="0.25">
      <c r="C324" s="172">
        <v>44774</v>
      </c>
      <c r="D324" s="173">
        <f>$M$30</f>
        <v>0</v>
      </c>
    </row>
    <row r="325" spans="3:4" x14ac:dyDescent="0.25">
      <c r="C325" s="172">
        <v>44775</v>
      </c>
      <c r="D325" s="173">
        <f t="shared" ref="D325:D354" si="9">$M$30</f>
        <v>0</v>
      </c>
    </row>
    <row r="326" spans="3:4" x14ac:dyDescent="0.25">
      <c r="C326" s="172">
        <v>44776</v>
      </c>
      <c r="D326" s="173">
        <f t="shared" si="9"/>
        <v>0</v>
      </c>
    </row>
    <row r="327" spans="3:4" x14ac:dyDescent="0.25">
      <c r="C327" s="172">
        <v>44777</v>
      </c>
      <c r="D327" s="173">
        <f t="shared" si="9"/>
        <v>0</v>
      </c>
    </row>
    <row r="328" spans="3:4" x14ac:dyDescent="0.25">
      <c r="C328" s="172">
        <v>44778</v>
      </c>
      <c r="D328" s="173">
        <f t="shared" si="9"/>
        <v>0</v>
      </c>
    </row>
    <row r="329" spans="3:4" x14ac:dyDescent="0.25">
      <c r="C329" s="172">
        <v>44779</v>
      </c>
      <c r="D329" s="173">
        <f t="shared" si="9"/>
        <v>0</v>
      </c>
    </row>
    <row r="330" spans="3:4" x14ac:dyDescent="0.25">
      <c r="C330" s="172">
        <v>44780</v>
      </c>
      <c r="D330" s="173">
        <f t="shared" si="9"/>
        <v>0</v>
      </c>
    </row>
    <row r="331" spans="3:4" x14ac:dyDescent="0.25">
      <c r="C331" s="172">
        <v>44781</v>
      </c>
      <c r="D331" s="173">
        <f t="shared" si="9"/>
        <v>0</v>
      </c>
    </row>
    <row r="332" spans="3:4" x14ac:dyDescent="0.25">
      <c r="C332" s="172">
        <v>44782</v>
      </c>
      <c r="D332" s="173">
        <f t="shared" si="9"/>
        <v>0</v>
      </c>
    </row>
    <row r="333" spans="3:4" x14ac:dyDescent="0.25">
      <c r="C333" s="172">
        <v>44783</v>
      </c>
      <c r="D333" s="173">
        <f t="shared" si="9"/>
        <v>0</v>
      </c>
    </row>
    <row r="334" spans="3:4" x14ac:dyDescent="0.25">
      <c r="C334" s="172">
        <v>44784</v>
      </c>
      <c r="D334" s="173">
        <f t="shared" si="9"/>
        <v>0</v>
      </c>
    </row>
    <row r="335" spans="3:4" x14ac:dyDescent="0.25">
      <c r="C335" s="172">
        <v>44785</v>
      </c>
      <c r="D335" s="173">
        <f t="shared" si="9"/>
        <v>0</v>
      </c>
    </row>
    <row r="336" spans="3:4" x14ac:dyDescent="0.25">
      <c r="C336" s="172">
        <v>44786</v>
      </c>
      <c r="D336" s="173">
        <f t="shared" si="9"/>
        <v>0</v>
      </c>
    </row>
    <row r="337" spans="3:4" x14ac:dyDescent="0.25">
      <c r="C337" s="172">
        <v>44787</v>
      </c>
      <c r="D337" s="173">
        <f t="shared" si="9"/>
        <v>0</v>
      </c>
    </row>
    <row r="338" spans="3:4" x14ac:dyDescent="0.25">
      <c r="C338" s="172">
        <v>44788</v>
      </c>
      <c r="D338" s="173">
        <f t="shared" si="9"/>
        <v>0</v>
      </c>
    </row>
    <row r="339" spans="3:4" x14ac:dyDescent="0.25">
      <c r="C339" s="172">
        <v>44789</v>
      </c>
      <c r="D339" s="173">
        <f t="shared" si="9"/>
        <v>0</v>
      </c>
    </row>
    <row r="340" spans="3:4" x14ac:dyDescent="0.25">
      <c r="C340" s="172">
        <v>44790</v>
      </c>
      <c r="D340" s="173">
        <f t="shared" si="9"/>
        <v>0</v>
      </c>
    </row>
    <row r="341" spans="3:4" x14ac:dyDescent="0.25">
      <c r="C341" s="172">
        <v>44791</v>
      </c>
      <c r="D341" s="173">
        <f t="shared" si="9"/>
        <v>0</v>
      </c>
    </row>
    <row r="342" spans="3:4" x14ac:dyDescent="0.25">
      <c r="C342" s="172">
        <v>44792</v>
      </c>
      <c r="D342" s="173">
        <f t="shared" si="9"/>
        <v>0</v>
      </c>
    </row>
    <row r="343" spans="3:4" x14ac:dyDescent="0.25">
      <c r="C343" s="172">
        <v>44793</v>
      </c>
      <c r="D343" s="173">
        <f t="shared" si="9"/>
        <v>0</v>
      </c>
    </row>
    <row r="344" spans="3:4" x14ac:dyDescent="0.25">
      <c r="C344" s="172">
        <v>44794</v>
      </c>
      <c r="D344" s="173">
        <f t="shared" si="9"/>
        <v>0</v>
      </c>
    </row>
    <row r="345" spans="3:4" x14ac:dyDescent="0.25">
      <c r="C345" s="172">
        <v>44795</v>
      </c>
      <c r="D345" s="173">
        <f t="shared" si="9"/>
        <v>0</v>
      </c>
    </row>
    <row r="346" spans="3:4" x14ac:dyDescent="0.25">
      <c r="C346" s="172">
        <v>44796</v>
      </c>
      <c r="D346" s="173">
        <f t="shared" si="9"/>
        <v>0</v>
      </c>
    </row>
    <row r="347" spans="3:4" x14ac:dyDescent="0.25">
      <c r="C347" s="172">
        <v>44797</v>
      </c>
      <c r="D347" s="173">
        <f t="shared" si="9"/>
        <v>0</v>
      </c>
    </row>
    <row r="348" spans="3:4" x14ac:dyDescent="0.25">
      <c r="C348" s="172">
        <v>44798</v>
      </c>
      <c r="D348" s="173">
        <f t="shared" si="9"/>
        <v>0</v>
      </c>
    </row>
    <row r="349" spans="3:4" x14ac:dyDescent="0.25">
      <c r="C349" s="172">
        <v>44799</v>
      </c>
      <c r="D349" s="173">
        <f t="shared" si="9"/>
        <v>0</v>
      </c>
    </row>
    <row r="350" spans="3:4" x14ac:dyDescent="0.25">
      <c r="C350" s="172">
        <v>44800</v>
      </c>
      <c r="D350" s="173">
        <f t="shared" si="9"/>
        <v>0</v>
      </c>
    </row>
    <row r="351" spans="3:4" x14ac:dyDescent="0.25">
      <c r="C351" s="172">
        <v>44801</v>
      </c>
      <c r="D351" s="173">
        <f t="shared" si="9"/>
        <v>0</v>
      </c>
    </row>
    <row r="352" spans="3:4" x14ac:dyDescent="0.25">
      <c r="C352" s="172">
        <v>44802</v>
      </c>
      <c r="D352" s="173">
        <f t="shared" si="9"/>
        <v>0</v>
      </c>
    </row>
    <row r="353" spans="3:4" x14ac:dyDescent="0.25">
      <c r="C353" s="172">
        <v>44803</v>
      </c>
      <c r="D353" s="173">
        <f t="shared" si="9"/>
        <v>0</v>
      </c>
    </row>
    <row r="354" spans="3:4" x14ac:dyDescent="0.25">
      <c r="C354" s="172">
        <v>44804</v>
      </c>
      <c r="D354" s="173">
        <f t="shared" si="9"/>
        <v>0</v>
      </c>
    </row>
    <row r="355" spans="3:4" x14ac:dyDescent="0.25">
      <c r="C355" s="172">
        <v>44805</v>
      </c>
      <c r="D355" s="173">
        <f>$N$30</f>
        <v>0</v>
      </c>
    </row>
    <row r="356" spans="3:4" x14ac:dyDescent="0.25">
      <c r="C356" s="172">
        <v>44806</v>
      </c>
      <c r="D356" s="173">
        <f t="shared" ref="D356:D384" si="10">$N$30</f>
        <v>0</v>
      </c>
    </row>
    <row r="357" spans="3:4" x14ac:dyDescent="0.25">
      <c r="C357" s="172">
        <v>44807</v>
      </c>
      <c r="D357" s="173">
        <f t="shared" si="10"/>
        <v>0</v>
      </c>
    </row>
    <row r="358" spans="3:4" x14ac:dyDescent="0.25">
      <c r="C358" s="172">
        <v>44808</v>
      </c>
      <c r="D358" s="173">
        <f t="shared" si="10"/>
        <v>0</v>
      </c>
    </row>
    <row r="359" spans="3:4" x14ac:dyDescent="0.25">
      <c r="C359" s="172">
        <v>44809</v>
      </c>
      <c r="D359" s="173">
        <f t="shared" si="10"/>
        <v>0</v>
      </c>
    </row>
    <row r="360" spans="3:4" x14ac:dyDescent="0.25">
      <c r="C360" s="172">
        <v>44810</v>
      </c>
      <c r="D360" s="173">
        <f t="shared" si="10"/>
        <v>0</v>
      </c>
    </row>
    <row r="361" spans="3:4" x14ac:dyDescent="0.25">
      <c r="C361" s="172">
        <v>44811</v>
      </c>
      <c r="D361" s="173">
        <f t="shared" si="10"/>
        <v>0</v>
      </c>
    </row>
    <row r="362" spans="3:4" x14ac:dyDescent="0.25">
      <c r="C362" s="172">
        <v>44812</v>
      </c>
      <c r="D362" s="173">
        <f t="shared" si="10"/>
        <v>0</v>
      </c>
    </row>
    <row r="363" spans="3:4" x14ac:dyDescent="0.25">
      <c r="C363" s="172">
        <v>44813</v>
      </c>
      <c r="D363" s="173">
        <f t="shared" si="10"/>
        <v>0</v>
      </c>
    </row>
    <row r="364" spans="3:4" x14ac:dyDescent="0.25">
      <c r="C364" s="172">
        <v>44814</v>
      </c>
      <c r="D364" s="173">
        <f t="shared" si="10"/>
        <v>0</v>
      </c>
    </row>
    <row r="365" spans="3:4" x14ac:dyDescent="0.25">
      <c r="C365" s="172">
        <v>44815</v>
      </c>
      <c r="D365" s="173">
        <f t="shared" si="10"/>
        <v>0</v>
      </c>
    </row>
    <row r="366" spans="3:4" x14ac:dyDescent="0.25">
      <c r="C366" s="172">
        <v>44816</v>
      </c>
      <c r="D366" s="173">
        <f t="shared" si="10"/>
        <v>0</v>
      </c>
    </row>
    <row r="367" spans="3:4" x14ac:dyDescent="0.25">
      <c r="C367" s="172">
        <v>44817</v>
      </c>
      <c r="D367" s="173">
        <f t="shared" si="10"/>
        <v>0</v>
      </c>
    </row>
    <row r="368" spans="3:4" x14ac:dyDescent="0.25">
      <c r="C368" s="172">
        <v>44818</v>
      </c>
      <c r="D368" s="173">
        <f t="shared" si="10"/>
        <v>0</v>
      </c>
    </row>
    <row r="369" spans="3:4" x14ac:dyDescent="0.25">
      <c r="C369" s="172">
        <v>44819</v>
      </c>
      <c r="D369" s="173">
        <f t="shared" si="10"/>
        <v>0</v>
      </c>
    </row>
    <row r="370" spans="3:4" x14ac:dyDescent="0.25">
      <c r="C370" s="172">
        <v>44820</v>
      </c>
      <c r="D370" s="173">
        <f t="shared" si="10"/>
        <v>0</v>
      </c>
    </row>
    <row r="371" spans="3:4" x14ac:dyDescent="0.25">
      <c r="C371" s="172">
        <v>44821</v>
      </c>
      <c r="D371" s="173">
        <f t="shared" si="10"/>
        <v>0</v>
      </c>
    </row>
    <row r="372" spans="3:4" x14ac:dyDescent="0.25">
      <c r="C372" s="172">
        <v>44822</v>
      </c>
      <c r="D372" s="173">
        <f t="shared" si="10"/>
        <v>0</v>
      </c>
    </row>
    <row r="373" spans="3:4" x14ac:dyDescent="0.25">
      <c r="C373" s="172">
        <v>44823</v>
      </c>
      <c r="D373" s="173">
        <f t="shared" si="10"/>
        <v>0</v>
      </c>
    </row>
    <row r="374" spans="3:4" x14ac:dyDescent="0.25">
      <c r="C374" s="172">
        <v>44824</v>
      </c>
      <c r="D374" s="173">
        <f t="shared" si="10"/>
        <v>0</v>
      </c>
    </row>
    <row r="375" spans="3:4" x14ac:dyDescent="0.25">
      <c r="C375" s="172">
        <v>44825</v>
      </c>
      <c r="D375" s="173">
        <f t="shared" si="10"/>
        <v>0</v>
      </c>
    </row>
    <row r="376" spans="3:4" x14ac:dyDescent="0.25">
      <c r="C376" s="172">
        <v>44826</v>
      </c>
      <c r="D376" s="173">
        <f t="shared" si="10"/>
        <v>0</v>
      </c>
    </row>
    <row r="377" spans="3:4" x14ac:dyDescent="0.25">
      <c r="C377" s="172">
        <v>44827</v>
      </c>
      <c r="D377" s="173">
        <f t="shared" si="10"/>
        <v>0</v>
      </c>
    </row>
    <row r="378" spans="3:4" x14ac:dyDescent="0.25">
      <c r="C378" s="172">
        <v>44828</v>
      </c>
      <c r="D378" s="173">
        <f t="shared" si="10"/>
        <v>0</v>
      </c>
    </row>
    <row r="379" spans="3:4" x14ac:dyDescent="0.25">
      <c r="C379" s="172">
        <v>44829</v>
      </c>
      <c r="D379" s="173">
        <f t="shared" si="10"/>
        <v>0</v>
      </c>
    </row>
    <row r="380" spans="3:4" x14ac:dyDescent="0.25">
      <c r="C380" s="172">
        <v>44830</v>
      </c>
      <c r="D380" s="173">
        <f t="shared" si="10"/>
        <v>0</v>
      </c>
    </row>
    <row r="381" spans="3:4" x14ac:dyDescent="0.25">
      <c r="C381" s="172">
        <v>44831</v>
      </c>
      <c r="D381" s="173">
        <f t="shared" si="10"/>
        <v>0</v>
      </c>
    </row>
    <row r="382" spans="3:4" x14ac:dyDescent="0.25">
      <c r="C382" s="172">
        <v>44832</v>
      </c>
      <c r="D382" s="173">
        <f t="shared" si="10"/>
        <v>0</v>
      </c>
    </row>
    <row r="383" spans="3:4" x14ac:dyDescent="0.25">
      <c r="C383" s="172">
        <v>44833</v>
      </c>
      <c r="D383" s="173">
        <f t="shared" si="10"/>
        <v>0</v>
      </c>
    </row>
    <row r="384" spans="3:4" x14ac:dyDescent="0.25">
      <c r="C384" s="172">
        <v>44834</v>
      </c>
      <c r="D384" s="173">
        <f t="shared" si="10"/>
        <v>0</v>
      </c>
    </row>
    <row r="385" spans="3:4" x14ac:dyDescent="0.25">
      <c r="C385" s="172">
        <v>44835</v>
      </c>
      <c r="D385" s="173">
        <f>$O$30</f>
        <v>0</v>
      </c>
    </row>
    <row r="386" spans="3:4" x14ac:dyDescent="0.25">
      <c r="C386" s="172">
        <v>44836</v>
      </c>
      <c r="D386" s="173">
        <f t="shared" ref="D386:D415" si="11">$O$30</f>
        <v>0</v>
      </c>
    </row>
    <row r="387" spans="3:4" x14ac:dyDescent="0.25">
      <c r="C387" s="172">
        <v>44837</v>
      </c>
      <c r="D387" s="173">
        <f t="shared" si="11"/>
        <v>0</v>
      </c>
    </row>
    <row r="388" spans="3:4" x14ac:dyDescent="0.25">
      <c r="C388" s="172">
        <v>44838</v>
      </c>
      <c r="D388" s="173">
        <f t="shared" si="11"/>
        <v>0</v>
      </c>
    </row>
    <row r="389" spans="3:4" x14ac:dyDescent="0.25">
      <c r="C389" s="172">
        <v>44839</v>
      </c>
      <c r="D389" s="173">
        <f t="shared" si="11"/>
        <v>0</v>
      </c>
    </row>
    <row r="390" spans="3:4" x14ac:dyDescent="0.25">
      <c r="C390" s="172">
        <v>44840</v>
      </c>
      <c r="D390" s="173">
        <f t="shared" si="11"/>
        <v>0</v>
      </c>
    </row>
    <row r="391" spans="3:4" x14ac:dyDescent="0.25">
      <c r="C391" s="172">
        <v>44841</v>
      </c>
      <c r="D391" s="173">
        <f t="shared" si="11"/>
        <v>0</v>
      </c>
    </row>
    <row r="392" spans="3:4" x14ac:dyDescent="0.25">
      <c r="C392" s="172">
        <v>44842</v>
      </c>
      <c r="D392" s="173">
        <f t="shared" si="11"/>
        <v>0</v>
      </c>
    </row>
    <row r="393" spans="3:4" x14ac:dyDescent="0.25">
      <c r="C393" s="172">
        <v>44843</v>
      </c>
      <c r="D393" s="173">
        <f t="shared" si="11"/>
        <v>0</v>
      </c>
    </row>
    <row r="394" spans="3:4" x14ac:dyDescent="0.25">
      <c r="C394" s="172">
        <v>44844</v>
      </c>
      <c r="D394" s="173">
        <f t="shared" si="11"/>
        <v>0</v>
      </c>
    </row>
    <row r="395" spans="3:4" x14ac:dyDescent="0.25">
      <c r="C395" s="172">
        <v>44845</v>
      </c>
      <c r="D395" s="173">
        <f t="shared" si="11"/>
        <v>0</v>
      </c>
    </row>
    <row r="396" spans="3:4" x14ac:dyDescent="0.25">
      <c r="C396" s="172">
        <v>44846</v>
      </c>
      <c r="D396" s="173">
        <f t="shared" si="11"/>
        <v>0</v>
      </c>
    </row>
    <row r="397" spans="3:4" x14ac:dyDescent="0.25">
      <c r="C397" s="172">
        <v>44847</v>
      </c>
      <c r="D397" s="173">
        <f t="shared" si="11"/>
        <v>0</v>
      </c>
    </row>
    <row r="398" spans="3:4" x14ac:dyDescent="0.25">
      <c r="C398" s="172">
        <v>44848</v>
      </c>
      <c r="D398" s="173">
        <f t="shared" si="11"/>
        <v>0</v>
      </c>
    </row>
    <row r="399" spans="3:4" x14ac:dyDescent="0.25">
      <c r="C399" s="172">
        <v>44849</v>
      </c>
      <c r="D399" s="173">
        <f t="shared" si="11"/>
        <v>0</v>
      </c>
    </row>
    <row r="400" spans="3:4" x14ac:dyDescent="0.25">
      <c r="C400" s="172">
        <v>44850</v>
      </c>
      <c r="D400" s="173">
        <f t="shared" si="11"/>
        <v>0</v>
      </c>
    </row>
    <row r="401" spans="3:4" x14ac:dyDescent="0.25">
      <c r="C401" s="172">
        <v>44851</v>
      </c>
      <c r="D401" s="173">
        <f t="shared" si="11"/>
        <v>0</v>
      </c>
    </row>
    <row r="402" spans="3:4" x14ac:dyDescent="0.25">
      <c r="C402" s="172">
        <v>44852</v>
      </c>
      <c r="D402" s="173">
        <f t="shared" si="11"/>
        <v>0</v>
      </c>
    </row>
    <row r="403" spans="3:4" x14ac:dyDescent="0.25">
      <c r="C403" s="172">
        <v>44853</v>
      </c>
      <c r="D403" s="173">
        <f t="shared" si="11"/>
        <v>0</v>
      </c>
    </row>
    <row r="404" spans="3:4" x14ac:dyDescent="0.25">
      <c r="C404" s="172">
        <v>44854</v>
      </c>
      <c r="D404" s="173">
        <f t="shared" si="11"/>
        <v>0</v>
      </c>
    </row>
    <row r="405" spans="3:4" x14ac:dyDescent="0.25">
      <c r="C405" s="172">
        <v>44855</v>
      </c>
      <c r="D405" s="173">
        <f t="shared" si="11"/>
        <v>0</v>
      </c>
    </row>
    <row r="406" spans="3:4" x14ac:dyDescent="0.25">
      <c r="C406" s="172">
        <v>44856</v>
      </c>
      <c r="D406" s="173">
        <f t="shared" si="11"/>
        <v>0</v>
      </c>
    </row>
    <row r="407" spans="3:4" x14ac:dyDescent="0.25">
      <c r="C407" s="172">
        <v>44857</v>
      </c>
      <c r="D407" s="173">
        <f t="shared" si="11"/>
        <v>0</v>
      </c>
    </row>
    <row r="408" spans="3:4" x14ac:dyDescent="0.25">
      <c r="C408" s="172">
        <v>44858</v>
      </c>
      <c r="D408" s="173">
        <f t="shared" si="11"/>
        <v>0</v>
      </c>
    </row>
    <row r="409" spans="3:4" x14ac:dyDescent="0.25">
      <c r="C409" s="172">
        <v>44859</v>
      </c>
      <c r="D409" s="173">
        <f t="shared" si="11"/>
        <v>0</v>
      </c>
    </row>
    <row r="410" spans="3:4" x14ac:dyDescent="0.25">
      <c r="C410" s="172">
        <v>44860</v>
      </c>
      <c r="D410" s="173">
        <f t="shared" si="11"/>
        <v>0</v>
      </c>
    </row>
    <row r="411" spans="3:4" x14ac:dyDescent="0.25">
      <c r="C411" s="172">
        <v>44861</v>
      </c>
      <c r="D411" s="173">
        <f t="shared" si="11"/>
        <v>0</v>
      </c>
    </row>
    <row r="412" spans="3:4" x14ac:dyDescent="0.25">
      <c r="C412" s="172">
        <v>44862</v>
      </c>
      <c r="D412" s="173">
        <f t="shared" si="11"/>
        <v>0</v>
      </c>
    </row>
    <row r="413" spans="3:4" x14ac:dyDescent="0.25">
      <c r="C413" s="172">
        <v>44863</v>
      </c>
      <c r="D413" s="173">
        <f t="shared" si="11"/>
        <v>0</v>
      </c>
    </row>
    <row r="414" spans="3:4" x14ac:dyDescent="0.25">
      <c r="C414" s="172">
        <v>44864</v>
      </c>
      <c r="D414" s="173">
        <f t="shared" si="11"/>
        <v>0</v>
      </c>
    </row>
    <row r="415" spans="3:4" x14ac:dyDescent="0.25">
      <c r="C415" s="172">
        <v>44865</v>
      </c>
      <c r="D415" s="173">
        <f t="shared" si="11"/>
        <v>0</v>
      </c>
    </row>
    <row r="416" spans="3:4" x14ac:dyDescent="0.25">
      <c r="C416" s="172">
        <v>44866</v>
      </c>
      <c r="D416" s="173">
        <f>$P$30</f>
        <v>0</v>
      </c>
    </row>
    <row r="417" spans="3:4" x14ac:dyDescent="0.25">
      <c r="C417" s="172">
        <v>44867</v>
      </c>
      <c r="D417" s="173">
        <f t="shared" ref="D417:D445" si="12">$P$30</f>
        <v>0</v>
      </c>
    </row>
    <row r="418" spans="3:4" x14ac:dyDescent="0.25">
      <c r="C418" s="172">
        <v>44868</v>
      </c>
      <c r="D418" s="173">
        <f t="shared" si="12"/>
        <v>0</v>
      </c>
    </row>
    <row r="419" spans="3:4" x14ac:dyDescent="0.25">
      <c r="C419" s="172">
        <v>44869</v>
      </c>
      <c r="D419" s="173">
        <f t="shared" si="12"/>
        <v>0</v>
      </c>
    </row>
    <row r="420" spans="3:4" x14ac:dyDescent="0.25">
      <c r="C420" s="172">
        <v>44870</v>
      </c>
      <c r="D420" s="173">
        <f t="shared" si="12"/>
        <v>0</v>
      </c>
    </row>
    <row r="421" spans="3:4" x14ac:dyDescent="0.25">
      <c r="C421" s="172">
        <v>44871</v>
      </c>
      <c r="D421" s="173">
        <f t="shared" si="12"/>
        <v>0</v>
      </c>
    </row>
    <row r="422" spans="3:4" x14ac:dyDescent="0.25">
      <c r="C422" s="172">
        <v>44872</v>
      </c>
      <c r="D422" s="173">
        <f t="shared" si="12"/>
        <v>0</v>
      </c>
    </row>
    <row r="423" spans="3:4" x14ac:dyDescent="0.25">
      <c r="C423" s="172">
        <v>44873</v>
      </c>
      <c r="D423" s="173">
        <f t="shared" si="12"/>
        <v>0</v>
      </c>
    </row>
    <row r="424" spans="3:4" x14ac:dyDescent="0.25">
      <c r="C424" s="172">
        <v>44874</v>
      </c>
      <c r="D424" s="173">
        <f t="shared" si="12"/>
        <v>0</v>
      </c>
    </row>
    <row r="425" spans="3:4" x14ac:dyDescent="0.25">
      <c r="C425" s="172">
        <v>44875</v>
      </c>
      <c r="D425" s="173">
        <f t="shared" si="12"/>
        <v>0</v>
      </c>
    </row>
    <row r="426" spans="3:4" x14ac:dyDescent="0.25">
      <c r="C426" s="172">
        <v>44876</v>
      </c>
      <c r="D426" s="173">
        <f t="shared" si="12"/>
        <v>0</v>
      </c>
    </row>
    <row r="427" spans="3:4" x14ac:dyDescent="0.25">
      <c r="C427" s="172">
        <v>44877</v>
      </c>
      <c r="D427" s="173">
        <f t="shared" si="12"/>
        <v>0</v>
      </c>
    </row>
    <row r="428" spans="3:4" x14ac:dyDescent="0.25">
      <c r="C428" s="172">
        <v>44878</v>
      </c>
      <c r="D428" s="173">
        <f t="shared" si="12"/>
        <v>0</v>
      </c>
    </row>
    <row r="429" spans="3:4" x14ac:dyDescent="0.25">
      <c r="C429" s="172">
        <v>44879</v>
      </c>
      <c r="D429" s="173">
        <f t="shared" si="12"/>
        <v>0</v>
      </c>
    </row>
    <row r="430" spans="3:4" x14ac:dyDescent="0.25">
      <c r="C430" s="172">
        <v>44880</v>
      </c>
      <c r="D430" s="173">
        <f t="shared" si="12"/>
        <v>0</v>
      </c>
    </row>
    <row r="431" spans="3:4" x14ac:dyDescent="0.25">
      <c r="C431" s="172">
        <v>44881</v>
      </c>
      <c r="D431" s="173">
        <f t="shared" si="12"/>
        <v>0</v>
      </c>
    </row>
    <row r="432" spans="3:4" x14ac:dyDescent="0.25">
      <c r="C432" s="172">
        <v>44882</v>
      </c>
      <c r="D432" s="173">
        <f t="shared" si="12"/>
        <v>0</v>
      </c>
    </row>
    <row r="433" spans="3:4" x14ac:dyDescent="0.25">
      <c r="C433" s="172">
        <v>44883</v>
      </c>
      <c r="D433" s="173">
        <f t="shared" si="12"/>
        <v>0</v>
      </c>
    </row>
    <row r="434" spans="3:4" x14ac:dyDescent="0.25">
      <c r="C434" s="172">
        <v>44884</v>
      </c>
      <c r="D434" s="173">
        <f t="shared" si="12"/>
        <v>0</v>
      </c>
    </row>
    <row r="435" spans="3:4" x14ac:dyDescent="0.25">
      <c r="C435" s="172">
        <v>44885</v>
      </c>
      <c r="D435" s="173">
        <f t="shared" si="12"/>
        <v>0</v>
      </c>
    </row>
    <row r="436" spans="3:4" x14ac:dyDescent="0.25">
      <c r="C436" s="172">
        <v>44886</v>
      </c>
      <c r="D436" s="173">
        <f t="shared" si="12"/>
        <v>0</v>
      </c>
    </row>
    <row r="437" spans="3:4" x14ac:dyDescent="0.25">
      <c r="C437" s="172">
        <v>44887</v>
      </c>
      <c r="D437" s="173">
        <f t="shared" si="12"/>
        <v>0</v>
      </c>
    </row>
    <row r="438" spans="3:4" x14ac:dyDescent="0.25">
      <c r="C438" s="172">
        <v>44888</v>
      </c>
      <c r="D438" s="173">
        <f t="shared" si="12"/>
        <v>0</v>
      </c>
    </row>
    <row r="439" spans="3:4" x14ac:dyDescent="0.25">
      <c r="C439" s="172">
        <v>44889</v>
      </c>
      <c r="D439" s="173">
        <f t="shared" si="12"/>
        <v>0</v>
      </c>
    </row>
    <row r="440" spans="3:4" x14ac:dyDescent="0.25">
      <c r="C440" s="172">
        <v>44890</v>
      </c>
      <c r="D440" s="173">
        <f t="shared" si="12"/>
        <v>0</v>
      </c>
    </row>
    <row r="441" spans="3:4" x14ac:dyDescent="0.25">
      <c r="C441" s="172">
        <v>44891</v>
      </c>
      <c r="D441" s="173">
        <f t="shared" si="12"/>
        <v>0</v>
      </c>
    </row>
    <row r="442" spans="3:4" x14ac:dyDescent="0.25">
      <c r="C442" s="172">
        <v>44892</v>
      </c>
      <c r="D442" s="173">
        <f t="shared" si="12"/>
        <v>0</v>
      </c>
    </row>
    <row r="443" spans="3:4" x14ac:dyDescent="0.25">
      <c r="C443" s="172">
        <v>44893</v>
      </c>
      <c r="D443" s="173">
        <f t="shared" si="12"/>
        <v>0</v>
      </c>
    </row>
    <row r="444" spans="3:4" x14ac:dyDescent="0.25">
      <c r="C444" s="172">
        <v>44894</v>
      </c>
      <c r="D444" s="173">
        <f t="shared" si="12"/>
        <v>0</v>
      </c>
    </row>
    <row r="445" spans="3:4" x14ac:dyDescent="0.25">
      <c r="C445" s="172">
        <v>44895</v>
      </c>
      <c r="D445" s="173">
        <f t="shared" si="12"/>
        <v>0</v>
      </c>
    </row>
    <row r="446" spans="3:4" x14ac:dyDescent="0.25">
      <c r="C446" s="172">
        <v>44896</v>
      </c>
      <c r="D446" s="173">
        <f>$Q$30</f>
        <v>0</v>
      </c>
    </row>
    <row r="447" spans="3:4" x14ac:dyDescent="0.25">
      <c r="C447" s="172">
        <v>44897</v>
      </c>
      <c r="D447" s="173">
        <f t="shared" ref="D447:D476" si="13">$Q$30</f>
        <v>0</v>
      </c>
    </row>
    <row r="448" spans="3:4" x14ac:dyDescent="0.25">
      <c r="C448" s="172">
        <v>44898</v>
      </c>
      <c r="D448" s="173">
        <f t="shared" si="13"/>
        <v>0</v>
      </c>
    </row>
    <row r="449" spans="3:4" x14ac:dyDescent="0.25">
      <c r="C449" s="172">
        <v>44899</v>
      </c>
      <c r="D449" s="173">
        <f t="shared" si="13"/>
        <v>0</v>
      </c>
    </row>
    <row r="450" spans="3:4" x14ac:dyDescent="0.25">
      <c r="C450" s="172">
        <v>44900</v>
      </c>
      <c r="D450" s="173">
        <f t="shared" si="13"/>
        <v>0</v>
      </c>
    </row>
    <row r="451" spans="3:4" x14ac:dyDescent="0.25">
      <c r="C451" s="172">
        <v>44901</v>
      </c>
      <c r="D451" s="173">
        <f t="shared" si="13"/>
        <v>0</v>
      </c>
    </row>
    <row r="452" spans="3:4" x14ac:dyDescent="0.25">
      <c r="C452" s="172">
        <v>44902</v>
      </c>
      <c r="D452" s="173">
        <f t="shared" si="13"/>
        <v>0</v>
      </c>
    </row>
    <row r="453" spans="3:4" x14ac:dyDescent="0.25">
      <c r="C453" s="172">
        <v>44903</v>
      </c>
      <c r="D453" s="173">
        <f t="shared" si="13"/>
        <v>0</v>
      </c>
    </row>
    <row r="454" spans="3:4" x14ac:dyDescent="0.25">
      <c r="C454" s="172">
        <v>44904</v>
      </c>
      <c r="D454" s="173">
        <f t="shared" si="13"/>
        <v>0</v>
      </c>
    </row>
    <row r="455" spans="3:4" x14ac:dyDescent="0.25">
      <c r="C455" s="172">
        <v>44905</v>
      </c>
      <c r="D455" s="173">
        <f t="shared" si="13"/>
        <v>0</v>
      </c>
    </row>
    <row r="456" spans="3:4" x14ac:dyDescent="0.25">
      <c r="C456" s="172">
        <v>44906</v>
      </c>
      <c r="D456" s="173">
        <f t="shared" si="13"/>
        <v>0</v>
      </c>
    </row>
    <row r="457" spans="3:4" x14ac:dyDescent="0.25">
      <c r="C457" s="172">
        <v>44907</v>
      </c>
      <c r="D457" s="173">
        <f t="shared" si="13"/>
        <v>0</v>
      </c>
    </row>
    <row r="458" spans="3:4" x14ac:dyDescent="0.25">
      <c r="C458" s="172">
        <v>44908</v>
      </c>
      <c r="D458" s="173">
        <f t="shared" si="13"/>
        <v>0</v>
      </c>
    </row>
    <row r="459" spans="3:4" x14ac:dyDescent="0.25">
      <c r="C459" s="172">
        <v>44909</v>
      </c>
      <c r="D459" s="173">
        <f t="shared" si="13"/>
        <v>0</v>
      </c>
    </row>
    <row r="460" spans="3:4" x14ac:dyDescent="0.25">
      <c r="C460" s="172">
        <v>44910</v>
      </c>
      <c r="D460" s="173">
        <f t="shared" si="13"/>
        <v>0</v>
      </c>
    </row>
    <row r="461" spans="3:4" x14ac:dyDescent="0.25">
      <c r="C461" s="172">
        <v>44911</v>
      </c>
      <c r="D461" s="173">
        <f t="shared" si="13"/>
        <v>0</v>
      </c>
    </row>
    <row r="462" spans="3:4" x14ac:dyDescent="0.25">
      <c r="C462" s="172">
        <v>44912</v>
      </c>
      <c r="D462" s="173">
        <f t="shared" si="13"/>
        <v>0</v>
      </c>
    </row>
    <row r="463" spans="3:4" x14ac:dyDescent="0.25">
      <c r="C463" s="172">
        <v>44913</v>
      </c>
      <c r="D463" s="173">
        <f t="shared" si="13"/>
        <v>0</v>
      </c>
    </row>
    <row r="464" spans="3:4" x14ac:dyDescent="0.25">
      <c r="C464" s="172">
        <v>44914</v>
      </c>
      <c r="D464" s="173">
        <f t="shared" si="13"/>
        <v>0</v>
      </c>
    </row>
    <row r="465" spans="3:4" x14ac:dyDescent="0.25">
      <c r="C465" s="172">
        <v>44915</v>
      </c>
      <c r="D465" s="173">
        <f t="shared" si="13"/>
        <v>0</v>
      </c>
    </row>
    <row r="466" spans="3:4" x14ac:dyDescent="0.25">
      <c r="C466" s="172">
        <v>44916</v>
      </c>
      <c r="D466" s="173">
        <f t="shared" si="13"/>
        <v>0</v>
      </c>
    </row>
    <row r="467" spans="3:4" x14ac:dyDescent="0.25">
      <c r="C467" s="172">
        <v>44917</v>
      </c>
      <c r="D467" s="173">
        <f t="shared" si="13"/>
        <v>0</v>
      </c>
    </row>
    <row r="468" spans="3:4" x14ac:dyDescent="0.25">
      <c r="C468" s="172">
        <v>44918</v>
      </c>
      <c r="D468" s="173">
        <f t="shared" si="13"/>
        <v>0</v>
      </c>
    </row>
    <row r="469" spans="3:4" x14ac:dyDescent="0.25">
      <c r="C469" s="172">
        <v>44919</v>
      </c>
      <c r="D469" s="173">
        <f t="shared" si="13"/>
        <v>0</v>
      </c>
    </row>
    <row r="470" spans="3:4" x14ac:dyDescent="0.25">
      <c r="C470" s="172">
        <v>44920</v>
      </c>
      <c r="D470" s="173">
        <f t="shared" si="13"/>
        <v>0</v>
      </c>
    </row>
    <row r="471" spans="3:4" x14ac:dyDescent="0.25">
      <c r="C471" s="172">
        <v>44921</v>
      </c>
      <c r="D471" s="173">
        <f t="shared" si="13"/>
        <v>0</v>
      </c>
    </row>
    <row r="472" spans="3:4" x14ac:dyDescent="0.25">
      <c r="C472" s="172">
        <v>44922</v>
      </c>
      <c r="D472" s="173">
        <f t="shared" si="13"/>
        <v>0</v>
      </c>
    </row>
    <row r="473" spans="3:4" x14ac:dyDescent="0.25">
      <c r="C473" s="172">
        <v>44923</v>
      </c>
      <c r="D473" s="173">
        <f t="shared" si="13"/>
        <v>0</v>
      </c>
    </row>
    <row r="474" spans="3:4" x14ac:dyDescent="0.25">
      <c r="C474" s="172">
        <v>44924</v>
      </c>
      <c r="D474" s="173">
        <f t="shared" si="13"/>
        <v>0</v>
      </c>
    </row>
    <row r="475" spans="3:4" x14ac:dyDescent="0.25">
      <c r="C475" s="172">
        <v>44925</v>
      </c>
      <c r="D475" s="173">
        <f t="shared" si="13"/>
        <v>0</v>
      </c>
    </row>
    <row r="476" spans="3:4" x14ac:dyDescent="0.25">
      <c r="C476" s="172">
        <v>44926</v>
      </c>
      <c r="D476" s="173">
        <f t="shared" si="13"/>
        <v>0</v>
      </c>
    </row>
  </sheetData>
  <mergeCells count="10">
    <mergeCell ref="C11:C12"/>
    <mergeCell ref="D11:D12"/>
    <mergeCell ref="E11:E12"/>
    <mergeCell ref="F11:Q11"/>
    <mergeCell ref="C33:F33"/>
    <mergeCell ref="C27:E27"/>
    <mergeCell ref="C28:E28"/>
    <mergeCell ref="C29:E29"/>
    <mergeCell ref="C30:E30"/>
    <mergeCell ref="C31:E31"/>
  </mergeCells>
  <dataValidations count="3">
    <dataValidation type="whole" operator="greaterThanOrEqual" allowBlank="1" showInputMessage="1" showErrorMessage="1" error="Please enter Whole Numbers" prompt="Please Enter Whole Numbers" sqref="D13:D22" xr:uid="{1C3547F4-C3EB-4E8F-8C75-BDE3DCAA01A2}">
      <formula1>0</formula1>
    </dataValidation>
    <dataValidation type="whole" operator="greaterThanOrEqual" allowBlank="1" showInputMessage="1" showErrorMessage="1" error="Please Enter Whole Numbers" prompt="Please Enter Numbers" sqref="Q13:Q22" xr:uid="{149AEA3B-C5F9-4F6E-9981-9D58C6D9CBC7}">
      <formula1>0</formula1>
    </dataValidation>
    <dataValidation type="decimal" operator="greaterThanOrEqual" allowBlank="1" showInputMessage="1" showErrorMessage="1" error="Please Enter Numbers" prompt="Please Enter Numbers" sqref="E13:P22" xr:uid="{C2B5C36E-7410-418F-86C1-E593D9914C6E}">
      <formula1>0</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C1448-BA5E-41CC-AD9E-5A1923B4A0E9}">
  <dimension ref="A1:Y467"/>
  <sheetViews>
    <sheetView topLeftCell="A25" workbookViewId="0">
      <selection activeCell="F31" sqref="F31"/>
    </sheetView>
  </sheetViews>
  <sheetFormatPr defaultColWidth="8.5703125" defaultRowHeight="15" x14ac:dyDescent="0.25"/>
  <cols>
    <col min="1" max="1" width="5.7109375" style="1" customWidth="1"/>
    <col min="2" max="2" width="5.5703125" style="1" customWidth="1"/>
    <col min="3" max="3" width="15" style="1" customWidth="1"/>
    <col min="4" max="15" width="12.5703125" style="1" customWidth="1"/>
    <col min="16" max="16" width="4.140625" style="1" customWidth="1"/>
    <col min="17" max="17" width="3.28515625" style="1" customWidth="1"/>
    <col min="18" max="20" width="3.140625" style="1" customWidth="1"/>
    <col min="21" max="21" width="25" style="1" customWidth="1"/>
    <col min="22" max="16384" width="8.5703125" style="1"/>
  </cols>
  <sheetData>
    <row r="1" spans="1:25" ht="24.95" customHeight="1" x14ac:dyDescent="0.35">
      <c r="A1" s="375"/>
      <c r="B1" s="375"/>
      <c r="C1" s="375"/>
      <c r="D1" s="375"/>
      <c r="E1" s="375"/>
      <c r="F1" s="375"/>
      <c r="G1" s="375"/>
      <c r="H1" s="376" t="s">
        <v>268</v>
      </c>
      <c r="I1" s="377"/>
      <c r="J1" s="377"/>
      <c r="K1" s="377"/>
      <c r="L1" s="377"/>
      <c r="M1" s="377"/>
      <c r="N1" s="377"/>
      <c r="O1" s="375"/>
      <c r="P1" s="375"/>
      <c r="Q1" s="375"/>
      <c r="R1" s="375"/>
      <c r="S1" s="375"/>
      <c r="T1" s="135"/>
      <c r="U1" s="135"/>
      <c r="V1" s="135"/>
      <c r="W1" s="135"/>
      <c r="X1" s="135"/>
      <c r="Y1" s="135"/>
    </row>
    <row r="2" spans="1:25" ht="15" customHeight="1" x14ac:dyDescent="0.25"/>
    <row r="4" spans="1:25" ht="24" customHeight="1" x14ac:dyDescent="0.25">
      <c r="C4" s="65"/>
      <c r="D4" s="137"/>
      <c r="E4" s="137"/>
      <c r="F4" s="137"/>
      <c r="G4" s="137"/>
      <c r="H4" s="135"/>
      <c r="I4" s="135"/>
      <c r="J4" s="135"/>
      <c r="K4" s="135"/>
      <c r="L4" s="135"/>
      <c r="M4" s="135"/>
      <c r="N4" s="135"/>
      <c r="O4" s="135"/>
      <c r="P4" s="135"/>
      <c r="Q4" s="135"/>
      <c r="R4" s="135"/>
      <c r="S4" s="135"/>
      <c r="T4" s="135"/>
      <c r="U4" s="135"/>
      <c r="V4" s="135"/>
    </row>
    <row r="5" spans="1:25" ht="24" customHeight="1" x14ac:dyDescent="0.25">
      <c r="C5" s="65"/>
      <c r="D5" s="137"/>
      <c r="E5" s="137"/>
      <c r="F5" s="137"/>
      <c r="G5" s="137"/>
      <c r="H5" s="135"/>
      <c r="I5" s="135"/>
      <c r="J5" s="135"/>
      <c r="K5" s="135"/>
      <c r="L5" s="135"/>
      <c r="M5" s="135"/>
      <c r="N5" s="135"/>
      <c r="O5" s="135"/>
      <c r="P5" s="135"/>
      <c r="Q5" s="135"/>
      <c r="R5" s="135"/>
      <c r="S5" s="135"/>
      <c r="T5" s="135"/>
      <c r="U5" s="135"/>
      <c r="V5" s="135"/>
    </row>
    <row r="6" spans="1:25" ht="24" customHeight="1" x14ac:dyDescent="0.25">
      <c r="C6" s="65"/>
      <c r="D6" s="137"/>
      <c r="E6" s="137"/>
      <c r="F6" s="137"/>
      <c r="G6" s="137"/>
      <c r="H6" s="135"/>
      <c r="I6" s="135"/>
      <c r="J6" s="135"/>
      <c r="K6" s="135"/>
      <c r="L6" s="135"/>
      <c r="M6" s="135"/>
      <c r="N6" s="135"/>
      <c r="O6" s="135"/>
      <c r="P6" s="135"/>
      <c r="Q6" s="135"/>
      <c r="R6" s="135"/>
      <c r="S6" s="135"/>
      <c r="T6" s="135"/>
      <c r="U6" s="135"/>
      <c r="V6" s="135"/>
    </row>
    <row r="7" spans="1:25" ht="24" customHeight="1" x14ac:dyDescent="0.25">
      <c r="C7" s="65"/>
      <c r="D7" s="137"/>
      <c r="E7" s="137"/>
      <c r="F7" s="137"/>
      <c r="G7" s="137"/>
      <c r="H7" s="135"/>
      <c r="I7" s="135"/>
      <c r="J7" s="135"/>
      <c r="K7" s="135"/>
      <c r="L7" s="135"/>
      <c r="M7" s="135"/>
      <c r="N7" s="135"/>
      <c r="O7" s="135"/>
      <c r="P7" s="135"/>
      <c r="Q7" s="135"/>
      <c r="R7" s="135"/>
      <c r="S7" s="135"/>
      <c r="T7" s="135"/>
      <c r="U7" s="135"/>
      <c r="V7" s="135"/>
    </row>
    <row r="8" spans="1:25" ht="36" customHeight="1" x14ac:dyDescent="0.25">
      <c r="C8" s="239" t="s">
        <v>132</v>
      </c>
      <c r="D8" s="239" t="s">
        <v>250</v>
      </c>
      <c r="E8" s="239" t="s">
        <v>251</v>
      </c>
      <c r="F8" s="239" t="s">
        <v>252</v>
      </c>
      <c r="G8" s="239" t="s">
        <v>253</v>
      </c>
      <c r="H8" s="239" t="s">
        <v>139</v>
      </c>
      <c r="I8" s="239" t="s">
        <v>254</v>
      </c>
      <c r="J8" s="239" t="s">
        <v>255</v>
      </c>
      <c r="K8" s="239" t="s">
        <v>256</v>
      </c>
      <c r="L8" s="239" t="s">
        <v>257</v>
      </c>
      <c r="M8" s="239" t="s">
        <v>258</v>
      </c>
      <c r="N8" s="239" t="s">
        <v>259</v>
      </c>
      <c r="O8" s="239" t="s">
        <v>260</v>
      </c>
      <c r="P8" s="135"/>
      <c r="Q8" s="135"/>
      <c r="R8" s="135"/>
      <c r="S8" s="135"/>
      <c r="T8" s="135"/>
      <c r="U8" s="135"/>
      <c r="V8" s="135"/>
    </row>
    <row r="9" spans="1:25" ht="75" x14ac:dyDescent="0.25">
      <c r="C9" s="231" t="s">
        <v>265</v>
      </c>
      <c r="D9" s="241"/>
      <c r="E9" s="241">
        <v>10000</v>
      </c>
      <c r="F9" s="241"/>
      <c r="G9" s="241"/>
      <c r="H9" s="241"/>
      <c r="I9" s="241"/>
      <c r="J9" s="241"/>
      <c r="K9" s="241"/>
      <c r="L9" s="241"/>
      <c r="M9" s="241"/>
      <c r="N9" s="241"/>
      <c r="O9" s="241"/>
      <c r="P9" s="135"/>
      <c r="Q9" s="135"/>
      <c r="R9" s="135"/>
      <c r="S9" s="135"/>
      <c r="T9" s="135"/>
      <c r="U9" s="135"/>
      <c r="V9" s="135"/>
    </row>
    <row r="10" spans="1:25" ht="24" customHeight="1" x14ac:dyDescent="0.25">
      <c r="C10" s="65"/>
      <c r="D10" s="137"/>
      <c r="E10" s="137"/>
      <c r="F10" s="137"/>
      <c r="G10" s="137"/>
      <c r="H10" s="135"/>
      <c r="I10" s="135"/>
      <c r="J10" s="135"/>
      <c r="K10" s="135"/>
      <c r="L10" s="135"/>
      <c r="M10" s="135"/>
      <c r="N10" s="135"/>
      <c r="O10" s="135"/>
      <c r="P10" s="135"/>
      <c r="Q10" s="135"/>
      <c r="R10" s="135"/>
      <c r="S10" s="135"/>
      <c r="T10" s="135"/>
      <c r="U10" s="135"/>
      <c r="V10" s="135"/>
    </row>
    <row r="11" spans="1:25" ht="27.75" customHeight="1" x14ac:dyDescent="0.25">
      <c r="C11" s="136"/>
      <c r="D11" s="137"/>
      <c r="E11" s="137"/>
      <c r="F11" s="136"/>
      <c r="G11" s="137"/>
      <c r="H11" s="135"/>
      <c r="I11" s="135"/>
      <c r="J11" s="135"/>
      <c r="K11" s="135"/>
      <c r="L11" s="135"/>
      <c r="M11" s="135"/>
      <c r="N11" s="135"/>
      <c r="O11" s="135"/>
      <c r="P11" s="135"/>
      <c r="Q11" s="135"/>
      <c r="R11" s="135"/>
      <c r="S11" s="135"/>
      <c r="T11" s="135"/>
      <c r="U11" s="135"/>
      <c r="V11" s="135"/>
    </row>
    <row r="12" spans="1:25" x14ac:dyDescent="0.25">
      <c r="C12" s="135"/>
      <c r="D12" s="135"/>
      <c r="E12" s="64"/>
      <c r="F12" s="64"/>
      <c r="G12" s="64"/>
      <c r="H12" s="64"/>
      <c r="I12" s="64"/>
      <c r="J12" s="64"/>
      <c r="K12" s="64"/>
      <c r="L12" s="64"/>
      <c r="M12" s="64"/>
      <c r="N12" s="64"/>
      <c r="O12" s="64"/>
      <c r="P12" s="64"/>
    </row>
    <row r="13" spans="1:25" ht="96" customHeight="1" x14ac:dyDescent="0.25">
      <c r="B13"/>
      <c r="C13" s="294" t="s">
        <v>132</v>
      </c>
      <c r="D13" s="295" t="s">
        <v>183</v>
      </c>
      <c r="E13" s="295" t="s">
        <v>161</v>
      </c>
      <c r="F13" s="295" t="s">
        <v>162</v>
      </c>
      <c r="G13" s="295" t="s">
        <v>163</v>
      </c>
      <c r="H13" s="296" t="s">
        <v>133</v>
      </c>
      <c r="I13" s="248"/>
      <c r="J13" s="121"/>
      <c r="K13" s="121"/>
      <c r="L13" s="121"/>
      <c r="M13" s="121"/>
      <c r="N13" s="121"/>
    </row>
    <row r="14" spans="1:25" x14ac:dyDescent="0.25">
      <c r="C14" s="299" t="s">
        <v>135</v>
      </c>
      <c r="D14" s="300">
        <f>D9</f>
        <v>0</v>
      </c>
      <c r="E14" s="301">
        <f>(D14*'GWP &amp; Emission Factors '!$D$10)</f>
        <v>0</v>
      </c>
      <c r="F14" s="302">
        <f>E14/'Electrical Energy Consumption'!I104</f>
        <v>0</v>
      </c>
      <c r="G14" s="302">
        <f>IF(H14=0,0,F14/H14)</f>
        <v>0</v>
      </c>
      <c r="H14" s="303">
        <f>'Project Emission Distribution'!F8</f>
        <v>11</v>
      </c>
      <c r="I14" s="249"/>
      <c r="J14" s="249"/>
      <c r="K14" s="249"/>
      <c r="L14" s="249"/>
      <c r="M14" s="249"/>
      <c r="N14" s="249"/>
    </row>
    <row r="15" spans="1:25" x14ac:dyDescent="0.25">
      <c r="C15" s="297" t="s">
        <v>136</v>
      </c>
      <c r="D15" s="293">
        <f>E9</f>
        <v>10000</v>
      </c>
      <c r="E15" s="250">
        <f>(D15*'GWP &amp; Emission Factors '!$D$10)</f>
        <v>4.45</v>
      </c>
      <c r="F15" s="292">
        <f>E15/'Electrical Energy Consumption'!I105</f>
        <v>0.15892857142857145</v>
      </c>
      <c r="G15" s="292">
        <f t="shared" ref="G15:G25" si="0">IF(H15=0,0,F15/H15)</f>
        <v>6.6220238095238103E-3</v>
      </c>
      <c r="H15" s="298">
        <f>'Project Emission Distribution'!F9</f>
        <v>24</v>
      </c>
      <c r="I15" s="249"/>
      <c r="J15" s="249"/>
      <c r="K15" s="249"/>
      <c r="L15" s="249"/>
      <c r="M15" s="249"/>
      <c r="N15" s="249"/>
    </row>
    <row r="16" spans="1:25" x14ac:dyDescent="0.25">
      <c r="C16" s="299" t="s">
        <v>137</v>
      </c>
      <c r="D16" s="300">
        <f>F9</f>
        <v>0</v>
      </c>
      <c r="E16" s="301">
        <f>(D16*'GWP &amp; Emission Factors '!$D$10)</f>
        <v>0</v>
      </c>
      <c r="F16" s="302">
        <f>E16/'Electrical Energy Consumption'!I106</f>
        <v>0</v>
      </c>
      <c r="G16" s="302">
        <f t="shared" si="0"/>
        <v>0</v>
      </c>
      <c r="H16" s="303">
        <f>'Project Emission Distribution'!F10</f>
        <v>16</v>
      </c>
      <c r="I16" s="249"/>
      <c r="J16" s="249"/>
      <c r="K16" s="249"/>
      <c r="L16" s="249"/>
      <c r="M16" s="249"/>
      <c r="N16" s="249"/>
    </row>
    <row r="17" spans="3:17" x14ac:dyDescent="0.25">
      <c r="C17" s="297" t="s">
        <v>138</v>
      </c>
      <c r="D17" s="293">
        <f>G9</f>
        <v>0</v>
      </c>
      <c r="E17" s="250">
        <f>(D17*'GWP &amp; Emission Factors '!$D$10)</f>
        <v>0</v>
      </c>
      <c r="F17" s="292">
        <f>E17/'Electrical Energy Consumption'!I107</f>
        <v>0</v>
      </c>
      <c r="G17" s="292">
        <f t="shared" si="0"/>
        <v>0</v>
      </c>
      <c r="H17" s="298">
        <f>'Project Emission Distribution'!F11</f>
        <v>16</v>
      </c>
      <c r="I17" s="249"/>
      <c r="J17" s="249"/>
      <c r="K17" s="249"/>
      <c r="L17" s="249"/>
      <c r="M17" s="249"/>
      <c r="N17" s="249"/>
    </row>
    <row r="18" spans="3:17" x14ac:dyDescent="0.25">
      <c r="C18" s="299" t="s">
        <v>139</v>
      </c>
      <c r="D18" s="300">
        <f>H9</f>
        <v>0</v>
      </c>
      <c r="E18" s="301">
        <f>(D18*'GWP &amp; Emission Factors '!$D$10)</f>
        <v>0</v>
      </c>
      <c r="F18" s="302">
        <f>E18/'Electrical Energy Consumption'!I108</f>
        <v>0</v>
      </c>
      <c r="G18" s="302">
        <f t="shared" si="0"/>
        <v>0</v>
      </c>
      <c r="H18" s="303">
        <f>'Project Emission Distribution'!F12</f>
        <v>15</v>
      </c>
      <c r="I18" s="249"/>
      <c r="J18" s="249"/>
      <c r="K18" s="249"/>
      <c r="L18" s="249"/>
      <c r="M18" s="249"/>
      <c r="N18" s="249"/>
    </row>
    <row r="19" spans="3:17" x14ac:dyDescent="0.25">
      <c r="C19" s="297" t="s">
        <v>140</v>
      </c>
      <c r="D19" s="293">
        <f>I9</f>
        <v>0</v>
      </c>
      <c r="E19" s="250">
        <f>(D19*'GWP &amp; Emission Factors '!$D$10)</f>
        <v>0</v>
      </c>
      <c r="F19" s="292">
        <f>E19/'Electrical Energy Consumption'!I109</f>
        <v>0</v>
      </c>
      <c r="G19" s="292">
        <f t="shared" si="0"/>
        <v>0</v>
      </c>
      <c r="H19" s="298">
        <f>'Project Emission Distribution'!F13</f>
        <v>15</v>
      </c>
      <c r="I19" s="249"/>
      <c r="J19" s="249"/>
      <c r="K19" s="249"/>
      <c r="L19" s="249"/>
      <c r="M19" s="249"/>
      <c r="N19" s="249"/>
    </row>
    <row r="20" spans="3:17" x14ac:dyDescent="0.25">
      <c r="C20" s="299" t="s">
        <v>141</v>
      </c>
      <c r="D20" s="300">
        <f>J9</f>
        <v>0</v>
      </c>
      <c r="E20" s="301">
        <f>(D20*'GWP &amp; Emission Factors '!$D$10)</f>
        <v>0</v>
      </c>
      <c r="F20" s="302">
        <f>E20/'Electrical Energy Consumption'!I110</f>
        <v>0</v>
      </c>
      <c r="G20" s="302">
        <f t="shared" si="0"/>
        <v>0</v>
      </c>
      <c r="H20" s="303">
        <f>'Project Emission Distribution'!F14</f>
        <v>8</v>
      </c>
      <c r="I20" s="249"/>
      <c r="J20" s="249"/>
      <c r="K20" s="249"/>
      <c r="L20" s="249"/>
      <c r="M20" s="249"/>
      <c r="N20" s="249"/>
    </row>
    <row r="21" spans="3:17" x14ac:dyDescent="0.25">
      <c r="C21" s="297" t="s">
        <v>142</v>
      </c>
      <c r="D21" s="293">
        <f>K9</f>
        <v>0</v>
      </c>
      <c r="E21" s="250">
        <f>(D21*'GWP &amp; Emission Factors '!$D$10)</f>
        <v>0</v>
      </c>
      <c r="F21" s="292">
        <f>E21/'Electrical Energy Consumption'!I111</f>
        <v>0</v>
      </c>
      <c r="G21" s="292">
        <f t="shared" si="0"/>
        <v>0</v>
      </c>
      <c r="H21" s="298">
        <f>'Project Emission Distribution'!F15</f>
        <v>1</v>
      </c>
      <c r="I21" s="249"/>
      <c r="J21" s="249"/>
      <c r="K21" s="249"/>
      <c r="L21" s="249"/>
      <c r="M21" s="249"/>
      <c r="N21" s="249"/>
    </row>
    <row r="22" spans="3:17" x14ac:dyDescent="0.25">
      <c r="C22" s="299" t="s">
        <v>143</v>
      </c>
      <c r="D22" s="300">
        <f>L9</f>
        <v>0</v>
      </c>
      <c r="E22" s="301">
        <f>(D22*'GWP &amp; Emission Factors '!$D$10)</f>
        <v>0</v>
      </c>
      <c r="F22" s="302">
        <f>E22/'Electrical Energy Consumption'!I112</f>
        <v>0</v>
      </c>
      <c r="G22" s="302">
        <f t="shared" si="0"/>
        <v>0</v>
      </c>
      <c r="H22" s="303">
        <f>'Project Emission Distribution'!F16</f>
        <v>1</v>
      </c>
      <c r="I22" s="249"/>
      <c r="J22" s="249"/>
      <c r="K22" s="249"/>
      <c r="L22" s="249"/>
      <c r="M22" s="249"/>
      <c r="N22" s="249"/>
    </row>
    <row r="23" spans="3:17" x14ac:dyDescent="0.25">
      <c r="C23" s="297" t="s">
        <v>144</v>
      </c>
      <c r="D23" s="293">
        <f>M9</f>
        <v>0</v>
      </c>
      <c r="E23" s="250">
        <f>(D23*'GWP &amp; Emission Factors '!$D$10)</f>
        <v>0</v>
      </c>
      <c r="F23" s="292">
        <f>E23/'Electrical Energy Consumption'!I113</f>
        <v>0</v>
      </c>
      <c r="G23" s="292">
        <f t="shared" si="0"/>
        <v>0</v>
      </c>
      <c r="H23" s="298">
        <f>'Project Emission Distribution'!F17</f>
        <v>1</v>
      </c>
      <c r="I23" s="249"/>
      <c r="J23" s="249"/>
      <c r="K23" s="249"/>
      <c r="L23" s="249"/>
      <c r="M23" s="249"/>
      <c r="N23" s="249"/>
    </row>
    <row r="24" spans="3:17" x14ac:dyDescent="0.25">
      <c r="C24" s="299" t="s">
        <v>145</v>
      </c>
      <c r="D24" s="300">
        <f>N9</f>
        <v>0</v>
      </c>
      <c r="E24" s="301">
        <f>(D24*'GWP &amp; Emission Factors '!$D$10)</f>
        <v>0</v>
      </c>
      <c r="F24" s="302">
        <f>E24/'Electrical Energy Consumption'!I114</f>
        <v>0</v>
      </c>
      <c r="G24" s="302">
        <f t="shared" si="0"/>
        <v>0</v>
      </c>
      <c r="H24" s="303">
        <f>'Project Emission Distribution'!F18</f>
        <v>1</v>
      </c>
      <c r="I24" s="249"/>
      <c r="J24" s="249"/>
      <c r="K24" s="249"/>
      <c r="L24" s="249"/>
      <c r="M24" s="249"/>
      <c r="N24" s="249"/>
    </row>
    <row r="25" spans="3:17" x14ac:dyDescent="0.25">
      <c r="C25" s="297" t="s">
        <v>146</v>
      </c>
      <c r="D25" s="293">
        <f>O9</f>
        <v>0</v>
      </c>
      <c r="E25" s="250">
        <f>(D25*'GWP &amp; Emission Factors '!$D$10)</f>
        <v>0</v>
      </c>
      <c r="F25" s="292">
        <f>E25/'Electrical Energy Consumption'!I115</f>
        <v>0</v>
      </c>
      <c r="G25" s="292">
        <f t="shared" si="0"/>
        <v>0</v>
      </c>
      <c r="H25" s="298">
        <f>'Project Emission Distribution'!F19</f>
        <v>1</v>
      </c>
      <c r="I25" s="249"/>
      <c r="J25" s="249"/>
      <c r="K25" s="249"/>
      <c r="L25" s="249"/>
      <c r="M25" s="249"/>
      <c r="N25" s="249"/>
    </row>
    <row r="26" spans="3:17" x14ac:dyDescent="0.25">
      <c r="C26" s="304" t="s">
        <v>116</v>
      </c>
      <c r="D26" s="305">
        <f>SUM(D14:D25)</f>
        <v>10000</v>
      </c>
      <c r="E26" s="306">
        <f>SUM(E14:E25)</f>
        <v>4.45</v>
      </c>
      <c r="F26" s="307"/>
      <c r="G26" s="308"/>
      <c r="H26" s="309"/>
      <c r="I26" s="250"/>
      <c r="J26" s="250"/>
      <c r="K26" s="250"/>
      <c r="L26" s="250"/>
      <c r="M26" s="250"/>
      <c r="N26" s="250"/>
      <c r="O26" s="120"/>
      <c r="P26" s="120"/>
      <c r="Q26" s="119"/>
    </row>
    <row r="27" spans="3:17" x14ac:dyDescent="0.25">
      <c r="C27" s="63"/>
      <c r="D27" s="65"/>
      <c r="E27" s="65"/>
      <c r="F27" s="65"/>
      <c r="G27" s="64"/>
      <c r="H27" s="64"/>
      <c r="I27" s="64"/>
      <c r="J27" s="64"/>
      <c r="K27" s="64"/>
      <c r="L27" s="64"/>
      <c r="M27" s="64"/>
      <c r="N27" s="64"/>
      <c r="O27" s="64"/>
      <c r="P27" s="64"/>
    </row>
    <row r="28" spans="3:17" x14ac:dyDescent="0.25">
      <c r="C28" s="63"/>
      <c r="D28" s="65"/>
      <c r="E28" s="65"/>
      <c r="F28" s="65"/>
      <c r="G28" s="64"/>
      <c r="H28" s="64"/>
      <c r="I28" s="64"/>
      <c r="J28" s="64"/>
      <c r="K28" s="64"/>
      <c r="L28" s="64"/>
      <c r="M28" s="64"/>
      <c r="N28" s="64"/>
      <c r="O28" s="64"/>
      <c r="P28" s="64"/>
    </row>
    <row r="29" spans="3:17" x14ac:dyDescent="0.25">
      <c r="C29" s="63"/>
      <c r="D29" s="65"/>
      <c r="E29" s="65"/>
      <c r="F29" s="65"/>
      <c r="G29" s="64"/>
      <c r="H29" s="64"/>
      <c r="I29" s="64"/>
      <c r="J29" s="64"/>
      <c r="K29" s="64"/>
      <c r="L29" s="64"/>
      <c r="M29" s="64"/>
      <c r="N29" s="64"/>
      <c r="O29" s="64"/>
      <c r="P29" s="64"/>
    </row>
    <row r="30" spans="3:17" ht="45" x14ac:dyDescent="0.25">
      <c r="C30" s="281" t="s">
        <v>158</v>
      </c>
      <c r="D30" s="281" t="s">
        <v>149</v>
      </c>
      <c r="E30" s="281" t="s">
        <v>150</v>
      </c>
      <c r="F30" s="281" t="s">
        <v>168</v>
      </c>
      <c r="G30" s="64"/>
      <c r="H30" s="64"/>
      <c r="I30" s="64"/>
      <c r="J30" s="64"/>
      <c r="K30" s="64"/>
      <c r="L30" s="64"/>
      <c r="M30" s="64"/>
      <c r="N30" s="64"/>
      <c r="O30" s="64"/>
      <c r="P30" s="64"/>
    </row>
    <row r="31" spans="3:17" x14ac:dyDescent="0.25">
      <c r="C31" s="311" t="str">
        <f>'Project Emission Distribution'!D25</f>
        <v>A201</v>
      </c>
      <c r="D31" s="312">
        <f>'Project Emission Distribution'!E25</f>
        <v>44562</v>
      </c>
      <c r="E31" s="312">
        <f>'Project Emission Distribution'!F25</f>
        <v>44681</v>
      </c>
      <c r="F31" s="313">
        <f t="shared" ref="F31:F66" si="1">SUMIFS($E$102:$E$466,$D$102:$D$466,"&gt;="&amp;D31,$D$102:$D$466,"&lt;="&amp;E31)</f>
        <v>0.18541666666666676</v>
      </c>
      <c r="G31" s="115"/>
      <c r="H31" s="115"/>
      <c r="I31" s="115"/>
      <c r="J31" s="115"/>
      <c r="K31" s="115"/>
      <c r="L31" s="115"/>
      <c r="M31" s="115"/>
      <c r="N31" s="115"/>
      <c r="O31" s="123"/>
      <c r="P31" s="123"/>
    </row>
    <row r="32" spans="3:17" x14ac:dyDescent="0.25">
      <c r="C32" s="318" t="str">
        <f>'Project Emission Distribution'!D26</f>
        <v>AN02</v>
      </c>
      <c r="D32" s="319">
        <f>'Project Emission Distribution'!E26</f>
        <v>44593</v>
      </c>
      <c r="E32" s="319">
        <f>'Project Emission Distribution'!F26</f>
        <v>44620</v>
      </c>
      <c r="F32" s="315">
        <f t="shared" si="1"/>
        <v>0.18541666666666676</v>
      </c>
      <c r="G32" s="64"/>
      <c r="H32" s="64"/>
      <c r="I32" s="64"/>
      <c r="J32" s="64"/>
      <c r="K32" s="64"/>
      <c r="L32" s="64"/>
      <c r="M32" s="64"/>
      <c r="N32" s="64"/>
      <c r="O32" s="64"/>
      <c r="P32" s="64"/>
    </row>
    <row r="33" spans="3:6" x14ac:dyDescent="0.25">
      <c r="C33" s="316" t="str">
        <f>'Project Emission Distribution'!D27</f>
        <v>AN03</v>
      </c>
      <c r="D33" s="310">
        <f>'Project Emission Distribution'!E27</f>
        <v>44593</v>
      </c>
      <c r="E33" s="310">
        <f>'Project Emission Distribution'!F27</f>
        <v>44781</v>
      </c>
      <c r="F33" s="315">
        <f t="shared" si="1"/>
        <v>0.18541666666666676</v>
      </c>
    </row>
    <row r="34" spans="3:6" x14ac:dyDescent="0.25">
      <c r="C34" s="318" t="str">
        <f>'Project Emission Distribution'!D28</f>
        <v>AN04</v>
      </c>
      <c r="D34" s="319">
        <f>'Project Emission Distribution'!E28</f>
        <v>44583</v>
      </c>
      <c r="E34" s="319">
        <f>'Project Emission Distribution'!F28</f>
        <v>44635</v>
      </c>
      <c r="F34" s="315">
        <f t="shared" si="1"/>
        <v>0.18541666666666676</v>
      </c>
    </row>
    <row r="35" spans="3:6" x14ac:dyDescent="0.25">
      <c r="C35" s="316" t="str">
        <f>'Project Emission Distribution'!D29</f>
        <v>AN05</v>
      </c>
      <c r="D35" s="310">
        <f>'Project Emission Distribution'!E29</f>
        <v>44614</v>
      </c>
      <c r="E35" s="310">
        <f>'Project Emission Distribution'!F29</f>
        <v>44770</v>
      </c>
      <c r="F35" s="315">
        <f t="shared" si="1"/>
        <v>4.6354166666666682E-2</v>
      </c>
    </row>
    <row r="36" spans="3:6" x14ac:dyDescent="0.25">
      <c r="C36" s="318" t="str">
        <f>'Project Emission Distribution'!D30</f>
        <v>AN06</v>
      </c>
      <c r="D36" s="319">
        <f>'Project Emission Distribution'!E30</f>
        <v>44593</v>
      </c>
      <c r="E36" s="319">
        <f>'Project Emission Distribution'!F30</f>
        <v>44781</v>
      </c>
      <c r="F36" s="315">
        <f t="shared" si="1"/>
        <v>0.18541666666666676</v>
      </c>
    </row>
    <row r="37" spans="3:6" x14ac:dyDescent="0.25">
      <c r="C37" s="316" t="str">
        <f>'Project Emission Distribution'!D31</f>
        <v>AN07</v>
      </c>
      <c r="D37" s="310">
        <f>'Project Emission Distribution'!E31</f>
        <v>44583</v>
      </c>
      <c r="E37" s="310">
        <f>'Project Emission Distribution'!F31</f>
        <v>44635</v>
      </c>
      <c r="F37" s="315">
        <f t="shared" si="1"/>
        <v>0.18541666666666676</v>
      </c>
    </row>
    <row r="38" spans="3:6" x14ac:dyDescent="0.25">
      <c r="C38" s="318" t="str">
        <f>'Project Emission Distribution'!D32</f>
        <v>AN08</v>
      </c>
      <c r="D38" s="319">
        <f>'Project Emission Distribution'!E32</f>
        <v>44614</v>
      </c>
      <c r="E38" s="319">
        <f>'Project Emission Distribution'!F32</f>
        <v>44770</v>
      </c>
      <c r="F38" s="315">
        <f t="shared" si="1"/>
        <v>4.6354166666666682E-2</v>
      </c>
    </row>
    <row r="39" spans="3:6" x14ac:dyDescent="0.25">
      <c r="C39" s="316" t="str">
        <f>'Project Emission Distribution'!D33</f>
        <v>AN09</v>
      </c>
      <c r="D39" s="310">
        <f>'Project Emission Distribution'!E33</f>
        <v>44593</v>
      </c>
      <c r="E39" s="310">
        <f>'Project Emission Distribution'!F33</f>
        <v>44781</v>
      </c>
      <c r="F39" s="315">
        <f t="shared" si="1"/>
        <v>0.18541666666666676</v>
      </c>
    </row>
    <row r="40" spans="3:6" x14ac:dyDescent="0.25">
      <c r="C40" s="318" t="str">
        <f>'Project Emission Distribution'!D34</f>
        <v>AN10</v>
      </c>
      <c r="D40" s="319">
        <f>'Project Emission Distribution'!E34</f>
        <v>44583</v>
      </c>
      <c r="E40" s="319">
        <f>'Project Emission Distribution'!F34</f>
        <v>44635</v>
      </c>
      <c r="F40" s="315">
        <f t="shared" si="1"/>
        <v>0.18541666666666676</v>
      </c>
    </row>
    <row r="41" spans="3:6" x14ac:dyDescent="0.25">
      <c r="C41" s="316" t="str">
        <f>'Project Emission Distribution'!D35</f>
        <v>AN11</v>
      </c>
      <c r="D41" s="310">
        <f>'Project Emission Distribution'!E35</f>
        <v>44614</v>
      </c>
      <c r="E41" s="310">
        <f>'Project Emission Distribution'!F35</f>
        <v>44770</v>
      </c>
      <c r="F41" s="315">
        <f t="shared" si="1"/>
        <v>4.6354166666666682E-2</v>
      </c>
    </row>
    <row r="42" spans="3:6" x14ac:dyDescent="0.25">
      <c r="C42" s="318" t="str">
        <f>'Project Emission Distribution'!D36</f>
        <v>AN12</v>
      </c>
      <c r="D42" s="319">
        <f>'Project Emission Distribution'!E36</f>
        <v>44593</v>
      </c>
      <c r="E42" s="319">
        <f>'Project Emission Distribution'!F36</f>
        <v>44781</v>
      </c>
      <c r="F42" s="315">
        <f t="shared" si="1"/>
        <v>0.18541666666666676</v>
      </c>
    </row>
    <row r="43" spans="3:6" x14ac:dyDescent="0.25">
      <c r="C43" s="316" t="str">
        <f>'Project Emission Distribution'!D37</f>
        <v>AN13</v>
      </c>
      <c r="D43" s="310">
        <f>'Project Emission Distribution'!E37</f>
        <v>44593</v>
      </c>
      <c r="E43" s="310">
        <f>'Project Emission Distribution'!F37</f>
        <v>44781</v>
      </c>
      <c r="F43" s="315">
        <f t="shared" si="1"/>
        <v>0.18541666666666676</v>
      </c>
    </row>
    <row r="44" spans="3:6" x14ac:dyDescent="0.25">
      <c r="C44" s="314" t="str">
        <f>'Project Emission Distribution'!D38</f>
        <v>AN14</v>
      </c>
      <c r="D44" s="282">
        <f>'Project Emission Distribution'!E38</f>
        <v>44583</v>
      </c>
      <c r="E44" s="282">
        <f>'Project Emission Distribution'!F38</f>
        <v>44635</v>
      </c>
      <c r="F44" s="315">
        <f t="shared" si="1"/>
        <v>0.18541666666666676</v>
      </c>
    </row>
    <row r="45" spans="3:6" x14ac:dyDescent="0.25">
      <c r="C45" s="316" t="str">
        <f>'Project Emission Distribution'!D39</f>
        <v>AN15</v>
      </c>
      <c r="D45" s="310">
        <f>'Project Emission Distribution'!E39</f>
        <v>44614</v>
      </c>
      <c r="E45" s="310">
        <f>'Project Emission Distribution'!F39</f>
        <v>44770</v>
      </c>
      <c r="F45" s="315">
        <f t="shared" si="1"/>
        <v>4.6354166666666682E-2</v>
      </c>
    </row>
    <row r="46" spans="3:6" x14ac:dyDescent="0.25">
      <c r="C46" s="314" t="str">
        <f>'Project Emission Distribution'!D40</f>
        <v>AN16</v>
      </c>
      <c r="D46" s="282">
        <f>'Project Emission Distribution'!E40</f>
        <v>44593</v>
      </c>
      <c r="E46" s="282">
        <f>'Project Emission Distribution'!F40</f>
        <v>44781</v>
      </c>
      <c r="F46" s="315">
        <f t="shared" si="1"/>
        <v>0.18541666666666676</v>
      </c>
    </row>
    <row r="47" spans="3:6" x14ac:dyDescent="0.25">
      <c r="C47" s="316" t="str">
        <f>'Project Emission Distribution'!D41</f>
        <v>AN17</v>
      </c>
      <c r="D47" s="310">
        <f>'Project Emission Distribution'!E41</f>
        <v>44583</v>
      </c>
      <c r="E47" s="310">
        <f>'Project Emission Distribution'!F41</f>
        <v>44635</v>
      </c>
      <c r="F47" s="315">
        <f t="shared" si="1"/>
        <v>0.18541666666666676</v>
      </c>
    </row>
    <row r="48" spans="3:6" x14ac:dyDescent="0.25">
      <c r="C48" s="314" t="str">
        <f>'Project Emission Distribution'!D42</f>
        <v>AN18</v>
      </c>
      <c r="D48" s="282">
        <f>'Project Emission Distribution'!E42</f>
        <v>44614</v>
      </c>
      <c r="E48" s="282">
        <f>'Project Emission Distribution'!F42</f>
        <v>44770</v>
      </c>
      <c r="F48" s="315">
        <f t="shared" si="1"/>
        <v>4.6354166666666682E-2</v>
      </c>
    </row>
    <row r="49" spans="3:7" x14ac:dyDescent="0.25">
      <c r="C49" s="316" t="str">
        <f>'Project Emission Distribution'!D43</f>
        <v>AN19</v>
      </c>
      <c r="D49" s="310">
        <f>'Project Emission Distribution'!E43</f>
        <v>44593</v>
      </c>
      <c r="E49" s="310">
        <f>'Project Emission Distribution'!F43</f>
        <v>44781</v>
      </c>
      <c r="F49" s="315">
        <f t="shared" si="1"/>
        <v>0.18541666666666676</v>
      </c>
    </row>
    <row r="50" spans="3:7" x14ac:dyDescent="0.25">
      <c r="C50" s="314" t="str">
        <f>'Project Emission Distribution'!D44</f>
        <v>AN20</v>
      </c>
      <c r="D50" s="282">
        <f>'Project Emission Distribution'!E44</f>
        <v>44583</v>
      </c>
      <c r="E50" s="282">
        <f>'Project Emission Distribution'!F44</f>
        <v>44635</v>
      </c>
      <c r="F50" s="315">
        <f t="shared" si="1"/>
        <v>0.18541666666666676</v>
      </c>
    </row>
    <row r="51" spans="3:7" x14ac:dyDescent="0.25">
      <c r="C51" s="316" t="str">
        <f>'Project Emission Distribution'!D45</f>
        <v>AN21</v>
      </c>
      <c r="D51" s="310">
        <f>'Project Emission Distribution'!E45</f>
        <v>44614</v>
      </c>
      <c r="E51" s="310">
        <f>'Project Emission Distribution'!F45</f>
        <v>44770</v>
      </c>
      <c r="F51" s="315">
        <f t="shared" si="1"/>
        <v>4.6354166666666682E-2</v>
      </c>
    </row>
    <row r="52" spans="3:7" x14ac:dyDescent="0.25">
      <c r="C52" s="314" t="str">
        <f>'Project Emission Distribution'!D46</f>
        <v>AN22</v>
      </c>
      <c r="D52" s="282">
        <f>'Project Emission Distribution'!E46</f>
        <v>44562</v>
      </c>
      <c r="E52" s="282">
        <f>'Project Emission Distribution'!F46</f>
        <v>44781</v>
      </c>
      <c r="F52" s="315">
        <f t="shared" si="1"/>
        <v>0.18541666666666676</v>
      </c>
    </row>
    <row r="53" spans="3:7" x14ac:dyDescent="0.25">
      <c r="C53" s="316" t="str">
        <f>'Project Emission Distribution'!D47</f>
        <v>AN23</v>
      </c>
      <c r="D53" s="310">
        <f>'Project Emission Distribution'!E47</f>
        <v>44583</v>
      </c>
      <c r="E53" s="310">
        <f>'Project Emission Distribution'!F47</f>
        <v>44635</v>
      </c>
      <c r="F53" s="315">
        <f t="shared" si="1"/>
        <v>0.18541666666666676</v>
      </c>
    </row>
    <row r="54" spans="3:7" x14ac:dyDescent="0.25">
      <c r="C54" s="314" t="str">
        <f>'Project Emission Distribution'!D48</f>
        <v>AN24</v>
      </c>
      <c r="D54" s="282">
        <f>'Project Emission Distribution'!E48</f>
        <v>44583</v>
      </c>
      <c r="E54" s="282">
        <f>'Project Emission Distribution'!F48</f>
        <v>44770</v>
      </c>
      <c r="F54" s="315">
        <f t="shared" si="1"/>
        <v>0.18541666666666676</v>
      </c>
    </row>
    <row r="55" spans="3:7" x14ac:dyDescent="0.25">
      <c r="C55" s="316" t="str">
        <f>'Project Emission Distribution'!D49</f>
        <v>AN25</v>
      </c>
      <c r="D55" s="310">
        <f>'Project Emission Distribution'!E49</f>
        <v>44562</v>
      </c>
      <c r="E55" s="310">
        <f>'Project Emission Distribution'!F49</f>
        <v>44614</v>
      </c>
      <c r="F55" s="315">
        <f t="shared" si="1"/>
        <v>0.14568452380952387</v>
      </c>
    </row>
    <row r="56" spans="3:7" x14ac:dyDescent="0.25">
      <c r="C56" s="318" t="str">
        <f>'Project Emission Distribution'!D50</f>
        <v>AN26</v>
      </c>
      <c r="D56" s="319">
        <f>'Project Emission Distribution'!E50</f>
        <v>44774</v>
      </c>
      <c r="E56" s="319">
        <f>'Project Emission Distribution'!F50</f>
        <v>44926</v>
      </c>
      <c r="F56" s="315">
        <f t="shared" si="1"/>
        <v>0</v>
      </c>
    </row>
    <row r="57" spans="3:7" x14ac:dyDescent="0.25">
      <c r="C57" s="316" t="str">
        <f>'Project Emission Distribution'!D51</f>
        <v>AN27</v>
      </c>
      <c r="D57" s="310" t="str">
        <f>'Project Emission Distribution'!E51</f>
        <v/>
      </c>
      <c r="E57" s="310" t="str">
        <f>'Project Emission Distribution'!F51</f>
        <v/>
      </c>
      <c r="F57" s="315">
        <f t="shared" si="1"/>
        <v>0</v>
      </c>
    </row>
    <row r="58" spans="3:7" x14ac:dyDescent="0.25">
      <c r="C58" s="318" t="str">
        <f>'Project Emission Distribution'!D52</f>
        <v>AN28</v>
      </c>
      <c r="D58" s="319" t="str">
        <f>'Project Emission Distribution'!E52</f>
        <v/>
      </c>
      <c r="E58" s="319" t="str">
        <f>'Project Emission Distribution'!F52</f>
        <v/>
      </c>
      <c r="F58" s="315">
        <f t="shared" si="1"/>
        <v>0</v>
      </c>
    </row>
    <row r="59" spans="3:7" x14ac:dyDescent="0.25">
      <c r="C59" s="316" t="str">
        <f>'Project Emission Distribution'!D53</f>
        <v>AN29</v>
      </c>
      <c r="D59" s="310" t="str">
        <f>'Project Emission Distribution'!E53</f>
        <v/>
      </c>
      <c r="E59" s="310" t="str">
        <f>'Project Emission Distribution'!F53</f>
        <v/>
      </c>
      <c r="F59" s="315">
        <f t="shared" si="1"/>
        <v>0</v>
      </c>
    </row>
    <row r="60" spans="3:7" x14ac:dyDescent="0.25">
      <c r="C60" s="318" t="str">
        <f>'Project Emission Distribution'!D54</f>
        <v>AN30</v>
      </c>
      <c r="D60" s="319" t="str">
        <f>'Project Emission Distribution'!E54</f>
        <v/>
      </c>
      <c r="E60" s="319" t="str">
        <f>'Project Emission Distribution'!F54</f>
        <v/>
      </c>
      <c r="F60" s="315">
        <f t="shared" si="1"/>
        <v>0</v>
      </c>
    </row>
    <row r="61" spans="3:7" x14ac:dyDescent="0.25">
      <c r="C61" s="316" t="str">
        <f>'Project Emission Distribution'!D55</f>
        <v>AN31</v>
      </c>
      <c r="D61" s="310" t="str">
        <f>'Project Emission Distribution'!E55</f>
        <v/>
      </c>
      <c r="E61" s="310" t="str">
        <f>'Project Emission Distribution'!F55</f>
        <v/>
      </c>
      <c r="F61" s="315">
        <f t="shared" si="1"/>
        <v>0</v>
      </c>
      <c r="G61" s="64"/>
    </row>
    <row r="62" spans="3:7" x14ac:dyDescent="0.25">
      <c r="C62" s="318" t="str">
        <f>'Project Emission Distribution'!D56</f>
        <v>AN32</v>
      </c>
      <c r="D62" s="319" t="str">
        <f>'Project Emission Distribution'!E56</f>
        <v/>
      </c>
      <c r="E62" s="319" t="str">
        <f>'Project Emission Distribution'!F56</f>
        <v/>
      </c>
      <c r="F62" s="315">
        <f t="shared" si="1"/>
        <v>0</v>
      </c>
      <c r="G62" s="115"/>
    </row>
    <row r="63" spans="3:7" x14ac:dyDescent="0.25">
      <c r="C63" s="316" t="str">
        <f>'Project Emission Distribution'!D57</f>
        <v>AN33</v>
      </c>
      <c r="D63" s="310" t="str">
        <f>'Project Emission Distribution'!E57</f>
        <v/>
      </c>
      <c r="E63" s="310" t="str">
        <f>'Project Emission Distribution'!F57</f>
        <v/>
      </c>
      <c r="F63" s="315">
        <f t="shared" si="1"/>
        <v>0</v>
      </c>
      <c r="G63" s="64"/>
    </row>
    <row r="64" spans="3:7" x14ac:dyDescent="0.25">
      <c r="C64" s="318" t="str">
        <f>'Project Emission Distribution'!D58</f>
        <v>AN34</v>
      </c>
      <c r="D64" s="319" t="str">
        <f>'Project Emission Distribution'!E58</f>
        <v/>
      </c>
      <c r="E64" s="319" t="str">
        <f>'Project Emission Distribution'!F58</f>
        <v/>
      </c>
      <c r="F64" s="315">
        <f t="shared" si="1"/>
        <v>0</v>
      </c>
    </row>
    <row r="65" spans="3:6" x14ac:dyDescent="0.25">
      <c r="C65" s="316" t="str">
        <f>'Project Emission Distribution'!D59</f>
        <v>AN35</v>
      </c>
      <c r="D65" s="310" t="str">
        <f>'Project Emission Distribution'!E59</f>
        <v/>
      </c>
      <c r="E65" s="310" t="str">
        <f>'Project Emission Distribution'!F59</f>
        <v/>
      </c>
      <c r="F65" s="315">
        <f t="shared" si="1"/>
        <v>0</v>
      </c>
    </row>
    <row r="66" spans="3:6" x14ac:dyDescent="0.25">
      <c r="C66" s="318" t="str">
        <f>'Project Emission Distribution'!D60</f>
        <v>AN36</v>
      </c>
      <c r="D66" s="319" t="str">
        <f>'Project Emission Distribution'!E60</f>
        <v/>
      </c>
      <c r="E66" s="319" t="str">
        <f>'Project Emission Distribution'!F60</f>
        <v/>
      </c>
      <c r="F66" s="315">
        <f t="shared" si="1"/>
        <v>0</v>
      </c>
    </row>
    <row r="67" spans="3:6" x14ac:dyDescent="0.25">
      <c r="C67" s="316" t="str">
        <f>'Project Emission Distribution'!D61</f>
        <v>AN37</v>
      </c>
      <c r="D67" s="310" t="str">
        <f>'Project Emission Distribution'!E61</f>
        <v/>
      </c>
      <c r="E67" s="310" t="str">
        <f>'Project Emission Distribution'!F61</f>
        <v/>
      </c>
      <c r="F67" s="315">
        <f t="shared" ref="F67:F90" si="2">SUMIFS($E$102:$E$466,$D$102:$D$466,"&gt;="&amp;D67,$D$102:$D$466,"&lt;="&amp;E67)</f>
        <v>0</v>
      </c>
    </row>
    <row r="68" spans="3:6" x14ac:dyDescent="0.25">
      <c r="C68" s="318" t="str">
        <f>'Project Emission Distribution'!D62</f>
        <v>AN38</v>
      </c>
      <c r="D68" s="319" t="str">
        <f>'Project Emission Distribution'!E62</f>
        <v/>
      </c>
      <c r="E68" s="319" t="str">
        <f>'Project Emission Distribution'!F62</f>
        <v/>
      </c>
      <c r="F68" s="315">
        <f t="shared" si="2"/>
        <v>0</v>
      </c>
    </row>
    <row r="69" spans="3:6" x14ac:dyDescent="0.25">
      <c r="C69" s="316" t="str">
        <f>'Project Emission Distribution'!D63</f>
        <v>AN39</v>
      </c>
      <c r="D69" s="310" t="str">
        <f>'Project Emission Distribution'!E63</f>
        <v/>
      </c>
      <c r="E69" s="310" t="str">
        <f>'Project Emission Distribution'!F63</f>
        <v/>
      </c>
      <c r="F69" s="315">
        <f t="shared" si="2"/>
        <v>0</v>
      </c>
    </row>
    <row r="70" spans="3:6" x14ac:dyDescent="0.25">
      <c r="C70" s="318" t="str">
        <f>'Project Emission Distribution'!D64</f>
        <v>AN40</v>
      </c>
      <c r="D70" s="319" t="str">
        <f>'Project Emission Distribution'!E64</f>
        <v/>
      </c>
      <c r="E70" s="319" t="str">
        <f>'Project Emission Distribution'!F64</f>
        <v/>
      </c>
      <c r="F70" s="315">
        <f t="shared" si="2"/>
        <v>0</v>
      </c>
    </row>
    <row r="71" spans="3:6" x14ac:dyDescent="0.25">
      <c r="C71" s="316" t="str">
        <f>'Project Emission Distribution'!D65</f>
        <v>AN41</v>
      </c>
      <c r="D71" s="310" t="str">
        <f>'Project Emission Distribution'!E65</f>
        <v/>
      </c>
      <c r="E71" s="310" t="str">
        <f>'Project Emission Distribution'!F65</f>
        <v/>
      </c>
      <c r="F71" s="315">
        <f t="shared" si="2"/>
        <v>0</v>
      </c>
    </row>
    <row r="72" spans="3:6" x14ac:dyDescent="0.25">
      <c r="C72" s="318" t="str">
        <f>'Project Emission Distribution'!D66</f>
        <v>AN42</v>
      </c>
      <c r="D72" s="319" t="str">
        <f>'Project Emission Distribution'!E66</f>
        <v/>
      </c>
      <c r="E72" s="319" t="str">
        <f>'Project Emission Distribution'!F66</f>
        <v/>
      </c>
      <c r="F72" s="315">
        <f t="shared" si="2"/>
        <v>0</v>
      </c>
    </row>
    <row r="73" spans="3:6" x14ac:dyDescent="0.25">
      <c r="C73" s="316" t="str">
        <f>'Project Emission Distribution'!D67</f>
        <v>AN43</v>
      </c>
      <c r="D73" s="310" t="str">
        <f>'Project Emission Distribution'!E67</f>
        <v/>
      </c>
      <c r="E73" s="310" t="str">
        <f>'Project Emission Distribution'!F67</f>
        <v/>
      </c>
      <c r="F73" s="315">
        <f t="shared" si="2"/>
        <v>0</v>
      </c>
    </row>
    <row r="74" spans="3:6" x14ac:dyDescent="0.25">
      <c r="C74" s="318" t="str">
        <f>'Project Emission Distribution'!D68</f>
        <v>AN44</v>
      </c>
      <c r="D74" s="319" t="str">
        <f>'Project Emission Distribution'!E68</f>
        <v/>
      </c>
      <c r="E74" s="319" t="str">
        <f>'Project Emission Distribution'!F68</f>
        <v/>
      </c>
      <c r="F74" s="315">
        <f t="shared" si="2"/>
        <v>0</v>
      </c>
    </row>
    <row r="75" spans="3:6" x14ac:dyDescent="0.25">
      <c r="C75" s="316" t="str">
        <f>'Project Emission Distribution'!D69</f>
        <v>AN45</v>
      </c>
      <c r="D75" s="310" t="str">
        <f>'Project Emission Distribution'!E69</f>
        <v/>
      </c>
      <c r="E75" s="310" t="str">
        <f>'Project Emission Distribution'!F69</f>
        <v/>
      </c>
      <c r="F75" s="315">
        <f t="shared" si="2"/>
        <v>0</v>
      </c>
    </row>
    <row r="76" spans="3:6" x14ac:dyDescent="0.25">
      <c r="C76" s="318" t="str">
        <f>'Project Emission Distribution'!D70</f>
        <v>AN46</v>
      </c>
      <c r="D76" s="319" t="str">
        <f>'Project Emission Distribution'!E70</f>
        <v/>
      </c>
      <c r="E76" s="319" t="str">
        <f>'Project Emission Distribution'!F70</f>
        <v/>
      </c>
      <c r="F76" s="315">
        <f t="shared" si="2"/>
        <v>0</v>
      </c>
    </row>
    <row r="77" spans="3:6" x14ac:dyDescent="0.25">
      <c r="C77" s="316" t="str">
        <f>'Project Emission Distribution'!D71</f>
        <v>AN47</v>
      </c>
      <c r="D77" s="310" t="str">
        <f>'Project Emission Distribution'!E71</f>
        <v/>
      </c>
      <c r="E77" s="310" t="str">
        <f>'Project Emission Distribution'!F71</f>
        <v/>
      </c>
      <c r="F77" s="315">
        <f t="shared" si="2"/>
        <v>0</v>
      </c>
    </row>
    <row r="78" spans="3:6" x14ac:dyDescent="0.25">
      <c r="C78" s="318" t="str">
        <f>'Project Emission Distribution'!D72</f>
        <v>AN48</v>
      </c>
      <c r="D78" s="319" t="str">
        <f>'Project Emission Distribution'!E72</f>
        <v/>
      </c>
      <c r="E78" s="319" t="str">
        <f>'Project Emission Distribution'!F72</f>
        <v/>
      </c>
      <c r="F78" s="315">
        <f t="shared" si="2"/>
        <v>0</v>
      </c>
    </row>
    <row r="79" spans="3:6" x14ac:dyDescent="0.25">
      <c r="C79" s="316" t="str">
        <f>'Project Emission Distribution'!D73</f>
        <v>AN49</v>
      </c>
      <c r="D79" s="310" t="str">
        <f>'Project Emission Distribution'!E73</f>
        <v/>
      </c>
      <c r="E79" s="310" t="str">
        <f>'Project Emission Distribution'!F73</f>
        <v/>
      </c>
      <c r="F79" s="315">
        <f t="shared" si="2"/>
        <v>0</v>
      </c>
    </row>
    <row r="80" spans="3:6" x14ac:dyDescent="0.25">
      <c r="C80" s="318" t="str">
        <f>'Project Emission Distribution'!D74</f>
        <v>AN50</v>
      </c>
      <c r="D80" s="319" t="str">
        <f>'Project Emission Distribution'!E74</f>
        <v/>
      </c>
      <c r="E80" s="319" t="str">
        <f>'Project Emission Distribution'!F74</f>
        <v/>
      </c>
      <c r="F80" s="315">
        <f t="shared" si="2"/>
        <v>0</v>
      </c>
    </row>
    <row r="81" spans="3:6" x14ac:dyDescent="0.25">
      <c r="C81" s="316" t="str">
        <f>'Project Emission Distribution'!D75</f>
        <v>AN51</v>
      </c>
      <c r="D81" s="310" t="str">
        <f>'Project Emission Distribution'!E75</f>
        <v/>
      </c>
      <c r="E81" s="310" t="str">
        <f>'Project Emission Distribution'!F75</f>
        <v/>
      </c>
      <c r="F81" s="315">
        <f t="shared" si="2"/>
        <v>0</v>
      </c>
    </row>
    <row r="82" spans="3:6" x14ac:dyDescent="0.25">
      <c r="C82" s="318" t="str">
        <f>'Project Emission Distribution'!D76</f>
        <v>AN52</v>
      </c>
      <c r="D82" s="319" t="str">
        <f>'Project Emission Distribution'!E76</f>
        <v/>
      </c>
      <c r="E82" s="319" t="str">
        <f>'Project Emission Distribution'!F76</f>
        <v/>
      </c>
      <c r="F82" s="315">
        <f t="shared" si="2"/>
        <v>0</v>
      </c>
    </row>
    <row r="83" spans="3:6" x14ac:dyDescent="0.25">
      <c r="C83" s="316" t="str">
        <f>'Project Emission Distribution'!D77</f>
        <v>AN53</v>
      </c>
      <c r="D83" s="310" t="str">
        <f>'Project Emission Distribution'!E77</f>
        <v/>
      </c>
      <c r="E83" s="310" t="str">
        <f>'Project Emission Distribution'!F77</f>
        <v/>
      </c>
      <c r="F83" s="315">
        <f t="shared" si="2"/>
        <v>0</v>
      </c>
    </row>
    <row r="84" spans="3:6" x14ac:dyDescent="0.25">
      <c r="C84" s="318" t="str">
        <f>'Project Emission Distribution'!D78</f>
        <v>AN54</v>
      </c>
      <c r="D84" s="319" t="str">
        <f>'Project Emission Distribution'!E78</f>
        <v/>
      </c>
      <c r="E84" s="319" t="str">
        <f>'Project Emission Distribution'!F78</f>
        <v/>
      </c>
      <c r="F84" s="315">
        <f t="shared" si="2"/>
        <v>0</v>
      </c>
    </row>
    <row r="85" spans="3:6" x14ac:dyDescent="0.25">
      <c r="C85" s="316" t="str">
        <f>'Project Emission Distribution'!D79</f>
        <v>AN55</v>
      </c>
      <c r="D85" s="310" t="str">
        <f>'Project Emission Distribution'!E79</f>
        <v/>
      </c>
      <c r="E85" s="310" t="str">
        <f>'Project Emission Distribution'!F79</f>
        <v/>
      </c>
      <c r="F85" s="315">
        <f t="shared" si="2"/>
        <v>0</v>
      </c>
    </row>
    <row r="86" spans="3:6" x14ac:dyDescent="0.25">
      <c r="C86" s="318" t="str">
        <f>'Project Emission Distribution'!D80</f>
        <v>AN56</v>
      </c>
      <c r="D86" s="319" t="str">
        <f>'Project Emission Distribution'!E80</f>
        <v/>
      </c>
      <c r="E86" s="319" t="str">
        <f>'Project Emission Distribution'!F80</f>
        <v/>
      </c>
      <c r="F86" s="315">
        <f t="shared" si="2"/>
        <v>0</v>
      </c>
    </row>
    <row r="87" spans="3:6" x14ac:dyDescent="0.25">
      <c r="C87" s="316" t="str">
        <f>'Project Emission Distribution'!D81</f>
        <v>AN57</v>
      </c>
      <c r="D87" s="310" t="str">
        <f>'Project Emission Distribution'!E81</f>
        <v/>
      </c>
      <c r="E87" s="310" t="str">
        <f>'Project Emission Distribution'!F81</f>
        <v/>
      </c>
      <c r="F87" s="315">
        <f t="shared" si="2"/>
        <v>0</v>
      </c>
    </row>
    <row r="88" spans="3:6" x14ac:dyDescent="0.25">
      <c r="C88" s="318" t="str">
        <f>'Project Emission Distribution'!D82</f>
        <v>AN58</v>
      </c>
      <c r="D88" s="319" t="str">
        <f>'Project Emission Distribution'!E82</f>
        <v/>
      </c>
      <c r="E88" s="319" t="str">
        <f>'Project Emission Distribution'!F82</f>
        <v/>
      </c>
      <c r="F88" s="315">
        <f t="shared" si="2"/>
        <v>0</v>
      </c>
    </row>
    <row r="89" spans="3:6" x14ac:dyDescent="0.25">
      <c r="C89" s="316" t="str">
        <f>'Project Emission Distribution'!D83</f>
        <v>AN59</v>
      </c>
      <c r="D89" s="310" t="str">
        <f>'Project Emission Distribution'!E83</f>
        <v/>
      </c>
      <c r="E89" s="310" t="str">
        <f>'Project Emission Distribution'!F83</f>
        <v/>
      </c>
      <c r="F89" s="315">
        <f t="shared" si="2"/>
        <v>0</v>
      </c>
    </row>
    <row r="90" spans="3:6" x14ac:dyDescent="0.25">
      <c r="C90" s="320" t="str">
        <f>'Project Emission Distribution'!D84</f>
        <v>AN60</v>
      </c>
      <c r="D90" s="321" t="str">
        <f>'Project Emission Distribution'!E84</f>
        <v/>
      </c>
      <c r="E90" s="321" t="str">
        <f>'Project Emission Distribution'!F84</f>
        <v/>
      </c>
      <c r="F90" s="317">
        <f t="shared" si="2"/>
        <v>0</v>
      </c>
    </row>
    <row r="100" spans="4:9" hidden="1" x14ac:dyDescent="0.25"/>
    <row r="101" spans="4:9" ht="75" hidden="1" x14ac:dyDescent="0.25">
      <c r="D101" s="251" t="s">
        <v>5</v>
      </c>
      <c r="E101" s="253" t="s">
        <v>159</v>
      </c>
      <c r="I101" s="252"/>
    </row>
    <row r="102" spans="4:9" hidden="1" x14ac:dyDescent="0.25">
      <c r="D102" s="128">
        <v>44562</v>
      </c>
      <c r="E102" s="130">
        <f>$G$14</f>
        <v>0</v>
      </c>
    </row>
    <row r="103" spans="4:9" hidden="1" x14ac:dyDescent="0.25">
      <c r="D103" s="128">
        <v>44563</v>
      </c>
      <c r="E103" s="130">
        <f t="shared" ref="E103:E132" si="3">$G$14</f>
        <v>0</v>
      </c>
    </row>
    <row r="104" spans="4:9" hidden="1" x14ac:dyDescent="0.25">
      <c r="D104" s="128">
        <v>44564</v>
      </c>
      <c r="E104" s="130">
        <f t="shared" si="3"/>
        <v>0</v>
      </c>
    </row>
    <row r="105" spans="4:9" hidden="1" x14ac:dyDescent="0.25">
      <c r="D105" s="128">
        <v>44565</v>
      </c>
      <c r="E105" s="130">
        <f t="shared" si="3"/>
        <v>0</v>
      </c>
    </row>
    <row r="106" spans="4:9" hidden="1" x14ac:dyDescent="0.25">
      <c r="D106" s="128">
        <v>44566</v>
      </c>
      <c r="E106" s="130">
        <f t="shared" si="3"/>
        <v>0</v>
      </c>
    </row>
    <row r="107" spans="4:9" hidden="1" x14ac:dyDescent="0.25">
      <c r="D107" s="128">
        <v>44567</v>
      </c>
      <c r="E107" s="130">
        <f t="shared" si="3"/>
        <v>0</v>
      </c>
    </row>
    <row r="108" spans="4:9" hidden="1" x14ac:dyDescent="0.25">
      <c r="D108" s="128">
        <v>44568</v>
      </c>
      <c r="E108" s="130">
        <f t="shared" si="3"/>
        <v>0</v>
      </c>
    </row>
    <row r="109" spans="4:9" hidden="1" x14ac:dyDescent="0.25">
      <c r="D109" s="128">
        <v>44569</v>
      </c>
      <c r="E109" s="130">
        <f t="shared" si="3"/>
        <v>0</v>
      </c>
    </row>
    <row r="110" spans="4:9" hidden="1" x14ac:dyDescent="0.25">
      <c r="D110" s="128">
        <v>44570</v>
      </c>
      <c r="E110" s="130">
        <f t="shared" si="3"/>
        <v>0</v>
      </c>
    </row>
    <row r="111" spans="4:9" hidden="1" x14ac:dyDescent="0.25">
      <c r="D111" s="128">
        <v>44571</v>
      </c>
      <c r="E111" s="130">
        <f t="shared" si="3"/>
        <v>0</v>
      </c>
    </row>
    <row r="112" spans="4:9" hidden="1" x14ac:dyDescent="0.25">
      <c r="D112" s="128">
        <v>44572</v>
      </c>
      <c r="E112" s="130">
        <f t="shared" si="3"/>
        <v>0</v>
      </c>
    </row>
    <row r="113" spans="4:5" hidden="1" x14ac:dyDescent="0.25">
      <c r="D113" s="128">
        <v>44573</v>
      </c>
      <c r="E113" s="130">
        <f t="shared" si="3"/>
        <v>0</v>
      </c>
    </row>
    <row r="114" spans="4:5" hidden="1" x14ac:dyDescent="0.25">
      <c r="D114" s="128">
        <v>44574</v>
      </c>
      <c r="E114" s="130">
        <f t="shared" si="3"/>
        <v>0</v>
      </c>
    </row>
    <row r="115" spans="4:5" hidden="1" x14ac:dyDescent="0.25">
      <c r="D115" s="128">
        <v>44575</v>
      </c>
      <c r="E115" s="130">
        <f t="shared" si="3"/>
        <v>0</v>
      </c>
    </row>
    <row r="116" spans="4:5" hidden="1" x14ac:dyDescent="0.25">
      <c r="D116" s="128">
        <v>44576</v>
      </c>
      <c r="E116" s="130">
        <f t="shared" si="3"/>
        <v>0</v>
      </c>
    </row>
    <row r="117" spans="4:5" hidden="1" x14ac:dyDescent="0.25">
      <c r="D117" s="128">
        <v>44577</v>
      </c>
      <c r="E117" s="130">
        <f t="shared" si="3"/>
        <v>0</v>
      </c>
    </row>
    <row r="118" spans="4:5" hidden="1" x14ac:dyDescent="0.25">
      <c r="D118" s="128">
        <v>44578</v>
      </c>
      <c r="E118" s="130">
        <f t="shared" si="3"/>
        <v>0</v>
      </c>
    </row>
    <row r="119" spans="4:5" hidden="1" x14ac:dyDescent="0.25">
      <c r="D119" s="128">
        <v>44579</v>
      </c>
      <c r="E119" s="130">
        <f t="shared" si="3"/>
        <v>0</v>
      </c>
    </row>
    <row r="120" spans="4:5" hidden="1" x14ac:dyDescent="0.25">
      <c r="D120" s="128">
        <v>44580</v>
      </c>
      <c r="E120" s="130">
        <f t="shared" si="3"/>
        <v>0</v>
      </c>
    </row>
    <row r="121" spans="4:5" hidden="1" x14ac:dyDescent="0.25">
      <c r="D121" s="128">
        <v>44581</v>
      </c>
      <c r="E121" s="130">
        <f t="shared" si="3"/>
        <v>0</v>
      </c>
    </row>
    <row r="122" spans="4:5" hidden="1" x14ac:dyDescent="0.25">
      <c r="D122" s="128">
        <v>44582</v>
      </c>
      <c r="E122" s="130">
        <f t="shared" si="3"/>
        <v>0</v>
      </c>
    </row>
    <row r="123" spans="4:5" hidden="1" x14ac:dyDescent="0.25">
      <c r="D123" s="128">
        <v>44583</v>
      </c>
      <c r="E123" s="130">
        <f t="shared" si="3"/>
        <v>0</v>
      </c>
    </row>
    <row r="124" spans="4:5" hidden="1" x14ac:dyDescent="0.25">
      <c r="D124" s="128">
        <v>44584</v>
      </c>
      <c r="E124" s="130">
        <f t="shared" si="3"/>
        <v>0</v>
      </c>
    </row>
    <row r="125" spans="4:5" hidden="1" x14ac:dyDescent="0.25">
      <c r="D125" s="128">
        <v>44585</v>
      </c>
      <c r="E125" s="130">
        <f t="shared" si="3"/>
        <v>0</v>
      </c>
    </row>
    <row r="126" spans="4:5" hidden="1" x14ac:dyDescent="0.25">
      <c r="D126" s="128">
        <v>44586</v>
      </c>
      <c r="E126" s="130">
        <f t="shared" si="3"/>
        <v>0</v>
      </c>
    </row>
    <row r="127" spans="4:5" hidden="1" x14ac:dyDescent="0.25">
      <c r="D127" s="128">
        <v>44587</v>
      </c>
      <c r="E127" s="130">
        <f t="shared" si="3"/>
        <v>0</v>
      </c>
    </row>
    <row r="128" spans="4:5" hidden="1" x14ac:dyDescent="0.25">
      <c r="D128" s="128">
        <v>44588</v>
      </c>
      <c r="E128" s="130">
        <f t="shared" si="3"/>
        <v>0</v>
      </c>
    </row>
    <row r="129" spans="4:5" hidden="1" x14ac:dyDescent="0.25">
      <c r="D129" s="128">
        <v>44589</v>
      </c>
      <c r="E129" s="130">
        <f t="shared" si="3"/>
        <v>0</v>
      </c>
    </row>
    <row r="130" spans="4:5" hidden="1" x14ac:dyDescent="0.25">
      <c r="D130" s="128">
        <v>44590</v>
      </c>
      <c r="E130" s="130">
        <f t="shared" si="3"/>
        <v>0</v>
      </c>
    </row>
    <row r="131" spans="4:5" hidden="1" x14ac:dyDescent="0.25">
      <c r="D131" s="128">
        <v>44591</v>
      </c>
      <c r="E131" s="130">
        <f t="shared" si="3"/>
        <v>0</v>
      </c>
    </row>
    <row r="132" spans="4:5" hidden="1" x14ac:dyDescent="0.25">
      <c r="D132" s="128">
        <v>44592</v>
      </c>
      <c r="E132" s="130">
        <f t="shared" si="3"/>
        <v>0</v>
      </c>
    </row>
    <row r="133" spans="4:5" hidden="1" x14ac:dyDescent="0.25">
      <c r="D133" s="128">
        <v>44593</v>
      </c>
      <c r="E133" s="130">
        <f>$G$15</f>
        <v>6.6220238095238103E-3</v>
      </c>
    </row>
    <row r="134" spans="4:5" hidden="1" x14ac:dyDescent="0.25">
      <c r="D134" s="128">
        <v>44594</v>
      </c>
      <c r="E134" s="130">
        <f t="shared" ref="E134:E160" si="4">$G$15</f>
        <v>6.6220238095238103E-3</v>
      </c>
    </row>
    <row r="135" spans="4:5" hidden="1" x14ac:dyDescent="0.25">
      <c r="D135" s="128">
        <v>44595</v>
      </c>
      <c r="E135" s="130">
        <f t="shared" si="4"/>
        <v>6.6220238095238103E-3</v>
      </c>
    </row>
    <row r="136" spans="4:5" hidden="1" x14ac:dyDescent="0.25">
      <c r="D136" s="128">
        <v>44596</v>
      </c>
      <c r="E136" s="130">
        <f t="shared" si="4"/>
        <v>6.6220238095238103E-3</v>
      </c>
    </row>
    <row r="137" spans="4:5" hidden="1" x14ac:dyDescent="0.25">
      <c r="D137" s="128">
        <v>44597</v>
      </c>
      <c r="E137" s="130">
        <f t="shared" si="4"/>
        <v>6.6220238095238103E-3</v>
      </c>
    </row>
    <row r="138" spans="4:5" hidden="1" x14ac:dyDescent="0.25">
      <c r="D138" s="128">
        <v>44598</v>
      </c>
      <c r="E138" s="130">
        <f t="shared" si="4"/>
        <v>6.6220238095238103E-3</v>
      </c>
    </row>
    <row r="139" spans="4:5" hidden="1" x14ac:dyDescent="0.25">
      <c r="D139" s="128">
        <v>44599</v>
      </c>
      <c r="E139" s="130">
        <f t="shared" si="4"/>
        <v>6.6220238095238103E-3</v>
      </c>
    </row>
    <row r="140" spans="4:5" hidden="1" x14ac:dyDescent="0.25">
      <c r="D140" s="128">
        <v>44600</v>
      </c>
      <c r="E140" s="130">
        <f t="shared" si="4"/>
        <v>6.6220238095238103E-3</v>
      </c>
    </row>
    <row r="141" spans="4:5" hidden="1" x14ac:dyDescent="0.25">
      <c r="D141" s="128">
        <v>44601</v>
      </c>
      <c r="E141" s="130">
        <f t="shared" si="4"/>
        <v>6.6220238095238103E-3</v>
      </c>
    </row>
    <row r="142" spans="4:5" hidden="1" x14ac:dyDescent="0.25">
      <c r="D142" s="128">
        <v>44602</v>
      </c>
      <c r="E142" s="130">
        <f t="shared" si="4"/>
        <v>6.6220238095238103E-3</v>
      </c>
    </row>
    <row r="143" spans="4:5" hidden="1" x14ac:dyDescent="0.25">
      <c r="D143" s="128">
        <v>44603</v>
      </c>
      <c r="E143" s="130">
        <f t="shared" si="4"/>
        <v>6.6220238095238103E-3</v>
      </c>
    </row>
    <row r="144" spans="4:5" hidden="1" x14ac:dyDescent="0.25">
      <c r="D144" s="128">
        <v>44604</v>
      </c>
      <c r="E144" s="130">
        <f t="shared" si="4"/>
        <v>6.6220238095238103E-3</v>
      </c>
    </row>
    <row r="145" spans="4:5" hidden="1" x14ac:dyDescent="0.25">
      <c r="D145" s="128">
        <v>44605</v>
      </c>
      <c r="E145" s="130">
        <f t="shared" si="4"/>
        <v>6.6220238095238103E-3</v>
      </c>
    </row>
    <row r="146" spans="4:5" hidden="1" x14ac:dyDescent="0.25">
      <c r="D146" s="128">
        <v>44606</v>
      </c>
      <c r="E146" s="130">
        <f t="shared" si="4"/>
        <v>6.6220238095238103E-3</v>
      </c>
    </row>
    <row r="147" spans="4:5" hidden="1" x14ac:dyDescent="0.25">
      <c r="D147" s="128">
        <v>44607</v>
      </c>
      <c r="E147" s="130">
        <f t="shared" si="4"/>
        <v>6.6220238095238103E-3</v>
      </c>
    </row>
    <row r="148" spans="4:5" hidden="1" x14ac:dyDescent="0.25">
      <c r="D148" s="128">
        <v>44608</v>
      </c>
      <c r="E148" s="130">
        <f t="shared" si="4"/>
        <v>6.6220238095238103E-3</v>
      </c>
    </row>
    <row r="149" spans="4:5" hidden="1" x14ac:dyDescent="0.25">
      <c r="D149" s="128">
        <v>44609</v>
      </c>
      <c r="E149" s="130">
        <f t="shared" si="4"/>
        <v>6.6220238095238103E-3</v>
      </c>
    </row>
    <row r="150" spans="4:5" hidden="1" x14ac:dyDescent="0.25">
      <c r="D150" s="128">
        <v>44610</v>
      </c>
      <c r="E150" s="130">
        <f t="shared" si="4"/>
        <v>6.6220238095238103E-3</v>
      </c>
    </row>
    <row r="151" spans="4:5" hidden="1" x14ac:dyDescent="0.25">
      <c r="D151" s="128">
        <v>44611</v>
      </c>
      <c r="E151" s="130">
        <f t="shared" si="4"/>
        <v>6.6220238095238103E-3</v>
      </c>
    </row>
    <row r="152" spans="4:5" hidden="1" x14ac:dyDescent="0.25">
      <c r="D152" s="128">
        <v>44612</v>
      </c>
      <c r="E152" s="130">
        <f t="shared" si="4"/>
        <v>6.6220238095238103E-3</v>
      </c>
    </row>
    <row r="153" spans="4:5" hidden="1" x14ac:dyDescent="0.25">
      <c r="D153" s="128">
        <v>44613</v>
      </c>
      <c r="E153" s="130">
        <f t="shared" si="4"/>
        <v>6.6220238095238103E-3</v>
      </c>
    </row>
    <row r="154" spans="4:5" hidden="1" x14ac:dyDescent="0.25">
      <c r="D154" s="128">
        <v>44614</v>
      </c>
      <c r="E154" s="130">
        <f t="shared" si="4"/>
        <v>6.6220238095238103E-3</v>
      </c>
    </row>
    <row r="155" spans="4:5" hidden="1" x14ac:dyDescent="0.25">
      <c r="D155" s="128">
        <v>44615</v>
      </c>
      <c r="E155" s="130">
        <f t="shared" si="4"/>
        <v>6.6220238095238103E-3</v>
      </c>
    </row>
    <row r="156" spans="4:5" hidden="1" x14ac:dyDescent="0.25">
      <c r="D156" s="128">
        <v>44616</v>
      </c>
      <c r="E156" s="130">
        <f t="shared" si="4"/>
        <v>6.6220238095238103E-3</v>
      </c>
    </row>
    <row r="157" spans="4:5" hidden="1" x14ac:dyDescent="0.25">
      <c r="D157" s="128">
        <v>44617</v>
      </c>
      <c r="E157" s="130">
        <f t="shared" si="4"/>
        <v>6.6220238095238103E-3</v>
      </c>
    </row>
    <row r="158" spans="4:5" hidden="1" x14ac:dyDescent="0.25">
      <c r="D158" s="128">
        <v>44618</v>
      </c>
      <c r="E158" s="130">
        <f t="shared" si="4"/>
        <v>6.6220238095238103E-3</v>
      </c>
    </row>
    <row r="159" spans="4:5" hidden="1" x14ac:dyDescent="0.25">
      <c r="D159" s="128">
        <v>44619</v>
      </c>
      <c r="E159" s="130">
        <f t="shared" si="4"/>
        <v>6.6220238095238103E-3</v>
      </c>
    </row>
    <row r="160" spans="4:5" hidden="1" x14ac:dyDescent="0.25">
      <c r="D160" s="128">
        <v>44620</v>
      </c>
      <c r="E160" s="130">
        <f t="shared" si="4"/>
        <v>6.6220238095238103E-3</v>
      </c>
    </row>
    <row r="161" spans="4:5" hidden="1" x14ac:dyDescent="0.25">
      <c r="D161" s="128">
        <v>44621</v>
      </c>
      <c r="E161" s="130">
        <f>$G$16</f>
        <v>0</v>
      </c>
    </row>
    <row r="162" spans="4:5" hidden="1" x14ac:dyDescent="0.25">
      <c r="D162" s="128">
        <v>44622</v>
      </c>
      <c r="E162" s="130">
        <f t="shared" ref="E162:E191" si="5">$G$16</f>
        <v>0</v>
      </c>
    </row>
    <row r="163" spans="4:5" hidden="1" x14ac:dyDescent="0.25">
      <c r="D163" s="128">
        <v>44623</v>
      </c>
      <c r="E163" s="130">
        <f t="shared" si="5"/>
        <v>0</v>
      </c>
    </row>
    <row r="164" spans="4:5" hidden="1" x14ac:dyDescent="0.25">
      <c r="D164" s="128">
        <v>44624</v>
      </c>
      <c r="E164" s="130">
        <f t="shared" si="5"/>
        <v>0</v>
      </c>
    </row>
    <row r="165" spans="4:5" hidden="1" x14ac:dyDescent="0.25">
      <c r="D165" s="128">
        <v>44625</v>
      </c>
      <c r="E165" s="130">
        <f t="shared" si="5"/>
        <v>0</v>
      </c>
    </row>
    <row r="166" spans="4:5" hidden="1" x14ac:dyDescent="0.25">
      <c r="D166" s="128">
        <v>44626</v>
      </c>
      <c r="E166" s="130">
        <f t="shared" si="5"/>
        <v>0</v>
      </c>
    </row>
    <row r="167" spans="4:5" hidden="1" x14ac:dyDescent="0.25">
      <c r="D167" s="128">
        <v>44627</v>
      </c>
      <c r="E167" s="130">
        <f t="shared" si="5"/>
        <v>0</v>
      </c>
    </row>
    <row r="168" spans="4:5" hidden="1" x14ac:dyDescent="0.25">
      <c r="D168" s="128">
        <v>44628</v>
      </c>
      <c r="E168" s="130">
        <f t="shared" si="5"/>
        <v>0</v>
      </c>
    </row>
    <row r="169" spans="4:5" hidden="1" x14ac:dyDescent="0.25">
      <c r="D169" s="128">
        <v>44629</v>
      </c>
      <c r="E169" s="130">
        <f t="shared" si="5"/>
        <v>0</v>
      </c>
    </row>
    <row r="170" spans="4:5" hidden="1" x14ac:dyDescent="0.25">
      <c r="D170" s="128">
        <v>44630</v>
      </c>
      <c r="E170" s="130">
        <f t="shared" si="5"/>
        <v>0</v>
      </c>
    </row>
    <row r="171" spans="4:5" hidden="1" x14ac:dyDescent="0.25">
      <c r="D171" s="128">
        <v>44631</v>
      </c>
      <c r="E171" s="130">
        <f t="shared" si="5"/>
        <v>0</v>
      </c>
    </row>
    <row r="172" spans="4:5" hidden="1" x14ac:dyDescent="0.25">
      <c r="D172" s="128">
        <v>44632</v>
      </c>
      <c r="E172" s="130">
        <f t="shared" si="5"/>
        <v>0</v>
      </c>
    </row>
    <row r="173" spans="4:5" hidden="1" x14ac:dyDescent="0.25">
      <c r="D173" s="128">
        <v>44633</v>
      </c>
      <c r="E173" s="130">
        <f t="shared" si="5"/>
        <v>0</v>
      </c>
    </row>
    <row r="174" spans="4:5" hidden="1" x14ac:dyDescent="0.25">
      <c r="D174" s="128">
        <v>44634</v>
      </c>
      <c r="E174" s="130">
        <f t="shared" si="5"/>
        <v>0</v>
      </c>
    </row>
    <row r="175" spans="4:5" hidden="1" x14ac:dyDescent="0.25">
      <c r="D175" s="128">
        <v>44635</v>
      </c>
      <c r="E175" s="130">
        <f t="shared" si="5"/>
        <v>0</v>
      </c>
    </row>
    <row r="176" spans="4:5" hidden="1" x14ac:dyDescent="0.25">
      <c r="D176" s="128">
        <v>44636</v>
      </c>
      <c r="E176" s="130">
        <f t="shared" si="5"/>
        <v>0</v>
      </c>
    </row>
    <row r="177" spans="4:5" hidden="1" x14ac:dyDescent="0.25">
      <c r="D177" s="128">
        <v>44637</v>
      </c>
      <c r="E177" s="130">
        <f t="shared" si="5"/>
        <v>0</v>
      </c>
    </row>
    <row r="178" spans="4:5" hidden="1" x14ac:dyDescent="0.25">
      <c r="D178" s="128">
        <v>44638</v>
      </c>
      <c r="E178" s="130">
        <f t="shared" si="5"/>
        <v>0</v>
      </c>
    </row>
    <row r="179" spans="4:5" hidden="1" x14ac:dyDescent="0.25">
      <c r="D179" s="128">
        <v>44639</v>
      </c>
      <c r="E179" s="130">
        <f t="shared" si="5"/>
        <v>0</v>
      </c>
    </row>
    <row r="180" spans="4:5" hidden="1" x14ac:dyDescent="0.25">
      <c r="D180" s="128">
        <v>44640</v>
      </c>
      <c r="E180" s="130">
        <f t="shared" si="5"/>
        <v>0</v>
      </c>
    </row>
    <row r="181" spans="4:5" hidden="1" x14ac:dyDescent="0.25">
      <c r="D181" s="128">
        <v>44641</v>
      </c>
      <c r="E181" s="130">
        <f t="shared" si="5"/>
        <v>0</v>
      </c>
    </row>
    <row r="182" spans="4:5" hidden="1" x14ac:dyDescent="0.25">
      <c r="D182" s="128">
        <v>44642</v>
      </c>
      <c r="E182" s="130">
        <f t="shared" si="5"/>
        <v>0</v>
      </c>
    </row>
    <row r="183" spans="4:5" hidden="1" x14ac:dyDescent="0.25">
      <c r="D183" s="128">
        <v>44643</v>
      </c>
      <c r="E183" s="130">
        <f t="shared" si="5"/>
        <v>0</v>
      </c>
    </row>
    <row r="184" spans="4:5" hidden="1" x14ac:dyDescent="0.25">
      <c r="D184" s="128">
        <v>44644</v>
      </c>
      <c r="E184" s="130">
        <f t="shared" si="5"/>
        <v>0</v>
      </c>
    </row>
    <row r="185" spans="4:5" hidden="1" x14ac:dyDescent="0.25">
      <c r="D185" s="128">
        <v>44645</v>
      </c>
      <c r="E185" s="130">
        <f t="shared" si="5"/>
        <v>0</v>
      </c>
    </row>
    <row r="186" spans="4:5" hidden="1" x14ac:dyDescent="0.25">
      <c r="D186" s="128">
        <v>44646</v>
      </c>
      <c r="E186" s="130">
        <f t="shared" si="5"/>
        <v>0</v>
      </c>
    </row>
    <row r="187" spans="4:5" hidden="1" x14ac:dyDescent="0.25">
      <c r="D187" s="128">
        <v>44647</v>
      </c>
      <c r="E187" s="130">
        <f t="shared" si="5"/>
        <v>0</v>
      </c>
    </row>
    <row r="188" spans="4:5" hidden="1" x14ac:dyDescent="0.25">
      <c r="D188" s="128">
        <v>44648</v>
      </c>
      <c r="E188" s="130">
        <f t="shared" si="5"/>
        <v>0</v>
      </c>
    </row>
    <row r="189" spans="4:5" hidden="1" x14ac:dyDescent="0.25">
      <c r="D189" s="128">
        <v>44649</v>
      </c>
      <c r="E189" s="130">
        <f t="shared" si="5"/>
        <v>0</v>
      </c>
    </row>
    <row r="190" spans="4:5" hidden="1" x14ac:dyDescent="0.25">
      <c r="D190" s="128">
        <v>44650</v>
      </c>
      <c r="E190" s="130">
        <f t="shared" si="5"/>
        <v>0</v>
      </c>
    </row>
    <row r="191" spans="4:5" hidden="1" x14ac:dyDescent="0.25">
      <c r="D191" s="128">
        <v>44651</v>
      </c>
      <c r="E191" s="130">
        <f t="shared" si="5"/>
        <v>0</v>
      </c>
    </row>
    <row r="192" spans="4:5" hidden="1" x14ac:dyDescent="0.25">
      <c r="D192" s="128">
        <v>44652</v>
      </c>
      <c r="E192" s="130">
        <f>$G$17</f>
        <v>0</v>
      </c>
    </row>
    <row r="193" spans="4:5" hidden="1" x14ac:dyDescent="0.25">
      <c r="D193" s="128">
        <v>44653</v>
      </c>
      <c r="E193" s="130">
        <f t="shared" ref="E193:E221" si="6">$G$17</f>
        <v>0</v>
      </c>
    </row>
    <row r="194" spans="4:5" hidden="1" x14ac:dyDescent="0.25">
      <c r="D194" s="128">
        <v>44654</v>
      </c>
      <c r="E194" s="130">
        <f t="shared" si="6"/>
        <v>0</v>
      </c>
    </row>
    <row r="195" spans="4:5" hidden="1" x14ac:dyDescent="0.25">
      <c r="D195" s="128">
        <v>44655</v>
      </c>
      <c r="E195" s="130">
        <f t="shared" si="6"/>
        <v>0</v>
      </c>
    </row>
    <row r="196" spans="4:5" hidden="1" x14ac:dyDescent="0.25">
      <c r="D196" s="128">
        <v>44656</v>
      </c>
      <c r="E196" s="130">
        <f t="shared" si="6"/>
        <v>0</v>
      </c>
    </row>
    <row r="197" spans="4:5" hidden="1" x14ac:dyDescent="0.25">
      <c r="D197" s="128">
        <v>44657</v>
      </c>
      <c r="E197" s="130">
        <f t="shared" si="6"/>
        <v>0</v>
      </c>
    </row>
    <row r="198" spans="4:5" hidden="1" x14ac:dyDescent="0.25">
      <c r="D198" s="128">
        <v>44658</v>
      </c>
      <c r="E198" s="130">
        <f t="shared" si="6"/>
        <v>0</v>
      </c>
    </row>
    <row r="199" spans="4:5" hidden="1" x14ac:dyDescent="0.25">
      <c r="D199" s="128">
        <v>44659</v>
      </c>
      <c r="E199" s="130">
        <f t="shared" si="6"/>
        <v>0</v>
      </c>
    </row>
    <row r="200" spans="4:5" hidden="1" x14ac:dyDescent="0.25">
      <c r="D200" s="128">
        <v>44660</v>
      </c>
      <c r="E200" s="130">
        <f t="shared" si="6"/>
        <v>0</v>
      </c>
    </row>
    <row r="201" spans="4:5" hidden="1" x14ac:dyDescent="0.25">
      <c r="D201" s="128">
        <v>44661</v>
      </c>
      <c r="E201" s="130">
        <f t="shared" si="6"/>
        <v>0</v>
      </c>
    </row>
    <row r="202" spans="4:5" hidden="1" x14ac:dyDescent="0.25">
      <c r="D202" s="128">
        <v>44662</v>
      </c>
      <c r="E202" s="130">
        <f t="shared" si="6"/>
        <v>0</v>
      </c>
    </row>
    <row r="203" spans="4:5" hidden="1" x14ac:dyDescent="0.25">
      <c r="D203" s="128">
        <v>44663</v>
      </c>
      <c r="E203" s="130">
        <f t="shared" si="6"/>
        <v>0</v>
      </c>
    </row>
    <row r="204" spans="4:5" hidden="1" x14ac:dyDescent="0.25">
      <c r="D204" s="128">
        <v>44664</v>
      </c>
      <c r="E204" s="130">
        <f t="shared" si="6"/>
        <v>0</v>
      </c>
    </row>
    <row r="205" spans="4:5" hidden="1" x14ac:dyDescent="0.25">
      <c r="D205" s="128">
        <v>44665</v>
      </c>
      <c r="E205" s="130">
        <f t="shared" si="6"/>
        <v>0</v>
      </c>
    </row>
    <row r="206" spans="4:5" hidden="1" x14ac:dyDescent="0.25">
      <c r="D206" s="128">
        <v>44666</v>
      </c>
      <c r="E206" s="130">
        <f t="shared" si="6"/>
        <v>0</v>
      </c>
    </row>
    <row r="207" spans="4:5" hidden="1" x14ac:dyDescent="0.25">
      <c r="D207" s="128">
        <v>44667</v>
      </c>
      <c r="E207" s="130">
        <f t="shared" si="6"/>
        <v>0</v>
      </c>
    </row>
    <row r="208" spans="4:5" hidden="1" x14ac:dyDescent="0.25">
      <c r="D208" s="128">
        <v>44668</v>
      </c>
      <c r="E208" s="130">
        <f t="shared" si="6"/>
        <v>0</v>
      </c>
    </row>
    <row r="209" spans="4:5" hidden="1" x14ac:dyDescent="0.25">
      <c r="D209" s="128">
        <v>44669</v>
      </c>
      <c r="E209" s="130">
        <f t="shared" si="6"/>
        <v>0</v>
      </c>
    </row>
    <row r="210" spans="4:5" hidden="1" x14ac:dyDescent="0.25">
      <c r="D210" s="128">
        <v>44670</v>
      </c>
      <c r="E210" s="130">
        <f t="shared" si="6"/>
        <v>0</v>
      </c>
    </row>
    <row r="211" spans="4:5" hidden="1" x14ac:dyDescent="0.25">
      <c r="D211" s="128">
        <v>44671</v>
      </c>
      <c r="E211" s="130">
        <f t="shared" si="6"/>
        <v>0</v>
      </c>
    </row>
    <row r="212" spans="4:5" hidden="1" x14ac:dyDescent="0.25">
      <c r="D212" s="128">
        <v>44672</v>
      </c>
      <c r="E212" s="130">
        <f t="shared" si="6"/>
        <v>0</v>
      </c>
    </row>
    <row r="213" spans="4:5" hidden="1" x14ac:dyDescent="0.25">
      <c r="D213" s="128">
        <v>44673</v>
      </c>
      <c r="E213" s="130">
        <f t="shared" si="6"/>
        <v>0</v>
      </c>
    </row>
    <row r="214" spans="4:5" hidden="1" x14ac:dyDescent="0.25">
      <c r="D214" s="128">
        <v>44674</v>
      </c>
      <c r="E214" s="130">
        <f t="shared" si="6"/>
        <v>0</v>
      </c>
    </row>
    <row r="215" spans="4:5" hidden="1" x14ac:dyDescent="0.25">
      <c r="D215" s="128">
        <v>44675</v>
      </c>
      <c r="E215" s="130">
        <f t="shared" si="6"/>
        <v>0</v>
      </c>
    </row>
    <row r="216" spans="4:5" hidden="1" x14ac:dyDescent="0.25">
      <c r="D216" s="128">
        <v>44676</v>
      </c>
      <c r="E216" s="130">
        <f t="shared" si="6"/>
        <v>0</v>
      </c>
    </row>
    <row r="217" spans="4:5" hidden="1" x14ac:dyDescent="0.25">
      <c r="D217" s="128">
        <v>44677</v>
      </c>
      <c r="E217" s="130">
        <f t="shared" si="6"/>
        <v>0</v>
      </c>
    </row>
    <row r="218" spans="4:5" hidden="1" x14ac:dyDescent="0.25">
      <c r="D218" s="128">
        <v>44678</v>
      </c>
      <c r="E218" s="130">
        <f t="shared" si="6"/>
        <v>0</v>
      </c>
    </row>
    <row r="219" spans="4:5" hidden="1" x14ac:dyDescent="0.25">
      <c r="D219" s="128">
        <v>44679</v>
      </c>
      <c r="E219" s="130">
        <f t="shared" si="6"/>
        <v>0</v>
      </c>
    </row>
    <row r="220" spans="4:5" hidden="1" x14ac:dyDescent="0.25">
      <c r="D220" s="128">
        <v>44680</v>
      </c>
      <c r="E220" s="130">
        <f t="shared" si="6"/>
        <v>0</v>
      </c>
    </row>
    <row r="221" spans="4:5" hidden="1" x14ac:dyDescent="0.25">
      <c r="D221" s="128">
        <v>44681</v>
      </c>
      <c r="E221" s="130">
        <f t="shared" si="6"/>
        <v>0</v>
      </c>
    </row>
    <row r="222" spans="4:5" hidden="1" x14ac:dyDescent="0.25">
      <c r="D222" s="128">
        <v>44682</v>
      </c>
      <c r="E222" s="130">
        <f>$G$18</f>
        <v>0</v>
      </c>
    </row>
    <row r="223" spans="4:5" hidden="1" x14ac:dyDescent="0.25">
      <c r="D223" s="128">
        <v>44683</v>
      </c>
      <c r="E223" s="130">
        <f t="shared" ref="E223:E252" si="7">$G$18</f>
        <v>0</v>
      </c>
    </row>
    <row r="224" spans="4:5" hidden="1" x14ac:dyDescent="0.25">
      <c r="D224" s="128">
        <v>44684</v>
      </c>
      <c r="E224" s="130">
        <f t="shared" si="7"/>
        <v>0</v>
      </c>
    </row>
    <row r="225" spans="4:5" hidden="1" x14ac:dyDescent="0.25">
      <c r="D225" s="128">
        <v>44685</v>
      </c>
      <c r="E225" s="130">
        <f t="shared" si="7"/>
        <v>0</v>
      </c>
    </row>
    <row r="226" spans="4:5" hidden="1" x14ac:dyDescent="0.25">
      <c r="D226" s="128">
        <v>44686</v>
      </c>
      <c r="E226" s="130">
        <f t="shared" si="7"/>
        <v>0</v>
      </c>
    </row>
    <row r="227" spans="4:5" hidden="1" x14ac:dyDescent="0.25">
      <c r="D227" s="128">
        <v>44687</v>
      </c>
      <c r="E227" s="130">
        <f t="shared" si="7"/>
        <v>0</v>
      </c>
    </row>
    <row r="228" spans="4:5" hidden="1" x14ac:dyDescent="0.25">
      <c r="D228" s="128">
        <v>44688</v>
      </c>
      <c r="E228" s="130">
        <f t="shared" si="7"/>
        <v>0</v>
      </c>
    </row>
    <row r="229" spans="4:5" hidden="1" x14ac:dyDescent="0.25">
      <c r="D229" s="128">
        <v>44689</v>
      </c>
      <c r="E229" s="130">
        <f t="shared" si="7"/>
        <v>0</v>
      </c>
    </row>
    <row r="230" spans="4:5" hidden="1" x14ac:dyDescent="0.25">
      <c r="D230" s="128">
        <v>44690</v>
      </c>
      <c r="E230" s="130">
        <f t="shared" si="7"/>
        <v>0</v>
      </c>
    </row>
    <row r="231" spans="4:5" hidden="1" x14ac:dyDescent="0.25">
      <c r="D231" s="128">
        <v>44691</v>
      </c>
      <c r="E231" s="130">
        <f t="shared" si="7"/>
        <v>0</v>
      </c>
    </row>
    <row r="232" spans="4:5" hidden="1" x14ac:dyDescent="0.25">
      <c r="D232" s="128">
        <v>44692</v>
      </c>
      <c r="E232" s="130">
        <f t="shared" si="7"/>
        <v>0</v>
      </c>
    </row>
    <row r="233" spans="4:5" hidden="1" x14ac:dyDescent="0.25">
      <c r="D233" s="128">
        <v>44693</v>
      </c>
      <c r="E233" s="130">
        <f t="shared" si="7"/>
        <v>0</v>
      </c>
    </row>
    <row r="234" spans="4:5" hidden="1" x14ac:dyDescent="0.25">
      <c r="D234" s="128">
        <v>44694</v>
      </c>
      <c r="E234" s="130">
        <f t="shared" si="7"/>
        <v>0</v>
      </c>
    </row>
    <row r="235" spans="4:5" hidden="1" x14ac:dyDescent="0.25">
      <c r="D235" s="128">
        <v>44695</v>
      </c>
      <c r="E235" s="130">
        <f t="shared" si="7"/>
        <v>0</v>
      </c>
    </row>
    <row r="236" spans="4:5" hidden="1" x14ac:dyDescent="0.25">
      <c r="D236" s="128">
        <v>44696</v>
      </c>
      <c r="E236" s="130">
        <f t="shared" si="7"/>
        <v>0</v>
      </c>
    </row>
    <row r="237" spans="4:5" hidden="1" x14ac:dyDescent="0.25">
      <c r="D237" s="128">
        <v>44697</v>
      </c>
      <c r="E237" s="130">
        <f t="shared" si="7"/>
        <v>0</v>
      </c>
    </row>
    <row r="238" spans="4:5" hidden="1" x14ac:dyDescent="0.25">
      <c r="D238" s="128">
        <v>44698</v>
      </c>
      <c r="E238" s="130">
        <f t="shared" si="7"/>
        <v>0</v>
      </c>
    </row>
    <row r="239" spans="4:5" hidden="1" x14ac:dyDescent="0.25">
      <c r="D239" s="128">
        <v>44699</v>
      </c>
      <c r="E239" s="130">
        <f t="shared" si="7"/>
        <v>0</v>
      </c>
    </row>
    <row r="240" spans="4:5" hidden="1" x14ac:dyDescent="0.25">
      <c r="D240" s="128">
        <v>44700</v>
      </c>
      <c r="E240" s="130">
        <f t="shared" si="7"/>
        <v>0</v>
      </c>
    </row>
    <row r="241" spans="4:5" hidden="1" x14ac:dyDescent="0.25">
      <c r="D241" s="128">
        <v>44701</v>
      </c>
      <c r="E241" s="130">
        <f t="shared" si="7"/>
        <v>0</v>
      </c>
    </row>
    <row r="242" spans="4:5" hidden="1" x14ac:dyDescent="0.25">
      <c r="D242" s="128">
        <v>44702</v>
      </c>
      <c r="E242" s="130">
        <f t="shared" si="7"/>
        <v>0</v>
      </c>
    </row>
    <row r="243" spans="4:5" hidden="1" x14ac:dyDescent="0.25">
      <c r="D243" s="128">
        <v>44703</v>
      </c>
      <c r="E243" s="130">
        <f t="shared" si="7"/>
        <v>0</v>
      </c>
    </row>
    <row r="244" spans="4:5" hidden="1" x14ac:dyDescent="0.25">
      <c r="D244" s="128">
        <v>44704</v>
      </c>
      <c r="E244" s="130">
        <f t="shared" si="7"/>
        <v>0</v>
      </c>
    </row>
    <row r="245" spans="4:5" hidden="1" x14ac:dyDescent="0.25">
      <c r="D245" s="128">
        <v>44705</v>
      </c>
      <c r="E245" s="130">
        <f t="shared" si="7"/>
        <v>0</v>
      </c>
    </row>
    <row r="246" spans="4:5" hidden="1" x14ac:dyDescent="0.25">
      <c r="D246" s="128">
        <v>44706</v>
      </c>
      <c r="E246" s="130">
        <f t="shared" si="7"/>
        <v>0</v>
      </c>
    </row>
    <row r="247" spans="4:5" hidden="1" x14ac:dyDescent="0.25">
      <c r="D247" s="128">
        <v>44707</v>
      </c>
      <c r="E247" s="130">
        <f t="shared" si="7"/>
        <v>0</v>
      </c>
    </row>
    <row r="248" spans="4:5" hidden="1" x14ac:dyDescent="0.25">
      <c r="D248" s="128">
        <v>44708</v>
      </c>
      <c r="E248" s="130">
        <f t="shared" si="7"/>
        <v>0</v>
      </c>
    </row>
    <row r="249" spans="4:5" hidden="1" x14ac:dyDescent="0.25">
      <c r="D249" s="128">
        <v>44709</v>
      </c>
      <c r="E249" s="130">
        <f t="shared" si="7"/>
        <v>0</v>
      </c>
    </row>
    <row r="250" spans="4:5" hidden="1" x14ac:dyDescent="0.25">
      <c r="D250" s="128">
        <v>44710</v>
      </c>
      <c r="E250" s="130">
        <f t="shared" si="7"/>
        <v>0</v>
      </c>
    </row>
    <row r="251" spans="4:5" hidden="1" x14ac:dyDescent="0.25">
      <c r="D251" s="128">
        <v>44711</v>
      </c>
      <c r="E251" s="130">
        <f t="shared" si="7"/>
        <v>0</v>
      </c>
    </row>
    <row r="252" spans="4:5" hidden="1" x14ac:dyDescent="0.25">
      <c r="D252" s="128">
        <v>44712</v>
      </c>
      <c r="E252" s="130">
        <f t="shared" si="7"/>
        <v>0</v>
      </c>
    </row>
    <row r="253" spans="4:5" hidden="1" x14ac:dyDescent="0.25">
      <c r="D253" s="128">
        <v>44713</v>
      </c>
      <c r="E253" s="130">
        <f>$G$19</f>
        <v>0</v>
      </c>
    </row>
    <row r="254" spans="4:5" hidden="1" x14ac:dyDescent="0.25">
      <c r="D254" s="128">
        <v>44714</v>
      </c>
      <c r="E254" s="130">
        <f t="shared" ref="E254:E282" si="8">$G$19</f>
        <v>0</v>
      </c>
    </row>
    <row r="255" spans="4:5" hidden="1" x14ac:dyDescent="0.25">
      <c r="D255" s="128">
        <v>44715</v>
      </c>
      <c r="E255" s="130">
        <f t="shared" si="8"/>
        <v>0</v>
      </c>
    </row>
    <row r="256" spans="4:5" hidden="1" x14ac:dyDescent="0.25">
      <c r="D256" s="128">
        <v>44716</v>
      </c>
      <c r="E256" s="130">
        <f t="shared" si="8"/>
        <v>0</v>
      </c>
    </row>
    <row r="257" spans="4:5" hidden="1" x14ac:dyDescent="0.25">
      <c r="D257" s="128">
        <v>44717</v>
      </c>
      <c r="E257" s="130">
        <f t="shared" si="8"/>
        <v>0</v>
      </c>
    </row>
    <row r="258" spans="4:5" hidden="1" x14ac:dyDescent="0.25">
      <c r="D258" s="128">
        <v>44718</v>
      </c>
      <c r="E258" s="130">
        <f t="shared" si="8"/>
        <v>0</v>
      </c>
    </row>
    <row r="259" spans="4:5" hidden="1" x14ac:dyDescent="0.25">
      <c r="D259" s="128">
        <v>44719</v>
      </c>
      <c r="E259" s="130">
        <f t="shared" si="8"/>
        <v>0</v>
      </c>
    </row>
    <row r="260" spans="4:5" hidden="1" x14ac:dyDescent="0.25">
      <c r="D260" s="128">
        <v>44720</v>
      </c>
      <c r="E260" s="130">
        <f t="shared" si="8"/>
        <v>0</v>
      </c>
    </row>
    <row r="261" spans="4:5" hidden="1" x14ac:dyDescent="0.25">
      <c r="D261" s="128">
        <v>44721</v>
      </c>
      <c r="E261" s="130">
        <f t="shared" si="8"/>
        <v>0</v>
      </c>
    </row>
    <row r="262" spans="4:5" hidden="1" x14ac:dyDescent="0.25">
      <c r="D262" s="128">
        <v>44722</v>
      </c>
      <c r="E262" s="130">
        <f t="shared" si="8"/>
        <v>0</v>
      </c>
    </row>
    <row r="263" spans="4:5" hidden="1" x14ac:dyDescent="0.25">
      <c r="D263" s="128">
        <v>44723</v>
      </c>
      <c r="E263" s="130">
        <f t="shared" si="8"/>
        <v>0</v>
      </c>
    </row>
    <row r="264" spans="4:5" hidden="1" x14ac:dyDescent="0.25">
      <c r="D264" s="128">
        <v>44724</v>
      </c>
      <c r="E264" s="130">
        <f t="shared" si="8"/>
        <v>0</v>
      </c>
    </row>
    <row r="265" spans="4:5" hidden="1" x14ac:dyDescent="0.25">
      <c r="D265" s="128">
        <v>44725</v>
      </c>
      <c r="E265" s="130">
        <f t="shared" si="8"/>
        <v>0</v>
      </c>
    </row>
    <row r="266" spans="4:5" hidden="1" x14ac:dyDescent="0.25">
      <c r="D266" s="128">
        <v>44726</v>
      </c>
      <c r="E266" s="130">
        <f t="shared" si="8"/>
        <v>0</v>
      </c>
    </row>
    <row r="267" spans="4:5" hidden="1" x14ac:dyDescent="0.25">
      <c r="D267" s="128">
        <v>44727</v>
      </c>
      <c r="E267" s="130">
        <f t="shared" si="8"/>
        <v>0</v>
      </c>
    </row>
    <row r="268" spans="4:5" hidden="1" x14ac:dyDescent="0.25">
      <c r="D268" s="128">
        <v>44728</v>
      </c>
      <c r="E268" s="130">
        <f t="shared" si="8"/>
        <v>0</v>
      </c>
    </row>
    <row r="269" spans="4:5" hidden="1" x14ac:dyDescent="0.25">
      <c r="D269" s="128">
        <v>44729</v>
      </c>
      <c r="E269" s="130">
        <f t="shared" si="8"/>
        <v>0</v>
      </c>
    </row>
    <row r="270" spans="4:5" hidden="1" x14ac:dyDescent="0.25">
      <c r="D270" s="128">
        <v>44730</v>
      </c>
      <c r="E270" s="130">
        <f t="shared" si="8"/>
        <v>0</v>
      </c>
    </row>
    <row r="271" spans="4:5" hidden="1" x14ac:dyDescent="0.25">
      <c r="D271" s="128">
        <v>44731</v>
      </c>
      <c r="E271" s="130">
        <f t="shared" si="8"/>
        <v>0</v>
      </c>
    </row>
    <row r="272" spans="4:5" hidden="1" x14ac:dyDescent="0.25">
      <c r="D272" s="128">
        <v>44732</v>
      </c>
      <c r="E272" s="130">
        <f t="shared" si="8"/>
        <v>0</v>
      </c>
    </row>
    <row r="273" spans="4:5" hidden="1" x14ac:dyDescent="0.25">
      <c r="D273" s="128">
        <v>44733</v>
      </c>
      <c r="E273" s="130">
        <f t="shared" si="8"/>
        <v>0</v>
      </c>
    </row>
    <row r="274" spans="4:5" hidden="1" x14ac:dyDescent="0.25">
      <c r="D274" s="128">
        <v>44734</v>
      </c>
      <c r="E274" s="130">
        <f t="shared" si="8"/>
        <v>0</v>
      </c>
    </row>
    <row r="275" spans="4:5" hidden="1" x14ac:dyDescent="0.25">
      <c r="D275" s="128">
        <v>44735</v>
      </c>
      <c r="E275" s="130">
        <f t="shared" si="8"/>
        <v>0</v>
      </c>
    </row>
    <row r="276" spans="4:5" hidden="1" x14ac:dyDescent="0.25">
      <c r="D276" s="128">
        <v>44736</v>
      </c>
      <c r="E276" s="130">
        <f t="shared" si="8"/>
        <v>0</v>
      </c>
    </row>
    <row r="277" spans="4:5" hidden="1" x14ac:dyDescent="0.25">
      <c r="D277" s="128">
        <v>44737</v>
      </c>
      <c r="E277" s="130">
        <f t="shared" si="8"/>
        <v>0</v>
      </c>
    </row>
    <row r="278" spans="4:5" hidden="1" x14ac:dyDescent="0.25">
      <c r="D278" s="128">
        <v>44738</v>
      </c>
      <c r="E278" s="130">
        <f t="shared" si="8"/>
        <v>0</v>
      </c>
    </row>
    <row r="279" spans="4:5" hidden="1" x14ac:dyDescent="0.25">
      <c r="D279" s="128">
        <v>44739</v>
      </c>
      <c r="E279" s="130">
        <f t="shared" si="8"/>
        <v>0</v>
      </c>
    </row>
    <row r="280" spans="4:5" hidden="1" x14ac:dyDescent="0.25">
      <c r="D280" s="128">
        <v>44740</v>
      </c>
      <c r="E280" s="130">
        <f t="shared" si="8"/>
        <v>0</v>
      </c>
    </row>
    <row r="281" spans="4:5" hidden="1" x14ac:dyDescent="0.25">
      <c r="D281" s="128">
        <v>44741</v>
      </c>
      <c r="E281" s="130">
        <f t="shared" si="8"/>
        <v>0</v>
      </c>
    </row>
    <row r="282" spans="4:5" hidden="1" x14ac:dyDescent="0.25">
      <c r="D282" s="128">
        <v>44742</v>
      </c>
      <c r="E282" s="130">
        <f t="shared" si="8"/>
        <v>0</v>
      </c>
    </row>
    <row r="283" spans="4:5" hidden="1" x14ac:dyDescent="0.25">
      <c r="D283" s="128">
        <v>44743</v>
      </c>
      <c r="E283" s="130">
        <f>$G$20</f>
        <v>0</v>
      </c>
    </row>
    <row r="284" spans="4:5" hidden="1" x14ac:dyDescent="0.25">
      <c r="D284" s="128">
        <v>44744</v>
      </c>
      <c r="E284" s="130">
        <f t="shared" ref="E284:E313" si="9">$G$20</f>
        <v>0</v>
      </c>
    </row>
    <row r="285" spans="4:5" hidden="1" x14ac:dyDescent="0.25">
      <c r="D285" s="128">
        <v>44745</v>
      </c>
      <c r="E285" s="130">
        <f t="shared" si="9"/>
        <v>0</v>
      </c>
    </row>
    <row r="286" spans="4:5" hidden="1" x14ac:dyDescent="0.25">
      <c r="D286" s="128">
        <v>44746</v>
      </c>
      <c r="E286" s="130">
        <f t="shared" si="9"/>
        <v>0</v>
      </c>
    </row>
    <row r="287" spans="4:5" hidden="1" x14ac:dyDescent="0.25">
      <c r="D287" s="128">
        <v>44747</v>
      </c>
      <c r="E287" s="130">
        <f t="shared" si="9"/>
        <v>0</v>
      </c>
    </row>
    <row r="288" spans="4:5" hidden="1" x14ac:dyDescent="0.25">
      <c r="D288" s="128">
        <v>44748</v>
      </c>
      <c r="E288" s="130">
        <f t="shared" si="9"/>
        <v>0</v>
      </c>
    </row>
    <row r="289" spans="4:5" hidden="1" x14ac:dyDescent="0.25">
      <c r="D289" s="128">
        <v>44749</v>
      </c>
      <c r="E289" s="130">
        <f t="shared" si="9"/>
        <v>0</v>
      </c>
    </row>
    <row r="290" spans="4:5" hidden="1" x14ac:dyDescent="0.25">
      <c r="D290" s="128">
        <v>44750</v>
      </c>
      <c r="E290" s="130">
        <f t="shared" si="9"/>
        <v>0</v>
      </c>
    </row>
    <row r="291" spans="4:5" hidden="1" x14ac:dyDescent="0.25">
      <c r="D291" s="128">
        <v>44751</v>
      </c>
      <c r="E291" s="130">
        <f t="shared" si="9"/>
        <v>0</v>
      </c>
    </row>
    <row r="292" spans="4:5" hidden="1" x14ac:dyDescent="0.25">
      <c r="D292" s="128">
        <v>44752</v>
      </c>
      <c r="E292" s="130">
        <f t="shared" si="9"/>
        <v>0</v>
      </c>
    </row>
    <row r="293" spans="4:5" hidden="1" x14ac:dyDescent="0.25">
      <c r="D293" s="128">
        <v>44753</v>
      </c>
      <c r="E293" s="130">
        <f t="shared" si="9"/>
        <v>0</v>
      </c>
    </row>
    <row r="294" spans="4:5" hidden="1" x14ac:dyDescent="0.25">
      <c r="D294" s="128">
        <v>44754</v>
      </c>
      <c r="E294" s="130">
        <f t="shared" si="9"/>
        <v>0</v>
      </c>
    </row>
    <row r="295" spans="4:5" hidden="1" x14ac:dyDescent="0.25">
      <c r="D295" s="128">
        <v>44755</v>
      </c>
      <c r="E295" s="130">
        <f t="shared" si="9"/>
        <v>0</v>
      </c>
    </row>
    <row r="296" spans="4:5" hidden="1" x14ac:dyDescent="0.25">
      <c r="D296" s="128">
        <v>44756</v>
      </c>
      <c r="E296" s="130">
        <f t="shared" si="9"/>
        <v>0</v>
      </c>
    </row>
    <row r="297" spans="4:5" hidden="1" x14ac:dyDescent="0.25">
      <c r="D297" s="128">
        <v>44757</v>
      </c>
      <c r="E297" s="130">
        <f t="shared" si="9"/>
        <v>0</v>
      </c>
    </row>
    <row r="298" spans="4:5" hidden="1" x14ac:dyDescent="0.25">
      <c r="D298" s="128">
        <v>44758</v>
      </c>
      <c r="E298" s="130">
        <f t="shared" si="9"/>
        <v>0</v>
      </c>
    </row>
    <row r="299" spans="4:5" hidden="1" x14ac:dyDescent="0.25">
      <c r="D299" s="128">
        <v>44759</v>
      </c>
      <c r="E299" s="130">
        <f t="shared" si="9"/>
        <v>0</v>
      </c>
    </row>
    <row r="300" spans="4:5" hidden="1" x14ac:dyDescent="0.25">
      <c r="D300" s="128">
        <v>44760</v>
      </c>
      <c r="E300" s="130">
        <f t="shared" si="9"/>
        <v>0</v>
      </c>
    </row>
    <row r="301" spans="4:5" hidden="1" x14ac:dyDescent="0.25">
      <c r="D301" s="128">
        <v>44761</v>
      </c>
      <c r="E301" s="130">
        <f t="shared" si="9"/>
        <v>0</v>
      </c>
    </row>
    <row r="302" spans="4:5" hidden="1" x14ac:dyDescent="0.25">
      <c r="D302" s="128">
        <v>44762</v>
      </c>
      <c r="E302" s="130">
        <f t="shared" si="9"/>
        <v>0</v>
      </c>
    </row>
    <row r="303" spans="4:5" hidden="1" x14ac:dyDescent="0.25">
      <c r="D303" s="128">
        <v>44763</v>
      </c>
      <c r="E303" s="130">
        <f t="shared" si="9"/>
        <v>0</v>
      </c>
    </row>
    <row r="304" spans="4:5" hidden="1" x14ac:dyDescent="0.25">
      <c r="D304" s="128">
        <v>44764</v>
      </c>
      <c r="E304" s="130">
        <f t="shared" si="9"/>
        <v>0</v>
      </c>
    </row>
    <row r="305" spans="4:5" hidden="1" x14ac:dyDescent="0.25">
      <c r="D305" s="128">
        <v>44765</v>
      </c>
      <c r="E305" s="130">
        <f t="shared" si="9"/>
        <v>0</v>
      </c>
    </row>
    <row r="306" spans="4:5" hidden="1" x14ac:dyDescent="0.25">
      <c r="D306" s="128">
        <v>44766</v>
      </c>
      <c r="E306" s="130">
        <f t="shared" si="9"/>
        <v>0</v>
      </c>
    </row>
    <row r="307" spans="4:5" hidden="1" x14ac:dyDescent="0.25">
      <c r="D307" s="128">
        <v>44767</v>
      </c>
      <c r="E307" s="130">
        <f t="shared" si="9"/>
        <v>0</v>
      </c>
    </row>
    <row r="308" spans="4:5" hidden="1" x14ac:dyDescent="0.25">
      <c r="D308" s="128">
        <v>44768</v>
      </c>
      <c r="E308" s="130">
        <f t="shared" si="9"/>
        <v>0</v>
      </c>
    </row>
    <row r="309" spans="4:5" hidden="1" x14ac:dyDescent="0.25">
      <c r="D309" s="128">
        <v>44769</v>
      </c>
      <c r="E309" s="130">
        <f t="shared" si="9"/>
        <v>0</v>
      </c>
    </row>
    <row r="310" spans="4:5" hidden="1" x14ac:dyDescent="0.25">
      <c r="D310" s="128">
        <v>44770</v>
      </c>
      <c r="E310" s="130">
        <f t="shared" si="9"/>
        <v>0</v>
      </c>
    </row>
    <row r="311" spans="4:5" hidden="1" x14ac:dyDescent="0.25">
      <c r="D311" s="128">
        <v>44771</v>
      </c>
      <c r="E311" s="130">
        <f t="shared" si="9"/>
        <v>0</v>
      </c>
    </row>
    <row r="312" spans="4:5" hidden="1" x14ac:dyDescent="0.25">
      <c r="D312" s="128">
        <v>44772</v>
      </c>
      <c r="E312" s="130">
        <f t="shared" si="9"/>
        <v>0</v>
      </c>
    </row>
    <row r="313" spans="4:5" hidden="1" x14ac:dyDescent="0.25">
      <c r="D313" s="128">
        <v>44773</v>
      </c>
      <c r="E313" s="130">
        <f t="shared" si="9"/>
        <v>0</v>
      </c>
    </row>
    <row r="314" spans="4:5" hidden="1" x14ac:dyDescent="0.25">
      <c r="D314" s="128">
        <v>44774</v>
      </c>
      <c r="E314" s="130">
        <f>$G$21</f>
        <v>0</v>
      </c>
    </row>
    <row r="315" spans="4:5" hidden="1" x14ac:dyDescent="0.25">
      <c r="D315" s="128">
        <v>44775</v>
      </c>
      <c r="E315" s="130">
        <f t="shared" ref="E315:E344" si="10">$G$21</f>
        <v>0</v>
      </c>
    </row>
    <row r="316" spans="4:5" hidden="1" x14ac:dyDescent="0.25">
      <c r="D316" s="128">
        <v>44776</v>
      </c>
      <c r="E316" s="130">
        <f t="shared" si="10"/>
        <v>0</v>
      </c>
    </row>
    <row r="317" spans="4:5" hidden="1" x14ac:dyDescent="0.25">
      <c r="D317" s="128">
        <v>44777</v>
      </c>
      <c r="E317" s="130">
        <f t="shared" si="10"/>
        <v>0</v>
      </c>
    </row>
    <row r="318" spans="4:5" hidden="1" x14ac:dyDescent="0.25">
      <c r="D318" s="128">
        <v>44778</v>
      </c>
      <c r="E318" s="130">
        <f t="shared" si="10"/>
        <v>0</v>
      </c>
    </row>
    <row r="319" spans="4:5" hidden="1" x14ac:dyDescent="0.25">
      <c r="D319" s="128">
        <v>44779</v>
      </c>
      <c r="E319" s="130">
        <f t="shared" si="10"/>
        <v>0</v>
      </c>
    </row>
    <row r="320" spans="4:5" hidden="1" x14ac:dyDescent="0.25">
      <c r="D320" s="128">
        <v>44780</v>
      </c>
      <c r="E320" s="130">
        <f t="shared" si="10"/>
        <v>0</v>
      </c>
    </row>
    <row r="321" spans="4:5" hidden="1" x14ac:dyDescent="0.25">
      <c r="D321" s="128">
        <v>44781</v>
      </c>
      <c r="E321" s="130">
        <f t="shared" si="10"/>
        <v>0</v>
      </c>
    </row>
    <row r="322" spans="4:5" hidden="1" x14ac:dyDescent="0.25">
      <c r="D322" s="128">
        <v>44782</v>
      </c>
      <c r="E322" s="130">
        <f t="shared" si="10"/>
        <v>0</v>
      </c>
    </row>
    <row r="323" spans="4:5" hidden="1" x14ac:dyDescent="0.25">
      <c r="D323" s="128">
        <v>44783</v>
      </c>
      <c r="E323" s="130">
        <f t="shared" si="10"/>
        <v>0</v>
      </c>
    </row>
    <row r="324" spans="4:5" hidden="1" x14ac:dyDescent="0.25">
      <c r="D324" s="128">
        <v>44784</v>
      </c>
      <c r="E324" s="130">
        <f t="shared" si="10"/>
        <v>0</v>
      </c>
    </row>
    <row r="325" spans="4:5" hidden="1" x14ac:dyDescent="0.25">
      <c r="D325" s="128">
        <v>44785</v>
      </c>
      <c r="E325" s="130">
        <f t="shared" si="10"/>
        <v>0</v>
      </c>
    </row>
    <row r="326" spans="4:5" hidden="1" x14ac:dyDescent="0.25">
      <c r="D326" s="128">
        <v>44786</v>
      </c>
      <c r="E326" s="130">
        <f t="shared" si="10"/>
        <v>0</v>
      </c>
    </row>
    <row r="327" spans="4:5" hidden="1" x14ac:dyDescent="0.25">
      <c r="D327" s="128">
        <v>44787</v>
      </c>
      <c r="E327" s="130">
        <f t="shared" si="10"/>
        <v>0</v>
      </c>
    </row>
    <row r="328" spans="4:5" hidden="1" x14ac:dyDescent="0.25">
      <c r="D328" s="128">
        <v>44788</v>
      </c>
      <c r="E328" s="130">
        <f t="shared" si="10"/>
        <v>0</v>
      </c>
    </row>
    <row r="329" spans="4:5" hidden="1" x14ac:dyDescent="0.25">
      <c r="D329" s="128">
        <v>44789</v>
      </c>
      <c r="E329" s="130">
        <f t="shared" si="10"/>
        <v>0</v>
      </c>
    </row>
    <row r="330" spans="4:5" hidden="1" x14ac:dyDescent="0.25">
      <c r="D330" s="128">
        <v>44790</v>
      </c>
      <c r="E330" s="130">
        <f t="shared" si="10"/>
        <v>0</v>
      </c>
    </row>
    <row r="331" spans="4:5" hidden="1" x14ac:dyDescent="0.25">
      <c r="D331" s="128">
        <v>44791</v>
      </c>
      <c r="E331" s="130">
        <f t="shared" si="10"/>
        <v>0</v>
      </c>
    </row>
    <row r="332" spans="4:5" hidden="1" x14ac:dyDescent="0.25">
      <c r="D332" s="128">
        <v>44792</v>
      </c>
      <c r="E332" s="130">
        <f t="shared" si="10"/>
        <v>0</v>
      </c>
    </row>
    <row r="333" spans="4:5" hidden="1" x14ac:dyDescent="0.25">
      <c r="D333" s="128">
        <v>44793</v>
      </c>
      <c r="E333" s="130">
        <f t="shared" si="10"/>
        <v>0</v>
      </c>
    </row>
    <row r="334" spans="4:5" hidden="1" x14ac:dyDescent="0.25">
      <c r="D334" s="128">
        <v>44794</v>
      </c>
      <c r="E334" s="130">
        <f t="shared" si="10"/>
        <v>0</v>
      </c>
    </row>
    <row r="335" spans="4:5" hidden="1" x14ac:dyDescent="0.25">
      <c r="D335" s="128">
        <v>44795</v>
      </c>
      <c r="E335" s="130">
        <f t="shared" si="10"/>
        <v>0</v>
      </c>
    </row>
    <row r="336" spans="4:5" hidden="1" x14ac:dyDescent="0.25">
      <c r="D336" s="128">
        <v>44796</v>
      </c>
      <c r="E336" s="130">
        <f t="shared" si="10"/>
        <v>0</v>
      </c>
    </row>
    <row r="337" spans="4:5" hidden="1" x14ac:dyDescent="0.25">
      <c r="D337" s="128">
        <v>44797</v>
      </c>
      <c r="E337" s="130">
        <f t="shared" si="10"/>
        <v>0</v>
      </c>
    </row>
    <row r="338" spans="4:5" hidden="1" x14ac:dyDescent="0.25">
      <c r="D338" s="128">
        <v>44798</v>
      </c>
      <c r="E338" s="130">
        <f t="shared" si="10"/>
        <v>0</v>
      </c>
    </row>
    <row r="339" spans="4:5" hidden="1" x14ac:dyDescent="0.25">
      <c r="D339" s="128">
        <v>44799</v>
      </c>
      <c r="E339" s="130">
        <f t="shared" si="10"/>
        <v>0</v>
      </c>
    </row>
    <row r="340" spans="4:5" hidden="1" x14ac:dyDescent="0.25">
      <c r="D340" s="128">
        <v>44800</v>
      </c>
      <c r="E340" s="130">
        <f t="shared" si="10"/>
        <v>0</v>
      </c>
    </row>
    <row r="341" spans="4:5" hidden="1" x14ac:dyDescent="0.25">
      <c r="D341" s="128">
        <v>44801</v>
      </c>
      <c r="E341" s="130">
        <f t="shared" si="10"/>
        <v>0</v>
      </c>
    </row>
    <row r="342" spans="4:5" hidden="1" x14ac:dyDescent="0.25">
      <c r="D342" s="128">
        <v>44802</v>
      </c>
      <c r="E342" s="130">
        <f t="shared" si="10"/>
        <v>0</v>
      </c>
    </row>
    <row r="343" spans="4:5" hidden="1" x14ac:dyDescent="0.25">
      <c r="D343" s="128">
        <v>44803</v>
      </c>
      <c r="E343" s="130">
        <f t="shared" si="10"/>
        <v>0</v>
      </c>
    </row>
    <row r="344" spans="4:5" hidden="1" x14ac:dyDescent="0.25">
      <c r="D344" s="128">
        <v>44804</v>
      </c>
      <c r="E344" s="130">
        <f t="shared" si="10"/>
        <v>0</v>
      </c>
    </row>
    <row r="345" spans="4:5" hidden="1" x14ac:dyDescent="0.25">
      <c r="D345" s="128">
        <v>44805</v>
      </c>
      <c r="E345" s="130">
        <f>$G$22</f>
        <v>0</v>
      </c>
    </row>
    <row r="346" spans="4:5" hidden="1" x14ac:dyDescent="0.25">
      <c r="D346" s="128">
        <v>44806</v>
      </c>
      <c r="E346" s="130">
        <f t="shared" ref="E346:E374" si="11">$G$22</f>
        <v>0</v>
      </c>
    </row>
    <row r="347" spans="4:5" hidden="1" x14ac:dyDescent="0.25">
      <c r="D347" s="128">
        <v>44807</v>
      </c>
      <c r="E347" s="130">
        <f t="shared" si="11"/>
        <v>0</v>
      </c>
    </row>
    <row r="348" spans="4:5" hidden="1" x14ac:dyDescent="0.25">
      <c r="D348" s="128">
        <v>44808</v>
      </c>
      <c r="E348" s="130">
        <f t="shared" si="11"/>
        <v>0</v>
      </c>
    </row>
    <row r="349" spans="4:5" hidden="1" x14ac:dyDescent="0.25">
      <c r="D349" s="128">
        <v>44809</v>
      </c>
      <c r="E349" s="130">
        <f t="shared" si="11"/>
        <v>0</v>
      </c>
    </row>
    <row r="350" spans="4:5" hidden="1" x14ac:dyDescent="0.25">
      <c r="D350" s="128">
        <v>44810</v>
      </c>
      <c r="E350" s="130">
        <f t="shared" si="11"/>
        <v>0</v>
      </c>
    </row>
    <row r="351" spans="4:5" hidden="1" x14ac:dyDescent="0.25">
      <c r="D351" s="128">
        <v>44811</v>
      </c>
      <c r="E351" s="130">
        <f t="shared" si="11"/>
        <v>0</v>
      </c>
    </row>
    <row r="352" spans="4:5" hidden="1" x14ac:dyDescent="0.25">
      <c r="D352" s="128">
        <v>44812</v>
      </c>
      <c r="E352" s="130">
        <f t="shared" si="11"/>
        <v>0</v>
      </c>
    </row>
    <row r="353" spans="4:5" hidden="1" x14ac:dyDescent="0.25">
      <c r="D353" s="128">
        <v>44813</v>
      </c>
      <c r="E353" s="130">
        <f t="shared" si="11"/>
        <v>0</v>
      </c>
    </row>
    <row r="354" spans="4:5" hidden="1" x14ac:dyDescent="0.25">
      <c r="D354" s="128">
        <v>44814</v>
      </c>
      <c r="E354" s="130">
        <f t="shared" si="11"/>
        <v>0</v>
      </c>
    </row>
    <row r="355" spans="4:5" hidden="1" x14ac:dyDescent="0.25">
      <c r="D355" s="128">
        <v>44815</v>
      </c>
      <c r="E355" s="130">
        <f t="shared" si="11"/>
        <v>0</v>
      </c>
    </row>
    <row r="356" spans="4:5" hidden="1" x14ac:dyDescent="0.25">
      <c r="D356" s="128">
        <v>44816</v>
      </c>
      <c r="E356" s="130">
        <f t="shared" si="11"/>
        <v>0</v>
      </c>
    </row>
    <row r="357" spans="4:5" hidden="1" x14ac:dyDescent="0.25">
      <c r="D357" s="128">
        <v>44817</v>
      </c>
      <c r="E357" s="130">
        <f t="shared" si="11"/>
        <v>0</v>
      </c>
    </row>
    <row r="358" spans="4:5" hidden="1" x14ac:dyDescent="0.25">
      <c r="D358" s="128">
        <v>44818</v>
      </c>
      <c r="E358" s="130">
        <f t="shared" si="11"/>
        <v>0</v>
      </c>
    </row>
    <row r="359" spans="4:5" hidden="1" x14ac:dyDescent="0.25">
      <c r="D359" s="128">
        <v>44819</v>
      </c>
      <c r="E359" s="130">
        <f t="shared" si="11"/>
        <v>0</v>
      </c>
    </row>
    <row r="360" spans="4:5" hidden="1" x14ac:dyDescent="0.25">
      <c r="D360" s="128">
        <v>44820</v>
      </c>
      <c r="E360" s="130">
        <f t="shared" si="11"/>
        <v>0</v>
      </c>
    </row>
    <row r="361" spans="4:5" hidden="1" x14ac:dyDescent="0.25">
      <c r="D361" s="128">
        <v>44821</v>
      </c>
      <c r="E361" s="130">
        <f t="shared" si="11"/>
        <v>0</v>
      </c>
    </row>
    <row r="362" spans="4:5" hidden="1" x14ac:dyDescent="0.25">
      <c r="D362" s="128">
        <v>44822</v>
      </c>
      <c r="E362" s="130">
        <f t="shared" si="11"/>
        <v>0</v>
      </c>
    </row>
    <row r="363" spans="4:5" hidden="1" x14ac:dyDescent="0.25">
      <c r="D363" s="128">
        <v>44823</v>
      </c>
      <c r="E363" s="130">
        <f t="shared" si="11"/>
        <v>0</v>
      </c>
    </row>
    <row r="364" spans="4:5" hidden="1" x14ac:dyDescent="0.25">
      <c r="D364" s="128">
        <v>44824</v>
      </c>
      <c r="E364" s="130">
        <f t="shared" si="11"/>
        <v>0</v>
      </c>
    </row>
    <row r="365" spans="4:5" hidden="1" x14ac:dyDescent="0.25">
      <c r="D365" s="128">
        <v>44825</v>
      </c>
      <c r="E365" s="130">
        <f t="shared" si="11"/>
        <v>0</v>
      </c>
    </row>
    <row r="366" spans="4:5" hidden="1" x14ac:dyDescent="0.25">
      <c r="D366" s="128">
        <v>44826</v>
      </c>
      <c r="E366" s="130">
        <f t="shared" si="11"/>
        <v>0</v>
      </c>
    </row>
    <row r="367" spans="4:5" hidden="1" x14ac:dyDescent="0.25">
      <c r="D367" s="128">
        <v>44827</v>
      </c>
      <c r="E367" s="130">
        <f t="shared" si="11"/>
        <v>0</v>
      </c>
    </row>
    <row r="368" spans="4:5" hidden="1" x14ac:dyDescent="0.25">
      <c r="D368" s="128">
        <v>44828</v>
      </c>
      <c r="E368" s="130">
        <f t="shared" si="11"/>
        <v>0</v>
      </c>
    </row>
    <row r="369" spans="4:5" hidden="1" x14ac:dyDescent="0.25">
      <c r="D369" s="128">
        <v>44829</v>
      </c>
      <c r="E369" s="130">
        <f t="shared" si="11"/>
        <v>0</v>
      </c>
    </row>
    <row r="370" spans="4:5" hidden="1" x14ac:dyDescent="0.25">
      <c r="D370" s="128">
        <v>44830</v>
      </c>
      <c r="E370" s="130">
        <f t="shared" si="11"/>
        <v>0</v>
      </c>
    </row>
    <row r="371" spans="4:5" hidden="1" x14ac:dyDescent="0.25">
      <c r="D371" s="128">
        <v>44831</v>
      </c>
      <c r="E371" s="130">
        <f t="shared" si="11"/>
        <v>0</v>
      </c>
    </row>
    <row r="372" spans="4:5" hidden="1" x14ac:dyDescent="0.25">
      <c r="D372" s="128">
        <v>44832</v>
      </c>
      <c r="E372" s="130">
        <f t="shared" si="11"/>
        <v>0</v>
      </c>
    </row>
    <row r="373" spans="4:5" hidden="1" x14ac:dyDescent="0.25">
      <c r="D373" s="128">
        <v>44833</v>
      </c>
      <c r="E373" s="130">
        <f t="shared" si="11"/>
        <v>0</v>
      </c>
    </row>
    <row r="374" spans="4:5" hidden="1" x14ac:dyDescent="0.25">
      <c r="D374" s="128">
        <v>44834</v>
      </c>
      <c r="E374" s="130">
        <f t="shared" si="11"/>
        <v>0</v>
      </c>
    </row>
    <row r="375" spans="4:5" hidden="1" x14ac:dyDescent="0.25">
      <c r="D375" s="128">
        <v>44835</v>
      </c>
      <c r="E375" s="130">
        <f>$G$23</f>
        <v>0</v>
      </c>
    </row>
    <row r="376" spans="4:5" hidden="1" x14ac:dyDescent="0.25">
      <c r="D376" s="128">
        <v>44836</v>
      </c>
      <c r="E376" s="130">
        <f t="shared" ref="E376:E405" si="12">$G$23</f>
        <v>0</v>
      </c>
    </row>
    <row r="377" spans="4:5" hidden="1" x14ac:dyDescent="0.25">
      <c r="D377" s="128">
        <v>44837</v>
      </c>
      <c r="E377" s="130">
        <f t="shared" si="12"/>
        <v>0</v>
      </c>
    </row>
    <row r="378" spans="4:5" hidden="1" x14ac:dyDescent="0.25">
      <c r="D378" s="128">
        <v>44838</v>
      </c>
      <c r="E378" s="130">
        <f t="shared" si="12"/>
        <v>0</v>
      </c>
    </row>
    <row r="379" spans="4:5" hidden="1" x14ac:dyDescent="0.25">
      <c r="D379" s="128">
        <v>44839</v>
      </c>
      <c r="E379" s="130">
        <f t="shared" si="12"/>
        <v>0</v>
      </c>
    </row>
    <row r="380" spans="4:5" hidden="1" x14ac:dyDescent="0.25">
      <c r="D380" s="128">
        <v>44840</v>
      </c>
      <c r="E380" s="130">
        <f t="shared" si="12"/>
        <v>0</v>
      </c>
    </row>
    <row r="381" spans="4:5" hidden="1" x14ac:dyDescent="0.25">
      <c r="D381" s="128">
        <v>44841</v>
      </c>
      <c r="E381" s="130">
        <f t="shared" si="12"/>
        <v>0</v>
      </c>
    </row>
    <row r="382" spans="4:5" hidden="1" x14ac:dyDescent="0.25">
      <c r="D382" s="128">
        <v>44842</v>
      </c>
      <c r="E382" s="130">
        <f t="shared" si="12"/>
        <v>0</v>
      </c>
    </row>
    <row r="383" spans="4:5" hidden="1" x14ac:dyDescent="0.25">
      <c r="D383" s="128">
        <v>44843</v>
      </c>
      <c r="E383" s="130">
        <f t="shared" si="12"/>
        <v>0</v>
      </c>
    </row>
    <row r="384" spans="4:5" hidden="1" x14ac:dyDescent="0.25">
      <c r="D384" s="128">
        <v>44844</v>
      </c>
      <c r="E384" s="130">
        <f t="shared" si="12"/>
        <v>0</v>
      </c>
    </row>
    <row r="385" spans="4:5" hidden="1" x14ac:dyDescent="0.25">
      <c r="D385" s="128">
        <v>44845</v>
      </c>
      <c r="E385" s="130">
        <f t="shared" si="12"/>
        <v>0</v>
      </c>
    </row>
    <row r="386" spans="4:5" hidden="1" x14ac:dyDescent="0.25">
      <c r="D386" s="128">
        <v>44846</v>
      </c>
      <c r="E386" s="130">
        <f t="shared" si="12"/>
        <v>0</v>
      </c>
    </row>
    <row r="387" spans="4:5" hidden="1" x14ac:dyDescent="0.25">
      <c r="D387" s="128">
        <v>44847</v>
      </c>
      <c r="E387" s="130">
        <f t="shared" si="12"/>
        <v>0</v>
      </c>
    </row>
    <row r="388" spans="4:5" hidden="1" x14ac:dyDescent="0.25">
      <c r="D388" s="128">
        <v>44848</v>
      </c>
      <c r="E388" s="130">
        <f t="shared" si="12"/>
        <v>0</v>
      </c>
    </row>
    <row r="389" spans="4:5" hidden="1" x14ac:dyDescent="0.25">
      <c r="D389" s="128">
        <v>44849</v>
      </c>
      <c r="E389" s="130">
        <f t="shared" si="12"/>
        <v>0</v>
      </c>
    </row>
    <row r="390" spans="4:5" hidden="1" x14ac:dyDescent="0.25">
      <c r="D390" s="128">
        <v>44850</v>
      </c>
      <c r="E390" s="130">
        <f t="shared" si="12"/>
        <v>0</v>
      </c>
    </row>
    <row r="391" spans="4:5" hidden="1" x14ac:dyDescent="0.25">
      <c r="D391" s="128">
        <v>44851</v>
      </c>
      <c r="E391" s="130">
        <f t="shared" si="12"/>
        <v>0</v>
      </c>
    </row>
    <row r="392" spans="4:5" hidden="1" x14ac:dyDescent="0.25">
      <c r="D392" s="128">
        <v>44852</v>
      </c>
      <c r="E392" s="130">
        <f t="shared" si="12"/>
        <v>0</v>
      </c>
    </row>
    <row r="393" spans="4:5" hidden="1" x14ac:dyDescent="0.25">
      <c r="D393" s="128">
        <v>44853</v>
      </c>
      <c r="E393" s="130">
        <f t="shared" si="12"/>
        <v>0</v>
      </c>
    </row>
    <row r="394" spans="4:5" hidden="1" x14ac:dyDescent="0.25">
      <c r="D394" s="128">
        <v>44854</v>
      </c>
      <c r="E394" s="130">
        <f t="shared" si="12"/>
        <v>0</v>
      </c>
    </row>
    <row r="395" spans="4:5" hidden="1" x14ac:dyDescent="0.25">
      <c r="D395" s="128">
        <v>44855</v>
      </c>
      <c r="E395" s="130">
        <f t="shared" si="12"/>
        <v>0</v>
      </c>
    </row>
    <row r="396" spans="4:5" hidden="1" x14ac:dyDescent="0.25">
      <c r="D396" s="128">
        <v>44856</v>
      </c>
      <c r="E396" s="130">
        <f t="shared" si="12"/>
        <v>0</v>
      </c>
    </row>
    <row r="397" spans="4:5" hidden="1" x14ac:dyDescent="0.25">
      <c r="D397" s="128">
        <v>44857</v>
      </c>
      <c r="E397" s="130">
        <f t="shared" si="12"/>
        <v>0</v>
      </c>
    </row>
    <row r="398" spans="4:5" hidden="1" x14ac:dyDescent="0.25">
      <c r="D398" s="128">
        <v>44858</v>
      </c>
      <c r="E398" s="130">
        <f t="shared" si="12"/>
        <v>0</v>
      </c>
    </row>
    <row r="399" spans="4:5" hidden="1" x14ac:dyDescent="0.25">
      <c r="D399" s="128">
        <v>44859</v>
      </c>
      <c r="E399" s="130">
        <f t="shared" si="12"/>
        <v>0</v>
      </c>
    </row>
    <row r="400" spans="4:5" hidden="1" x14ac:dyDescent="0.25">
      <c r="D400" s="128">
        <v>44860</v>
      </c>
      <c r="E400" s="130">
        <f t="shared" si="12"/>
        <v>0</v>
      </c>
    </row>
    <row r="401" spans="4:5" hidden="1" x14ac:dyDescent="0.25">
      <c r="D401" s="128">
        <v>44861</v>
      </c>
      <c r="E401" s="130">
        <f t="shared" si="12"/>
        <v>0</v>
      </c>
    </row>
    <row r="402" spans="4:5" hidden="1" x14ac:dyDescent="0.25">
      <c r="D402" s="128">
        <v>44862</v>
      </c>
      <c r="E402" s="130">
        <f t="shared" si="12"/>
        <v>0</v>
      </c>
    </row>
    <row r="403" spans="4:5" hidden="1" x14ac:dyDescent="0.25">
      <c r="D403" s="128">
        <v>44863</v>
      </c>
      <c r="E403" s="130">
        <f t="shared" si="12"/>
        <v>0</v>
      </c>
    </row>
    <row r="404" spans="4:5" hidden="1" x14ac:dyDescent="0.25">
      <c r="D404" s="128">
        <v>44864</v>
      </c>
      <c r="E404" s="130">
        <f t="shared" si="12"/>
        <v>0</v>
      </c>
    </row>
    <row r="405" spans="4:5" hidden="1" x14ac:dyDescent="0.25">
      <c r="D405" s="128">
        <v>44865</v>
      </c>
      <c r="E405" s="130">
        <f t="shared" si="12"/>
        <v>0</v>
      </c>
    </row>
    <row r="406" spans="4:5" hidden="1" x14ac:dyDescent="0.25">
      <c r="D406" s="128">
        <v>44866</v>
      </c>
      <c r="E406" s="130">
        <f>$G$24</f>
        <v>0</v>
      </c>
    </row>
    <row r="407" spans="4:5" hidden="1" x14ac:dyDescent="0.25">
      <c r="D407" s="128">
        <v>44867</v>
      </c>
      <c r="E407" s="130">
        <f t="shared" ref="E407:E435" si="13">$G$24</f>
        <v>0</v>
      </c>
    </row>
    <row r="408" spans="4:5" hidden="1" x14ac:dyDescent="0.25">
      <c r="D408" s="128">
        <v>44868</v>
      </c>
      <c r="E408" s="130">
        <f t="shared" si="13"/>
        <v>0</v>
      </c>
    </row>
    <row r="409" spans="4:5" hidden="1" x14ac:dyDescent="0.25">
      <c r="D409" s="128">
        <v>44869</v>
      </c>
      <c r="E409" s="130">
        <f t="shared" si="13"/>
        <v>0</v>
      </c>
    </row>
    <row r="410" spans="4:5" hidden="1" x14ac:dyDescent="0.25">
      <c r="D410" s="128">
        <v>44870</v>
      </c>
      <c r="E410" s="130">
        <f t="shared" si="13"/>
        <v>0</v>
      </c>
    </row>
    <row r="411" spans="4:5" hidden="1" x14ac:dyDescent="0.25">
      <c r="D411" s="128">
        <v>44871</v>
      </c>
      <c r="E411" s="130">
        <f t="shared" si="13"/>
        <v>0</v>
      </c>
    </row>
    <row r="412" spans="4:5" hidden="1" x14ac:dyDescent="0.25">
      <c r="D412" s="128">
        <v>44872</v>
      </c>
      <c r="E412" s="130">
        <f t="shared" si="13"/>
        <v>0</v>
      </c>
    </row>
    <row r="413" spans="4:5" hidden="1" x14ac:dyDescent="0.25">
      <c r="D413" s="128">
        <v>44873</v>
      </c>
      <c r="E413" s="130">
        <f t="shared" si="13"/>
        <v>0</v>
      </c>
    </row>
    <row r="414" spans="4:5" hidden="1" x14ac:dyDescent="0.25">
      <c r="D414" s="128">
        <v>44874</v>
      </c>
      <c r="E414" s="130">
        <f t="shared" si="13"/>
        <v>0</v>
      </c>
    </row>
    <row r="415" spans="4:5" hidden="1" x14ac:dyDescent="0.25">
      <c r="D415" s="128">
        <v>44875</v>
      </c>
      <c r="E415" s="130">
        <f t="shared" si="13"/>
        <v>0</v>
      </c>
    </row>
    <row r="416" spans="4:5" hidden="1" x14ac:dyDescent="0.25">
      <c r="D416" s="128">
        <v>44876</v>
      </c>
      <c r="E416" s="130">
        <f t="shared" si="13"/>
        <v>0</v>
      </c>
    </row>
    <row r="417" spans="4:5" hidden="1" x14ac:dyDescent="0.25">
      <c r="D417" s="128">
        <v>44877</v>
      </c>
      <c r="E417" s="130">
        <f t="shared" si="13"/>
        <v>0</v>
      </c>
    </row>
    <row r="418" spans="4:5" hidden="1" x14ac:dyDescent="0.25">
      <c r="D418" s="128">
        <v>44878</v>
      </c>
      <c r="E418" s="130">
        <f t="shared" si="13"/>
        <v>0</v>
      </c>
    </row>
    <row r="419" spans="4:5" hidden="1" x14ac:dyDescent="0.25">
      <c r="D419" s="128">
        <v>44879</v>
      </c>
      <c r="E419" s="130">
        <f t="shared" si="13"/>
        <v>0</v>
      </c>
    </row>
    <row r="420" spans="4:5" hidden="1" x14ac:dyDescent="0.25">
      <c r="D420" s="128">
        <v>44880</v>
      </c>
      <c r="E420" s="130">
        <f t="shared" si="13"/>
        <v>0</v>
      </c>
    </row>
    <row r="421" spans="4:5" hidden="1" x14ac:dyDescent="0.25">
      <c r="D421" s="128">
        <v>44881</v>
      </c>
      <c r="E421" s="130">
        <f t="shared" si="13"/>
        <v>0</v>
      </c>
    </row>
    <row r="422" spans="4:5" hidden="1" x14ac:dyDescent="0.25">
      <c r="D422" s="128">
        <v>44882</v>
      </c>
      <c r="E422" s="130">
        <f t="shared" si="13"/>
        <v>0</v>
      </c>
    </row>
    <row r="423" spans="4:5" hidden="1" x14ac:dyDescent="0.25">
      <c r="D423" s="128">
        <v>44883</v>
      </c>
      <c r="E423" s="130">
        <f t="shared" si="13"/>
        <v>0</v>
      </c>
    </row>
    <row r="424" spans="4:5" hidden="1" x14ac:dyDescent="0.25">
      <c r="D424" s="128">
        <v>44884</v>
      </c>
      <c r="E424" s="130">
        <f t="shared" si="13"/>
        <v>0</v>
      </c>
    </row>
    <row r="425" spans="4:5" hidden="1" x14ac:dyDescent="0.25">
      <c r="D425" s="128">
        <v>44885</v>
      </c>
      <c r="E425" s="130">
        <f t="shared" si="13"/>
        <v>0</v>
      </c>
    </row>
    <row r="426" spans="4:5" hidden="1" x14ac:dyDescent="0.25">
      <c r="D426" s="128">
        <v>44886</v>
      </c>
      <c r="E426" s="130">
        <f t="shared" si="13"/>
        <v>0</v>
      </c>
    </row>
    <row r="427" spans="4:5" hidden="1" x14ac:dyDescent="0.25">
      <c r="D427" s="128">
        <v>44887</v>
      </c>
      <c r="E427" s="130">
        <f t="shared" si="13"/>
        <v>0</v>
      </c>
    </row>
    <row r="428" spans="4:5" hidden="1" x14ac:dyDescent="0.25">
      <c r="D428" s="128">
        <v>44888</v>
      </c>
      <c r="E428" s="130">
        <f t="shared" si="13"/>
        <v>0</v>
      </c>
    </row>
    <row r="429" spans="4:5" hidden="1" x14ac:dyDescent="0.25">
      <c r="D429" s="128">
        <v>44889</v>
      </c>
      <c r="E429" s="130">
        <f t="shared" si="13"/>
        <v>0</v>
      </c>
    </row>
    <row r="430" spans="4:5" hidden="1" x14ac:dyDescent="0.25">
      <c r="D430" s="128">
        <v>44890</v>
      </c>
      <c r="E430" s="130">
        <f t="shared" si="13"/>
        <v>0</v>
      </c>
    </row>
    <row r="431" spans="4:5" hidden="1" x14ac:dyDescent="0.25">
      <c r="D431" s="128">
        <v>44891</v>
      </c>
      <c r="E431" s="130">
        <f t="shared" si="13"/>
        <v>0</v>
      </c>
    </row>
    <row r="432" spans="4:5" hidden="1" x14ac:dyDescent="0.25">
      <c r="D432" s="128">
        <v>44892</v>
      </c>
      <c r="E432" s="130">
        <f t="shared" si="13"/>
        <v>0</v>
      </c>
    </row>
    <row r="433" spans="4:5" hidden="1" x14ac:dyDescent="0.25">
      <c r="D433" s="128">
        <v>44893</v>
      </c>
      <c r="E433" s="130">
        <f t="shared" si="13"/>
        <v>0</v>
      </c>
    </row>
    <row r="434" spans="4:5" hidden="1" x14ac:dyDescent="0.25">
      <c r="D434" s="128">
        <v>44894</v>
      </c>
      <c r="E434" s="130">
        <f t="shared" si="13"/>
        <v>0</v>
      </c>
    </row>
    <row r="435" spans="4:5" hidden="1" x14ac:dyDescent="0.25">
      <c r="D435" s="128">
        <v>44895</v>
      </c>
      <c r="E435" s="130">
        <f t="shared" si="13"/>
        <v>0</v>
      </c>
    </row>
    <row r="436" spans="4:5" hidden="1" x14ac:dyDescent="0.25">
      <c r="D436" s="128">
        <v>44896</v>
      </c>
      <c r="E436" s="130">
        <f>$G$25</f>
        <v>0</v>
      </c>
    </row>
    <row r="437" spans="4:5" hidden="1" x14ac:dyDescent="0.25">
      <c r="D437" s="128">
        <v>44897</v>
      </c>
      <c r="E437" s="130">
        <f t="shared" ref="E437:E466" si="14">$G$25</f>
        <v>0</v>
      </c>
    </row>
    <row r="438" spans="4:5" hidden="1" x14ac:dyDescent="0.25">
      <c r="D438" s="128">
        <v>44898</v>
      </c>
      <c r="E438" s="130">
        <f t="shared" si="14"/>
        <v>0</v>
      </c>
    </row>
    <row r="439" spans="4:5" hidden="1" x14ac:dyDescent="0.25">
      <c r="D439" s="128">
        <v>44899</v>
      </c>
      <c r="E439" s="130">
        <f t="shared" si="14"/>
        <v>0</v>
      </c>
    </row>
    <row r="440" spans="4:5" hidden="1" x14ac:dyDescent="0.25">
      <c r="D440" s="128">
        <v>44900</v>
      </c>
      <c r="E440" s="130">
        <f t="shared" si="14"/>
        <v>0</v>
      </c>
    </row>
    <row r="441" spans="4:5" hidden="1" x14ac:dyDescent="0.25">
      <c r="D441" s="128">
        <v>44901</v>
      </c>
      <c r="E441" s="130">
        <f t="shared" si="14"/>
        <v>0</v>
      </c>
    </row>
    <row r="442" spans="4:5" hidden="1" x14ac:dyDescent="0.25">
      <c r="D442" s="128">
        <v>44902</v>
      </c>
      <c r="E442" s="130">
        <f t="shared" si="14"/>
        <v>0</v>
      </c>
    </row>
    <row r="443" spans="4:5" hidden="1" x14ac:dyDescent="0.25">
      <c r="D443" s="128">
        <v>44903</v>
      </c>
      <c r="E443" s="130">
        <f t="shared" si="14"/>
        <v>0</v>
      </c>
    </row>
    <row r="444" spans="4:5" hidden="1" x14ac:dyDescent="0.25">
      <c r="D444" s="128">
        <v>44904</v>
      </c>
      <c r="E444" s="130">
        <f t="shared" si="14"/>
        <v>0</v>
      </c>
    </row>
    <row r="445" spans="4:5" hidden="1" x14ac:dyDescent="0.25">
      <c r="D445" s="128">
        <v>44905</v>
      </c>
      <c r="E445" s="130">
        <f t="shared" si="14"/>
        <v>0</v>
      </c>
    </row>
    <row r="446" spans="4:5" hidden="1" x14ac:dyDescent="0.25">
      <c r="D446" s="128">
        <v>44906</v>
      </c>
      <c r="E446" s="130">
        <f t="shared" si="14"/>
        <v>0</v>
      </c>
    </row>
    <row r="447" spans="4:5" hidden="1" x14ac:dyDescent="0.25">
      <c r="D447" s="128">
        <v>44907</v>
      </c>
      <c r="E447" s="130">
        <f t="shared" si="14"/>
        <v>0</v>
      </c>
    </row>
    <row r="448" spans="4:5" hidden="1" x14ac:dyDescent="0.25">
      <c r="D448" s="128">
        <v>44908</v>
      </c>
      <c r="E448" s="130">
        <f t="shared" si="14"/>
        <v>0</v>
      </c>
    </row>
    <row r="449" spans="4:5" hidden="1" x14ac:dyDescent="0.25">
      <c r="D449" s="128">
        <v>44909</v>
      </c>
      <c r="E449" s="130">
        <f t="shared" si="14"/>
        <v>0</v>
      </c>
    </row>
    <row r="450" spans="4:5" hidden="1" x14ac:dyDescent="0.25">
      <c r="D450" s="128">
        <v>44910</v>
      </c>
      <c r="E450" s="130">
        <f t="shared" si="14"/>
        <v>0</v>
      </c>
    </row>
    <row r="451" spans="4:5" hidden="1" x14ac:dyDescent="0.25">
      <c r="D451" s="128">
        <v>44911</v>
      </c>
      <c r="E451" s="130">
        <f t="shared" si="14"/>
        <v>0</v>
      </c>
    </row>
    <row r="452" spans="4:5" hidden="1" x14ac:dyDescent="0.25">
      <c r="D452" s="128">
        <v>44912</v>
      </c>
      <c r="E452" s="130">
        <f t="shared" si="14"/>
        <v>0</v>
      </c>
    </row>
    <row r="453" spans="4:5" hidden="1" x14ac:dyDescent="0.25">
      <c r="D453" s="128">
        <v>44913</v>
      </c>
      <c r="E453" s="130">
        <f t="shared" si="14"/>
        <v>0</v>
      </c>
    </row>
    <row r="454" spans="4:5" hidden="1" x14ac:dyDescent="0.25">
      <c r="D454" s="128">
        <v>44914</v>
      </c>
      <c r="E454" s="130">
        <f t="shared" si="14"/>
        <v>0</v>
      </c>
    </row>
    <row r="455" spans="4:5" hidden="1" x14ac:dyDescent="0.25">
      <c r="D455" s="128">
        <v>44915</v>
      </c>
      <c r="E455" s="130">
        <f t="shared" si="14"/>
        <v>0</v>
      </c>
    </row>
    <row r="456" spans="4:5" hidden="1" x14ac:dyDescent="0.25">
      <c r="D456" s="128">
        <v>44916</v>
      </c>
      <c r="E456" s="130">
        <f t="shared" si="14"/>
        <v>0</v>
      </c>
    </row>
    <row r="457" spans="4:5" hidden="1" x14ac:dyDescent="0.25">
      <c r="D457" s="128">
        <v>44917</v>
      </c>
      <c r="E457" s="130">
        <f t="shared" si="14"/>
        <v>0</v>
      </c>
    </row>
    <row r="458" spans="4:5" hidden="1" x14ac:dyDescent="0.25">
      <c r="D458" s="128">
        <v>44918</v>
      </c>
      <c r="E458" s="130">
        <f t="shared" si="14"/>
        <v>0</v>
      </c>
    </row>
    <row r="459" spans="4:5" hidden="1" x14ac:dyDescent="0.25">
      <c r="D459" s="128">
        <v>44919</v>
      </c>
      <c r="E459" s="130">
        <f t="shared" si="14"/>
        <v>0</v>
      </c>
    </row>
    <row r="460" spans="4:5" hidden="1" x14ac:dyDescent="0.25">
      <c r="D460" s="128">
        <v>44920</v>
      </c>
      <c r="E460" s="130">
        <f t="shared" si="14"/>
        <v>0</v>
      </c>
    </row>
    <row r="461" spans="4:5" hidden="1" x14ac:dyDescent="0.25">
      <c r="D461" s="128">
        <v>44921</v>
      </c>
      <c r="E461" s="130">
        <f t="shared" si="14"/>
        <v>0</v>
      </c>
    </row>
    <row r="462" spans="4:5" hidden="1" x14ac:dyDescent="0.25">
      <c r="D462" s="128">
        <v>44922</v>
      </c>
      <c r="E462" s="130">
        <f t="shared" si="14"/>
        <v>0</v>
      </c>
    </row>
    <row r="463" spans="4:5" hidden="1" x14ac:dyDescent="0.25">
      <c r="D463" s="128">
        <v>44923</v>
      </c>
      <c r="E463" s="130">
        <f t="shared" si="14"/>
        <v>0</v>
      </c>
    </row>
    <row r="464" spans="4:5" hidden="1" x14ac:dyDescent="0.25">
      <c r="D464" s="128">
        <v>44924</v>
      </c>
      <c r="E464" s="130">
        <f t="shared" si="14"/>
        <v>0</v>
      </c>
    </row>
    <row r="465" spans="4:5" hidden="1" x14ac:dyDescent="0.25">
      <c r="D465" s="128">
        <v>44925</v>
      </c>
      <c r="E465" s="130">
        <f t="shared" si="14"/>
        <v>0</v>
      </c>
    </row>
    <row r="466" spans="4:5" hidden="1" x14ac:dyDescent="0.25">
      <c r="D466" s="128">
        <v>44926</v>
      </c>
      <c r="E466" s="130">
        <f t="shared" si="14"/>
        <v>0</v>
      </c>
    </row>
    <row r="467" spans="4:5" hidden="1" x14ac:dyDescent="0.25"/>
  </sheetData>
  <dataValidations count="3">
    <dataValidation type="decimal" operator="greaterThanOrEqual" allowBlank="1" showInputMessage="1" showErrorMessage="1" error="Please enter numbers greater than 0" prompt="Please enter waste details in kg" sqref="D9 E9:O9" xr:uid="{93D84F04-0798-48A7-BBD3-A16DC71FC0FD}">
      <formula1>0</formula1>
    </dataValidation>
    <dataValidation type="whole" operator="greaterThanOrEqual" showInputMessage="1" showErrorMessage="1" error="Please Enter Electrical Energy Consumption in Numbers" prompt="Please Enter Electrical Energy Consumption in KWH" sqref="P9" xr:uid="{418897CA-148C-4847-A7D2-C1C7C75EEF0F}">
      <formula1>0</formula1>
    </dataValidation>
    <dataValidation operator="greaterThanOrEqual" allowBlank="1" error="Please enter numbers greater than 0" prompt="Please enter waste details in kg" sqref="D14:D25" xr:uid="{1C554923-BD3E-46D5-8DC0-A1E7F8D8B45E}"/>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0C95A-25EB-4AD2-AE71-8A9A95524AF9}">
  <dimension ref="A1:V73"/>
  <sheetViews>
    <sheetView topLeftCell="A7" workbookViewId="0">
      <selection activeCell="C14" sqref="C14"/>
    </sheetView>
  </sheetViews>
  <sheetFormatPr defaultColWidth="9.28515625" defaultRowHeight="15" x14ac:dyDescent="0.25"/>
  <cols>
    <col min="1" max="1" width="5.7109375" style="1" customWidth="1"/>
    <col min="2" max="2" width="9.28515625" style="1"/>
    <col min="3" max="3" width="13.7109375" style="1" customWidth="1"/>
    <col min="4" max="9" width="13.42578125" style="1" customWidth="1"/>
    <col min="10" max="12" width="12.5703125" style="1" customWidth="1"/>
    <col min="13" max="13" width="14" style="1" customWidth="1"/>
    <col min="14" max="15" width="9.28515625" style="1"/>
    <col min="16" max="16" width="7.7109375" style="1" customWidth="1"/>
    <col min="17" max="17" width="1" style="1" customWidth="1"/>
    <col min="18" max="16384" width="9.28515625" style="1"/>
  </cols>
  <sheetData>
    <row r="1" spans="1:22" ht="24.95" customHeight="1" x14ac:dyDescent="0.35">
      <c r="A1" s="375"/>
      <c r="B1" s="375"/>
      <c r="C1" s="375"/>
      <c r="D1" s="375"/>
      <c r="E1" s="375"/>
      <c r="F1" s="375"/>
      <c r="G1" s="377"/>
      <c r="H1" s="376" t="s">
        <v>130</v>
      </c>
      <c r="I1" s="377"/>
      <c r="J1" s="377"/>
      <c r="K1" s="377"/>
      <c r="L1" s="377"/>
      <c r="M1" s="377"/>
      <c r="N1" s="375"/>
      <c r="O1" s="375"/>
      <c r="P1" s="375"/>
      <c r="Q1" s="375"/>
      <c r="R1" s="135"/>
      <c r="S1" s="135"/>
      <c r="T1" s="135"/>
      <c r="U1" s="135"/>
      <c r="V1" s="135"/>
    </row>
    <row r="3" spans="1:22" x14ac:dyDescent="0.25">
      <c r="D3"/>
    </row>
    <row r="4" spans="1:22" x14ac:dyDescent="0.25">
      <c r="D4"/>
    </row>
    <row r="5" spans="1:22" x14ac:dyDescent="0.25">
      <c r="D5" s="135"/>
    </row>
    <row r="6" spans="1:22" x14ac:dyDescent="0.25">
      <c r="C6" s="65"/>
      <c r="D6" s="949"/>
      <c r="E6" s="949"/>
      <c r="F6" s="949"/>
      <c r="G6" s="949"/>
      <c r="H6" s="949"/>
      <c r="I6" s="949"/>
      <c r="J6" s="949"/>
      <c r="K6" s="949"/>
    </row>
    <row r="11" spans="1:22" x14ac:dyDescent="0.25">
      <c r="C11" s="137"/>
      <c r="D11" s="63"/>
      <c r="E11" s="151"/>
      <c r="F11" s="64"/>
      <c r="G11" s="64"/>
    </row>
    <row r="12" spans="1:22" ht="39" customHeight="1" x14ac:dyDescent="0.25">
      <c r="C12" s="254" t="s">
        <v>82</v>
      </c>
      <c r="D12" s="950" t="s">
        <v>84</v>
      </c>
      <c r="E12" s="951"/>
      <c r="F12" s="950" t="s">
        <v>86</v>
      </c>
      <c r="G12" s="951"/>
      <c r="H12" s="950" t="s">
        <v>87</v>
      </c>
      <c r="I12" s="951"/>
      <c r="J12" s="954" t="s">
        <v>184</v>
      </c>
      <c r="K12" s="954" t="s">
        <v>86</v>
      </c>
      <c r="L12" s="954" t="s">
        <v>87</v>
      </c>
      <c r="M12" s="952" t="s">
        <v>134</v>
      </c>
    </row>
    <row r="13" spans="1:22" ht="39.75" customHeight="1" x14ac:dyDescent="0.25">
      <c r="C13" s="254" t="s">
        <v>2342</v>
      </c>
      <c r="D13" s="254" t="s">
        <v>185</v>
      </c>
      <c r="E13" s="254" t="s">
        <v>157</v>
      </c>
      <c r="F13" s="254" t="s">
        <v>186</v>
      </c>
      <c r="G13" s="254" t="s">
        <v>157</v>
      </c>
      <c r="H13" s="254" t="s">
        <v>186</v>
      </c>
      <c r="I13" s="254" t="s">
        <v>157</v>
      </c>
      <c r="J13" s="955"/>
      <c r="K13" s="955"/>
      <c r="L13" s="955"/>
      <c r="M13" s="953"/>
    </row>
    <row r="14" spans="1:22" x14ac:dyDescent="0.25">
      <c r="C14" s="255" t="str">
        <f>'Project Emission Distribution'!D25</f>
        <v>A201</v>
      </c>
      <c r="D14" s="236">
        <v>2</v>
      </c>
      <c r="E14" s="241">
        <v>270</v>
      </c>
      <c r="F14" s="236"/>
      <c r="G14" s="241"/>
      <c r="H14" s="236"/>
      <c r="I14" s="241"/>
      <c r="J14" s="256">
        <f>D14*E14*'GWP &amp; Emission Factors '!$E$84</f>
        <v>0.1215</v>
      </c>
      <c r="K14" s="256">
        <f>F14*G14*'GWP &amp; Emission Factors '!$E$85</f>
        <v>0</v>
      </c>
      <c r="L14" s="256">
        <f>H14*I14*'GWP &amp; Emission Factors '!$E$86</f>
        <v>0</v>
      </c>
      <c r="M14" s="216">
        <f>SUM(J14:L14)</f>
        <v>0.1215</v>
      </c>
    </row>
    <row r="15" spans="1:22" x14ac:dyDescent="0.25">
      <c r="C15" s="255" t="str">
        <f>'Project Emission Distribution'!D26</f>
        <v>AN02</v>
      </c>
      <c r="D15" s="236"/>
      <c r="E15" s="241"/>
      <c r="F15" s="236"/>
      <c r="G15" s="241"/>
      <c r="H15" s="236"/>
      <c r="I15" s="241"/>
      <c r="J15" s="256">
        <f>D15*E15*'GWP &amp; Emission Factors '!$E$84</f>
        <v>0</v>
      </c>
      <c r="K15" s="256">
        <f>F15*G15*'GWP &amp; Emission Factors '!$E$85</f>
        <v>0</v>
      </c>
      <c r="L15" s="256">
        <f>H15*I15*'GWP &amp; Emission Factors '!$E$86</f>
        <v>0</v>
      </c>
      <c r="M15" s="216">
        <f t="shared" ref="M15:M49" si="0">SUM(J15:L15)</f>
        <v>0</v>
      </c>
    </row>
    <row r="16" spans="1:22" x14ac:dyDescent="0.25">
      <c r="C16" s="255" t="str">
        <f>'Project Emission Distribution'!D27</f>
        <v>AN03</v>
      </c>
      <c r="D16" s="236"/>
      <c r="E16" s="241"/>
      <c r="F16" s="236"/>
      <c r="G16" s="241"/>
      <c r="H16" s="236"/>
      <c r="I16" s="241"/>
      <c r="J16" s="256">
        <f>D16*E16*'GWP &amp; Emission Factors '!$E$84</f>
        <v>0</v>
      </c>
      <c r="K16" s="256">
        <f>F16*G16*'GWP &amp; Emission Factors '!$E$85</f>
        <v>0</v>
      </c>
      <c r="L16" s="256">
        <f>H16*I16*'GWP &amp; Emission Factors '!$E$86</f>
        <v>0</v>
      </c>
      <c r="M16" s="216">
        <f t="shared" si="0"/>
        <v>0</v>
      </c>
    </row>
    <row r="17" spans="3:13" x14ac:dyDescent="0.25">
      <c r="C17" s="255" t="str">
        <f>'Project Emission Distribution'!D28</f>
        <v>AN04</v>
      </c>
      <c r="D17" s="236"/>
      <c r="E17" s="241"/>
      <c r="F17" s="236"/>
      <c r="G17" s="241"/>
      <c r="H17" s="236"/>
      <c r="I17" s="241"/>
      <c r="J17" s="256">
        <f>D17*E17*'GWP &amp; Emission Factors '!$E$84</f>
        <v>0</v>
      </c>
      <c r="K17" s="256">
        <f>F17*G17*'GWP &amp; Emission Factors '!$E$85</f>
        <v>0</v>
      </c>
      <c r="L17" s="256">
        <f>H17*I17*'GWP &amp; Emission Factors '!$E$86</f>
        <v>0</v>
      </c>
      <c r="M17" s="216">
        <f t="shared" si="0"/>
        <v>0</v>
      </c>
    </row>
    <row r="18" spans="3:13" x14ac:dyDescent="0.25">
      <c r="C18" s="255" t="str">
        <f>'Project Emission Distribution'!D29</f>
        <v>AN05</v>
      </c>
      <c r="D18" s="236"/>
      <c r="E18" s="241"/>
      <c r="F18" s="236"/>
      <c r="G18" s="241"/>
      <c r="H18" s="236"/>
      <c r="I18" s="241"/>
      <c r="J18" s="256">
        <f>D18*E18*'GWP &amp; Emission Factors '!$E$84</f>
        <v>0</v>
      </c>
      <c r="K18" s="256">
        <f>F18*G18*'GWP &amp; Emission Factors '!$E$85</f>
        <v>0</v>
      </c>
      <c r="L18" s="256">
        <f>H18*I18*'GWP &amp; Emission Factors '!$E$86</f>
        <v>0</v>
      </c>
      <c r="M18" s="216">
        <f t="shared" si="0"/>
        <v>0</v>
      </c>
    </row>
    <row r="19" spans="3:13" x14ac:dyDescent="0.25">
      <c r="C19" s="255" t="str">
        <f>'Project Emission Distribution'!D30</f>
        <v>AN06</v>
      </c>
      <c r="D19" s="236"/>
      <c r="E19" s="241"/>
      <c r="F19" s="236"/>
      <c r="G19" s="241"/>
      <c r="H19" s="236"/>
      <c r="I19" s="241"/>
      <c r="J19" s="256">
        <f>D19*E19*'GWP &amp; Emission Factors '!$E$84</f>
        <v>0</v>
      </c>
      <c r="K19" s="256">
        <f>F19*G19*'GWP &amp; Emission Factors '!$E$85</f>
        <v>0</v>
      </c>
      <c r="L19" s="256">
        <f>H19*I19*'GWP &amp; Emission Factors '!$E$86</f>
        <v>0</v>
      </c>
      <c r="M19" s="216">
        <f t="shared" si="0"/>
        <v>0</v>
      </c>
    </row>
    <row r="20" spans="3:13" x14ac:dyDescent="0.25">
      <c r="C20" s="255" t="str">
        <f>'Project Emission Distribution'!D31</f>
        <v>AN07</v>
      </c>
      <c r="D20" s="236"/>
      <c r="E20" s="241"/>
      <c r="F20" s="236"/>
      <c r="G20" s="241"/>
      <c r="H20" s="236"/>
      <c r="I20" s="241"/>
      <c r="J20" s="256">
        <f>D20*E20*'GWP &amp; Emission Factors '!$E$84</f>
        <v>0</v>
      </c>
      <c r="K20" s="256">
        <f>F20*G20*'GWP &amp; Emission Factors '!$E$85</f>
        <v>0</v>
      </c>
      <c r="L20" s="256">
        <f>H20*I20*'GWP &amp; Emission Factors '!$E$86</f>
        <v>0</v>
      </c>
      <c r="M20" s="216">
        <f t="shared" si="0"/>
        <v>0</v>
      </c>
    </row>
    <row r="21" spans="3:13" x14ac:dyDescent="0.25">
      <c r="C21" s="255" t="str">
        <f>'Project Emission Distribution'!D32</f>
        <v>AN08</v>
      </c>
      <c r="D21" s="236"/>
      <c r="E21" s="241"/>
      <c r="F21" s="236"/>
      <c r="G21" s="241"/>
      <c r="H21" s="236"/>
      <c r="I21" s="241"/>
      <c r="J21" s="256">
        <f>D21*E21*'GWP &amp; Emission Factors '!$E$84</f>
        <v>0</v>
      </c>
      <c r="K21" s="256">
        <f>F21*G21*'GWP &amp; Emission Factors '!$E$85</f>
        <v>0</v>
      </c>
      <c r="L21" s="256">
        <f>H21*I21*'GWP &amp; Emission Factors '!$E$86</f>
        <v>0</v>
      </c>
      <c r="M21" s="216">
        <f t="shared" si="0"/>
        <v>0</v>
      </c>
    </row>
    <row r="22" spans="3:13" x14ac:dyDescent="0.25">
      <c r="C22" s="255" t="str">
        <f>'Project Emission Distribution'!D33</f>
        <v>AN09</v>
      </c>
      <c r="D22" s="236"/>
      <c r="E22" s="241"/>
      <c r="F22" s="236"/>
      <c r="G22" s="241"/>
      <c r="H22" s="236"/>
      <c r="I22" s="241"/>
      <c r="J22" s="256">
        <f>D22*E22*'GWP &amp; Emission Factors '!$E$84</f>
        <v>0</v>
      </c>
      <c r="K22" s="256">
        <f>F22*G22*'GWP &amp; Emission Factors '!$E$85</f>
        <v>0</v>
      </c>
      <c r="L22" s="256">
        <f>H22*I22*'GWP &amp; Emission Factors '!$E$86</f>
        <v>0</v>
      </c>
      <c r="M22" s="216">
        <f t="shared" si="0"/>
        <v>0</v>
      </c>
    </row>
    <row r="23" spans="3:13" x14ac:dyDescent="0.25">
      <c r="C23" s="255" t="str">
        <f>'Project Emission Distribution'!D34</f>
        <v>AN10</v>
      </c>
      <c r="D23" s="236"/>
      <c r="E23" s="241"/>
      <c r="F23" s="236"/>
      <c r="G23" s="241"/>
      <c r="H23" s="236"/>
      <c r="I23" s="241"/>
      <c r="J23" s="256">
        <f>D23*E23*'GWP &amp; Emission Factors '!$E$84</f>
        <v>0</v>
      </c>
      <c r="K23" s="256">
        <f>F23*G23*'GWP &amp; Emission Factors '!$E$85</f>
        <v>0</v>
      </c>
      <c r="L23" s="256">
        <f>H23*I23*'GWP &amp; Emission Factors '!$E$86</f>
        <v>0</v>
      </c>
      <c r="M23" s="216">
        <f t="shared" si="0"/>
        <v>0</v>
      </c>
    </row>
    <row r="24" spans="3:13" x14ac:dyDescent="0.25">
      <c r="C24" s="255" t="str">
        <f>'Project Emission Distribution'!D35</f>
        <v>AN11</v>
      </c>
      <c r="D24" s="236"/>
      <c r="E24" s="241"/>
      <c r="F24" s="236"/>
      <c r="G24" s="241"/>
      <c r="H24" s="236"/>
      <c r="I24" s="241"/>
      <c r="J24" s="256">
        <f>D24*E24*'GWP &amp; Emission Factors '!$E$84</f>
        <v>0</v>
      </c>
      <c r="K24" s="256">
        <f>F24*G24*'GWP &amp; Emission Factors '!$E$85</f>
        <v>0</v>
      </c>
      <c r="L24" s="256">
        <f>H24*I24*'GWP &amp; Emission Factors '!$E$86</f>
        <v>0</v>
      </c>
      <c r="M24" s="216">
        <f t="shared" si="0"/>
        <v>0</v>
      </c>
    </row>
    <row r="25" spans="3:13" x14ac:dyDescent="0.25">
      <c r="C25" s="255" t="str">
        <f>'Project Emission Distribution'!D36</f>
        <v>AN12</v>
      </c>
      <c r="D25" s="236"/>
      <c r="E25" s="241"/>
      <c r="F25" s="236"/>
      <c r="G25" s="241"/>
      <c r="H25" s="236"/>
      <c r="I25" s="241"/>
      <c r="J25" s="256">
        <f>D25*E25*'GWP &amp; Emission Factors '!$E$84</f>
        <v>0</v>
      </c>
      <c r="K25" s="256">
        <f>F25*G25*'GWP &amp; Emission Factors '!$E$85</f>
        <v>0</v>
      </c>
      <c r="L25" s="256">
        <f>H25*I25*'GWP &amp; Emission Factors '!$E$86</f>
        <v>0</v>
      </c>
      <c r="M25" s="216">
        <f t="shared" si="0"/>
        <v>0</v>
      </c>
    </row>
    <row r="26" spans="3:13" x14ac:dyDescent="0.25">
      <c r="C26" s="255" t="str">
        <f>'Project Emission Distribution'!D37</f>
        <v>AN13</v>
      </c>
      <c r="D26" s="236"/>
      <c r="E26" s="241"/>
      <c r="F26" s="236"/>
      <c r="G26" s="241"/>
      <c r="H26" s="236"/>
      <c r="I26" s="241"/>
      <c r="J26" s="256">
        <f>D26*E26*'GWP &amp; Emission Factors '!$E$84</f>
        <v>0</v>
      </c>
      <c r="K26" s="256">
        <f>F26*G26*'GWP &amp; Emission Factors '!$E$85</f>
        <v>0</v>
      </c>
      <c r="L26" s="256">
        <f>H26*I26*'GWP &amp; Emission Factors '!$E$86</f>
        <v>0</v>
      </c>
      <c r="M26" s="216">
        <f t="shared" si="0"/>
        <v>0</v>
      </c>
    </row>
    <row r="27" spans="3:13" x14ac:dyDescent="0.25">
      <c r="C27" s="255" t="str">
        <f>'Project Emission Distribution'!D38</f>
        <v>AN14</v>
      </c>
      <c r="D27" s="236"/>
      <c r="E27" s="241"/>
      <c r="F27" s="236"/>
      <c r="G27" s="241"/>
      <c r="H27" s="236"/>
      <c r="I27" s="241"/>
      <c r="J27" s="256">
        <f>D27*E27*'GWP &amp; Emission Factors '!$E$84</f>
        <v>0</v>
      </c>
      <c r="K27" s="256">
        <f>F27*G27*'GWP &amp; Emission Factors '!$E$85</f>
        <v>0</v>
      </c>
      <c r="L27" s="256">
        <f>H27*I27*'GWP &amp; Emission Factors '!$E$86</f>
        <v>0</v>
      </c>
      <c r="M27" s="216">
        <f t="shared" si="0"/>
        <v>0</v>
      </c>
    </row>
    <row r="28" spans="3:13" x14ac:dyDescent="0.25">
      <c r="C28" s="255" t="str">
        <f>'Project Emission Distribution'!D39</f>
        <v>AN15</v>
      </c>
      <c r="D28" s="236"/>
      <c r="E28" s="241"/>
      <c r="F28" s="236"/>
      <c r="G28" s="241"/>
      <c r="H28" s="236"/>
      <c r="I28" s="241"/>
      <c r="J28" s="256">
        <f>D28*E28*'GWP &amp; Emission Factors '!$E$84</f>
        <v>0</v>
      </c>
      <c r="K28" s="256">
        <f>F28*G28*'GWP &amp; Emission Factors '!$E$85</f>
        <v>0</v>
      </c>
      <c r="L28" s="256">
        <f>H28*I28*'GWP &amp; Emission Factors '!$E$86</f>
        <v>0</v>
      </c>
      <c r="M28" s="216">
        <f t="shared" si="0"/>
        <v>0</v>
      </c>
    </row>
    <row r="29" spans="3:13" x14ac:dyDescent="0.25">
      <c r="C29" s="255" t="str">
        <f>'Project Emission Distribution'!D40</f>
        <v>AN16</v>
      </c>
      <c r="D29" s="236"/>
      <c r="E29" s="241"/>
      <c r="F29" s="236"/>
      <c r="G29" s="241"/>
      <c r="H29" s="236"/>
      <c r="I29" s="241"/>
      <c r="J29" s="256">
        <f>D29*E29*'GWP &amp; Emission Factors '!$E$84</f>
        <v>0</v>
      </c>
      <c r="K29" s="256">
        <f>F29*G29*'GWP &amp; Emission Factors '!$E$85</f>
        <v>0</v>
      </c>
      <c r="L29" s="256">
        <f>H29*I29*'GWP &amp; Emission Factors '!$E$86</f>
        <v>0</v>
      </c>
      <c r="M29" s="216">
        <f t="shared" si="0"/>
        <v>0</v>
      </c>
    </row>
    <row r="30" spans="3:13" x14ac:dyDescent="0.25">
      <c r="C30" s="255" t="str">
        <f>'Project Emission Distribution'!D41</f>
        <v>AN17</v>
      </c>
      <c r="D30" s="236"/>
      <c r="E30" s="241"/>
      <c r="F30" s="236"/>
      <c r="G30" s="241"/>
      <c r="H30" s="236"/>
      <c r="I30" s="241"/>
      <c r="J30" s="256">
        <f>D30*E30*'GWP &amp; Emission Factors '!$E$84</f>
        <v>0</v>
      </c>
      <c r="K30" s="256">
        <f>F30*G30*'GWP &amp; Emission Factors '!$E$85</f>
        <v>0</v>
      </c>
      <c r="L30" s="256">
        <f>H30*I30*'GWP &amp; Emission Factors '!$E$86</f>
        <v>0</v>
      </c>
      <c r="M30" s="216">
        <f t="shared" si="0"/>
        <v>0</v>
      </c>
    </row>
    <row r="31" spans="3:13" x14ac:dyDescent="0.25">
      <c r="C31" s="255" t="str">
        <f>'Project Emission Distribution'!D42</f>
        <v>AN18</v>
      </c>
      <c r="D31" s="236"/>
      <c r="E31" s="241"/>
      <c r="F31" s="236"/>
      <c r="G31" s="241"/>
      <c r="H31" s="236"/>
      <c r="I31" s="241"/>
      <c r="J31" s="256">
        <f>D31*E31*'GWP &amp; Emission Factors '!$E$84</f>
        <v>0</v>
      </c>
      <c r="K31" s="256">
        <f>F31*G31*'GWP &amp; Emission Factors '!$E$85</f>
        <v>0</v>
      </c>
      <c r="L31" s="256">
        <f>H31*I31*'GWP &amp; Emission Factors '!$E$86</f>
        <v>0</v>
      </c>
      <c r="M31" s="216">
        <f t="shared" si="0"/>
        <v>0</v>
      </c>
    </row>
    <row r="32" spans="3:13" x14ac:dyDescent="0.25">
      <c r="C32" s="255" t="str">
        <f>'Project Emission Distribution'!D43</f>
        <v>AN19</v>
      </c>
      <c r="D32" s="236"/>
      <c r="E32" s="241"/>
      <c r="F32" s="236"/>
      <c r="G32" s="241"/>
      <c r="H32" s="236"/>
      <c r="I32" s="241"/>
      <c r="J32" s="256">
        <f>D32*E32*'GWP &amp; Emission Factors '!$E$84</f>
        <v>0</v>
      </c>
      <c r="K32" s="256">
        <f>F32*G32*'GWP &amp; Emission Factors '!$E$85</f>
        <v>0</v>
      </c>
      <c r="L32" s="256">
        <f>H32*I32*'GWP &amp; Emission Factors '!$E$86</f>
        <v>0</v>
      </c>
      <c r="M32" s="216">
        <f t="shared" si="0"/>
        <v>0</v>
      </c>
    </row>
    <row r="33" spans="3:13" x14ac:dyDescent="0.25">
      <c r="C33" s="255" t="str">
        <f>'Project Emission Distribution'!D44</f>
        <v>AN20</v>
      </c>
      <c r="D33" s="236"/>
      <c r="E33" s="241"/>
      <c r="F33" s="236"/>
      <c r="G33" s="241"/>
      <c r="H33" s="236"/>
      <c r="I33" s="241"/>
      <c r="J33" s="256">
        <f>D33*E33*'GWP &amp; Emission Factors '!$E$84</f>
        <v>0</v>
      </c>
      <c r="K33" s="256">
        <f>F33*G33*'GWP &amp; Emission Factors '!$E$85</f>
        <v>0</v>
      </c>
      <c r="L33" s="256">
        <f>H33*I33*'GWP &amp; Emission Factors '!$E$86</f>
        <v>0</v>
      </c>
      <c r="M33" s="216">
        <f t="shared" si="0"/>
        <v>0</v>
      </c>
    </row>
    <row r="34" spans="3:13" x14ac:dyDescent="0.25">
      <c r="C34" s="255" t="str">
        <f>'Project Emission Distribution'!D45</f>
        <v>AN21</v>
      </c>
      <c r="D34" s="236"/>
      <c r="E34" s="241"/>
      <c r="F34" s="236"/>
      <c r="G34" s="241"/>
      <c r="H34" s="236"/>
      <c r="I34" s="241"/>
      <c r="J34" s="256">
        <f>D34*E34*'GWP &amp; Emission Factors '!$E$84</f>
        <v>0</v>
      </c>
      <c r="K34" s="256">
        <f>F34*G34*'GWP &amp; Emission Factors '!$E$85</f>
        <v>0</v>
      </c>
      <c r="L34" s="256">
        <f>H34*I34*'GWP &amp; Emission Factors '!$E$86</f>
        <v>0</v>
      </c>
      <c r="M34" s="216">
        <f t="shared" si="0"/>
        <v>0</v>
      </c>
    </row>
    <row r="35" spans="3:13" x14ac:dyDescent="0.25">
      <c r="C35" s="255" t="str">
        <f>'Project Emission Distribution'!D46</f>
        <v>AN22</v>
      </c>
      <c r="D35" s="236"/>
      <c r="E35" s="241"/>
      <c r="F35" s="236"/>
      <c r="G35" s="241"/>
      <c r="H35" s="236"/>
      <c r="I35" s="241"/>
      <c r="J35" s="256">
        <f>D35*E35*'GWP &amp; Emission Factors '!$E$84</f>
        <v>0</v>
      </c>
      <c r="K35" s="256">
        <f>F35*G35*'GWP &amp; Emission Factors '!$E$85</f>
        <v>0</v>
      </c>
      <c r="L35" s="256">
        <f>H35*I35*'GWP &amp; Emission Factors '!$E$86</f>
        <v>0</v>
      </c>
      <c r="M35" s="216">
        <f t="shared" si="0"/>
        <v>0</v>
      </c>
    </row>
    <row r="36" spans="3:13" x14ac:dyDescent="0.25">
      <c r="C36" s="255" t="str">
        <f>'Project Emission Distribution'!D47</f>
        <v>AN23</v>
      </c>
      <c r="D36" s="236"/>
      <c r="E36" s="236"/>
      <c r="F36" s="241"/>
      <c r="G36" s="241"/>
      <c r="H36" s="241"/>
      <c r="I36" s="241"/>
      <c r="J36" s="256">
        <f>D36*E36*'GWP &amp; Emission Factors '!$E$84</f>
        <v>0</v>
      </c>
      <c r="K36" s="256">
        <f>F36*G36*'GWP &amp; Emission Factors '!$E$85</f>
        <v>0</v>
      </c>
      <c r="L36" s="256">
        <f>H36*I36*'GWP &amp; Emission Factors '!$E$86</f>
        <v>0</v>
      </c>
      <c r="M36" s="216">
        <f t="shared" si="0"/>
        <v>0</v>
      </c>
    </row>
    <row r="37" spans="3:13" ht="13.5" customHeight="1" x14ac:dyDescent="0.25">
      <c r="C37" s="255" t="str">
        <f>'Project Emission Distribution'!D48</f>
        <v>AN24</v>
      </c>
      <c r="D37" s="236"/>
      <c r="E37" s="236"/>
      <c r="F37" s="241"/>
      <c r="G37" s="241"/>
      <c r="H37" s="241"/>
      <c r="I37" s="241"/>
      <c r="J37" s="256">
        <f>D37*E37*'GWP &amp; Emission Factors '!$E$84</f>
        <v>0</v>
      </c>
      <c r="K37" s="256">
        <f>F37*G37*'GWP &amp; Emission Factors '!$E$85</f>
        <v>0</v>
      </c>
      <c r="L37" s="256">
        <f>H37*I37*'GWP &amp; Emission Factors '!$E$86</f>
        <v>0</v>
      </c>
      <c r="M37" s="216">
        <f t="shared" si="0"/>
        <v>0</v>
      </c>
    </row>
    <row r="38" spans="3:13" x14ac:dyDescent="0.25">
      <c r="C38" s="255" t="str">
        <f>'Project Emission Distribution'!D49</f>
        <v>AN25</v>
      </c>
      <c r="D38" s="244"/>
      <c r="E38" s="244"/>
      <c r="F38" s="244"/>
      <c r="G38" s="244"/>
      <c r="H38" s="244"/>
      <c r="I38" s="244"/>
      <c r="J38" s="256">
        <f>D38*E38*'GWP &amp; Emission Factors '!$E$84</f>
        <v>0</v>
      </c>
      <c r="K38" s="256">
        <f>F38*G38*'GWP &amp; Emission Factors '!$E$85</f>
        <v>0</v>
      </c>
      <c r="L38" s="256">
        <f>H38*I38*'GWP &amp; Emission Factors '!$E$86</f>
        <v>0</v>
      </c>
      <c r="M38" s="216">
        <f t="shared" si="0"/>
        <v>0</v>
      </c>
    </row>
    <row r="39" spans="3:13" x14ac:dyDescent="0.25">
      <c r="C39" s="255" t="str">
        <f>'Project Emission Distribution'!D50</f>
        <v>AN26</v>
      </c>
      <c r="D39" s="241"/>
      <c r="E39" s="244"/>
      <c r="F39" s="244"/>
      <c r="G39" s="241"/>
      <c r="H39" s="241"/>
      <c r="I39" s="241"/>
      <c r="J39" s="256">
        <f>D39*E39*'GWP &amp; Emission Factors '!$E$84</f>
        <v>0</v>
      </c>
      <c r="K39" s="256">
        <f>F39*G39*'GWP &amp; Emission Factors '!$E$85</f>
        <v>0</v>
      </c>
      <c r="L39" s="256">
        <f>H39*I39*'GWP &amp; Emission Factors '!$E$86</f>
        <v>0</v>
      </c>
      <c r="M39" s="216">
        <f t="shared" si="0"/>
        <v>0</v>
      </c>
    </row>
    <row r="40" spans="3:13" x14ac:dyDescent="0.25">
      <c r="C40" s="255" t="str">
        <f>'Project Emission Distribution'!D51</f>
        <v>AN27</v>
      </c>
      <c r="D40" s="291"/>
      <c r="E40" s="291"/>
      <c r="F40" s="291"/>
      <c r="G40" s="241"/>
      <c r="H40" s="236"/>
      <c r="I40" s="236"/>
      <c r="J40" s="256">
        <f>D40*E40*'GWP &amp; Emission Factors '!$E$84</f>
        <v>0</v>
      </c>
      <c r="K40" s="256">
        <f>F40*G40*'GWP &amp; Emission Factors '!$E$85</f>
        <v>0</v>
      </c>
      <c r="L40" s="256">
        <f>H40*I40*'GWP &amp; Emission Factors '!$E$86</f>
        <v>0</v>
      </c>
      <c r="M40" s="216">
        <f t="shared" si="0"/>
        <v>0</v>
      </c>
    </row>
    <row r="41" spans="3:13" x14ac:dyDescent="0.25">
      <c r="C41" s="255" t="str">
        <f>'Project Emission Distribution'!D52</f>
        <v>AN28</v>
      </c>
      <c r="D41" s="241"/>
      <c r="E41" s="241"/>
      <c r="F41" s="241"/>
      <c r="G41" s="241"/>
      <c r="H41" s="236"/>
      <c r="I41" s="236"/>
      <c r="J41" s="256">
        <f>D41*E41*'GWP &amp; Emission Factors '!$E$84</f>
        <v>0</v>
      </c>
      <c r="K41" s="256">
        <f>F41*G41*'GWP &amp; Emission Factors '!$E$85</f>
        <v>0</v>
      </c>
      <c r="L41" s="256">
        <f>H41*I41*'GWP &amp; Emission Factors '!$E$86</f>
        <v>0</v>
      </c>
      <c r="M41" s="216">
        <f t="shared" si="0"/>
        <v>0</v>
      </c>
    </row>
    <row r="42" spans="3:13" x14ac:dyDescent="0.25">
      <c r="C42" s="255" t="str">
        <f>'Project Emission Distribution'!D53</f>
        <v>AN29</v>
      </c>
      <c r="D42" s="236"/>
      <c r="E42" s="236"/>
      <c r="F42" s="236"/>
      <c r="G42" s="236"/>
      <c r="H42" s="236"/>
      <c r="I42" s="236"/>
      <c r="J42" s="256">
        <f>D42*E42*'GWP &amp; Emission Factors '!$E$84</f>
        <v>0</v>
      </c>
      <c r="K42" s="256">
        <f>F42*G42*'GWP &amp; Emission Factors '!$E$85</f>
        <v>0</v>
      </c>
      <c r="L42" s="256">
        <f>H42*I42*'GWP &amp; Emission Factors '!$E$86</f>
        <v>0</v>
      </c>
      <c r="M42" s="216">
        <f t="shared" si="0"/>
        <v>0</v>
      </c>
    </row>
    <row r="43" spans="3:13" x14ac:dyDescent="0.25">
      <c r="C43" s="255" t="str">
        <f>'Project Emission Distribution'!D54</f>
        <v>AN30</v>
      </c>
      <c r="D43" s="236"/>
      <c r="E43" s="236"/>
      <c r="F43" s="236"/>
      <c r="G43" s="236"/>
      <c r="H43" s="236"/>
      <c r="I43" s="236"/>
      <c r="J43" s="256">
        <f>D43*E43*'GWP &amp; Emission Factors '!$E$84</f>
        <v>0</v>
      </c>
      <c r="K43" s="256">
        <f>F43*G43*'GWP &amp; Emission Factors '!$E$85</f>
        <v>0</v>
      </c>
      <c r="L43" s="256">
        <f>H43*I43*'GWP &amp; Emission Factors '!$E$86</f>
        <v>0</v>
      </c>
      <c r="M43" s="216">
        <f t="shared" si="0"/>
        <v>0</v>
      </c>
    </row>
    <row r="44" spans="3:13" x14ac:dyDescent="0.25">
      <c r="C44" s="255" t="str">
        <f>'Project Emission Distribution'!D55</f>
        <v>AN31</v>
      </c>
      <c r="D44" s="236"/>
      <c r="E44" s="236"/>
      <c r="F44" s="236"/>
      <c r="G44" s="236"/>
      <c r="H44" s="236"/>
      <c r="I44" s="236"/>
      <c r="J44" s="256">
        <f>D44*E44*'GWP &amp; Emission Factors '!$E$84</f>
        <v>0</v>
      </c>
      <c r="K44" s="256">
        <f>F44*G44*'GWP &amp; Emission Factors '!$E$85</f>
        <v>0</v>
      </c>
      <c r="L44" s="256">
        <f>H44*I44*'GWP &amp; Emission Factors '!$E$86</f>
        <v>0</v>
      </c>
      <c r="M44" s="216">
        <f t="shared" si="0"/>
        <v>0</v>
      </c>
    </row>
    <row r="45" spans="3:13" x14ac:dyDescent="0.25">
      <c r="C45" s="255" t="str">
        <f>'Project Emission Distribution'!D56</f>
        <v>AN32</v>
      </c>
      <c r="D45" s="236"/>
      <c r="E45" s="236"/>
      <c r="F45" s="236"/>
      <c r="G45" s="236"/>
      <c r="H45" s="236"/>
      <c r="I45" s="236"/>
      <c r="J45" s="256">
        <f>D45*E45*'GWP &amp; Emission Factors '!$E$84</f>
        <v>0</v>
      </c>
      <c r="K45" s="256">
        <f>F45*G45*'GWP &amp; Emission Factors '!$E$85</f>
        <v>0</v>
      </c>
      <c r="L45" s="256">
        <f>H45*I45*'GWP &amp; Emission Factors '!$E$86</f>
        <v>0</v>
      </c>
      <c r="M45" s="216">
        <f t="shared" si="0"/>
        <v>0</v>
      </c>
    </row>
    <row r="46" spans="3:13" x14ac:dyDescent="0.25">
      <c r="C46" s="255" t="str">
        <f>'Project Emission Distribution'!D57</f>
        <v>AN33</v>
      </c>
      <c r="D46" s="236"/>
      <c r="E46" s="236"/>
      <c r="F46" s="236"/>
      <c r="G46" s="236"/>
      <c r="H46" s="236"/>
      <c r="I46" s="236"/>
      <c r="J46" s="256">
        <f>D46*E46*'GWP &amp; Emission Factors '!$E$84</f>
        <v>0</v>
      </c>
      <c r="K46" s="256">
        <f>F46*G46*'GWP &amp; Emission Factors '!$E$85</f>
        <v>0</v>
      </c>
      <c r="L46" s="256">
        <f>H46*I46*'GWP &amp; Emission Factors '!$E$86</f>
        <v>0</v>
      </c>
      <c r="M46" s="216">
        <f t="shared" si="0"/>
        <v>0</v>
      </c>
    </row>
    <row r="47" spans="3:13" x14ac:dyDescent="0.25">
      <c r="C47" s="255" t="str">
        <f>'Project Emission Distribution'!D58</f>
        <v>AN34</v>
      </c>
      <c r="D47" s="236"/>
      <c r="E47" s="236"/>
      <c r="F47" s="236"/>
      <c r="G47" s="236"/>
      <c r="H47" s="236"/>
      <c r="I47" s="236"/>
      <c r="J47" s="256">
        <f>D47*E47*'GWP &amp; Emission Factors '!$E$84</f>
        <v>0</v>
      </c>
      <c r="K47" s="256">
        <f>F47*G47*'GWP &amp; Emission Factors '!$E$85</f>
        <v>0</v>
      </c>
      <c r="L47" s="256">
        <f>H47*I47*'GWP &amp; Emission Factors '!$E$86</f>
        <v>0</v>
      </c>
      <c r="M47" s="216">
        <f t="shared" si="0"/>
        <v>0</v>
      </c>
    </row>
    <row r="48" spans="3:13" x14ac:dyDescent="0.25">
      <c r="C48" s="255" t="str">
        <f>'Project Emission Distribution'!D59</f>
        <v>AN35</v>
      </c>
      <c r="D48" s="236"/>
      <c r="E48" s="236"/>
      <c r="F48" s="236"/>
      <c r="G48" s="236"/>
      <c r="H48" s="236"/>
      <c r="I48" s="236"/>
      <c r="J48" s="256">
        <f>D48*E48*'GWP &amp; Emission Factors '!$E$84</f>
        <v>0</v>
      </c>
      <c r="K48" s="256">
        <f>F48*G48*'GWP &amp; Emission Factors '!$E$85</f>
        <v>0</v>
      </c>
      <c r="L48" s="256">
        <f>H48*I48*'GWP &amp; Emission Factors '!$E$86</f>
        <v>0</v>
      </c>
      <c r="M48" s="216">
        <f t="shared" si="0"/>
        <v>0</v>
      </c>
    </row>
    <row r="49" spans="3:13" x14ac:dyDescent="0.25">
      <c r="C49" s="255" t="str">
        <f>'Project Emission Distribution'!D60</f>
        <v>AN36</v>
      </c>
      <c r="D49" s="236"/>
      <c r="E49" s="236"/>
      <c r="F49" s="236"/>
      <c r="G49" s="236"/>
      <c r="H49" s="236"/>
      <c r="I49" s="236"/>
      <c r="J49" s="256">
        <f>D49*E49*'GWP &amp; Emission Factors '!$E$84</f>
        <v>0</v>
      </c>
      <c r="K49" s="256">
        <f>F49*G49*'GWP &amp; Emission Factors '!$E$85</f>
        <v>0</v>
      </c>
      <c r="L49" s="256">
        <f>H49*I49*'GWP &amp; Emission Factors '!$E$86</f>
        <v>0</v>
      </c>
      <c r="M49" s="216">
        <f t="shared" si="0"/>
        <v>0</v>
      </c>
    </row>
    <row r="50" spans="3:13" x14ac:dyDescent="0.25">
      <c r="C50" s="255" t="str">
        <f>'Project Emission Distribution'!D61</f>
        <v>AN37</v>
      </c>
      <c r="D50" s="236"/>
      <c r="E50" s="236"/>
      <c r="F50" s="236"/>
      <c r="G50" s="236"/>
      <c r="H50" s="236"/>
      <c r="I50" s="236"/>
      <c r="J50" s="256">
        <f>D50*E50*'GWP &amp; Emission Factors '!$E$84</f>
        <v>0</v>
      </c>
      <c r="K50" s="256">
        <f>F50*G50*'GWP &amp; Emission Factors '!$E$85</f>
        <v>0</v>
      </c>
      <c r="L50" s="256">
        <f>H50*I50*'GWP &amp; Emission Factors '!$E$86</f>
        <v>0</v>
      </c>
      <c r="M50" s="216">
        <f t="shared" ref="M50:M73" si="1">SUM(J50:L50)</f>
        <v>0</v>
      </c>
    </row>
    <row r="51" spans="3:13" x14ac:dyDescent="0.25">
      <c r="C51" s="255" t="str">
        <f>'Project Emission Distribution'!D62</f>
        <v>AN38</v>
      </c>
      <c r="D51" s="236"/>
      <c r="E51" s="236"/>
      <c r="F51" s="236"/>
      <c r="G51" s="236"/>
      <c r="H51" s="236"/>
      <c r="I51" s="236"/>
      <c r="J51" s="256">
        <f>D51*E51*'GWP &amp; Emission Factors '!$E$84</f>
        <v>0</v>
      </c>
      <c r="K51" s="256">
        <f>F51*G51*'GWP &amp; Emission Factors '!$E$85</f>
        <v>0</v>
      </c>
      <c r="L51" s="256">
        <f>H51*I51*'GWP &amp; Emission Factors '!$E$86</f>
        <v>0</v>
      </c>
      <c r="M51" s="216">
        <f t="shared" si="1"/>
        <v>0</v>
      </c>
    </row>
    <row r="52" spans="3:13" x14ac:dyDescent="0.25">
      <c r="C52" s="255" t="str">
        <f>'Project Emission Distribution'!D63</f>
        <v>AN39</v>
      </c>
      <c r="D52" s="236"/>
      <c r="E52" s="236"/>
      <c r="F52" s="236"/>
      <c r="G52" s="236"/>
      <c r="H52" s="236"/>
      <c r="I52" s="236"/>
      <c r="J52" s="256">
        <f>D52*E52*'GWP &amp; Emission Factors '!$E$84</f>
        <v>0</v>
      </c>
      <c r="K52" s="256">
        <f>F52*G52*'GWP &amp; Emission Factors '!$E$85</f>
        <v>0</v>
      </c>
      <c r="L52" s="256">
        <f>H52*I52*'GWP &amp; Emission Factors '!$E$86</f>
        <v>0</v>
      </c>
      <c r="M52" s="216">
        <f t="shared" si="1"/>
        <v>0</v>
      </c>
    </row>
    <row r="53" spans="3:13" x14ac:dyDescent="0.25">
      <c r="C53" s="255" t="str">
        <f>'Project Emission Distribution'!D64</f>
        <v>AN40</v>
      </c>
      <c r="D53" s="236"/>
      <c r="E53" s="236"/>
      <c r="F53" s="236"/>
      <c r="G53" s="236"/>
      <c r="H53" s="236"/>
      <c r="I53" s="236"/>
      <c r="J53" s="256">
        <f>D53*E53*'GWP &amp; Emission Factors '!$E$84</f>
        <v>0</v>
      </c>
      <c r="K53" s="256">
        <f>F53*G53*'GWP &amp; Emission Factors '!$E$85</f>
        <v>0</v>
      </c>
      <c r="L53" s="256">
        <f>H53*I53*'GWP &amp; Emission Factors '!$E$86</f>
        <v>0</v>
      </c>
      <c r="M53" s="216">
        <f t="shared" si="1"/>
        <v>0</v>
      </c>
    </row>
    <row r="54" spans="3:13" x14ac:dyDescent="0.25">
      <c r="C54" s="255" t="str">
        <f>'Project Emission Distribution'!D65</f>
        <v>AN41</v>
      </c>
      <c r="D54" s="236"/>
      <c r="E54" s="236"/>
      <c r="F54" s="236"/>
      <c r="G54" s="236"/>
      <c r="H54" s="236"/>
      <c r="I54" s="236"/>
      <c r="J54" s="256">
        <f>D54*E54*'GWP &amp; Emission Factors '!$E$84</f>
        <v>0</v>
      </c>
      <c r="K54" s="256">
        <f>F54*G54*'GWP &amp; Emission Factors '!$E$85</f>
        <v>0</v>
      </c>
      <c r="L54" s="256">
        <f>H54*I54*'GWP &amp; Emission Factors '!$E$86</f>
        <v>0</v>
      </c>
      <c r="M54" s="216">
        <f t="shared" si="1"/>
        <v>0</v>
      </c>
    </row>
    <row r="55" spans="3:13" x14ac:dyDescent="0.25">
      <c r="C55" s="255" t="str">
        <f>'Project Emission Distribution'!D66</f>
        <v>AN42</v>
      </c>
      <c r="D55" s="236"/>
      <c r="E55" s="236"/>
      <c r="F55" s="236"/>
      <c r="G55" s="236"/>
      <c r="H55" s="236"/>
      <c r="I55" s="236"/>
      <c r="J55" s="256">
        <f>D55*E55*'GWP &amp; Emission Factors '!$E$84</f>
        <v>0</v>
      </c>
      <c r="K55" s="256">
        <f>F55*G55*'GWP &amp; Emission Factors '!$E$85</f>
        <v>0</v>
      </c>
      <c r="L55" s="256">
        <f>H55*I55*'GWP &amp; Emission Factors '!$E$86</f>
        <v>0</v>
      </c>
      <c r="M55" s="216">
        <f t="shared" si="1"/>
        <v>0</v>
      </c>
    </row>
    <row r="56" spans="3:13" x14ac:dyDescent="0.25">
      <c r="C56" s="255" t="str">
        <f>'Project Emission Distribution'!D67</f>
        <v>AN43</v>
      </c>
      <c r="D56" s="236"/>
      <c r="E56" s="236"/>
      <c r="F56" s="236"/>
      <c r="G56" s="236"/>
      <c r="H56" s="236"/>
      <c r="I56" s="236"/>
      <c r="J56" s="256">
        <f>D56*E56*'GWP &amp; Emission Factors '!$E$84</f>
        <v>0</v>
      </c>
      <c r="K56" s="256">
        <f>F56*G56*'GWP &amp; Emission Factors '!$E$85</f>
        <v>0</v>
      </c>
      <c r="L56" s="256">
        <f>H56*I56*'GWP &amp; Emission Factors '!$E$86</f>
        <v>0</v>
      </c>
      <c r="M56" s="216">
        <f t="shared" si="1"/>
        <v>0</v>
      </c>
    </row>
    <row r="57" spans="3:13" x14ac:dyDescent="0.25">
      <c r="C57" s="255" t="str">
        <f>'Project Emission Distribution'!D68</f>
        <v>AN44</v>
      </c>
      <c r="D57" s="236"/>
      <c r="E57" s="236"/>
      <c r="F57" s="236"/>
      <c r="G57" s="236"/>
      <c r="H57" s="236"/>
      <c r="I57" s="236"/>
      <c r="J57" s="256">
        <f>D57*E57*'GWP &amp; Emission Factors '!$E$84</f>
        <v>0</v>
      </c>
      <c r="K57" s="256">
        <f>F57*G57*'GWP &amp; Emission Factors '!$E$85</f>
        <v>0</v>
      </c>
      <c r="L57" s="256">
        <f>H57*I57*'GWP &amp; Emission Factors '!$E$86</f>
        <v>0</v>
      </c>
      <c r="M57" s="216">
        <f t="shared" si="1"/>
        <v>0</v>
      </c>
    </row>
    <row r="58" spans="3:13" x14ac:dyDescent="0.25">
      <c r="C58" s="255" t="str">
        <f>'Project Emission Distribution'!D69</f>
        <v>AN45</v>
      </c>
      <c r="D58" s="236"/>
      <c r="E58" s="236"/>
      <c r="F58" s="236"/>
      <c r="G58" s="236"/>
      <c r="H58" s="236"/>
      <c r="I58" s="236"/>
      <c r="J58" s="256">
        <f>D58*E58*'GWP &amp; Emission Factors '!$E$84</f>
        <v>0</v>
      </c>
      <c r="K58" s="256">
        <f>F58*G58*'GWP &amp; Emission Factors '!$E$85</f>
        <v>0</v>
      </c>
      <c r="L58" s="256">
        <f>H58*I58*'GWP &amp; Emission Factors '!$E$86</f>
        <v>0</v>
      </c>
      <c r="M58" s="216">
        <f t="shared" si="1"/>
        <v>0</v>
      </c>
    </row>
    <row r="59" spans="3:13" x14ac:dyDescent="0.25">
      <c r="C59" s="255" t="str">
        <f>'Project Emission Distribution'!D70</f>
        <v>AN46</v>
      </c>
      <c r="D59" s="236"/>
      <c r="E59" s="236"/>
      <c r="F59" s="236"/>
      <c r="G59" s="236"/>
      <c r="H59" s="236"/>
      <c r="I59" s="236"/>
      <c r="J59" s="256">
        <f>D59*E59*'GWP &amp; Emission Factors '!$E$84</f>
        <v>0</v>
      </c>
      <c r="K59" s="256">
        <f>F59*G59*'GWP &amp; Emission Factors '!$E$85</f>
        <v>0</v>
      </c>
      <c r="L59" s="256">
        <f>H59*I59*'GWP &amp; Emission Factors '!$E$86</f>
        <v>0</v>
      </c>
      <c r="M59" s="216">
        <f t="shared" si="1"/>
        <v>0</v>
      </c>
    </row>
    <row r="60" spans="3:13" x14ac:dyDescent="0.25">
      <c r="C60" s="255" t="str">
        <f>'Project Emission Distribution'!D71</f>
        <v>AN47</v>
      </c>
      <c r="D60" s="236"/>
      <c r="E60" s="236"/>
      <c r="F60" s="236"/>
      <c r="G60" s="236"/>
      <c r="H60" s="236"/>
      <c r="I60" s="236"/>
      <c r="J60" s="256">
        <f>D60*E60*'GWP &amp; Emission Factors '!$E$84</f>
        <v>0</v>
      </c>
      <c r="K60" s="256">
        <f>F60*G60*'GWP &amp; Emission Factors '!$E$85</f>
        <v>0</v>
      </c>
      <c r="L60" s="256">
        <f>H60*I60*'GWP &amp; Emission Factors '!$E$86</f>
        <v>0</v>
      </c>
      <c r="M60" s="216">
        <f t="shared" si="1"/>
        <v>0</v>
      </c>
    </row>
    <row r="61" spans="3:13" x14ac:dyDescent="0.25">
      <c r="C61" s="255" t="str">
        <f>'Project Emission Distribution'!D72</f>
        <v>AN48</v>
      </c>
      <c r="D61" s="236"/>
      <c r="E61" s="236"/>
      <c r="F61" s="236"/>
      <c r="G61" s="236"/>
      <c r="H61" s="236"/>
      <c r="I61" s="236"/>
      <c r="J61" s="256">
        <f>D61*E61*'GWP &amp; Emission Factors '!$E$84</f>
        <v>0</v>
      </c>
      <c r="K61" s="256">
        <f>F61*G61*'GWP &amp; Emission Factors '!$E$85</f>
        <v>0</v>
      </c>
      <c r="L61" s="256">
        <f>H61*I61*'GWP &amp; Emission Factors '!$E$86</f>
        <v>0</v>
      </c>
      <c r="M61" s="216">
        <f t="shared" si="1"/>
        <v>0</v>
      </c>
    </row>
    <row r="62" spans="3:13" x14ac:dyDescent="0.25">
      <c r="C62" s="255" t="str">
        <f>'Project Emission Distribution'!D73</f>
        <v>AN49</v>
      </c>
      <c r="D62" s="236"/>
      <c r="E62" s="236"/>
      <c r="F62" s="236"/>
      <c r="G62" s="236"/>
      <c r="H62" s="236"/>
      <c r="I62" s="236"/>
      <c r="J62" s="256">
        <f>D62*E62*'GWP &amp; Emission Factors '!$E$84</f>
        <v>0</v>
      </c>
      <c r="K62" s="256">
        <f>F62*G62*'GWP &amp; Emission Factors '!$E$85</f>
        <v>0</v>
      </c>
      <c r="L62" s="256">
        <f>H62*I62*'GWP &amp; Emission Factors '!$E$86</f>
        <v>0</v>
      </c>
      <c r="M62" s="216">
        <f t="shared" si="1"/>
        <v>0</v>
      </c>
    </row>
    <row r="63" spans="3:13" x14ac:dyDescent="0.25">
      <c r="C63" s="255" t="str">
        <f>'Project Emission Distribution'!D74</f>
        <v>AN50</v>
      </c>
      <c r="D63" s="236"/>
      <c r="E63" s="236"/>
      <c r="F63" s="236"/>
      <c r="G63" s="236"/>
      <c r="H63" s="236"/>
      <c r="I63" s="236"/>
      <c r="J63" s="256">
        <f>D63*E63*'GWP &amp; Emission Factors '!$E$84</f>
        <v>0</v>
      </c>
      <c r="K63" s="256">
        <f>F63*G63*'GWP &amp; Emission Factors '!$E$85</f>
        <v>0</v>
      </c>
      <c r="L63" s="256">
        <f>H63*I63*'GWP &amp; Emission Factors '!$E$86</f>
        <v>0</v>
      </c>
      <c r="M63" s="216">
        <f t="shared" si="1"/>
        <v>0</v>
      </c>
    </row>
    <row r="64" spans="3:13" x14ac:dyDescent="0.25">
      <c r="C64" s="255" t="str">
        <f>'Project Emission Distribution'!D75</f>
        <v>AN51</v>
      </c>
      <c r="D64" s="236"/>
      <c r="E64" s="236"/>
      <c r="F64" s="236"/>
      <c r="G64" s="236"/>
      <c r="H64" s="236"/>
      <c r="I64" s="236"/>
      <c r="J64" s="256">
        <f>D64*E64*'GWP &amp; Emission Factors '!$E$84</f>
        <v>0</v>
      </c>
      <c r="K64" s="256">
        <f>F64*G64*'GWP &amp; Emission Factors '!$E$85</f>
        <v>0</v>
      </c>
      <c r="L64" s="256">
        <f>H64*I64*'GWP &amp; Emission Factors '!$E$86</f>
        <v>0</v>
      </c>
      <c r="M64" s="216">
        <f t="shared" si="1"/>
        <v>0</v>
      </c>
    </row>
    <row r="65" spans="3:13" x14ac:dyDescent="0.25">
      <c r="C65" s="255" t="str">
        <f>'Project Emission Distribution'!D76</f>
        <v>AN52</v>
      </c>
      <c r="D65" s="236"/>
      <c r="E65" s="236"/>
      <c r="F65" s="236"/>
      <c r="G65" s="236"/>
      <c r="H65" s="236"/>
      <c r="I65" s="236"/>
      <c r="J65" s="256">
        <f>D65*E65*'GWP &amp; Emission Factors '!$E$84</f>
        <v>0</v>
      </c>
      <c r="K65" s="256">
        <f>F65*G65*'GWP &amp; Emission Factors '!$E$85</f>
        <v>0</v>
      </c>
      <c r="L65" s="256">
        <f>H65*I65*'GWP &amp; Emission Factors '!$E$86</f>
        <v>0</v>
      </c>
      <c r="M65" s="216">
        <f t="shared" si="1"/>
        <v>0</v>
      </c>
    </row>
    <row r="66" spans="3:13" x14ac:dyDescent="0.25">
      <c r="C66" s="255" t="str">
        <f>'Project Emission Distribution'!D77</f>
        <v>AN53</v>
      </c>
      <c r="D66" s="236"/>
      <c r="E66" s="236"/>
      <c r="F66" s="236"/>
      <c r="G66" s="236"/>
      <c r="H66" s="236"/>
      <c r="I66" s="236"/>
      <c r="J66" s="256">
        <f>D66*E66*'GWP &amp; Emission Factors '!$E$84</f>
        <v>0</v>
      </c>
      <c r="K66" s="256">
        <f>F66*G66*'GWP &amp; Emission Factors '!$E$85</f>
        <v>0</v>
      </c>
      <c r="L66" s="256">
        <f>H66*I66*'GWP &amp; Emission Factors '!$E$86</f>
        <v>0</v>
      </c>
      <c r="M66" s="216">
        <f t="shared" si="1"/>
        <v>0</v>
      </c>
    </row>
    <row r="67" spans="3:13" x14ac:dyDescent="0.25">
      <c r="C67" s="255" t="str">
        <f>'Project Emission Distribution'!D78</f>
        <v>AN54</v>
      </c>
      <c r="D67" s="236"/>
      <c r="E67" s="236"/>
      <c r="F67" s="236"/>
      <c r="G67" s="236"/>
      <c r="H67" s="236"/>
      <c r="I67" s="236"/>
      <c r="J67" s="256">
        <f>D67*E67*'GWP &amp; Emission Factors '!$E$84</f>
        <v>0</v>
      </c>
      <c r="K67" s="256">
        <f>F67*G67*'GWP &amp; Emission Factors '!$E$85</f>
        <v>0</v>
      </c>
      <c r="L67" s="256">
        <f>H67*I67*'GWP &amp; Emission Factors '!$E$86</f>
        <v>0</v>
      </c>
      <c r="M67" s="216">
        <f t="shared" si="1"/>
        <v>0</v>
      </c>
    </row>
    <row r="68" spans="3:13" x14ac:dyDescent="0.25">
      <c r="C68" s="255" t="str">
        <f>'Project Emission Distribution'!D79</f>
        <v>AN55</v>
      </c>
      <c r="D68" s="236"/>
      <c r="E68" s="236"/>
      <c r="F68" s="236"/>
      <c r="G68" s="236"/>
      <c r="H68" s="236"/>
      <c r="I68" s="236"/>
      <c r="J68" s="256">
        <f>D68*E68*'GWP &amp; Emission Factors '!$E$84</f>
        <v>0</v>
      </c>
      <c r="K68" s="256">
        <f>F68*G68*'GWP &amp; Emission Factors '!$E$85</f>
        <v>0</v>
      </c>
      <c r="L68" s="256">
        <f>H68*I68*'GWP &amp; Emission Factors '!$E$86</f>
        <v>0</v>
      </c>
      <c r="M68" s="216">
        <f t="shared" si="1"/>
        <v>0</v>
      </c>
    </row>
    <row r="69" spans="3:13" x14ac:dyDescent="0.25">
      <c r="C69" s="255" t="str">
        <f>'Project Emission Distribution'!D80</f>
        <v>AN56</v>
      </c>
      <c r="D69" s="236"/>
      <c r="E69" s="236"/>
      <c r="F69" s="236"/>
      <c r="G69" s="236"/>
      <c r="H69" s="236"/>
      <c r="I69" s="236"/>
      <c r="J69" s="256">
        <f>D69*E69*'GWP &amp; Emission Factors '!$E$84</f>
        <v>0</v>
      </c>
      <c r="K69" s="256">
        <f>F69*G69*'GWP &amp; Emission Factors '!$E$85</f>
        <v>0</v>
      </c>
      <c r="L69" s="256">
        <f>H69*I69*'GWP &amp; Emission Factors '!$E$86</f>
        <v>0</v>
      </c>
      <c r="M69" s="216">
        <f t="shared" si="1"/>
        <v>0</v>
      </c>
    </row>
    <row r="70" spans="3:13" x14ac:dyDescent="0.25">
      <c r="C70" s="255" t="str">
        <f>'Project Emission Distribution'!D81</f>
        <v>AN57</v>
      </c>
      <c r="D70" s="236"/>
      <c r="E70" s="236"/>
      <c r="F70" s="236"/>
      <c r="G70" s="236"/>
      <c r="H70" s="236"/>
      <c r="I70" s="236"/>
      <c r="J70" s="256">
        <f>D70*E70*'GWP &amp; Emission Factors '!$E$84</f>
        <v>0</v>
      </c>
      <c r="K70" s="256">
        <f>F70*G70*'GWP &amp; Emission Factors '!$E$85</f>
        <v>0</v>
      </c>
      <c r="L70" s="256">
        <f>H70*I70*'GWP &amp; Emission Factors '!$E$86</f>
        <v>0</v>
      </c>
      <c r="M70" s="216">
        <f t="shared" si="1"/>
        <v>0</v>
      </c>
    </row>
    <row r="71" spans="3:13" x14ac:dyDescent="0.25">
      <c r="C71" s="255" t="str">
        <f>'Project Emission Distribution'!D82</f>
        <v>AN58</v>
      </c>
      <c r="D71" s="236"/>
      <c r="E71" s="236"/>
      <c r="F71" s="236"/>
      <c r="G71" s="236"/>
      <c r="H71" s="236"/>
      <c r="I71" s="236"/>
      <c r="J71" s="256">
        <f>D71*E71*'GWP &amp; Emission Factors '!$E$84</f>
        <v>0</v>
      </c>
      <c r="K71" s="256">
        <f>F71*G71*'GWP &amp; Emission Factors '!$E$85</f>
        <v>0</v>
      </c>
      <c r="L71" s="256">
        <f>H71*I71*'GWP &amp; Emission Factors '!$E$86</f>
        <v>0</v>
      </c>
      <c r="M71" s="216">
        <f t="shared" si="1"/>
        <v>0</v>
      </c>
    </row>
    <row r="72" spans="3:13" x14ac:dyDescent="0.25">
      <c r="C72" s="255" t="str">
        <f>'Project Emission Distribution'!D83</f>
        <v>AN59</v>
      </c>
      <c r="D72" s="236"/>
      <c r="E72" s="236"/>
      <c r="F72" s="236"/>
      <c r="G72" s="236"/>
      <c r="H72" s="236"/>
      <c r="I72" s="236"/>
      <c r="J72" s="256">
        <f>D72*E72*'GWP &amp; Emission Factors '!$E$84</f>
        <v>0</v>
      </c>
      <c r="K72" s="256">
        <f>F72*G72*'GWP &amp; Emission Factors '!$E$85</f>
        <v>0</v>
      </c>
      <c r="L72" s="256">
        <f>H72*I72*'GWP &amp; Emission Factors '!$E$86</f>
        <v>0</v>
      </c>
      <c r="M72" s="216">
        <f t="shared" si="1"/>
        <v>0</v>
      </c>
    </row>
    <row r="73" spans="3:13" x14ac:dyDescent="0.25">
      <c r="C73" s="255" t="str">
        <f>'Project Emission Distribution'!D84</f>
        <v>AN60</v>
      </c>
      <c r="D73" s="236"/>
      <c r="E73" s="236"/>
      <c r="F73" s="236"/>
      <c r="G73" s="236"/>
      <c r="H73" s="236"/>
      <c r="I73" s="236"/>
      <c r="J73" s="256">
        <f>D73*E73*'GWP &amp; Emission Factors '!$E$84</f>
        <v>0</v>
      </c>
      <c r="K73" s="256">
        <f>F73*G73*'GWP &amp; Emission Factors '!$E$85</f>
        <v>0</v>
      </c>
      <c r="L73" s="256">
        <f>H73*I73*'GWP &amp; Emission Factors '!$E$86</f>
        <v>0</v>
      </c>
      <c r="M73" s="216">
        <f t="shared" si="1"/>
        <v>0</v>
      </c>
    </row>
  </sheetData>
  <mergeCells count="8">
    <mergeCell ref="D6:K6"/>
    <mergeCell ref="D12:E12"/>
    <mergeCell ref="F12:G12"/>
    <mergeCell ref="M12:M13"/>
    <mergeCell ref="H12:I12"/>
    <mergeCell ref="J12:J13"/>
    <mergeCell ref="K12:K13"/>
    <mergeCell ref="L12:L13"/>
  </mergeCells>
  <dataValidations count="1">
    <dataValidation type="whole" operator="greaterThanOrEqual" allowBlank="1" showInputMessage="1" showErrorMessage="1" error="Enter Whole Number" prompt="Please enter whole Numbers" sqref="D14:I73" xr:uid="{717E5C50-AE63-47A9-AA6F-65A45397B4B2}">
      <formula1>0</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58211-1044-4F07-A836-5B5B245D585B}">
  <dimension ref="A1:V531"/>
  <sheetViews>
    <sheetView topLeftCell="F1" workbookViewId="0">
      <selection activeCell="J8" sqref="J8"/>
    </sheetView>
  </sheetViews>
  <sheetFormatPr defaultRowHeight="15" x14ac:dyDescent="0.25"/>
  <cols>
    <col min="1" max="1" width="3.42578125" style="259" customWidth="1"/>
    <col min="2" max="2" width="3.7109375" style="1" customWidth="1"/>
    <col min="3" max="3" width="15.7109375" style="1" customWidth="1"/>
    <col min="4" max="4" width="19.140625" style="1" customWidth="1"/>
    <col min="5" max="5" width="10" style="1" customWidth="1"/>
    <col min="6" max="6" width="10.140625" style="1" customWidth="1"/>
    <col min="7" max="16" width="9.28515625" style="1" customWidth="1"/>
    <col min="17" max="17" width="11" style="392" customWidth="1"/>
    <col min="18" max="18" width="6.7109375" style="1" customWidth="1"/>
    <col min="19" max="19" width="11" style="1" customWidth="1"/>
    <col min="20" max="20" width="3.42578125" style="1" customWidth="1"/>
    <col min="21" max="21" width="5.5703125" style="1" customWidth="1"/>
    <col min="22" max="22" width="3.5703125" style="1" customWidth="1"/>
    <col min="23" max="25" width="9.140625" style="1"/>
    <col min="26" max="26" width="19.140625" style="1" customWidth="1"/>
    <col min="27" max="27" width="27.28515625" style="1" customWidth="1"/>
    <col min="28" max="28" width="11.85546875" style="1" customWidth="1"/>
    <col min="29" max="29" width="12.140625" style="1" customWidth="1"/>
    <col min="30" max="30" width="11.5703125" style="1" customWidth="1"/>
    <col min="31" max="32" width="9.140625" style="1"/>
    <col min="33" max="33" width="16.140625" style="1" customWidth="1"/>
    <col min="34" max="34" width="13.42578125" style="1" customWidth="1"/>
    <col min="35" max="36" width="9.140625" style="1"/>
    <col min="37" max="37" width="13.7109375" style="1" customWidth="1"/>
    <col min="38" max="16384" width="9.140625" style="1"/>
  </cols>
  <sheetData>
    <row r="1" spans="1:22" ht="20.100000000000001" customHeight="1" x14ac:dyDescent="0.25">
      <c r="A1" s="382"/>
      <c r="B1" s="375"/>
      <c r="C1" s="375"/>
      <c r="D1" s="375"/>
      <c r="E1" s="375"/>
      <c r="F1" s="375"/>
      <c r="G1" s="375"/>
      <c r="H1" s="375"/>
      <c r="I1" s="376"/>
      <c r="J1" s="376" t="s">
        <v>267</v>
      </c>
      <c r="K1" s="375"/>
      <c r="L1" s="375"/>
      <c r="M1" s="375"/>
      <c r="N1" s="375"/>
      <c r="O1" s="375"/>
      <c r="P1" s="375"/>
      <c r="Q1" s="443"/>
      <c r="R1" s="375"/>
      <c r="S1" s="375"/>
      <c r="T1" s="375"/>
      <c r="U1" s="375"/>
      <c r="V1" s="375"/>
    </row>
    <row r="2" spans="1:22" ht="15" customHeight="1" x14ac:dyDescent="0.25"/>
    <row r="3" spans="1:22" ht="22.5" customHeight="1" x14ac:dyDescent="0.25"/>
    <row r="4" spans="1:22" ht="22.5" customHeight="1" x14ac:dyDescent="0.25">
      <c r="E4" s="258"/>
      <c r="F4" s="137"/>
      <c r="G4" s="137"/>
      <c r="H4" s="137"/>
      <c r="I4" s="137"/>
      <c r="J4" s="137"/>
      <c r="K4" s="137"/>
      <c r="L4" s="137"/>
      <c r="M4" s="956" t="s">
        <v>446</v>
      </c>
      <c r="N4" s="957"/>
      <c r="O4" s="957"/>
      <c r="P4" s="957"/>
      <c r="Q4" s="957"/>
      <c r="R4" s="957"/>
      <c r="S4" s="957"/>
    </row>
    <row r="5" spans="1:22" ht="22.5" customHeight="1" x14ac:dyDescent="0.25">
      <c r="E5" s="258"/>
      <c r="F5" s="137"/>
      <c r="G5" s="137"/>
      <c r="H5" s="137"/>
      <c r="I5" s="137"/>
      <c r="J5" s="137"/>
      <c r="K5" s="137"/>
      <c r="L5" s="137"/>
      <c r="M5" s="958"/>
      <c r="N5" s="958"/>
      <c r="O5" s="958"/>
      <c r="P5" s="958"/>
      <c r="Q5" s="958"/>
      <c r="R5" s="958"/>
      <c r="S5" s="958"/>
    </row>
    <row r="6" spans="1:22" ht="21.75" customHeight="1" x14ac:dyDescent="0.25">
      <c r="E6" s="65"/>
      <c r="F6" s="137"/>
      <c r="G6" s="137"/>
      <c r="H6" s="137"/>
      <c r="I6" s="137"/>
      <c r="J6" s="137"/>
      <c r="K6" s="137"/>
      <c r="L6" s="137"/>
      <c r="M6" s="451"/>
      <c r="N6" s="451" t="s">
        <v>435</v>
      </c>
      <c r="O6" s="451" t="s">
        <v>436</v>
      </c>
      <c r="P6" s="451" t="s">
        <v>437</v>
      </c>
      <c r="Q6" s="960" t="s">
        <v>445</v>
      </c>
      <c r="R6" s="962" t="s">
        <v>444</v>
      </c>
      <c r="S6" s="962"/>
    </row>
    <row r="7" spans="1:22" ht="24.75" customHeight="1" x14ac:dyDescent="0.25">
      <c r="E7" s="65"/>
      <c r="F7" s="137"/>
      <c r="G7" s="137"/>
      <c r="H7" s="137"/>
      <c r="I7" s="137"/>
      <c r="J7" s="137"/>
      <c r="K7" s="137"/>
      <c r="L7" s="137"/>
      <c r="M7" s="458" t="s">
        <v>14</v>
      </c>
      <c r="N7" s="460" t="s">
        <v>441</v>
      </c>
      <c r="O7" s="460" t="s">
        <v>441</v>
      </c>
      <c r="P7" s="460" t="s">
        <v>438</v>
      </c>
      <c r="Q7" s="960"/>
      <c r="R7" s="962"/>
      <c r="S7" s="962"/>
    </row>
    <row r="8" spans="1:22" ht="18.75" customHeight="1" x14ac:dyDescent="0.25">
      <c r="E8" s="65"/>
      <c r="F8" s="137"/>
      <c r="G8" s="137"/>
      <c r="H8" s="137"/>
      <c r="I8" s="137"/>
      <c r="J8" s="137"/>
      <c r="K8" s="137"/>
      <c r="L8" s="137"/>
      <c r="M8" s="458" t="s">
        <v>443</v>
      </c>
      <c r="N8" s="459">
        <v>8</v>
      </c>
      <c r="O8" s="459">
        <v>4</v>
      </c>
      <c r="P8" s="459">
        <v>4</v>
      </c>
      <c r="Q8" s="459">
        <v>100</v>
      </c>
      <c r="R8" s="961">
        <f>(N8*SUMIFS($K$168:$K$171,$J$168:$J$171,N$7))*(O8*SUMIFS($K$168:$K$171,$J$168:$J$171,O$7))*P8*(SUMIFS($K$168:$K$171,$J$168:$J$171,P$7))*Q8</f>
        <v>1.1891589119999997</v>
      </c>
      <c r="S8" s="961"/>
    </row>
    <row r="9" spans="1:22" x14ac:dyDescent="0.25">
      <c r="D9" s="959"/>
      <c r="E9" s="959"/>
      <c r="F9" s="959"/>
      <c r="G9" s="137"/>
      <c r="H9" s="137"/>
      <c r="I9" s="137"/>
      <c r="J9" s="135"/>
      <c r="K9" s="135"/>
      <c r="L9" s="135"/>
      <c r="M9" s="135"/>
      <c r="N9" s="135"/>
      <c r="O9" s="135"/>
      <c r="P9" s="135"/>
      <c r="Q9" s="444"/>
      <c r="R9" s="135"/>
    </row>
    <row r="10" spans="1:22" s="132" customFormat="1" ht="32.25" customHeight="1" x14ac:dyDescent="0.25">
      <c r="A10" s="260"/>
      <c r="C10" s="952" t="s">
        <v>419</v>
      </c>
      <c r="D10" s="952" t="s">
        <v>420</v>
      </c>
      <c r="E10" s="965" t="s">
        <v>127</v>
      </c>
      <c r="F10" s="966"/>
      <c r="G10" s="966"/>
      <c r="H10" s="966"/>
      <c r="I10" s="966"/>
      <c r="J10" s="966"/>
      <c r="K10" s="966"/>
      <c r="L10" s="966"/>
      <c r="M10" s="966"/>
      <c r="N10" s="966"/>
      <c r="O10" s="966"/>
      <c r="P10" s="967"/>
      <c r="Q10" s="952" t="s">
        <v>432</v>
      </c>
      <c r="R10" s="952" t="s">
        <v>120</v>
      </c>
      <c r="S10" s="952" t="s">
        <v>170</v>
      </c>
    </row>
    <row r="11" spans="1:22" x14ac:dyDescent="0.25">
      <c r="C11" s="953"/>
      <c r="D11" s="953"/>
      <c r="E11" s="254" t="s">
        <v>135</v>
      </c>
      <c r="F11" s="254" t="s">
        <v>136</v>
      </c>
      <c r="G11" s="254" t="s">
        <v>137</v>
      </c>
      <c r="H11" s="254" t="s">
        <v>138</v>
      </c>
      <c r="I11" s="254" t="s">
        <v>139</v>
      </c>
      <c r="J11" s="254" t="s">
        <v>140</v>
      </c>
      <c r="K11" s="254" t="s">
        <v>141</v>
      </c>
      <c r="L11" s="254" t="s">
        <v>142</v>
      </c>
      <c r="M11" s="254" t="s">
        <v>143</v>
      </c>
      <c r="N11" s="254" t="s">
        <v>144</v>
      </c>
      <c r="O11" s="254" t="s">
        <v>145</v>
      </c>
      <c r="P11" s="254" t="s">
        <v>146</v>
      </c>
      <c r="Q11" s="953"/>
      <c r="R11" s="953"/>
      <c r="S11" s="953"/>
    </row>
    <row r="12" spans="1:22" x14ac:dyDescent="0.25">
      <c r="C12" s="438" t="str">
        <f>'Table for material consumption'!C12</f>
        <v xml:space="preserve">Plywoods and MDF </v>
      </c>
      <c r="D12" s="436" t="str">
        <f>'Table for material consumption'!D12</f>
        <v>MDF Plywood normal</v>
      </c>
      <c r="E12" s="241">
        <v>1000</v>
      </c>
      <c r="F12" s="241"/>
      <c r="G12" s="241"/>
      <c r="H12" s="241"/>
      <c r="I12" s="241"/>
      <c r="J12" s="241"/>
      <c r="K12" s="241"/>
      <c r="L12" s="241"/>
      <c r="M12" s="241"/>
      <c r="N12" s="241"/>
      <c r="O12" s="241"/>
      <c r="P12" s="241"/>
      <c r="Q12" s="447">
        <f>SUM(E12:P12)</f>
        <v>1000</v>
      </c>
      <c r="R12" s="445" t="str">
        <f>'Table for material consumption'!G12</f>
        <v>m3</v>
      </c>
      <c r="S12" s="447">
        <f>(SUMIFS('Material Consumption'!$Q$12:$Q$50,'Material Consumption'!$D$12:$D$50,'Material Consumption'!$D12)*SUMIFS('GWP &amp; Emission Factors '!$F$154:$F$241,'GWP &amp; Emission Factors '!$E$154:$E$241,'Material Consumption'!$D12))/1000</f>
        <v>0.32899869960988298</v>
      </c>
    </row>
    <row r="13" spans="1:22" x14ac:dyDescent="0.25">
      <c r="C13" s="438" t="str">
        <f>'Table for material consumption'!C13</f>
        <v xml:space="preserve">Plywoods and MDF </v>
      </c>
      <c r="D13" s="436" t="str">
        <f>'Table for material consumption'!D13</f>
        <v>Hardwood/ Solidwood</v>
      </c>
      <c r="E13" s="241">
        <v>1000</v>
      </c>
      <c r="F13" s="241"/>
      <c r="G13" s="241"/>
      <c r="H13" s="241"/>
      <c r="I13" s="241"/>
      <c r="J13" s="241"/>
      <c r="K13" s="241"/>
      <c r="L13" s="241"/>
      <c r="M13" s="241"/>
      <c r="N13" s="241"/>
      <c r="O13" s="241"/>
      <c r="P13" s="241"/>
      <c r="Q13" s="447">
        <f t="shared" ref="Q13:Q51" si="0">SUM(E13:P13)</f>
        <v>1000</v>
      </c>
      <c r="R13" s="445" t="str">
        <f>'Table for material consumption'!G13</f>
        <v>m3</v>
      </c>
      <c r="S13" s="447">
        <f>(SUMIFS('Material Consumption'!$Q$12:$Q$50,'Material Consumption'!$D$12:$D$50,'Material Consumption'!$D13)*SUMIFS('GWP &amp; Emission Factors '!$F$154:$F$241,'GWP &amp; Emission Factors '!$E$154:$E$241,'Material Consumption'!$D13))/1000</f>
        <v>0</v>
      </c>
    </row>
    <row r="14" spans="1:22" x14ac:dyDescent="0.25">
      <c r="C14" s="438" t="str">
        <f>'Table for material consumption'!C14</f>
        <v xml:space="preserve">Plywoods and MDF </v>
      </c>
      <c r="D14" s="436" t="str">
        <f>'Table for material consumption'!D14</f>
        <v>FR Medite MDF</v>
      </c>
      <c r="E14" s="241">
        <v>1000</v>
      </c>
      <c r="F14" s="241"/>
      <c r="G14" s="241"/>
      <c r="H14" s="241"/>
      <c r="I14" s="241"/>
      <c r="J14" s="241"/>
      <c r="K14" s="241"/>
      <c r="L14" s="241"/>
      <c r="M14" s="241"/>
      <c r="N14" s="241"/>
      <c r="O14" s="241"/>
      <c r="P14" s="241"/>
      <c r="Q14" s="447">
        <f t="shared" si="0"/>
        <v>1000</v>
      </c>
      <c r="R14" s="445" t="str">
        <f>'Table for material consumption'!G14</f>
        <v>m3</v>
      </c>
      <c r="S14" s="447">
        <f>(SUMIFS('Material Consumption'!$Q$12:$Q$50,'Material Consumption'!$D$12:$D$50,'Material Consumption'!$D14)*SUMIFS('GWP &amp; Emission Factors '!$F$154:$F$241,'GWP &amp; Emission Factors '!$E$154:$E$241,'Material Consumption'!$D14))/1000</f>
        <v>0</v>
      </c>
    </row>
    <row r="15" spans="1:22" x14ac:dyDescent="0.25">
      <c r="C15" s="438" t="str">
        <f>'Table for material consumption'!C15</f>
        <v xml:space="preserve">Plywoods and MDF </v>
      </c>
      <c r="D15" s="436" t="str">
        <f>'Table for material consumption'!D15</f>
        <v>MDF FR Finsa/ FR</v>
      </c>
      <c r="E15" s="241">
        <v>1000</v>
      </c>
      <c r="F15" s="241"/>
      <c r="G15" s="241"/>
      <c r="H15" s="241"/>
      <c r="I15" s="241"/>
      <c r="J15" s="241"/>
      <c r="K15" s="241"/>
      <c r="L15" s="241"/>
      <c r="M15" s="241"/>
      <c r="N15" s="241"/>
      <c r="O15" s="241"/>
      <c r="P15" s="241"/>
      <c r="Q15" s="447">
        <f t="shared" si="0"/>
        <v>1000</v>
      </c>
      <c r="R15" s="445" t="str">
        <f>'Table for material consumption'!G15</f>
        <v>m3</v>
      </c>
      <c r="S15" s="447">
        <f>(SUMIFS('Material Consumption'!$Q$12:$Q$50,'Material Consumption'!$D$12:$D$50,'Material Consumption'!$D15)*SUMIFS('GWP &amp; Emission Factors '!$F$154:$F$241,'GWP &amp; Emission Factors '!$E$154:$E$241,'Material Consumption'!$D15))/1000</f>
        <v>0.31469440832249673</v>
      </c>
    </row>
    <row r="16" spans="1:22" x14ac:dyDescent="0.25">
      <c r="C16" s="438" t="str">
        <f>'Table for material consumption'!C16</f>
        <v xml:space="preserve">Plywoods and MDF </v>
      </c>
      <c r="D16" s="436" t="str">
        <f>'Table for material consumption'!D16</f>
        <v>Bend plywood</v>
      </c>
      <c r="E16" s="241">
        <v>1000</v>
      </c>
      <c r="F16" s="241"/>
      <c r="G16" s="241"/>
      <c r="H16" s="241"/>
      <c r="I16" s="241"/>
      <c r="J16" s="241"/>
      <c r="K16" s="241"/>
      <c r="L16" s="241"/>
      <c r="M16" s="241"/>
      <c r="N16" s="241"/>
      <c r="O16" s="241"/>
      <c r="P16" s="241"/>
      <c r="Q16" s="447">
        <f t="shared" si="0"/>
        <v>1000</v>
      </c>
      <c r="R16" s="445" t="str">
        <f>'Table for material consumption'!G16</f>
        <v>m3</v>
      </c>
      <c r="S16" s="447">
        <f>(SUMIFS('Material Consumption'!$Q$12:$Q$50,'Material Consumption'!$D$12:$D$50,'Material Consumption'!$D16)*SUMIFS('GWP &amp; Emission Factors '!$F$154:$F$241,'GWP &amp; Emission Factors '!$E$154:$E$241,'Material Consumption'!$D16))/1000</f>
        <v>0.35322580645161289</v>
      </c>
    </row>
    <row r="17" spans="3:19" x14ac:dyDescent="0.25">
      <c r="C17" s="438" t="str">
        <f>'Table for material consumption'!C17</f>
        <v xml:space="preserve">Plywoods and MDF </v>
      </c>
      <c r="D17" s="436" t="str">
        <f>'Table for material consumption'!D17</f>
        <v>Plywood</v>
      </c>
      <c r="E17" s="241">
        <v>1000</v>
      </c>
      <c r="F17" s="241"/>
      <c r="G17" s="241"/>
      <c r="H17" s="241"/>
      <c r="I17" s="241"/>
      <c r="J17" s="241"/>
      <c r="K17" s="241"/>
      <c r="L17" s="241"/>
      <c r="M17" s="241"/>
      <c r="N17" s="241"/>
      <c r="O17" s="241"/>
      <c r="P17" s="241"/>
      <c r="Q17" s="447">
        <f t="shared" si="0"/>
        <v>1000</v>
      </c>
      <c r="R17" s="445" t="str">
        <f>'Table for material consumption'!G17</f>
        <v>m3</v>
      </c>
      <c r="S17" s="447">
        <f>(SUMIFS('Material Consumption'!$Q$12:$Q$50,'Material Consumption'!$D$12:$D$50,'Material Consumption'!$D17)*SUMIFS('GWP &amp; Emission Factors '!$F$154:$F$241,'GWP &amp; Emission Factors '!$E$154:$E$241,'Material Consumption'!$D17))/1000</f>
        <v>0.35322580645161289</v>
      </c>
    </row>
    <row r="18" spans="3:19" x14ac:dyDescent="0.25">
      <c r="C18" s="438" t="str">
        <f>'Table for material consumption'!C18</f>
        <v>Metals</v>
      </c>
      <c r="D18" s="436" t="str">
        <f>'Table for material consumption'!D18</f>
        <v>Aluminium</v>
      </c>
      <c r="E18" s="241">
        <v>1000</v>
      </c>
      <c r="F18" s="241">
        <v>1000</v>
      </c>
      <c r="G18" s="241"/>
      <c r="H18" s="241">
        <v>1000</v>
      </c>
      <c r="I18" s="241">
        <v>500</v>
      </c>
      <c r="J18" s="241">
        <v>500</v>
      </c>
      <c r="K18" s="241">
        <v>500</v>
      </c>
      <c r="L18" s="241">
        <v>500</v>
      </c>
      <c r="M18" s="241">
        <v>500</v>
      </c>
      <c r="N18" s="241">
        <v>500</v>
      </c>
      <c r="O18" s="241">
        <v>500</v>
      </c>
      <c r="P18" s="241">
        <v>1000</v>
      </c>
      <c r="Q18" s="447">
        <f t="shared" si="0"/>
        <v>7500</v>
      </c>
      <c r="R18" s="445" t="str">
        <f>'Table for material consumption'!G18</f>
        <v>Kg</v>
      </c>
      <c r="S18" s="447">
        <f>(SUMIFS('Material Consumption'!$Q$12:$Q$50,'Material Consumption'!$D$12:$D$50,'Material Consumption'!$D18)*SUMIFS('GWP &amp; Emission Factors '!$F$154:$F$241,'GWP &amp; Emission Factors '!$E$154:$E$241,'Material Consumption'!$D18))/1000</f>
        <v>61.050000000000004</v>
      </c>
    </row>
    <row r="19" spans="3:19" x14ac:dyDescent="0.25">
      <c r="C19" s="438" t="str">
        <f>'Table for material consumption'!C19</f>
        <v>Metals</v>
      </c>
      <c r="D19" s="436" t="str">
        <f>'Table for material consumption'!D19</f>
        <v>Anodized Aluminium</v>
      </c>
      <c r="E19" s="241">
        <v>1000</v>
      </c>
      <c r="F19" s="241">
        <v>1000</v>
      </c>
      <c r="G19" s="241"/>
      <c r="H19" s="241">
        <v>1000</v>
      </c>
      <c r="I19" s="241">
        <v>500</v>
      </c>
      <c r="J19" s="241">
        <v>500</v>
      </c>
      <c r="K19" s="241">
        <v>500</v>
      </c>
      <c r="L19" s="241">
        <v>500</v>
      </c>
      <c r="M19" s="241">
        <v>500</v>
      </c>
      <c r="N19" s="241">
        <v>500</v>
      </c>
      <c r="O19" s="241">
        <v>500</v>
      </c>
      <c r="P19" s="241">
        <v>1000</v>
      </c>
      <c r="Q19" s="447">
        <f t="shared" si="0"/>
        <v>7500</v>
      </c>
      <c r="R19" s="445" t="str">
        <f>'Table for material consumption'!G19</f>
        <v>Kg</v>
      </c>
      <c r="S19" s="447">
        <f>(SUMIFS('Material Consumption'!$Q$12:$Q$50,'Material Consumption'!$D$12:$D$50,'Material Consumption'!$D19)*SUMIFS('GWP &amp; Emission Factors '!$F$154:$F$241,'GWP &amp; Emission Factors '!$E$154:$E$241,'Material Consumption'!$D19))/1000</f>
        <v>81</v>
      </c>
    </row>
    <row r="20" spans="3:19" x14ac:dyDescent="0.25">
      <c r="C20" s="438" t="str">
        <f>'Table for material consumption'!C20</f>
        <v>Metals</v>
      </c>
      <c r="D20" s="436" t="str">
        <f>'Table for material consumption'!D20</f>
        <v>GI</v>
      </c>
      <c r="E20" s="241">
        <v>1000</v>
      </c>
      <c r="F20" s="241">
        <v>1000</v>
      </c>
      <c r="G20" s="241"/>
      <c r="H20" s="241">
        <v>1000</v>
      </c>
      <c r="I20" s="241">
        <v>500</v>
      </c>
      <c r="J20" s="241">
        <v>500</v>
      </c>
      <c r="K20" s="241">
        <v>500</v>
      </c>
      <c r="L20" s="241">
        <v>500</v>
      </c>
      <c r="M20" s="241">
        <v>500</v>
      </c>
      <c r="N20" s="241">
        <v>500</v>
      </c>
      <c r="O20" s="241">
        <v>500</v>
      </c>
      <c r="P20" s="241">
        <v>1000</v>
      </c>
      <c r="Q20" s="447">
        <f t="shared" si="0"/>
        <v>7500</v>
      </c>
      <c r="R20" s="445" t="str">
        <f>'Table for material consumption'!G20</f>
        <v>Kg</v>
      </c>
      <c r="S20" s="447">
        <f>(SUMIFS('Material Consumption'!$Q$12:$Q$50,'Material Consumption'!$D$12:$D$50,'Material Consumption'!$D20)*SUMIFS('GWP &amp; Emission Factors '!$F$154:$F$241,'GWP &amp; Emission Factors '!$E$154:$E$241,'Material Consumption'!$D20))/1000</f>
        <v>28.2</v>
      </c>
    </row>
    <row r="21" spans="3:19" x14ac:dyDescent="0.25">
      <c r="C21" s="438" t="str">
        <f>'Table for material consumption'!C21</f>
        <v>Metals</v>
      </c>
      <c r="D21" s="436" t="str">
        <f>'Table for material consumption'!D21</f>
        <v>SS</v>
      </c>
      <c r="E21" s="241">
        <v>1000</v>
      </c>
      <c r="F21" s="241">
        <v>1000</v>
      </c>
      <c r="G21" s="241"/>
      <c r="H21" s="241">
        <v>1000</v>
      </c>
      <c r="I21" s="241">
        <v>500</v>
      </c>
      <c r="J21" s="241">
        <v>500</v>
      </c>
      <c r="K21" s="241">
        <v>500</v>
      </c>
      <c r="L21" s="241">
        <v>500</v>
      </c>
      <c r="M21" s="241">
        <v>500</v>
      </c>
      <c r="N21" s="241">
        <v>500</v>
      </c>
      <c r="O21" s="241">
        <v>500</v>
      </c>
      <c r="P21" s="241">
        <v>1000</v>
      </c>
      <c r="Q21" s="447">
        <f t="shared" si="0"/>
        <v>7500</v>
      </c>
      <c r="R21" s="445" t="str">
        <f>'Table for material consumption'!G21</f>
        <v>Kg</v>
      </c>
      <c r="S21" s="447">
        <f>(SUMIFS('Material Consumption'!$Q$12:$Q$50,'Material Consumption'!$D$12:$D$50,'Material Consumption'!$D21)*SUMIFS('GWP &amp; Emission Factors '!$F$154:$F$241,'GWP &amp; Emission Factors '!$E$154:$E$241,'Material Consumption'!$D21))/1000</f>
        <v>46.125</v>
      </c>
    </row>
    <row r="22" spans="3:19" x14ac:dyDescent="0.25">
      <c r="C22" s="438" t="str">
        <f>'Table for material consumption'!C22</f>
        <v>Metals</v>
      </c>
      <c r="D22" s="436" t="str">
        <f>'Table for material consumption'!D22</f>
        <v>MS</v>
      </c>
      <c r="E22" s="241">
        <v>1000</v>
      </c>
      <c r="F22" s="241">
        <v>1000</v>
      </c>
      <c r="G22" s="241"/>
      <c r="H22" s="241">
        <v>1000</v>
      </c>
      <c r="I22" s="241">
        <v>500</v>
      </c>
      <c r="J22" s="241">
        <v>500</v>
      </c>
      <c r="K22" s="241">
        <v>500</v>
      </c>
      <c r="L22" s="241">
        <v>500</v>
      </c>
      <c r="M22" s="241">
        <v>500</v>
      </c>
      <c r="N22" s="241">
        <v>500</v>
      </c>
      <c r="O22" s="241">
        <v>500</v>
      </c>
      <c r="P22" s="241">
        <v>1000</v>
      </c>
      <c r="Q22" s="447">
        <f t="shared" si="0"/>
        <v>7500</v>
      </c>
      <c r="R22" s="445" t="str">
        <f>'Table for material consumption'!G22</f>
        <v>Kg</v>
      </c>
      <c r="S22" s="447">
        <f>(SUMIFS('Material Consumption'!$Q$12:$Q$50,'Material Consumption'!$D$12:$D$50,'Material Consumption'!$D22)*SUMIFS('GWP &amp; Emission Factors '!$F$154:$F$241,'GWP &amp; Emission Factors '!$E$154:$E$241,'Material Consumption'!$D22))/1000</f>
        <v>13.875</v>
      </c>
    </row>
    <row r="23" spans="3:19" x14ac:dyDescent="0.25">
      <c r="C23" s="438" t="str">
        <f>'Table for material consumption'!C23</f>
        <v>Acrylic</v>
      </c>
      <c r="D23" s="436" t="str">
        <f>'Table for material consumption'!D23</f>
        <v>opal</v>
      </c>
      <c r="E23" s="241">
        <v>1000</v>
      </c>
      <c r="F23" s="241">
        <v>1000</v>
      </c>
      <c r="G23" s="241"/>
      <c r="H23" s="241">
        <v>1000</v>
      </c>
      <c r="I23" s="241">
        <v>500</v>
      </c>
      <c r="J23" s="241">
        <v>500</v>
      </c>
      <c r="K23" s="241">
        <v>500</v>
      </c>
      <c r="L23" s="241">
        <v>500</v>
      </c>
      <c r="M23" s="241">
        <v>500</v>
      </c>
      <c r="N23" s="241">
        <v>500</v>
      </c>
      <c r="O23" s="241">
        <v>500</v>
      </c>
      <c r="P23" s="241">
        <v>1000</v>
      </c>
      <c r="Q23" s="447">
        <f t="shared" si="0"/>
        <v>7500</v>
      </c>
      <c r="R23" s="445" t="str">
        <f>'Table for material consumption'!G23</f>
        <v>Kg</v>
      </c>
      <c r="S23" s="447">
        <f>(SUMIFS('Material Consumption'!$Q$12:$Q$50,'Material Consumption'!$D$12:$D$50,'Material Consumption'!$D23)*SUMIFS('GWP &amp; Emission Factors '!$F$154:$F$241,'GWP &amp; Emission Factors '!$E$154:$E$241,'Material Consumption'!$D23))/1000</f>
        <v>0</v>
      </c>
    </row>
    <row r="24" spans="3:19" x14ac:dyDescent="0.25">
      <c r="C24" s="438" t="str">
        <f>'Table for material consumption'!C24</f>
        <v>Acrylic</v>
      </c>
      <c r="D24" s="436" t="str">
        <f>'Table for material consumption'!D24</f>
        <v>Polycarbonate</v>
      </c>
      <c r="E24" s="241">
        <v>1000</v>
      </c>
      <c r="F24" s="241">
        <v>1000</v>
      </c>
      <c r="G24" s="241"/>
      <c r="H24" s="241">
        <v>1000</v>
      </c>
      <c r="I24" s="241">
        <v>500</v>
      </c>
      <c r="J24" s="241">
        <v>500</v>
      </c>
      <c r="K24" s="241">
        <v>500</v>
      </c>
      <c r="L24" s="241">
        <v>500</v>
      </c>
      <c r="M24" s="241">
        <v>500</v>
      </c>
      <c r="N24" s="241">
        <v>500</v>
      </c>
      <c r="O24" s="241">
        <v>500</v>
      </c>
      <c r="P24" s="241">
        <v>1000</v>
      </c>
      <c r="Q24" s="447">
        <f t="shared" si="0"/>
        <v>7500</v>
      </c>
      <c r="R24" s="445" t="str">
        <f>'Table for material consumption'!G24</f>
        <v>Kg</v>
      </c>
      <c r="S24" s="447">
        <f>(SUMIFS('Material Consumption'!$Q$12:$Q$50,'Material Consumption'!$D$12:$D$50,'Material Consumption'!$D24)*SUMIFS('GWP &amp; Emission Factors '!$F$154:$F$241,'GWP &amp; Emission Factors '!$E$154:$E$241,'Material Consumption'!$D24))/1000</f>
        <v>57.15</v>
      </c>
    </row>
    <row r="25" spans="3:19" x14ac:dyDescent="0.25">
      <c r="C25" s="438" t="str">
        <f>'Table for material consumption'!C25</f>
        <v>Paint</v>
      </c>
      <c r="D25" s="436" t="str">
        <f>'Table for material consumption'!D25</f>
        <v>Primer</v>
      </c>
      <c r="E25" s="241">
        <v>1000</v>
      </c>
      <c r="F25" s="241">
        <v>1000</v>
      </c>
      <c r="G25" s="241"/>
      <c r="H25" s="241">
        <v>1000</v>
      </c>
      <c r="I25" s="241">
        <v>500</v>
      </c>
      <c r="J25" s="241">
        <v>500</v>
      </c>
      <c r="K25" s="241">
        <v>500</v>
      </c>
      <c r="L25" s="241">
        <v>500</v>
      </c>
      <c r="M25" s="241">
        <v>500</v>
      </c>
      <c r="N25" s="241">
        <v>500</v>
      </c>
      <c r="O25" s="241">
        <v>500</v>
      </c>
      <c r="P25" s="241">
        <v>1000</v>
      </c>
      <c r="Q25" s="447">
        <f t="shared" si="0"/>
        <v>7500</v>
      </c>
      <c r="R25" s="445" t="str">
        <f>'Table for material consumption'!G25</f>
        <v>Kg</v>
      </c>
      <c r="S25" s="447">
        <f>(SUMIFS('Material Consumption'!$Q$12:$Q$50,'Material Consumption'!$D$12:$D$50,'Material Consumption'!$D25)*SUMIFS('GWP &amp; Emission Factors '!$F$154:$F$241,'GWP &amp; Emission Factors '!$E$154:$E$241,'Material Consumption'!$D25))/1000</f>
        <v>12.225</v>
      </c>
    </row>
    <row r="26" spans="3:19" x14ac:dyDescent="0.25">
      <c r="C26" s="438" t="str">
        <f>'Table for material consumption'!C26</f>
        <v>Paint</v>
      </c>
      <c r="D26" s="436" t="str">
        <f>'Table for material consumption'!D26</f>
        <v>Cement Primer</v>
      </c>
      <c r="E26" s="241">
        <v>1000</v>
      </c>
      <c r="F26" s="241">
        <v>1000</v>
      </c>
      <c r="G26" s="241"/>
      <c r="H26" s="241">
        <v>1000</v>
      </c>
      <c r="I26" s="241">
        <v>500</v>
      </c>
      <c r="J26" s="241">
        <v>500</v>
      </c>
      <c r="K26" s="241">
        <v>500</v>
      </c>
      <c r="L26" s="241">
        <v>500</v>
      </c>
      <c r="M26" s="241">
        <v>500</v>
      </c>
      <c r="N26" s="241">
        <v>500</v>
      </c>
      <c r="O26" s="241">
        <v>500</v>
      </c>
      <c r="P26" s="241">
        <v>1000</v>
      </c>
      <c r="Q26" s="447">
        <f t="shared" si="0"/>
        <v>7500</v>
      </c>
      <c r="R26" s="445" t="str">
        <f>'Table for material consumption'!G26</f>
        <v>Kg</v>
      </c>
      <c r="S26" s="447">
        <f>(SUMIFS('Material Consumption'!$Q$12:$Q$50,'Material Consumption'!$D$12:$D$50,'Material Consumption'!$D26)*SUMIFS('GWP &amp; Emission Factors '!$F$154:$F$241,'GWP &amp; Emission Factors '!$E$154:$E$241,'Material Consumption'!$D26))/1000</f>
        <v>12.225</v>
      </c>
    </row>
    <row r="27" spans="3:19" x14ac:dyDescent="0.25">
      <c r="C27" s="438" t="str">
        <f>'Table for material consumption'!C27</f>
        <v>Paint</v>
      </c>
      <c r="D27" s="436" t="str">
        <f>'Table for material consumption'!D27</f>
        <v>White primer</v>
      </c>
      <c r="E27" s="241">
        <v>1000</v>
      </c>
      <c r="F27" s="241">
        <v>1000</v>
      </c>
      <c r="G27" s="241"/>
      <c r="H27" s="241">
        <v>1000</v>
      </c>
      <c r="I27" s="241">
        <v>500</v>
      </c>
      <c r="J27" s="241">
        <v>500</v>
      </c>
      <c r="K27" s="241">
        <v>500</v>
      </c>
      <c r="L27" s="241">
        <v>500</v>
      </c>
      <c r="M27" s="241">
        <v>500</v>
      </c>
      <c r="N27" s="241">
        <v>500</v>
      </c>
      <c r="O27" s="241">
        <v>500</v>
      </c>
      <c r="P27" s="241">
        <v>1000</v>
      </c>
      <c r="Q27" s="447">
        <f t="shared" si="0"/>
        <v>7500</v>
      </c>
      <c r="R27" s="445" t="str">
        <f>'Table for material consumption'!G27</f>
        <v>Kg</v>
      </c>
      <c r="S27" s="447">
        <f>(SUMIFS('Material Consumption'!$Q$12:$Q$50,'Material Consumption'!$D$12:$D$50,'Material Consumption'!$D27)*SUMIFS('GWP &amp; Emission Factors '!$F$154:$F$241,'GWP &amp; Emission Factors '!$E$154:$E$241,'Material Consumption'!$D27))/1000</f>
        <v>10.35</v>
      </c>
    </row>
    <row r="28" spans="3:19" x14ac:dyDescent="0.25">
      <c r="C28" s="438" t="str">
        <f>'Table for material consumption'!C28</f>
        <v>Paint</v>
      </c>
      <c r="D28" s="436" t="str">
        <f>'Table for material consumption'!D28</f>
        <v>Wood primer</v>
      </c>
      <c r="E28" s="241">
        <v>1000</v>
      </c>
      <c r="F28" s="241">
        <v>1000</v>
      </c>
      <c r="G28" s="241"/>
      <c r="H28" s="241">
        <v>1000</v>
      </c>
      <c r="I28" s="241">
        <v>500</v>
      </c>
      <c r="J28" s="241">
        <v>500</v>
      </c>
      <c r="K28" s="241">
        <v>500</v>
      </c>
      <c r="L28" s="241">
        <v>500</v>
      </c>
      <c r="M28" s="241">
        <v>500</v>
      </c>
      <c r="N28" s="241">
        <v>500</v>
      </c>
      <c r="O28" s="241">
        <v>500</v>
      </c>
      <c r="P28" s="241">
        <v>1000</v>
      </c>
      <c r="Q28" s="447">
        <f t="shared" si="0"/>
        <v>7500</v>
      </c>
      <c r="R28" s="445" t="str">
        <f>'Table for material consumption'!G28</f>
        <v>Kg</v>
      </c>
      <c r="S28" s="447">
        <f>(SUMIFS('Material Consumption'!$Q$12:$Q$50,'Material Consumption'!$D$12:$D$50,'Material Consumption'!$D28)*SUMIFS('GWP &amp; Emission Factors '!$F$154:$F$241,'GWP &amp; Emission Factors '!$E$154:$E$241,'Material Consumption'!$D28))/1000</f>
        <v>10.65</v>
      </c>
    </row>
    <row r="29" spans="3:19" x14ac:dyDescent="0.25">
      <c r="C29" s="438" t="str">
        <f>'Table for material consumption'!C29</f>
        <v>Paint</v>
      </c>
      <c r="D29" s="436" t="str">
        <f>'Table for material consumption'!D29</f>
        <v>Metal primer</v>
      </c>
      <c r="E29" s="241">
        <v>1000</v>
      </c>
      <c r="F29" s="241">
        <v>1000</v>
      </c>
      <c r="G29" s="241"/>
      <c r="H29" s="241">
        <v>1000</v>
      </c>
      <c r="I29" s="241">
        <v>500</v>
      </c>
      <c r="J29" s="241">
        <v>500</v>
      </c>
      <c r="K29" s="241">
        <v>500</v>
      </c>
      <c r="L29" s="241">
        <v>500</v>
      </c>
      <c r="M29" s="241">
        <v>500</v>
      </c>
      <c r="N29" s="241">
        <v>500</v>
      </c>
      <c r="O29" s="241">
        <v>500</v>
      </c>
      <c r="P29" s="241">
        <v>1000</v>
      </c>
      <c r="Q29" s="447">
        <f t="shared" si="0"/>
        <v>7500</v>
      </c>
      <c r="R29" s="445" t="str">
        <f>'Table for material consumption'!G29</f>
        <v>Kg</v>
      </c>
      <c r="S29" s="447">
        <f>(SUMIFS('Material Consumption'!$Q$12:$Q$50,'Material Consumption'!$D$12:$D$50,'Material Consumption'!$D29)*SUMIFS('GWP &amp; Emission Factors '!$F$154:$F$241,'GWP &amp; Emission Factors '!$E$154:$E$241,'Material Consumption'!$D29))/1000</f>
        <v>8.4749999999999996</v>
      </c>
    </row>
    <row r="30" spans="3:19" ht="38.25" x14ac:dyDescent="0.25">
      <c r="C30" s="438" t="str">
        <f>'Table for material consumption'!C30</f>
        <v>Paint</v>
      </c>
      <c r="D30" s="436" t="str">
        <f>'Table for material consumption'!D30</f>
        <v>Yellow primer for MS and non-ferrous metals</v>
      </c>
      <c r="E30" s="241">
        <v>1000</v>
      </c>
      <c r="F30" s="241">
        <v>1000</v>
      </c>
      <c r="G30" s="241"/>
      <c r="H30" s="241">
        <v>1000</v>
      </c>
      <c r="I30" s="241">
        <v>500</v>
      </c>
      <c r="J30" s="241">
        <v>500</v>
      </c>
      <c r="K30" s="241">
        <v>500</v>
      </c>
      <c r="L30" s="241">
        <v>500</v>
      </c>
      <c r="M30" s="241">
        <v>500</v>
      </c>
      <c r="N30" s="241">
        <v>500</v>
      </c>
      <c r="O30" s="241">
        <v>500</v>
      </c>
      <c r="P30" s="241">
        <v>1000</v>
      </c>
      <c r="Q30" s="447">
        <f t="shared" si="0"/>
        <v>7500</v>
      </c>
      <c r="R30" s="445" t="str">
        <f>'Table for material consumption'!G30</f>
        <v>Kg</v>
      </c>
      <c r="S30" s="447">
        <f>(SUMIFS('Material Consumption'!$Q$12:$Q$50,'Material Consumption'!$D$12:$D$50,'Material Consumption'!$D30)*SUMIFS('GWP &amp; Emission Factors '!$F$154:$F$241,'GWP &amp; Emission Factors '!$E$154:$E$241,'Material Consumption'!$D30))/1000</f>
        <v>8.4749999999999996</v>
      </c>
    </row>
    <row r="31" spans="3:19" x14ac:dyDescent="0.25">
      <c r="C31" s="438" t="str">
        <f>'Table for material consumption'!C31</f>
        <v>Paint</v>
      </c>
      <c r="D31" s="436" t="str">
        <f>'Table for material consumption'!D31</f>
        <v>Epoxy primer</v>
      </c>
      <c r="E31" s="241">
        <v>1000</v>
      </c>
      <c r="F31" s="241">
        <v>1000</v>
      </c>
      <c r="G31" s="241"/>
      <c r="H31" s="241">
        <v>1000</v>
      </c>
      <c r="I31" s="241">
        <v>500</v>
      </c>
      <c r="J31" s="241">
        <v>500</v>
      </c>
      <c r="K31" s="241">
        <v>500</v>
      </c>
      <c r="L31" s="241">
        <v>500</v>
      </c>
      <c r="M31" s="241">
        <v>500</v>
      </c>
      <c r="N31" s="241">
        <v>500</v>
      </c>
      <c r="O31" s="241">
        <v>500</v>
      </c>
      <c r="P31" s="241">
        <v>1000</v>
      </c>
      <c r="Q31" s="447">
        <f t="shared" si="0"/>
        <v>7500</v>
      </c>
      <c r="R31" s="445" t="str">
        <f>'Table for material consumption'!G31</f>
        <v>Kg</v>
      </c>
      <c r="S31" s="447">
        <f>(SUMIFS('Material Consumption'!$Q$12:$Q$50,'Material Consumption'!$D$12:$D$50,'Material Consumption'!$D31)*SUMIFS('GWP &amp; Emission Factors '!$F$154:$F$241,'GWP &amp; Emission Factors '!$E$154:$E$241,'Material Consumption'!$D31))/1000</f>
        <v>23.024999999999999</v>
      </c>
    </row>
    <row r="32" spans="3:19" x14ac:dyDescent="0.25">
      <c r="C32" s="438" t="str">
        <f>'Table for material consumption'!C32</f>
        <v>Paint</v>
      </c>
      <c r="D32" s="436" t="str">
        <f>'Table for material consumption'!D32</f>
        <v>Epoxy Block Primer</v>
      </c>
      <c r="E32" s="241">
        <v>1000</v>
      </c>
      <c r="F32" s="241">
        <v>1000</v>
      </c>
      <c r="G32" s="241"/>
      <c r="H32" s="241">
        <v>1000</v>
      </c>
      <c r="I32" s="241">
        <v>500</v>
      </c>
      <c r="J32" s="241">
        <v>500</v>
      </c>
      <c r="K32" s="241">
        <v>500</v>
      </c>
      <c r="L32" s="241">
        <v>500</v>
      </c>
      <c r="M32" s="241">
        <v>500</v>
      </c>
      <c r="N32" s="241">
        <v>500</v>
      </c>
      <c r="O32" s="241">
        <v>500</v>
      </c>
      <c r="P32" s="241">
        <v>1000</v>
      </c>
      <c r="Q32" s="447">
        <f t="shared" si="0"/>
        <v>7500</v>
      </c>
      <c r="R32" s="445" t="str">
        <f>'Table for material consumption'!G32</f>
        <v>Kg</v>
      </c>
      <c r="S32" s="447">
        <f>(SUMIFS('Material Consumption'!$Q$12:$Q$50,'Material Consumption'!$D$12:$D$50,'Material Consumption'!$D32)*SUMIFS('GWP &amp; Emission Factors '!$F$154:$F$241,'GWP &amp; Emission Factors '!$E$154:$E$241,'Material Consumption'!$D32))/1000</f>
        <v>44.174999999999997</v>
      </c>
    </row>
    <row r="33" spans="3:19" x14ac:dyDescent="0.25">
      <c r="C33" s="438" t="str">
        <f>'Table for material consumption'!C33</f>
        <v>Paint</v>
      </c>
      <c r="D33" s="436" t="str">
        <f>'Table for material consumption'!D33</f>
        <v xml:space="preserve"> Matt Primer</v>
      </c>
      <c r="E33" s="241">
        <v>1000</v>
      </c>
      <c r="F33" s="241">
        <v>1000</v>
      </c>
      <c r="G33" s="241"/>
      <c r="H33" s="241">
        <v>1000</v>
      </c>
      <c r="I33" s="241">
        <v>500</v>
      </c>
      <c r="J33" s="241">
        <v>500</v>
      </c>
      <c r="K33" s="241">
        <v>500</v>
      </c>
      <c r="L33" s="241">
        <v>500</v>
      </c>
      <c r="M33" s="241">
        <v>500</v>
      </c>
      <c r="N33" s="241">
        <v>500</v>
      </c>
      <c r="O33" s="241">
        <v>500</v>
      </c>
      <c r="P33" s="241">
        <v>1000</v>
      </c>
      <c r="Q33" s="447">
        <f t="shared" si="0"/>
        <v>7500</v>
      </c>
      <c r="R33" s="445" t="str">
        <f>'Table for material consumption'!G33</f>
        <v>Kg</v>
      </c>
      <c r="S33" s="447">
        <f>(SUMIFS('Material Consumption'!$Q$12:$Q$50,'Material Consumption'!$D$12:$D$50,'Material Consumption'!$D33)*SUMIFS('GWP &amp; Emission Factors '!$F$154:$F$241,'GWP &amp; Emission Factors '!$E$154:$E$241,'Material Consumption'!$D33))/1000</f>
        <v>18.3</v>
      </c>
    </row>
    <row r="34" spans="3:19" x14ac:dyDescent="0.25">
      <c r="C34" s="438" t="str">
        <f>'Table for material consumption'!C34</f>
        <v>Paint</v>
      </c>
      <c r="D34" s="436" t="str">
        <f>'Table for material consumption'!D34</f>
        <v>Glosy Primer</v>
      </c>
      <c r="E34" s="241">
        <v>1000</v>
      </c>
      <c r="F34" s="241">
        <v>1000</v>
      </c>
      <c r="G34" s="241"/>
      <c r="H34" s="241">
        <v>1000</v>
      </c>
      <c r="I34" s="241">
        <v>500</v>
      </c>
      <c r="J34" s="241">
        <v>500</v>
      </c>
      <c r="K34" s="241">
        <v>500</v>
      </c>
      <c r="L34" s="241">
        <v>500</v>
      </c>
      <c r="M34" s="241">
        <v>500</v>
      </c>
      <c r="N34" s="241">
        <v>500</v>
      </c>
      <c r="O34" s="241">
        <v>500</v>
      </c>
      <c r="P34" s="241">
        <v>1000</v>
      </c>
      <c r="Q34" s="447">
        <f t="shared" si="0"/>
        <v>7500</v>
      </c>
      <c r="R34" s="445" t="str">
        <f>'Table for material consumption'!G34</f>
        <v>Kg</v>
      </c>
      <c r="S34" s="447">
        <f>(SUMIFS('Material Consumption'!$Q$12:$Q$50,'Material Consumption'!$D$12:$D$50,'Material Consumption'!$D34)*SUMIFS('GWP &amp; Emission Factors '!$F$154:$F$241,'GWP &amp; Emission Factors '!$E$154:$E$241,'Material Consumption'!$D34))/1000</f>
        <v>0</v>
      </c>
    </row>
    <row r="35" spans="3:19" ht="38.25" x14ac:dyDescent="0.25">
      <c r="C35" s="438" t="str">
        <f>'Table for material consumption'!C35</f>
        <v>Paint</v>
      </c>
      <c r="D35" s="436" t="str">
        <f>'Table for material consumption'!D35</f>
        <v>Interior wooden surfaces and Metals Enamel</v>
      </c>
      <c r="E35" s="241">
        <v>1000</v>
      </c>
      <c r="F35" s="241">
        <v>1000</v>
      </c>
      <c r="G35" s="241"/>
      <c r="H35" s="241">
        <v>1000</v>
      </c>
      <c r="I35" s="241">
        <v>500</v>
      </c>
      <c r="J35" s="241">
        <v>500</v>
      </c>
      <c r="K35" s="241">
        <v>500</v>
      </c>
      <c r="L35" s="241">
        <v>500</v>
      </c>
      <c r="M35" s="241">
        <v>500</v>
      </c>
      <c r="N35" s="241">
        <v>500</v>
      </c>
      <c r="O35" s="241">
        <v>500</v>
      </c>
      <c r="P35" s="241">
        <v>1000</v>
      </c>
      <c r="Q35" s="447">
        <f t="shared" si="0"/>
        <v>7500</v>
      </c>
      <c r="R35" s="445" t="str">
        <f>'Table for material consumption'!G35</f>
        <v>Kg</v>
      </c>
      <c r="S35" s="447">
        <f>(SUMIFS('Material Consumption'!$Q$12:$Q$50,'Material Consumption'!$D$12:$D$50,'Material Consumption'!$D35)*SUMIFS('GWP &amp; Emission Factors '!$F$154:$F$241,'GWP &amp; Emission Factors '!$E$154:$E$241,'Material Consumption'!$D35))/1000</f>
        <v>12.9</v>
      </c>
    </row>
    <row r="36" spans="3:19" ht="38.25" x14ac:dyDescent="0.25">
      <c r="C36" s="438" t="str">
        <f>'Table for material consumption'!C36</f>
        <v>Paint</v>
      </c>
      <c r="D36" s="436" t="str">
        <f>'Table for material consumption'!D36</f>
        <v>High Glossy for masonry surfaces Enamel</v>
      </c>
      <c r="E36" s="241">
        <v>1000</v>
      </c>
      <c r="F36" s="241">
        <v>1000</v>
      </c>
      <c r="G36" s="241"/>
      <c r="H36" s="241">
        <v>1000</v>
      </c>
      <c r="I36" s="241">
        <v>500</v>
      </c>
      <c r="J36" s="241">
        <v>500</v>
      </c>
      <c r="K36" s="241">
        <v>500</v>
      </c>
      <c r="L36" s="241">
        <v>500</v>
      </c>
      <c r="M36" s="241">
        <v>500</v>
      </c>
      <c r="N36" s="241">
        <v>500</v>
      </c>
      <c r="O36" s="241">
        <v>500</v>
      </c>
      <c r="P36" s="241">
        <v>1000</v>
      </c>
      <c r="Q36" s="447">
        <f t="shared" si="0"/>
        <v>7500</v>
      </c>
      <c r="R36" s="445" t="str">
        <f>'Table for material consumption'!G36</f>
        <v>Kg</v>
      </c>
      <c r="S36" s="447">
        <f>(SUMIFS('Material Consumption'!$Q$12:$Q$50,'Material Consumption'!$D$12:$D$50,'Material Consumption'!$D36)*SUMIFS('GWP &amp; Emission Factors '!$F$154:$F$241,'GWP &amp; Emission Factors '!$E$154:$E$241,'Material Consumption'!$D36))/1000</f>
        <v>14.25</v>
      </c>
    </row>
    <row r="37" spans="3:19" ht="26.25" customHeight="1" x14ac:dyDescent="0.25">
      <c r="C37" s="438" t="str">
        <f>'Table for material consumption'!C37</f>
        <v>Paint</v>
      </c>
      <c r="D37" s="436" t="str">
        <f>'Table for material consumption'!D37</f>
        <v>Interior surfaces Enamel</v>
      </c>
      <c r="E37" s="241">
        <v>1000</v>
      </c>
      <c r="F37" s="241">
        <v>1000</v>
      </c>
      <c r="G37" s="241"/>
      <c r="H37" s="241">
        <v>1000</v>
      </c>
      <c r="I37" s="241">
        <v>500</v>
      </c>
      <c r="J37" s="241">
        <v>500</v>
      </c>
      <c r="K37" s="241">
        <v>500</v>
      </c>
      <c r="L37" s="241">
        <v>500</v>
      </c>
      <c r="M37" s="241">
        <v>500</v>
      </c>
      <c r="N37" s="241">
        <v>500</v>
      </c>
      <c r="O37" s="241">
        <v>500</v>
      </c>
      <c r="P37" s="241">
        <v>1000</v>
      </c>
      <c r="Q37" s="447">
        <f t="shared" si="0"/>
        <v>7500</v>
      </c>
      <c r="R37" s="445" t="str">
        <f>'Table for material consumption'!G37</f>
        <v>Kg</v>
      </c>
      <c r="S37" s="447">
        <f>(SUMIFS('Material Consumption'!$Q$12:$Q$50,'Material Consumption'!$D$12:$D$50,'Material Consumption'!$D37)*SUMIFS('GWP &amp; Emission Factors '!$F$154:$F$241,'GWP &amp; Emission Factors '!$E$154:$E$241,'Material Consumption'!$D37))/1000</f>
        <v>16.274999999999999</v>
      </c>
    </row>
    <row r="38" spans="3:19" ht="25.5" x14ac:dyDescent="0.25">
      <c r="C38" s="438" t="str">
        <f>'Table for material consumption'!C38</f>
        <v>Paint</v>
      </c>
      <c r="D38" s="436" t="str">
        <f>'Table for material consumption'!D38</f>
        <v>Satin enamel for interior walls Enamel</v>
      </c>
      <c r="E38" s="241">
        <v>1000</v>
      </c>
      <c r="F38" s="241">
        <v>1000</v>
      </c>
      <c r="G38" s="241"/>
      <c r="H38" s="241">
        <v>1000</v>
      </c>
      <c r="I38" s="241">
        <v>500</v>
      </c>
      <c r="J38" s="241">
        <v>500</v>
      </c>
      <c r="K38" s="241">
        <v>500</v>
      </c>
      <c r="L38" s="241">
        <v>500</v>
      </c>
      <c r="M38" s="241">
        <v>500</v>
      </c>
      <c r="N38" s="241">
        <v>500</v>
      </c>
      <c r="O38" s="241">
        <v>500</v>
      </c>
      <c r="P38" s="241">
        <v>1000</v>
      </c>
      <c r="Q38" s="447">
        <f t="shared" si="0"/>
        <v>7500</v>
      </c>
      <c r="R38" s="445" t="str">
        <f>'Table for material consumption'!G38</f>
        <v>Kg</v>
      </c>
      <c r="S38" s="447">
        <f>(SUMIFS('Material Consumption'!$Q$12:$Q$50,'Material Consumption'!$D$12:$D$50,'Material Consumption'!$D38)*SUMIFS('GWP &amp; Emission Factors '!$F$154:$F$241,'GWP &amp; Emission Factors '!$E$154:$E$241,'Material Consumption'!$D38))/1000</f>
        <v>12.3</v>
      </c>
    </row>
    <row r="39" spans="3:19" ht="38.25" x14ac:dyDescent="0.25">
      <c r="C39" s="438" t="str">
        <f>'Table for material consumption'!C39</f>
        <v>Paint</v>
      </c>
      <c r="D39" s="436" t="str">
        <f>'Table for material consumption'!D39</f>
        <v>Super Glossy Enamel - interior and exterior metal 7 woods</v>
      </c>
      <c r="E39" s="241">
        <v>1000</v>
      </c>
      <c r="F39" s="241">
        <v>1000</v>
      </c>
      <c r="G39" s="241"/>
      <c r="H39" s="241">
        <v>1000</v>
      </c>
      <c r="I39" s="241">
        <v>500</v>
      </c>
      <c r="J39" s="241">
        <v>500</v>
      </c>
      <c r="K39" s="241">
        <v>500</v>
      </c>
      <c r="L39" s="241">
        <v>500</v>
      </c>
      <c r="M39" s="241">
        <v>500</v>
      </c>
      <c r="N39" s="241">
        <v>500</v>
      </c>
      <c r="O39" s="241">
        <v>500</v>
      </c>
      <c r="P39" s="241">
        <v>1000</v>
      </c>
      <c r="Q39" s="447">
        <f t="shared" si="0"/>
        <v>7500</v>
      </c>
      <c r="R39" s="445" t="str">
        <f>'Table for material consumption'!G39</f>
        <v>Kg</v>
      </c>
      <c r="S39" s="447">
        <f>(SUMIFS('Material Consumption'!$Q$12:$Q$50,'Material Consumption'!$D$12:$D$50,'Material Consumption'!$D39)*SUMIFS('GWP &amp; Emission Factors '!$F$154:$F$241,'GWP &amp; Emission Factors '!$E$154:$E$241,'Material Consumption'!$D39))/1000</f>
        <v>17.625</v>
      </c>
    </row>
    <row r="40" spans="3:19" ht="25.5" x14ac:dyDescent="0.25">
      <c r="C40" s="438" t="str">
        <f>'Table for material consumption'!C40</f>
        <v>Paint</v>
      </c>
      <c r="D40" s="436" t="str">
        <f>'Table for material consumption'!D40</f>
        <v>Interior walls extra Satin Enamel</v>
      </c>
      <c r="E40" s="241">
        <v>1000</v>
      </c>
      <c r="F40" s="241">
        <v>1000</v>
      </c>
      <c r="G40" s="241"/>
      <c r="H40" s="241">
        <v>1000</v>
      </c>
      <c r="I40" s="241">
        <v>500</v>
      </c>
      <c r="J40" s="241">
        <v>500</v>
      </c>
      <c r="K40" s="241">
        <v>500</v>
      </c>
      <c r="L40" s="241">
        <v>500</v>
      </c>
      <c r="M40" s="241">
        <v>500</v>
      </c>
      <c r="N40" s="241">
        <v>500</v>
      </c>
      <c r="O40" s="241">
        <v>500</v>
      </c>
      <c r="P40" s="241">
        <v>1000</v>
      </c>
      <c r="Q40" s="447">
        <f t="shared" si="0"/>
        <v>7500</v>
      </c>
      <c r="R40" s="445" t="str">
        <f>'Table for material consumption'!G40</f>
        <v>Kg</v>
      </c>
      <c r="S40" s="447">
        <f>(SUMIFS('Material Consumption'!$Q$12:$Q$50,'Material Consumption'!$D$12:$D$50,'Material Consumption'!$D40)*SUMIFS('GWP &amp; Emission Factors '!$F$154:$F$241,'GWP &amp; Emission Factors '!$E$154:$E$241,'Material Consumption'!$D40))/1000</f>
        <v>13.95</v>
      </c>
    </row>
    <row r="41" spans="3:19" ht="38.25" x14ac:dyDescent="0.25">
      <c r="C41" s="438" t="str">
        <f>'Table for material consumption'!C41</f>
        <v>Paint</v>
      </c>
      <c r="D41" s="436" t="str">
        <f>'Table for material consumption'!D41</f>
        <v>Interior &amp; exterior for all wood, metal and masonry Enamel</v>
      </c>
      <c r="E41" s="241">
        <v>1000</v>
      </c>
      <c r="F41" s="241">
        <v>1000</v>
      </c>
      <c r="G41" s="241"/>
      <c r="H41" s="241">
        <v>1000</v>
      </c>
      <c r="I41" s="241">
        <v>500</v>
      </c>
      <c r="J41" s="241">
        <v>500</v>
      </c>
      <c r="K41" s="241">
        <v>500</v>
      </c>
      <c r="L41" s="241">
        <v>500</v>
      </c>
      <c r="M41" s="241">
        <v>500</v>
      </c>
      <c r="N41" s="241">
        <v>500</v>
      </c>
      <c r="O41" s="241">
        <v>500</v>
      </c>
      <c r="P41" s="241">
        <v>1000</v>
      </c>
      <c r="Q41" s="447">
        <f t="shared" si="0"/>
        <v>7500</v>
      </c>
      <c r="R41" s="445" t="str">
        <f>'Table for material consumption'!G41</f>
        <v>Kg</v>
      </c>
      <c r="S41" s="447">
        <f>(SUMIFS('Material Consumption'!$Q$12:$Q$50,'Material Consumption'!$D$12:$D$50,'Material Consumption'!$D41)*SUMIFS('GWP &amp; Emission Factors '!$F$154:$F$241,'GWP &amp; Emission Factors '!$E$154:$E$241,'Material Consumption'!$D41))/1000</f>
        <v>14.7</v>
      </c>
    </row>
    <row r="42" spans="3:19" x14ac:dyDescent="0.25">
      <c r="C42" s="438" t="str">
        <f>'Table for material consumption'!C42</f>
        <v>Paint</v>
      </c>
      <c r="D42" s="436" t="str">
        <f>'Table for material consumption'!D42</f>
        <v>Mealamine sealer</v>
      </c>
      <c r="E42" s="241">
        <v>1000</v>
      </c>
      <c r="F42" s="241">
        <v>1000</v>
      </c>
      <c r="G42" s="241"/>
      <c r="H42" s="241">
        <v>1000</v>
      </c>
      <c r="I42" s="241">
        <v>500</v>
      </c>
      <c r="J42" s="241">
        <v>500</v>
      </c>
      <c r="K42" s="241">
        <v>500</v>
      </c>
      <c r="L42" s="241">
        <v>500</v>
      </c>
      <c r="M42" s="241">
        <v>500</v>
      </c>
      <c r="N42" s="241">
        <v>500</v>
      </c>
      <c r="O42" s="241">
        <v>500</v>
      </c>
      <c r="P42" s="241">
        <v>1000</v>
      </c>
      <c r="Q42" s="447">
        <f t="shared" si="0"/>
        <v>7500</v>
      </c>
      <c r="R42" s="445" t="str">
        <f>'Table for material consumption'!G42</f>
        <v>Kg</v>
      </c>
      <c r="S42" s="447">
        <f>(SUMIFS('Material Consumption'!$Q$12:$Q$50,'Material Consumption'!$D$12:$D$50,'Material Consumption'!$D42)*SUMIFS('GWP &amp; Emission Factors '!$F$154:$F$241,'GWP &amp; Emission Factors '!$E$154:$E$241,'Material Consumption'!$D42))/1000</f>
        <v>0</v>
      </c>
    </row>
    <row r="43" spans="3:19" x14ac:dyDescent="0.25">
      <c r="C43" s="438" t="str">
        <f>'Table for material consumption'!C43</f>
        <v>Paint</v>
      </c>
      <c r="D43" s="436" t="str">
        <f>'Table for material consumption'!D43</f>
        <v>Mealamine Finsiher</v>
      </c>
      <c r="E43" s="241">
        <v>1000</v>
      </c>
      <c r="F43" s="241">
        <v>1000</v>
      </c>
      <c r="G43" s="241"/>
      <c r="H43" s="241">
        <v>1000</v>
      </c>
      <c r="I43" s="241">
        <v>500</v>
      </c>
      <c r="J43" s="241">
        <v>500</v>
      </c>
      <c r="K43" s="241">
        <v>500</v>
      </c>
      <c r="L43" s="241">
        <v>500</v>
      </c>
      <c r="M43" s="241">
        <v>500</v>
      </c>
      <c r="N43" s="241">
        <v>500</v>
      </c>
      <c r="O43" s="241">
        <v>500</v>
      </c>
      <c r="P43" s="241">
        <v>1000</v>
      </c>
      <c r="Q43" s="447">
        <f t="shared" si="0"/>
        <v>7500</v>
      </c>
      <c r="R43" s="445" t="str">
        <f>'Table for material consumption'!G43</f>
        <v>Kg</v>
      </c>
      <c r="S43" s="447">
        <f>(SUMIFS('Material Consumption'!$Q$12:$Q$50,'Material Consumption'!$D$12:$D$50,'Material Consumption'!$D43)*SUMIFS('GWP &amp; Emission Factors '!$F$154:$F$241,'GWP &amp; Emission Factors '!$E$154:$E$241,'Material Consumption'!$D43))/1000</f>
        <v>0</v>
      </c>
    </row>
    <row r="44" spans="3:19" ht="29.25" customHeight="1" x14ac:dyDescent="0.25">
      <c r="C44" s="438" t="str">
        <f>'Table for material consumption'!C44</f>
        <v>Paint</v>
      </c>
      <c r="D44" s="436" t="str">
        <f>'Table for material consumption'!D44</f>
        <v>Mealamine wood keeper</v>
      </c>
      <c r="E44" s="241">
        <v>1000</v>
      </c>
      <c r="F44" s="241">
        <v>1000</v>
      </c>
      <c r="G44" s="241"/>
      <c r="H44" s="241">
        <v>1000</v>
      </c>
      <c r="I44" s="241">
        <v>500</v>
      </c>
      <c r="J44" s="241">
        <v>500</v>
      </c>
      <c r="K44" s="241">
        <v>500</v>
      </c>
      <c r="L44" s="241">
        <v>500</v>
      </c>
      <c r="M44" s="241">
        <v>500</v>
      </c>
      <c r="N44" s="241">
        <v>500</v>
      </c>
      <c r="O44" s="241">
        <v>500</v>
      </c>
      <c r="P44" s="241">
        <v>1000</v>
      </c>
      <c r="Q44" s="447">
        <f t="shared" si="0"/>
        <v>7500</v>
      </c>
      <c r="R44" s="445" t="str">
        <f>'Table for material consumption'!G44</f>
        <v>Kg</v>
      </c>
      <c r="S44" s="447">
        <f>(SUMIFS('Material Consumption'!$Q$12:$Q$50,'Material Consumption'!$D$12:$D$50,'Material Consumption'!$D44)*SUMIFS('GWP &amp; Emission Factors '!$F$154:$F$241,'GWP &amp; Emission Factors '!$E$154:$E$241,'Material Consumption'!$D44))/1000</f>
        <v>0</v>
      </c>
    </row>
    <row r="45" spans="3:19" x14ac:dyDescent="0.25">
      <c r="C45" s="438" t="str">
        <f>'Table for material consumption'!C45</f>
        <v>Paint</v>
      </c>
      <c r="D45" s="436" t="str">
        <f>'Table for material consumption'!D45</f>
        <v>Pu Paint</v>
      </c>
      <c r="E45" s="241">
        <v>1000</v>
      </c>
      <c r="F45" s="241">
        <v>1000</v>
      </c>
      <c r="G45" s="241"/>
      <c r="H45" s="241">
        <v>1000</v>
      </c>
      <c r="I45" s="241">
        <v>500</v>
      </c>
      <c r="J45" s="241">
        <v>500</v>
      </c>
      <c r="K45" s="241">
        <v>500</v>
      </c>
      <c r="L45" s="241">
        <v>500</v>
      </c>
      <c r="M45" s="241">
        <v>500</v>
      </c>
      <c r="N45" s="241">
        <v>500</v>
      </c>
      <c r="O45" s="241">
        <v>500</v>
      </c>
      <c r="P45" s="241">
        <v>1000</v>
      </c>
      <c r="Q45" s="447">
        <f t="shared" si="0"/>
        <v>7500</v>
      </c>
      <c r="R45" s="445" t="str">
        <f>'Table for material consumption'!G45</f>
        <v>Kg</v>
      </c>
      <c r="S45" s="447">
        <f>(SUMIFS('Material Consumption'!$Q$12:$Q$50,'Material Consumption'!$D$12:$D$50,'Material Consumption'!$D45)*SUMIFS('GWP &amp; Emission Factors '!$F$154:$F$241,'GWP &amp; Emission Factors '!$E$154:$E$241,'Material Consumption'!$D45))/1000</f>
        <v>40.125</v>
      </c>
    </row>
    <row r="46" spans="3:19" x14ac:dyDescent="0.25">
      <c r="C46" s="438" t="str">
        <f>'Table for material consumption'!C46</f>
        <v>Paint</v>
      </c>
      <c r="D46" s="436" t="str">
        <f>'Table for material consumption'!D46</f>
        <v>PU mettalic/ Gold</v>
      </c>
      <c r="E46" s="241">
        <v>1000</v>
      </c>
      <c r="F46" s="241">
        <v>1000</v>
      </c>
      <c r="G46" s="241"/>
      <c r="H46" s="241">
        <v>1000</v>
      </c>
      <c r="I46" s="241">
        <v>500</v>
      </c>
      <c r="J46" s="241">
        <v>500</v>
      </c>
      <c r="K46" s="241">
        <v>500</v>
      </c>
      <c r="L46" s="241">
        <v>500</v>
      </c>
      <c r="M46" s="241">
        <v>500</v>
      </c>
      <c r="N46" s="241">
        <v>500</v>
      </c>
      <c r="O46" s="241">
        <v>500</v>
      </c>
      <c r="P46" s="241">
        <v>1000</v>
      </c>
      <c r="Q46" s="447">
        <f t="shared" si="0"/>
        <v>7500</v>
      </c>
      <c r="R46" s="445" t="str">
        <f>'Table for material consumption'!G46</f>
        <v>Kg</v>
      </c>
      <c r="S46" s="447">
        <f>(SUMIFS('Material Consumption'!$Q$12:$Q$50,'Material Consumption'!$D$12:$D$50,'Material Consumption'!$D46)*SUMIFS('GWP &amp; Emission Factors '!$F$154:$F$241,'GWP &amp; Emission Factors '!$E$154:$E$241,'Material Consumption'!$D46))/1000</f>
        <v>0</v>
      </c>
    </row>
    <row r="47" spans="3:19" x14ac:dyDescent="0.25">
      <c r="C47" s="438" t="str">
        <f>'Table for material consumption'!C47</f>
        <v>Paint</v>
      </c>
      <c r="D47" s="436" t="str">
        <f>'Table for material consumption'!D47</f>
        <v>Acetone</v>
      </c>
      <c r="E47" s="241">
        <v>1000</v>
      </c>
      <c r="F47" s="241">
        <v>1000</v>
      </c>
      <c r="G47" s="241"/>
      <c r="H47" s="241">
        <v>1000</v>
      </c>
      <c r="I47" s="241">
        <v>500</v>
      </c>
      <c r="J47" s="241">
        <v>500</v>
      </c>
      <c r="K47" s="241">
        <v>500</v>
      </c>
      <c r="L47" s="241">
        <v>500</v>
      </c>
      <c r="M47" s="241">
        <v>500</v>
      </c>
      <c r="N47" s="241">
        <v>500</v>
      </c>
      <c r="O47" s="241">
        <v>500</v>
      </c>
      <c r="P47" s="241">
        <v>1000</v>
      </c>
      <c r="Q47" s="447">
        <f t="shared" si="0"/>
        <v>7500</v>
      </c>
      <c r="R47" s="445" t="str">
        <f>'Table for material consumption'!G47</f>
        <v>Kg</v>
      </c>
      <c r="S47" s="447">
        <f>(SUMIFS('Material Consumption'!$Q$12:$Q$50,'Material Consumption'!$D$12:$D$50,'Material Consumption'!$D47)*SUMIFS('GWP &amp; Emission Factors '!$F$154:$F$241,'GWP &amp; Emission Factors '!$E$154:$E$241,'Material Consumption'!$D47))/1000</f>
        <v>16.425000000000001</v>
      </c>
    </row>
    <row r="48" spans="3:19" x14ac:dyDescent="0.25">
      <c r="C48" s="438" t="str">
        <f>'Table for material consumption'!C48</f>
        <v>Packing</v>
      </c>
      <c r="D48" s="436" t="str">
        <f>'Table for material consumption'!D48</f>
        <v>BROWN PAPER ROLL</v>
      </c>
      <c r="E48" s="241">
        <v>1000</v>
      </c>
      <c r="F48" s="241">
        <v>1000</v>
      </c>
      <c r="G48" s="241"/>
      <c r="H48" s="241">
        <v>1000</v>
      </c>
      <c r="I48" s="241">
        <v>500</v>
      </c>
      <c r="J48" s="241">
        <v>500</v>
      </c>
      <c r="K48" s="241">
        <v>500</v>
      </c>
      <c r="L48" s="241">
        <v>500</v>
      </c>
      <c r="M48" s="241">
        <v>500</v>
      </c>
      <c r="N48" s="241">
        <v>500</v>
      </c>
      <c r="O48" s="241">
        <v>500</v>
      </c>
      <c r="P48" s="241">
        <v>1000</v>
      </c>
      <c r="Q48" s="447">
        <f t="shared" si="0"/>
        <v>7500</v>
      </c>
      <c r="R48" s="445" t="str">
        <f>'Table for material consumption'!G48</f>
        <v>Nos</v>
      </c>
      <c r="S48" s="447">
        <f>(SUMIFS('Material Consumption'!$Q$12:$Q$50,'Material Consumption'!$D$12:$D$50,'Material Consumption'!$D48)*SUMIFS('GWP &amp; Emission Factors '!$F$154:$F$241,'GWP &amp; Emission Factors '!$E$154:$E$241,'Material Consumption'!$D48))/1000</f>
        <v>18.149999999999999</v>
      </c>
    </row>
    <row r="49" spans="1:19" ht="28.5" customHeight="1" x14ac:dyDescent="0.25">
      <c r="C49" s="438" t="str">
        <f>'Table for material consumption'!C49</f>
        <v>Packing</v>
      </c>
      <c r="D49" s="436" t="str">
        <f>'Table for material consumption'!D49</f>
        <v>CORRUGATED ROLL (25MTR)</v>
      </c>
      <c r="E49" s="241">
        <v>1000</v>
      </c>
      <c r="F49" s="241">
        <v>1000</v>
      </c>
      <c r="G49" s="241"/>
      <c r="H49" s="241">
        <v>1000</v>
      </c>
      <c r="I49" s="241">
        <v>500</v>
      </c>
      <c r="J49" s="241">
        <v>500</v>
      </c>
      <c r="K49" s="241">
        <v>500</v>
      </c>
      <c r="L49" s="241">
        <v>500</v>
      </c>
      <c r="M49" s="241">
        <v>500</v>
      </c>
      <c r="N49" s="241">
        <v>500</v>
      </c>
      <c r="O49" s="241">
        <v>500</v>
      </c>
      <c r="P49" s="241">
        <v>1000</v>
      </c>
      <c r="Q49" s="447">
        <f t="shared" si="0"/>
        <v>7500</v>
      </c>
      <c r="R49" s="445" t="str">
        <f>'Table for material consumption'!G49</f>
        <v>Nos</v>
      </c>
      <c r="S49" s="447">
        <f>(SUMIFS('Material Consumption'!$Q$12:$Q$50,'Material Consumption'!$D$12:$D$50,'Material Consumption'!$D49)*SUMIFS('GWP &amp; Emission Factors '!$F$154:$F$241,'GWP &amp; Emission Factors '!$E$154:$E$241,'Material Consumption'!$D49))/1000</f>
        <v>176.25</v>
      </c>
    </row>
    <row r="50" spans="1:19" ht="27" customHeight="1" x14ac:dyDescent="0.25">
      <c r="C50" s="438" t="str">
        <f>'Table for material consumption'!C50</f>
        <v>Packing</v>
      </c>
      <c r="D50" s="436" t="str">
        <f>'Table for material consumption'!D50</f>
        <v>FOAM ROLL (100MTR/ROLL)</v>
      </c>
      <c r="E50" s="241">
        <v>1000</v>
      </c>
      <c r="F50" s="241">
        <v>1000</v>
      </c>
      <c r="G50" s="241"/>
      <c r="H50" s="241">
        <v>1000</v>
      </c>
      <c r="I50" s="241">
        <v>500</v>
      </c>
      <c r="J50" s="241">
        <v>500</v>
      </c>
      <c r="K50" s="241">
        <v>500</v>
      </c>
      <c r="L50" s="241">
        <v>500</v>
      </c>
      <c r="M50" s="241">
        <v>500</v>
      </c>
      <c r="N50" s="241">
        <v>500</v>
      </c>
      <c r="O50" s="241">
        <v>500</v>
      </c>
      <c r="P50" s="241">
        <v>1000</v>
      </c>
      <c r="Q50" s="447">
        <f t="shared" si="0"/>
        <v>7500</v>
      </c>
      <c r="R50" s="445" t="str">
        <f>'Table for material consumption'!G50</f>
        <v>Nos</v>
      </c>
      <c r="S50" s="447">
        <f>(SUMIFS('Material Consumption'!$Q$12:$Q$50,'Material Consumption'!$D$12:$D$50,'Material Consumption'!$D50)*SUMIFS('GWP &amp; Emission Factors '!$F$154:$F$241,'GWP &amp; Emission Factors '!$E$154:$E$241,'Material Consumption'!$D50))/1000</f>
        <v>1122.7500000000002</v>
      </c>
    </row>
    <row r="51" spans="1:19" x14ac:dyDescent="0.25">
      <c r="C51" s="439"/>
      <c r="D51" s="435" t="s">
        <v>116</v>
      </c>
      <c r="E51" s="257">
        <f t="shared" ref="E51:P51" si="1">SUM(E12:E18)</f>
        <v>7000</v>
      </c>
      <c r="F51" s="257">
        <f t="shared" si="1"/>
        <v>1000</v>
      </c>
      <c r="G51" s="257">
        <f t="shared" si="1"/>
        <v>0</v>
      </c>
      <c r="H51" s="257">
        <f t="shared" si="1"/>
        <v>1000</v>
      </c>
      <c r="I51" s="257">
        <f t="shared" si="1"/>
        <v>500</v>
      </c>
      <c r="J51" s="257">
        <f t="shared" si="1"/>
        <v>500</v>
      </c>
      <c r="K51" s="257">
        <f t="shared" si="1"/>
        <v>500</v>
      </c>
      <c r="L51" s="257">
        <f t="shared" si="1"/>
        <v>500</v>
      </c>
      <c r="M51" s="257">
        <f t="shared" si="1"/>
        <v>500</v>
      </c>
      <c r="N51" s="257">
        <f t="shared" si="1"/>
        <v>500</v>
      </c>
      <c r="O51" s="257">
        <f t="shared" si="1"/>
        <v>500</v>
      </c>
      <c r="P51" s="257">
        <f t="shared" si="1"/>
        <v>1000</v>
      </c>
      <c r="Q51" s="257">
        <f t="shared" si="0"/>
        <v>13500</v>
      </c>
      <c r="R51" s="449"/>
      <c r="S51" s="257">
        <f>SUM(S12:S50)</f>
        <v>1912.3501447208359</v>
      </c>
    </row>
    <row r="52" spans="1:19" ht="16.5" customHeight="1" x14ac:dyDescent="0.25"/>
    <row r="53" spans="1:19" ht="16.5" customHeight="1" x14ac:dyDescent="0.25"/>
    <row r="54" spans="1:19" ht="16.5" customHeight="1" x14ac:dyDescent="0.25"/>
    <row r="55" spans="1:19" ht="26.25" customHeight="1" x14ac:dyDescent="0.25">
      <c r="C55" s="441"/>
      <c r="D55" s="963" t="s">
        <v>420</v>
      </c>
      <c r="E55" s="968" t="s">
        <v>173</v>
      </c>
      <c r="F55" s="968"/>
      <c r="G55" s="968"/>
      <c r="H55" s="968"/>
      <c r="I55" s="968"/>
      <c r="J55" s="968"/>
      <c r="K55" s="968"/>
      <c r="L55" s="968"/>
      <c r="M55" s="968"/>
      <c r="N55" s="968"/>
      <c r="O55" s="968"/>
      <c r="P55" s="968"/>
      <c r="Q55" s="969" t="s">
        <v>170</v>
      </c>
    </row>
    <row r="56" spans="1:19" ht="21" customHeight="1" x14ac:dyDescent="0.25">
      <c r="C56" s="441"/>
      <c r="D56" s="964"/>
      <c r="E56" s="251" t="s">
        <v>135</v>
      </c>
      <c r="F56" s="251" t="s">
        <v>136</v>
      </c>
      <c r="G56" s="251" t="s">
        <v>137</v>
      </c>
      <c r="H56" s="251" t="s">
        <v>138</v>
      </c>
      <c r="I56" s="251" t="s">
        <v>139</v>
      </c>
      <c r="J56" s="251" t="s">
        <v>140</v>
      </c>
      <c r="K56" s="251" t="s">
        <v>141</v>
      </c>
      <c r="L56" s="251" t="s">
        <v>142</v>
      </c>
      <c r="M56" s="251" t="s">
        <v>143</v>
      </c>
      <c r="N56" s="251" t="s">
        <v>144</v>
      </c>
      <c r="O56" s="251" t="s">
        <v>145</v>
      </c>
      <c r="P56" s="251" t="s">
        <v>146</v>
      </c>
      <c r="Q56" s="969"/>
    </row>
    <row r="57" spans="1:19" s="26" customFormat="1" ht="16.5" customHeight="1" x14ac:dyDescent="0.25">
      <c r="A57" s="73"/>
      <c r="C57" s="442"/>
      <c r="D57" s="440" t="str">
        <f>'Table for material consumption'!D12</f>
        <v>MDF Plywood normal</v>
      </c>
      <c r="E57" s="437">
        <f>(SUMIFS('Material Consumption'!$E$12:$E$50,'Material Consumption'!$D$12:$D$50,'Material Consumption'!$D57)*SUMIFS('GWP &amp; Emission Factors '!$F$154:$F$241,'GWP &amp; Emission Factors '!$E$154:$E$241,'Material Consumption'!$D57))/1000</f>
        <v>0.32899869960988298</v>
      </c>
      <c r="F57" s="437">
        <f>(SUMIFS('Material Consumption'!$F$12:$F$50,'Material Consumption'!$D$12:$D$50,'Material Consumption'!$D57)*SUMIFS('GWP &amp; Emission Factors '!$F$154:$F$241,'GWP &amp; Emission Factors '!$E$154:$E$241,'Material Consumption'!$D57))/1000</f>
        <v>0</v>
      </c>
      <c r="G57" s="437">
        <f>(SUMIFS('Material Consumption'!$G$12:$G$50,'Material Consumption'!$D$12:$D$50,'Material Consumption'!$D57)*SUMIFS('GWP &amp; Emission Factors '!$F$154:$F$241,'GWP &amp; Emission Factors '!$E$154:$E$241,'Material Consumption'!$D57))/1000</f>
        <v>0</v>
      </c>
      <c r="H57" s="437">
        <f>(SUMIFS('Material Consumption'!$H$12:$H$50,'Material Consumption'!$D$12:$D$50,'Material Consumption'!$D57)*SUMIFS('GWP &amp; Emission Factors '!$F$154:$F$241,'GWP &amp; Emission Factors '!$E$154:$E$241,'Material Consumption'!$D57))/1000</f>
        <v>0</v>
      </c>
      <c r="I57" s="437">
        <f>(SUMIFS('Material Consumption'!$I$12:$I$50,'Material Consumption'!$D$12:$D$50,'Material Consumption'!$D57)*SUMIFS('GWP &amp; Emission Factors '!$F$154:$F$241,'GWP &amp; Emission Factors '!$E$154:$E$241,'Material Consumption'!$D57))/1000</f>
        <v>0</v>
      </c>
      <c r="J57" s="437">
        <f>(SUMIFS('Material Consumption'!$J$12:$J$50,'Material Consumption'!$D$12:$D$50,'Material Consumption'!$D57)*SUMIFS('GWP &amp; Emission Factors '!$F$154:$F$241,'GWP &amp; Emission Factors '!$E$154:$E$241,'Material Consumption'!$D57))/1000</f>
        <v>0</v>
      </c>
      <c r="K57" s="437">
        <f>(SUMIFS('Material Consumption'!$K$12:$K$50,'Material Consumption'!$D$12:$D$50,'Material Consumption'!$D57)*SUMIFS('GWP &amp; Emission Factors '!$F$154:$F$241,'GWP &amp; Emission Factors '!$E$154:$E$241,'Material Consumption'!$D57))/1000</f>
        <v>0</v>
      </c>
      <c r="L57" s="437">
        <f>(SUMIFS('Material Consumption'!$L$12:$L$50,'Material Consumption'!$D$12:$D$50,'Material Consumption'!$D57)*SUMIFS('GWP &amp; Emission Factors '!$F$154:$F$241,'GWP &amp; Emission Factors '!$E$154:$E$241,'Material Consumption'!$D57))/1000</f>
        <v>0</v>
      </c>
      <c r="M57" s="437">
        <f>(SUMIFS('Material Consumption'!$M$12:$M$50,'Material Consumption'!$D$12:$D$50,'Material Consumption'!$D57)*SUMIFS('GWP &amp; Emission Factors '!$F$154:$F$241,'GWP &amp; Emission Factors '!$E$154:$E$241,'Material Consumption'!$D57))/1000</f>
        <v>0</v>
      </c>
      <c r="N57" s="437">
        <f>(SUMIFS('Material Consumption'!$N$12:$N$50,'Material Consumption'!$D$12:$D$50,'Material Consumption'!$D57)*SUMIFS('GWP &amp; Emission Factors '!$F$154:$F$241,'GWP &amp; Emission Factors '!$E$154:$E$241,'Material Consumption'!$D57))/1000</f>
        <v>0</v>
      </c>
      <c r="O57" s="437">
        <f>(SUMIFS('Material Consumption'!$O$12:$O$50,'Material Consumption'!$D$12:$D$50,'Material Consumption'!$D57)*SUMIFS('GWP &amp; Emission Factors '!$F$154:$F$241,'GWP &amp; Emission Factors '!$E$154:$E$241,'Material Consumption'!$D57))/1000</f>
        <v>0</v>
      </c>
      <c r="P57" s="437">
        <f>(SUMIFS('Material Consumption'!$P$12:$P$50,'Material Consumption'!$D$12:$D$50,'Material Consumption'!$D57)*SUMIFS('GWP &amp; Emission Factors '!$F$154:$F$241,'GWP &amp; Emission Factors '!$E$154:$E$241,'Material Consumption'!$D57))/1000</f>
        <v>0</v>
      </c>
      <c r="Q57" s="448">
        <f t="shared" ref="Q57:Q96" si="2">SUM(E57:P57)</f>
        <v>0.32899869960988298</v>
      </c>
    </row>
    <row r="58" spans="1:19" s="26" customFormat="1" x14ac:dyDescent="0.25">
      <c r="A58" s="73"/>
      <c r="C58" s="442"/>
      <c r="D58" s="440" t="str">
        <f>'Table for material consumption'!D13</f>
        <v>Hardwood/ Solidwood</v>
      </c>
      <c r="E58" s="437">
        <f>(SUMIFS('Material Consumption'!$E$12:$E$50,'Material Consumption'!$D$12:$D$50,'Material Consumption'!$D58)*SUMIFS('GWP &amp; Emission Factors '!$F$154:$F$241,'GWP &amp; Emission Factors '!$E$154:$E$241,'Material Consumption'!$D58))/1000</f>
        <v>0</v>
      </c>
      <c r="F58" s="437">
        <f>(SUMIFS('Material Consumption'!$F$12:$F$50,'Material Consumption'!$D$12:$D$50,'Material Consumption'!$D58)*SUMIFS('GWP &amp; Emission Factors '!$F$154:$F$241,'GWP &amp; Emission Factors '!$E$154:$E$241,'Material Consumption'!$D58))/1000</f>
        <v>0</v>
      </c>
      <c r="G58" s="437">
        <f>(SUMIFS('Material Consumption'!$G$12:$G$50,'Material Consumption'!$D$12:$D$50,'Material Consumption'!$D58)*SUMIFS('GWP &amp; Emission Factors '!$F$154:$F$241,'GWP &amp; Emission Factors '!$E$154:$E$241,'Material Consumption'!$D58))/1000</f>
        <v>0</v>
      </c>
      <c r="H58" s="437">
        <f>(SUMIFS('Material Consumption'!$H$12:$H$50,'Material Consumption'!$D$12:$D$50,'Material Consumption'!$D58)*SUMIFS('GWP &amp; Emission Factors '!$F$154:$F$241,'GWP &amp; Emission Factors '!$E$154:$E$241,'Material Consumption'!$D58))/1000</f>
        <v>0</v>
      </c>
      <c r="I58" s="437">
        <f>(SUMIFS('Material Consumption'!$I$12:$I$50,'Material Consumption'!$D$12:$D$50,'Material Consumption'!$D58)*SUMIFS('GWP &amp; Emission Factors '!$F$154:$F$241,'GWP &amp; Emission Factors '!$E$154:$E$241,'Material Consumption'!$D58))/1000</f>
        <v>0</v>
      </c>
      <c r="J58" s="437">
        <f>(SUMIFS('Material Consumption'!$J$12:$J$50,'Material Consumption'!$D$12:$D$50,'Material Consumption'!$D58)*SUMIFS('GWP &amp; Emission Factors '!$F$154:$F$241,'GWP &amp; Emission Factors '!$E$154:$E$241,'Material Consumption'!$D58))/1000</f>
        <v>0</v>
      </c>
      <c r="K58" s="437">
        <f>(SUMIFS('Material Consumption'!$K$12:$K$50,'Material Consumption'!$D$12:$D$50,'Material Consumption'!$D58)*SUMIFS('GWP &amp; Emission Factors '!$F$154:$F$241,'GWP &amp; Emission Factors '!$E$154:$E$241,'Material Consumption'!$D58))/1000</f>
        <v>0</v>
      </c>
      <c r="L58" s="437">
        <f>(SUMIFS('Material Consumption'!$L$12:$L$50,'Material Consumption'!$D$12:$D$50,'Material Consumption'!$D58)*SUMIFS('GWP &amp; Emission Factors '!$F$154:$F$241,'GWP &amp; Emission Factors '!$E$154:$E$241,'Material Consumption'!$D58))/1000</f>
        <v>0</v>
      </c>
      <c r="M58" s="437">
        <f>(SUMIFS('Material Consumption'!$M$12:$M$50,'Material Consumption'!$D$12:$D$50,'Material Consumption'!$D58)*SUMIFS('GWP &amp; Emission Factors '!$F$154:$F$241,'GWP &amp; Emission Factors '!$E$154:$E$241,'Material Consumption'!$D58))/1000</f>
        <v>0</v>
      </c>
      <c r="N58" s="437">
        <f>(SUMIFS('Material Consumption'!$N$12:$N$50,'Material Consumption'!$D$12:$D$50,'Material Consumption'!$D58)*SUMIFS('GWP &amp; Emission Factors '!$F$154:$F$241,'GWP &amp; Emission Factors '!$E$154:$E$241,'Material Consumption'!$D58))/1000</f>
        <v>0</v>
      </c>
      <c r="O58" s="437">
        <f>(SUMIFS('Material Consumption'!$O$12:$O$50,'Material Consumption'!$D$12:$D$50,'Material Consumption'!$D58)*SUMIFS('GWP &amp; Emission Factors '!$F$154:$F$241,'GWP &amp; Emission Factors '!$E$154:$E$241,'Material Consumption'!$D58))/1000</f>
        <v>0</v>
      </c>
      <c r="P58" s="437">
        <f>(SUMIFS('Material Consumption'!$P$12:$P$50,'Material Consumption'!$D$12:$D$50,'Material Consumption'!$D58)*SUMIFS('GWP &amp; Emission Factors '!$F$154:$F$241,'GWP &amp; Emission Factors '!$E$154:$E$241,'Material Consumption'!$D58))/1000</f>
        <v>0</v>
      </c>
      <c r="Q58" s="448">
        <f t="shared" si="2"/>
        <v>0</v>
      </c>
    </row>
    <row r="59" spans="1:19" s="26" customFormat="1" ht="15" customHeight="1" x14ac:dyDescent="0.25">
      <c r="A59" s="73"/>
      <c r="C59" s="442"/>
      <c r="D59" s="440" t="str">
        <f>'Table for material consumption'!D14</f>
        <v>FR Medite MDF</v>
      </c>
      <c r="E59" s="437">
        <f>(SUMIFS('Material Consumption'!$E$12:$E$50,'Material Consumption'!$D$12:$D$50,'Material Consumption'!$D59)*SUMIFS('GWP &amp; Emission Factors '!$F$154:$F$241,'GWP &amp; Emission Factors '!$E$154:$E$241,'Material Consumption'!$D59))/1000</f>
        <v>0</v>
      </c>
      <c r="F59" s="437">
        <f>(SUMIFS('Material Consumption'!$F$12:$F$50,'Material Consumption'!$D$12:$D$50,'Material Consumption'!$D59)*SUMIFS('GWP &amp; Emission Factors '!$F$154:$F$241,'GWP &amp; Emission Factors '!$E$154:$E$241,'Material Consumption'!$D59))/1000</f>
        <v>0</v>
      </c>
      <c r="G59" s="437">
        <f>(SUMIFS('Material Consumption'!$G$12:$G$50,'Material Consumption'!$D$12:$D$50,'Material Consumption'!$D59)*SUMIFS('GWP &amp; Emission Factors '!$F$154:$F$241,'GWP &amp; Emission Factors '!$E$154:$E$241,'Material Consumption'!$D59))/1000</f>
        <v>0</v>
      </c>
      <c r="H59" s="437">
        <f>(SUMIFS('Material Consumption'!$H$12:$H$50,'Material Consumption'!$D$12:$D$50,'Material Consumption'!$D59)*SUMIFS('GWP &amp; Emission Factors '!$F$154:$F$241,'GWP &amp; Emission Factors '!$E$154:$E$241,'Material Consumption'!$D59))/1000</f>
        <v>0</v>
      </c>
      <c r="I59" s="437">
        <f>(SUMIFS('Material Consumption'!$I$12:$I$50,'Material Consumption'!$D$12:$D$50,'Material Consumption'!$D59)*SUMIFS('GWP &amp; Emission Factors '!$F$154:$F$241,'GWP &amp; Emission Factors '!$E$154:$E$241,'Material Consumption'!$D59))/1000</f>
        <v>0</v>
      </c>
      <c r="J59" s="437">
        <f>(SUMIFS('Material Consumption'!$J$12:$J$50,'Material Consumption'!$D$12:$D$50,'Material Consumption'!$D59)*SUMIFS('GWP &amp; Emission Factors '!$F$154:$F$241,'GWP &amp; Emission Factors '!$E$154:$E$241,'Material Consumption'!$D59))/1000</f>
        <v>0</v>
      </c>
      <c r="K59" s="437">
        <f>(SUMIFS('Material Consumption'!$K$12:$K$50,'Material Consumption'!$D$12:$D$50,'Material Consumption'!$D59)*SUMIFS('GWP &amp; Emission Factors '!$F$154:$F$241,'GWP &amp; Emission Factors '!$E$154:$E$241,'Material Consumption'!$D59))/1000</f>
        <v>0</v>
      </c>
      <c r="L59" s="437">
        <f>(SUMIFS('Material Consumption'!$L$12:$L$50,'Material Consumption'!$D$12:$D$50,'Material Consumption'!$D59)*SUMIFS('GWP &amp; Emission Factors '!$F$154:$F$241,'GWP &amp; Emission Factors '!$E$154:$E$241,'Material Consumption'!$D59))/1000</f>
        <v>0</v>
      </c>
      <c r="M59" s="437">
        <f>(SUMIFS('Material Consumption'!$M$12:$M$50,'Material Consumption'!$D$12:$D$50,'Material Consumption'!$D59)*SUMIFS('GWP &amp; Emission Factors '!$F$154:$F$241,'GWP &amp; Emission Factors '!$E$154:$E$241,'Material Consumption'!$D59))/1000</f>
        <v>0</v>
      </c>
      <c r="N59" s="437">
        <f>(SUMIFS('Material Consumption'!$N$12:$N$50,'Material Consumption'!$D$12:$D$50,'Material Consumption'!$D59)*SUMIFS('GWP &amp; Emission Factors '!$F$154:$F$241,'GWP &amp; Emission Factors '!$E$154:$E$241,'Material Consumption'!$D59))/1000</f>
        <v>0</v>
      </c>
      <c r="O59" s="437">
        <f>(SUMIFS('Material Consumption'!$O$12:$O$50,'Material Consumption'!$D$12:$D$50,'Material Consumption'!$D59)*SUMIFS('GWP &amp; Emission Factors '!$F$154:$F$241,'GWP &amp; Emission Factors '!$E$154:$E$241,'Material Consumption'!$D59))/1000</f>
        <v>0</v>
      </c>
      <c r="P59" s="437">
        <f>(SUMIFS('Material Consumption'!$P$12:$P$50,'Material Consumption'!$D$12:$D$50,'Material Consumption'!$D59)*SUMIFS('GWP &amp; Emission Factors '!$F$154:$F$241,'GWP &amp; Emission Factors '!$E$154:$E$241,'Material Consumption'!$D59))/1000</f>
        <v>0</v>
      </c>
      <c r="Q59" s="448">
        <f t="shared" si="2"/>
        <v>0</v>
      </c>
    </row>
    <row r="60" spans="1:19" s="26" customFormat="1" x14ac:dyDescent="0.25">
      <c r="A60" s="73"/>
      <c r="C60" s="442"/>
      <c r="D60" s="440" t="str">
        <f>'Table for material consumption'!D15</f>
        <v>MDF FR Finsa/ FR</v>
      </c>
      <c r="E60" s="437">
        <f>(SUMIFS('Material Consumption'!$E$12:$E$50,'Material Consumption'!$D$12:$D$50,'Material Consumption'!$D60)*SUMIFS('GWP &amp; Emission Factors '!$F$154:$F$241,'GWP &amp; Emission Factors '!$E$154:$E$241,'Material Consumption'!$D60))/1000</f>
        <v>0.31469440832249673</v>
      </c>
      <c r="F60" s="437">
        <f>(SUMIFS('Material Consumption'!$F$12:$F$50,'Material Consumption'!$D$12:$D$50,'Material Consumption'!$D60)*SUMIFS('GWP &amp; Emission Factors '!$F$154:$F$241,'GWP &amp; Emission Factors '!$E$154:$E$241,'Material Consumption'!$D60))/1000</f>
        <v>0</v>
      </c>
      <c r="G60" s="437">
        <f>(SUMIFS('Material Consumption'!$G$12:$G$50,'Material Consumption'!$D$12:$D$50,'Material Consumption'!$D60)*SUMIFS('GWP &amp; Emission Factors '!$F$154:$F$241,'GWP &amp; Emission Factors '!$E$154:$E$241,'Material Consumption'!$D60))/1000</f>
        <v>0</v>
      </c>
      <c r="H60" s="437">
        <f>(SUMIFS('Material Consumption'!$H$12:$H$50,'Material Consumption'!$D$12:$D$50,'Material Consumption'!$D60)*SUMIFS('GWP &amp; Emission Factors '!$F$154:$F$241,'GWP &amp; Emission Factors '!$E$154:$E$241,'Material Consumption'!$D60))/1000</f>
        <v>0</v>
      </c>
      <c r="I60" s="437">
        <f>(SUMIFS('Material Consumption'!$I$12:$I$50,'Material Consumption'!$D$12:$D$50,'Material Consumption'!$D60)*SUMIFS('GWP &amp; Emission Factors '!$F$154:$F$241,'GWP &amp; Emission Factors '!$E$154:$E$241,'Material Consumption'!$D60))/1000</f>
        <v>0</v>
      </c>
      <c r="J60" s="437">
        <f>(SUMIFS('Material Consumption'!$J$12:$J$50,'Material Consumption'!$D$12:$D$50,'Material Consumption'!$D60)*SUMIFS('GWP &amp; Emission Factors '!$F$154:$F$241,'GWP &amp; Emission Factors '!$E$154:$E$241,'Material Consumption'!$D60))/1000</f>
        <v>0</v>
      </c>
      <c r="K60" s="437">
        <f>(SUMIFS('Material Consumption'!$K$12:$K$50,'Material Consumption'!$D$12:$D$50,'Material Consumption'!$D60)*SUMIFS('GWP &amp; Emission Factors '!$F$154:$F$241,'GWP &amp; Emission Factors '!$E$154:$E$241,'Material Consumption'!$D60))/1000</f>
        <v>0</v>
      </c>
      <c r="L60" s="437">
        <f>(SUMIFS('Material Consumption'!$L$12:$L$50,'Material Consumption'!$D$12:$D$50,'Material Consumption'!$D60)*SUMIFS('GWP &amp; Emission Factors '!$F$154:$F$241,'GWP &amp; Emission Factors '!$E$154:$E$241,'Material Consumption'!$D60))/1000</f>
        <v>0</v>
      </c>
      <c r="M60" s="437">
        <f>(SUMIFS('Material Consumption'!$M$12:$M$50,'Material Consumption'!$D$12:$D$50,'Material Consumption'!$D60)*SUMIFS('GWP &amp; Emission Factors '!$F$154:$F$241,'GWP &amp; Emission Factors '!$E$154:$E$241,'Material Consumption'!$D60))/1000</f>
        <v>0</v>
      </c>
      <c r="N60" s="437">
        <f>(SUMIFS('Material Consumption'!$N$12:$N$50,'Material Consumption'!$D$12:$D$50,'Material Consumption'!$D60)*SUMIFS('GWP &amp; Emission Factors '!$F$154:$F$241,'GWP &amp; Emission Factors '!$E$154:$E$241,'Material Consumption'!$D60))/1000</f>
        <v>0</v>
      </c>
      <c r="O60" s="437">
        <f>(SUMIFS('Material Consumption'!$O$12:$O$50,'Material Consumption'!$D$12:$D$50,'Material Consumption'!$D60)*SUMIFS('GWP &amp; Emission Factors '!$F$154:$F$241,'GWP &amp; Emission Factors '!$E$154:$E$241,'Material Consumption'!$D60))/1000</f>
        <v>0</v>
      </c>
      <c r="P60" s="437">
        <f>(SUMIFS('Material Consumption'!$P$12:$P$50,'Material Consumption'!$D$12:$D$50,'Material Consumption'!$D60)*SUMIFS('GWP &amp; Emission Factors '!$F$154:$F$241,'GWP &amp; Emission Factors '!$E$154:$E$241,'Material Consumption'!$D60))/1000</f>
        <v>0</v>
      </c>
      <c r="Q60" s="448">
        <f t="shared" si="2"/>
        <v>0.31469440832249673</v>
      </c>
    </row>
    <row r="61" spans="1:19" s="26" customFormat="1" x14ac:dyDescent="0.25">
      <c r="A61" s="73"/>
      <c r="C61" s="442"/>
      <c r="D61" s="440" t="str">
        <f>'Table for material consumption'!D16</f>
        <v>Bend plywood</v>
      </c>
      <c r="E61" s="437">
        <f>(SUMIFS('Material Consumption'!$E$12:$E$50,'Material Consumption'!$D$12:$D$50,'Material Consumption'!$D61)*SUMIFS('GWP &amp; Emission Factors '!$F$154:$F$241,'GWP &amp; Emission Factors '!$E$154:$E$241,'Material Consumption'!$D61))/1000</f>
        <v>0.35322580645161289</v>
      </c>
      <c r="F61" s="437">
        <f>(SUMIFS('Material Consumption'!$F$12:$F$50,'Material Consumption'!$D$12:$D$50,'Material Consumption'!$D61)*SUMIFS('GWP &amp; Emission Factors '!$F$154:$F$241,'GWP &amp; Emission Factors '!$E$154:$E$241,'Material Consumption'!$D61))/1000</f>
        <v>0</v>
      </c>
      <c r="G61" s="437">
        <f>(SUMIFS('Material Consumption'!$G$12:$G$50,'Material Consumption'!$D$12:$D$50,'Material Consumption'!$D61)*SUMIFS('GWP &amp; Emission Factors '!$F$154:$F$241,'GWP &amp; Emission Factors '!$E$154:$E$241,'Material Consumption'!$D61))/1000</f>
        <v>0</v>
      </c>
      <c r="H61" s="437">
        <f>(SUMIFS('Material Consumption'!$H$12:$H$50,'Material Consumption'!$D$12:$D$50,'Material Consumption'!$D61)*SUMIFS('GWP &amp; Emission Factors '!$F$154:$F$241,'GWP &amp; Emission Factors '!$E$154:$E$241,'Material Consumption'!$D61))/1000</f>
        <v>0</v>
      </c>
      <c r="I61" s="437">
        <f>(SUMIFS('Material Consumption'!$I$12:$I$50,'Material Consumption'!$D$12:$D$50,'Material Consumption'!$D61)*SUMIFS('GWP &amp; Emission Factors '!$F$154:$F$241,'GWP &amp; Emission Factors '!$E$154:$E$241,'Material Consumption'!$D61))/1000</f>
        <v>0</v>
      </c>
      <c r="J61" s="437">
        <f>(SUMIFS('Material Consumption'!$J$12:$J$50,'Material Consumption'!$D$12:$D$50,'Material Consumption'!$D61)*SUMIFS('GWP &amp; Emission Factors '!$F$154:$F$241,'GWP &amp; Emission Factors '!$E$154:$E$241,'Material Consumption'!$D61))/1000</f>
        <v>0</v>
      </c>
      <c r="K61" s="437">
        <f>(SUMIFS('Material Consumption'!$K$12:$K$50,'Material Consumption'!$D$12:$D$50,'Material Consumption'!$D61)*SUMIFS('GWP &amp; Emission Factors '!$F$154:$F$241,'GWP &amp; Emission Factors '!$E$154:$E$241,'Material Consumption'!$D61))/1000</f>
        <v>0</v>
      </c>
      <c r="L61" s="437">
        <f>(SUMIFS('Material Consumption'!$L$12:$L$50,'Material Consumption'!$D$12:$D$50,'Material Consumption'!$D61)*SUMIFS('GWP &amp; Emission Factors '!$F$154:$F$241,'GWP &amp; Emission Factors '!$E$154:$E$241,'Material Consumption'!$D61))/1000</f>
        <v>0</v>
      </c>
      <c r="M61" s="437">
        <f>(SUMIFS('Material Consumption'!$M$12:$M$50,'Material Consumption'!$D$12:$D$50,'Material Consumption'!$D61)*SUMIFS('GWP &amp; Emission Factors '!$F$154:$F$241,'GWP &amp; Emission Factors '!$E$154:$E$241,'Material Consumption'!$D61))/1000</f>
        <v>0</v>
      </c>
      <c r="N61" s="437">
        <f>(SUMIFS('Material Consumption'!$N$12:$N$50,'Material Consumption'!$D$12:$D$50,'Material Consumption'!$D61)*SUMIFS('GWP &amp; Emission Factors '!$F$154:$F$241,'GWP &amp; Emission Factors '!$E$154:$E$241,'Material Consumption'!$D61))/1000</f>
        <v>0</v>
      </c>
      <c r="O61" s="437">
        <f>(SUMIFS('Material Consumption'!$O$12:$O$50,'Material Consumption'!$D$12:$D$50,'Material Consumption'!$D61)*SUMIFS('GWP &amp; Emission Factors '!$F$154:$F$241,'GWP &amp; Emission Factors '!$E$154:$E$241,'Material Consumption'!$D61))/1000</f>
        <v>0</v>
      </c>
      <c r="P61" s="437">
        <f>(SUMIFS('Material Consumption'!$P$12:$P$50,'Material Consumption'!$D$12:$D$50,'Material Consumption'!$D61)*SUMIFS('GWP &amp; Emission Factors '!$F$154:$F$241,'GWP &amp; Emission Factors '!$E$154:$E$241,'Material Consumption'!$D61))/1000</f>
        <v>0</v>
      </c>
      <c r="Q61" s="448">
        <f t="shared" si="2"/>
        <v>0.35322580645161289</v>
      </c>
    </row>
    <row r="62" spans="1:19" s="26" customFormat="1" ht="15" customHeight="1" x14ac:dyDescent="0.25">
      <c r="A62" s="73"/>
      <c r="C62" s="442"/>
      <c r="D62" s="440" t="str">
        <f>'Table for material consumption'!D17</f>
        <v>Plywood</v>
      </c>
      <c r="E62" s="437">
        <f>(SUMIFS('Material Consumption'!$E$12:$E$50,'Material Consumption'!$D$12:$D$50,'Material Consumption'!$D62)*SUMIFS('GWP &amp; Emission Factors '!$F$154:$F$241,'GWP &amp; Emission Factors '!$E$154:$E$241,'Material Consumption'!$D62))/1000</f>
        <v>0.35322580645161289</v>
      </c>
      <c r="F62" s="437">
        <f>(SUMIFS('Material Consumption'!$F$12:$F$50,'Material Consumption'!$D$12:$D$50,'Material Consumption'!$D62)*SUMIFS('GWP &amp; Emission Factors '!$F$154:$F$241,'GWP &amp; Emission Factors '!$E$154:$E$241,'Material Consumption'!$D62))/1000</f>
        <v>0</v>
      </c>
      <c r="G62" s="437">
        <f>(SUMIFS('Material Consumption'!$G$12:$G$50,'Material Consumption'!$D$12:$D$50,'Material Consumption'!$D62)*SUMIFS('GWP &amp; Emission Factors '!$F$154:$F$241,'GWP &amp; Emission Factors '!$E$154:$E$241,'Material Consumption'!$D62))/1000</f>
        <v>0</v>
      </c>
      <c r="H62" s="437">
        <f>(SUMIFS('Material Consumption'!$H$12:$H$50,'Material Consumption'!$D$12:$D$50,'Material Consumption'!$D62)*SUMIFS('GWP &amp; Emission Factors '!$F$154:$F$241,'GWP &amp; Emission Factors '!$E$154:$E$241,'Material Consumption'!$D62))/1000</f>
        <v>0</v>
      </c>
      <c r="I62" s="437">
        <f>(SUMIFS('Material Consumption'!$I$12:$I$50,'Material Consumption'!$D$12:$D$50,'Material Consumption'!$D62)*SUMIFS('GWP &amp; Emission Factors '!$F$154:$F$241,'GWP &amp; Emission Factors '!$E$154:$E$241,'Material Consumption'!$D62))/1000</f>
        <v>0</v>
      </c>
      <c r="J62" s="437">
        <f>(SUMIFS('Material Consumption'!$J$12:$J$50,'Material Consumption'!$D$12:$D$50,'Material Consumption'!$D62)*SUMIFS('GWP &amp; Emission Factors '!$F$154:$F$241,'GWP &amp; Emission Factors '!$E$154:$E$241,'Material Consumption'!$D62))/1000</f>
        <v>0</v>
      </c>
      <c r="K62" s="437">
        <f>(SUMIFS('Material Consumption'!$K$12:$K$50,'Material Consumption'!$D$12:$D$50,'Material Consumption'!$D62)*SUMIFS('GWP &amp; Emission Factors '!$F$154:$F$241,'GWP &amp; Emission Factors '!$E$154:$E$241,'Material Consumption'!$D62))/1000</f>
        <v>0</v>
      </c>
      <c r="L62" s="437">
        <f>(SUMIFS('Material Consumption'!$L$12:$L$50,'Material Consumption'!$D$12:$D$50,'Material Consumption'!$D62)*SUMIFS('GWP &amp; Emission Factors '!$F$154:$F$241,'GWP &amp; Emission Factors '!$E$154:$E$241,'Material Consumption'!$D62))/1000</f>
        <v>0</v>
      </c>
      <c r="M62" s="437">
        <f>(SUMIFS('Material Consumption'!$M$12:$M$50,'Material Consumption'!$D$12:$D$50,'Material Consumption'!$D62)*SUMIFS('GWP &amp; Emission Factors '!$F$154:$F$241,'GWP &amp; Emission Factors '!$E$154:$E$241,'Material Consumption'!$D62))/1000</f>
        <v>0</v>
      </c>
      <c r="N62" s="437">
        <f>(SUMIFS('Material Consumption'!$N$12:$N$50,'Material Consumption'!$D$12:$D$50,'Material Consumption'!$D62)*SUMIFS('GWP &amp; Emission Factors '!$F$154:$F$241,'GWP &amp; Emission Factors '!$E$154:$E$241,'Material Consumption'!$D62))/1000</f>
        <v>0</v>
      </c>
      <c r="O62" s="437">
        <f>(SUMIFS('Material Consumption'!$O$12:$O$50,'Material Consumption'!$D$12:$D$50,'Material Consumption'!$D62)*SUMIFS('GWP &amp; Emission Factors '!$F$154:$F$241,'GWP &amp; Emission Factors '!$E$154:$E$241,'Material Consumption'!$D62))/1000</f>
        <v>0</v>
      </c>
      <c r="P62" s="437">
        <f>(SUMIFS('Material Consumption'!$P$12:$P$50,'Material Consumption'!$D$12:$D$50,'Material Consumption'!$D62)*SUMIFS('GWP &amp; Emission Factors '!$F$154:$F$241,'GWP &amp; Emission Factors '!$E$154:$E$241,'Material Consumption'!$D62))/1000</f>
        <v>0</v>
      </c>
      <c r="Q62" s="448">
        <f t="shared" si="2"/>
        <v>0.35322580645161289</v>
      </c>
    </row>
    <row r="63" spans="1:19" s="26" customFormat="1" x14ac:dyDescent="0.25">
      <c r="A63" s="73"/>
      <c r="C63" s="442"/>
      <c r="D63" s="440" t="str">
        <f>'Table for material consumption'!D18</f>
        <v>Aluminium</v>
      </c>
      <c r="E63" s="437">
        <f>(SUMIFS('Material Consumption'!$E$12:$E$50,'Material Consumption'!$D$12:$D$50,'Material Consumption'!$D63)*SUMIFS('GWP &amp; Emission Factors '!$F$154:$F$241,'GWP &amp; Emission Factors '!$E$154:$E$241,'Material Consumption'!$D63))/1000</f>
        <v>8.14</v>
      </c>
      <c r="F63" s="437">
        <f>(SUMIFS('Material Consumption'!$F$12:$F$50,'Material Consumption'!$D$12:$D$50,'Material Consumption'!$D63)*SUMIFS('GWP &amp; Emission Factors '!$F$154:$F$241,'GWP &amp; Emission Factors '!$E$154:$E$241,'Material Consumption'!$D63))/1000</f>
        <v>8.14</v>
      </c>
      <c r="G63" s="437">
        <f>(SUMIFS('Material Consumption'!$G$12:$G$50,'Material Consumption'!$D$12:$D$50,'Material Consumption'!$D63)*SUMIFS('GWP &amp; Emission Factors '!$F$154:$F$241,'GWP &amp; Emission Factors '!$E$154:$E$241,'Material Consumption'!$D63))/1000</f>
        <v>0</v>
      </c>
      <c r="H63" s="437">
        <f>(SUMIFS('Material Consumption'!$H$12:$H$50,'Material Consumption'!$D$12:$D$50,'Material Consumption'!$D63)*SUMIFS('GWP &amp; Emission Factors '!$F$154:$F$241,'GWP &amp; Emission Factors '!$E$154:$E$241,'Material Consumption'!$D63))/1000</f>
        <v>8.14</v>
      </c>
      <c r="I63" s="437">
        <f>(SUMIFS('Material Consumption'!$I$12:$I$50,'Material Consumption'!$D$12:$D$50,'Material Consumption'!$D63)*SUMIFS('GWP &amp; Emission Factors '!$F$154:$F$241,'GWP &amp; Emission Factors '!$E$154:$E$241,'Material Consumption'!$D63))/1000</f>
        <v>4.07</v>
      </c>
      <c r="J63" s="437">
        <f>(SUMIFS('Material Consumption'!$J$12:$J$50,'Material Consumption'!$D$12:$D$50,'Material Consumption'!$D63)*SUMIFS('GWP &amp; Emission Factors '!$F$154:$F$241,'GWP &amp; Emission Factors '!$E$154:$E$241,'Material Consumption'!$D63))/1000</f>
        <v>4.07</v>
      </c>
      <c r="K63" s="437">
        <f>(SUMIFS('Material Consumption'!$K$12:$K$50,'Material Consumption'!$D$12:$D$50,'Material Consumption'!$D63)*SUMIFS('GWP &amp; Emission Factors '!$F$154:$F$241,'GWP &amp; Emission Factors '!$E$154:$E$241,'Material Consumption'!$D63))/1000</f>
        <v>4.07</v>
      </c>
      <c r="L63" s="437">
        <f>(SUMIFS('Material Consumption'!$L$12:$L$50,'Material Consumption'!$D$12:$D$50,'Material Consumption'!$D63)*SUMIFS('GWP &amp; Emission Factors '!$F$154:$F$241,'GWP &amp; Emission Factors '!$E$154:$E$241,'Material Consumption'!$D63))/1000</f>
        <v>4.07</v>
      </c>
      <c r="M63" s="437">
        <f>(SUMIFS('Material Consumption'!$M$12:$M$50,'Material Consumption'!$D$12:$D$50,'Material Consumption'!$D63)*SUMIFS('GWP &amp; Emission Factors '!$F$154:$F$241,'GWP &amp; Emission Factors '!$E$154:$E$241,'Material Consumption'!$D63))/1000</f>
        <v>4.07</v>
      </c>
      <c r="N63" s="437">
        <f>(SUMIFS('Material Consumption'!$N$12:$N$50,'Material Consumption'!$D$12:$D$50,'Material Consumption'!$D63)*SUMIFS('GWP &amp; Emission Factors '!$F$154:$F$241,'GWP &amp; Emission Factors '!$E$154:$E$241,'Material Consumption'!$D63))/1000</f>
        <v>4.07</v>
      </c>
      <c r="O63" s="437">
        <f>(SUMIFS('Material Consumption'!$O$12:$O$50,'Material Consumption'!$D$12:$D$50,'Material Consumption'!$D63)*SUMIFS('GWP &amp; Emission Factors '!$F$154:$F$241,'GWP &amp; Emission Factors '!$E$154:$E$241,'Material Consumption'!$D63))/1000</f>
        <v>4.07</v>
      </c>
      <c r="P63" s="437">
        <f>(SUMIFS('Material Consumption'!$P$12:$P$50,'Material Consumption'!$D$12:$D$50,'Material Consumption'!$D63)*SUMIFS('GWP &amp; Emission Factors '!$F$154:$F$241,'GWP &amp; Emission Factors '!$E$154:$E$241,'Material Consumption'!$D63))/1000</f>
        <v>8.14</v>
      </c>
      <c r="Q63" s="448">
        <f t="shared" si="2"/>
        <v>61.050000000000004</v>
      </c>
    </row>
    <row r="64" spans="1:19" s="26" customFormat="1" x14ac:dyDescent="0.25">
      <c r="A64" s="73"/>
      <c r="C64" s="442"/>
      <c r="D64" s="440" t="str">
        <f>'Table for material consumption'!D19</f>
        <v>Anodized Aluminium</v>
      </c>
      <c r="E64" s="437">
        <f>(SUMIFS('Material Consumption'!$E$12:$E$50,'Material Consumption'!$D$12:$D$50,'Material Consumption'!$D64)*SUMIFS('GWP &amp; Emission Factors '!$F$154:$F$241,'GWP &amp; Emission Factors '!$E$154:$E$241,'Material Consumption'!$D64))/1000</f>
        <v>10.8</v>
      </c>
      <c r="F64" s="437">
        <f>(SUMIFS('Material Consumption'!$F$12:$F$50,'Material Consumption'!$D$12:$D$50,'Material Consumption'!$D64)*SUMIFS('GWP &amp; Emission Factors '!$F$154:$F$241,'GWP &amp; Emission Factors '!$E$154:$E$241,'Material Consumption'!$D64))/1000</f>
        <v>10.8</v>
      </c>
      <c r="G64" s="437">
        <f>(SUMIFS('Material Consumption'!$G$12:$G$50,'Material Consumption'!$D$12:$D$50,'Material Consumption'!$D64)*SUMIFS('GWP &amp; Emission Factors '!$F$154:$F$241,'GWP &amp; Emission Factors '!$E$154:$E$241,'Material Consumption'!$D64))/1000</f>
        <v>0</v>
      </c>
      <c r="H64" s="437">
        <f>(SUMIFS('Material Consumption'!$H$12:$H$50,'Material Consumption'!$D$12:$D$50,'Material Consumption'!$D64)*SUMIFS('GWP &amp; Emission Factors '!$F$154:$F$241,'GWP &amp; Emission Factors '!$E$154:$E$241,'Material Consumption'!$D64))/1000</f>
        <v>10.8</v>
      </c>
      <c r="I64" s="437">
        <f>(SUMIFS('Material Consumption'!$I$12:$I$50,'Material Consumption'!$D$12:$D$50,'Material Consumption'!$D64)*SUMIFS('GWP &amp; Emission Factors '!$F$154:$F$241,'GWP &amp; Emission Factors '!$E$154:$E$241,'Material Consumption'!$D64))/1000</f>
        <v>5.4</v>
      </c>
      <c r="J64" s="437">
        <f>(SUMIFS('Material Consumption'!$J$12:$J$50,'Material Consumption'!$D$12:$D$50,'Material Consumption'!$D64)*SUMIFS('GWP &amp; Emission Factors '!$F$154:$F$241,'GWP &amp; Emission Factors '!$E$154:$E$241,'Material Consumption'!$D64))/1000</f>
        <v>5.4</v>
      </c>
      <c r="K64" s="437">
        <f>(SUMIFS('Material Consumption'!$K$12:$K$50,'Material Consumption'!$D$12:$D$50,'Material Consumption'!$D64)*SUMIFS('GWP &amp; Emission Factors '!$F$154:$F$241,'GWP &amp; Emission Factors '!$E$154:$E$241,'Material Consumption'!$D64))/1000</f>
        <v>5.4</v>
      </c>
      <c r="L64" s="437">
        <f>(SUMIFS('Material Consumption'!$L$12:$L$50,'Material Consumption'!$D$12:$D$50,'Material Consumption'!$D64)*SUMIFS('GWP &amp; Emission Factors '!$F$154:$F$241,'GWP &amp; Emission Factors '!$E$154:$E$241,'Material Consumption'!$D64))/1000</f>
        <v>5.4</v>
      </c>
      <c r="M64" s="437">
        <f>(SUMIFS('Material Consumption'!$M$12:$M$50,'Material Consumption'!$D$12:$D$50,'Material Consumption'!$D64)*SUMIFS('GWP &amp; Emission Factors '!$F$154:$F$241,'GWP &amp; Emission Factors '!$E$154:$E$241,'Material Consumption'!$D64))/1000</f>
        <v>5.4</v>
      </c>
      <c r="N64" s="437">
        <f>(SUMIFS('Material Consumption'!$N$12:$N$50,'Material Consumption'!$D$12:$D$50,'Material Consumption'!$D64)*SUMIFS('GWP &amp; Emission Factors '!$F$154:$F$241,'GWP &amp; Emission Factors '!$E$154:$E$241,'Material Consumption'!$D64))/1000</f>
        <v>5.4</v>
      </c>
      <c r="O64" s="437">
        <f>(SUMIFS('Material Consumption'!$O$12:$O$50,'Material Consumption'!$D$12:$D$50,'Material Consumption'!$D64)*SUMIFS('GWP &amp; Emission Factors '!$F$154:$F$241,'GWP &amp; Emission Factors '!$E$154:$E$241,'Material Consumption'!$D64))/1000</f>
        <v>5.4</v>
      </c>
      <c r="P64" s="437">
        <f>(SUMIFS('Material Consumption'!$P$12:$P$50,'Material Consumption'!$D$12:$D$50,'Material Consumption'!$D64)*SUMIFS('GWP &amp; Emission Factors '!$F$154:$F$241,'GWP &amp; Emission Factors '!$E$154:$E$241,'Material Consumption'!$D64))/1000</f>
        <v>10.8</v>
      </c>
      <c r="Q64" s="448">
        <f t="shared" si="2"/>
        <v>81</v>
      </c>
    </row>
    <row r="65" spans="1:17" s="26" customFormat="1" x14ac:dyDescent="0.25">
      <c r="A65" s="73"/>
      <c r="C65" s="442"/>
      <c r="D65" s="440" t="str">
        <f>'Table for material consumption'!D20</f>
        <v>GI</v>
      </c>
      <c r="E65" s="437">
        <f>(SUMIFS('Material Consumption'!$E$12:$E$50,'Material Consumption'!$D$12:$D$50,'Material Consumption'!$D65)*SUMIFS('GWP &amp; Emission Factors '!$F$154:$F$241,'GWP &amp; Emission Factors '!$E$154:$E$241,'Material Consumption'!$D65))/1000</f>
        <v>3.76</v>
      </c>
      <c r="F65" s="437">
        <f>(SUMIFS('Material Consumption'!$F$12:$F$50,'Material Consumption'!$D$12:$D$50,'Material Consumption'!$D65)*SUMIFS('GWP &amp; Emission Factors '!$F$154:$F$241,'GWP &amp; Emission Factors '!$E$154:$E$241,'Material Consumption'!$D65))/1000</f>
        <v>3.76</v>
      </c>
      <c r="G65" s="437">
        <f>(SUMIFS('Material Consumption'!$G$12:$G$50,'Material Consumption'!$D$12:$D$50,'Material Consumption'!$D65)*SUMIFS('GWP &amp; Emission Factors '!$F$154:$F$241,'GWP &amp; Emission Factors '!$E$154:$E$241,'Material Consumption'!$D65))/1000</f>
        <v>0</v>
      </c>
      <c r="H65" s="437">
        <f>(SUMIFS('Material Consumption'!$H$12:$H$50,'Material Consumption'!$D$12:$D$50,'Material Consumption'!$D65)*SUMIFS('GWP &amp; Emission Factors '!$F$154:$F$241,'GWP &amp; Emission Factors '!$E$154:$E$241,'Material Consumption'!$D65))/1000</f>
        <v>3.76</v>
      </c>
      <c r="I65" s="437">
        <f>(SUMIFS('Material Consumption'!$I$12:$I$50,'Material Consumption'!$D$12:$D$50,'Material Consumption'!$D65)*SUMIFS('GWP &amp; Emission Factors '!$F$154:$F$241,'GWP &amp; Emission Factors '!$E$154:$E$241,'Material Consumption'!$D65))/1000</f>
        <v>1.88</v>
      </c>
      <c r="J65" s="437">
        <f>(SUMIFS('Material Consumption'!$J$12:$J$50,'Material Consumption'!$D$12:$D$50,'Material Consumption'!$D65)*SUMIFS('GWP &amp; Emission Factors '!$F$154:$F$241,'GWP &amp; Emission Factors '!$E$154:$E$241,'Material Consumption'!$D65))/1000</f>
        <v>1.88</v>
      </c>
      <c r="K65" s="437">
        <f>(SUMIFS('Material Consumption'!$K$12:$K$50,'Material Consumption'!$D$12:$D$50,'Material Consumption'!$D65)*SUMIFS('GWP &amp; Emission Factors '!$F$154:$F$241,'GWP &amp; Emission Factors '!$E$154:$E$241,'Material Consumption'!$D65))/1000</f>
        <v>1.88</v>
      </c>
      <c r="L65" s="437">
        <f>(SUMIFS('Material Consumption'!$L$12:$L$50,'Material Consumption'!$D$12:$D$50,'Material Consumption'!$D65)*SUMIFS('GWP &amp; Emission Factors '!$F$154:$F$241,'GWP &amp; Emission Factors '!$E$154:$E$241,'Material Consumption'!$D65))/1000</f>
        <v>1.88</v>
      </c>
      <c r="M65" s="437">
        <f>(SUMIFS('Material Consumption'!$M$12:$M$50,'Material Consumption'!$D$12:$D$50,'Material Consumption'!$D65)*SUMIFS('GWP &amp; Emission Factors '!$F$154:$F$241,'GWP &amp; Emission Factors '!$E$154:$E$241,'Material Consumption'!$D65))/1000</f>
        <v>1.88</v>
      </c>
      <c r="N65" s="437">
        <f>(SUMIFS('Material Consumption'!$N$12:$N$50,'Material Consumption'!$D$12:$D$50,'Material Consumption'!$D65)*SUMIFS('GWP &amp; Emission Factors '!$F$154:$F$241,'GWP &amp; Emission Factors '!$E$154:$E$241,'Material Consumption'!$D65))/1000</f>
        <v>1.88</v>
      </c>
      <c r="O65" s="437">
        <f>(SUMIFS('Material Consumption'!$O$12:$O$50,'Material Consumption'!$D$12:$D$50,'Material Consumption'!$D65)*SUMIFS('GWP &amp; Emission Factors '!$F$154:$F$241,'GWP &amp; Emission Factors '!$E$154:$E$241,'Material Consumption'!$D65))/1000</f>
        <v>1.88</v>
      </c>
      <c r="P65" s="437">
        <f>(SUMIFS('Material Consumption'!$P$12:$P$50,'Material Consumption'!$D$12:$D$50,'Material Consumption'!$D65)*SUMIFS('GWP &amp; Emission Factors '!$F$154:$F$241,'GWP &amp; Emission Factors '!$E$154:$E$241,'Material Consumption'!$D65))/1000</f>
        <v>3.76</v>
      </c>
      <c r="Q65" s="448">
        <f t="shared" si="2"/>
        <v>28.199999999999996</v>
      </c>
    </row>
    <row r="66" spans="1:17" s="26" customFormat="1" x14ac:dyDescent="0.25">
      <c r="A66" s="73"/>
      <c r="C66" s="442"/>
      <c r="D66" s="440" t="str">
        <f>'Table for material consumption'!D21</f>
        <v>SS</v>
      </c>
      <c r="E66" s="437">
        <f>(SUMIFS('Material Consumption'!$E$12:$E$50,'Material Consumption'!$D$12:$D$50,'Material Consumption'!$D66)*SUMIFS('GWP &amp; Emission Factors '!$F$154:$F$241,'GWP &amp; Emission Factors '!$E$154:$E$241,'Material Consumption'!$D66))/1000</f>
        <v>6.15</v>
      </c>
      <c r="F66" s="437">
        <f>(SUMIFS('Material Consumption'!$F$12:$F$50,'Material Consumption'!$D$12:$D$50,'Material Consumption'!$D66)*SUMIFS('GWP &amp; Emission Factors '!$F$154:$F$241,'GWP &amp; Emission Factors '!$E$154:$E$241,'Material Consumption'!$D66))/1000</f>
        <v>6.15</v>
      </c>
      <c r="G66" s="437">
        <f>(SUMIFS('Material Consumption'!$G$12:$G$50,'Material Consumption'!$D$12:$D$50,'Material Consumption'!$D66)*SUMIFS('GWP &amp; Emission Factors '!$F$154:$F$241,'GWP &amp; Emission Factors '!$E$154:$E$241,'Material Consumption'!$D66))/1000</f>
        <v>0</v>
      </c>
      <c r="H66" s="437">
        <f>(SUMIFS('Material Consumption'!$H$12:$H$50,'Material Consumption'!$D$12:$D$50,'Material Consumption'!$D66)*SUMIFS('GWP &amp; Emission Factors '!$F$154:$F$241,'GWP &amp; Emission Factors '!$E$154:$E$241,'Material Consumption'!$D66))/1000</f>
        <v>6.15</v>
      </c>
      <c r="I66" s="437">
        <f>(SUMIFS('Material Consumption'!$I$12:$I$50,'Material Consumption'!$D$12:$D$50,'Material Consumption'!$D66)*SUMIFS('GWP &amp; Emission Factors '!$F$154:$F$241,'GWP &amp; Emission Factors '!$E$154:$E$241,'Material Consumption'!$D66))/1000</f>
        <v>3.0750000000000002</v>
      </c>
      <c r="J66" s="437">
        <f>(SUMIFS('Material Consumption'!$J$12:$J$50,'Material Consumption'!$D$12:$D$50,'Material Consumption'!$D66)*SUMIFS('GWP &amp; Emission Factors '!$F$154:$F$241,'GWP &amp; Emission Factors '!$E$154:$E$241,'Material Consumption'!$D66))/1000</f>
        <v>3.0750000000000002</v>
      </c>
      <c r="K66" s="437">
        <f>(SUMIFS('Material Consumption'!$K$12:$K$50,'Material Consumption'!$D$12:$D$50,'Material Consumption'!$D66)*SUMIFS('GWP &amp; Emission Factors '!$F$154:$F$241,'GWP &amp; Emission Factors '!$E$154:$E$241,'Material Consumption'!$D66))/1000</f>
        <v>3.0750000000000002</v>
      </c>
      <c r="L66" s="437">
        <f>(SUMIFS('Material Consumption'!$L$12:$L$50,'Material Consumption'!$D$12:$D$50,'Material Consumption'!$D66)*SUMIFS('GWP &amp; Emission Factors '!$F$154:$F$241,'GWP &amp; Emission Factors '!$E$154:$E$241,'Material Consumption'!$D66))/1000</f>
        <v>3.0750000000000002</v>
      </c>
      <c r="M66" s="437">
        <f>(SUMIFS('Material Consumption'!$M$12:$M$50,'Material Consumption'!$D$12:$D$50,'Material Consumption'!$D66)*SUMIFS('GWP &amp; Emission Factors '!$F$154:$F$241,'GWP &amp; Emission Factors '!$E$154:$E$241,'Material Consumption'!$D66))/1000</f>
        <v>3.0750000000000002</v>
      </c>
      <c r="N66" s="437">
        <f>(SUMIFS('Material Consumption'!$N$12:$N$50,'Material Consumption'!$D$12:$D$50,'Material Consumption'!$D66)*SUMIFS('GWP &amp; Emission Factors '!$F$154:$F$241,'GWP &amp; Emission Factors '!$E$154:$E$241,'Material Consumption'!$D66))/1000</f>
        <v>3.0750000000000002</v>
      </c>
      <c r="O66" s="437">
        <f>(SUMIFS('Material Consumption'!$O$12:$O$50,'Material Consumption'!$D$12:$D$50,'Material Consumption'!$D66)*SUMIFS('GWP &amp; Emission Factors '!$F$154:$F$241,'GWP &amp; Emission Factors '!$E$154:$E$241,'Material Consumption'!$D66))/1000</f>
        <v>3.0750000000000002</v>
      </c>
      <c r="P66" s="437">
        <f>(SUMIFS('Material Consumption'!$P$12:$P$50,'Material Consumption'!$D$12:$D$50,'Material Consumption'!$D66)*SUMIFS('GWP &amp; Emission Factors '!$F$154:$F$241,'GWP &amp; Emission Factors '!$E$154:$E$241,'Material Consumption'!$D66))/1000</f>
        <v>6.15</v>
      </c>
      <c r="Q66" s="448">
        <f t="shared" si="2"/>
        <v>46.125000000000007</v>
      </c>
    </row>
    <row r="67" spans="1:17" s="26" customFormat="1" x14ac:dyDescent="0.25">
      <c r="A67" s="73"/>
      <c r="C67" s="442"/>
      <c r="D67" s="440" t="str">
        <f>'Table for material consumption'!D22</f>
        <v>MS</v>
      </c>
      <c r="E67" s="437">
        <f>(SUMIFS('Material Consumption'!$E$12:$E$50,'Material Consumption'!$D$12:$D$50,'Material Consumption'!$D67)*SUMIFS('GWP &amp; Emission Factors '!$F$154:$F$241,'GWP &amp; Emission Factors '!$E$154:$E$241,'Material Consumption'!$D67))/1000</f>
        <v>1.85</v>
      </c>
      <c r="F67" s="437">
        <f>(SUMIFS('Material Consumption'!$F$12:$F$50,'Material Consumption'!$D$12:$D$50,'Material Consumption'!$D67)*SUMIFS('GWP &amp; Emission Factors '!$F$154:$F$241,'GWP &amp; Emission Factors '!$E$154:$E$241,'Material Consumption'!$D67))/1000</f>
        <v>1.85</v>
      </c>
      <c r="G67" s="437">
        <f>(SUMIFS('Material Consumption'!$G$12:$G$50,'Material Consumption'!$D$12:$D$50,'Material Consumption'!$D67)*SUMIFS('GWP &amp; Emission Factors '!$F$154:$F$241,'GWP &amp; Emission Factors '!$E$154:$E$241,'Material Consumption'!$D67))/1000</f>
        <v>0</v>
      </c>
      <c r="H67" s="437">
        <f>(SUMIFS('Material Consumption'!$H$12:$H$50,'Material Consumption'!$D$12:$D$50,'Material Consumption'!$D67)*SUMIFS('GWP &amp; Emission Factors '!$F$154:$F$241,'GWP &amp; Emission Factors '!$E$154:$E$241,'Material Consumption'!$D67))/1000</f>
        <v>1.85</v>
      </c>
      <c r="I67" s="437">
        <f>(SUMIFS('Material Consumption'!$I$12:$I$50,'Material Consumption'!$D$12:$D$50,'Material Consumption'!$D67)*SUMIFS('GWP &amp; Emission Factors '!$F$154:$F$241,'GWP &amp; Emission Factors '!$E$154:$E$241,'Material Consumption'!$D67))/1000</f>
        <v>0.92500000000000004</v>
      </c>
      <c r="J67" s="437">
        <f>(SUMIFS('Material Consumption'!$J$12:$J$50,'Material Consumption'!$D$12:$D$50,'Material Consumption'!$D67)*SUMIFS('GWP &amp; Emission Factors '!$F$154:$F$241,'GWP &amp; Emission Factors '!$E$154:$E$241,'Material Consumption'!$D67))/1000</f>
        <v>0.92500000000000004</v>
      </c>
      <c r="K67" s="437">
        <f>(SUMIFS('Material Consumption'!$K$12:$K$50,'Material Consumption'!$D$12:$D$50,'Material Consumption'!$D67)*SUMIFS('GWP &amp; Emission Factors '!$F$154:$F$241,'GWP &amp; Emission Factors '!$E$154:$E$241,'Material Consumption'!$D67))/1000</f>
        <v>0.92500000000000004</v>
      </c>
      <c r="L67" s="437">
        <f>(SUMIFS('Material Consumption'!$L$12:$L$50,'Material Consumption'!$D$12:$D$50,'Material Consumption'!$D67)*SUMIFS('GWP &amp; Emission Factors '!$F$154:$F$241,'GWP &amp; Emission Factors '!$E$154:$E$241,'Material Consumption'!$D67))/1000</f>
        <v>0.92500000000000004</v>
      </c>
      <c r="M67" s="437">
        <f>(SUMIFS('Material Consumption'!$M$12:$M$50,'Material Consumption'!$D$12:$D$50,'Material Consumption'!$D67)*SUMIFS('GWP &amp; Emission Factors '!$F$154:$F$241,'GWP &amp; Emission Factors '!$E$154:$E$241,'Material Consumption'!$D67))/1000</f>
        <v>0.92500000000000004</v>
      </c>
      <c r="N67" s="437">
        <f>(SUMIFS('Material Consumption'!$N$12:$N$50,'Material Consumption'!$D$12:$D$50,'Material Consumption'!$D67)*SUMIFS('GWP &amp; Emission Factors '!$F$154:$F$241,'GWP &amp; Emission Factors '!$E$154:$E$241,'Material Consumption'!$D67))/1000</f>
        <v>0.92500000000000004</v>
      </c>
      <c r="O67" s="437">
        <f>(SUMIFS('Material Consumption'!$O$12:$O$50,'Material Consumption'!$D$12:$D$50,'Material Consumption'!$D67)*SUMIFS('GWP &amp; Emission Factors '!$F$154:$F$241,'GWP &amp; Emission Factors '!$E$154:$E$241,'Material Consumption'!$D67))/1000</f>
        <v>0.92500000000000004</v>
      </c>
      <c r="P67" s="437">
        <f>(SUMIFS('Material Consumption'!$P$12:$P$50,'Material Consumption'!$D$12:$D$50,'Material Consumption'!$D67)*SUMIFS('GWP &amp; Emission Factors '!$F$154:$F$241,'GWP &amp; Emission Factors '!$E$154:$E$241,'Material Consumption'!$D67))/1000</f>
        <v>1.85</v>
      </c>
      <c r="Q67" s="448">
        <f t="shared" si="2"/>
        <v>13.875000000000004</v>
      </c>
    </row>
    <row r="68" spans="1:17" s="26" customFormat="1" x14ac:dyDescent="0.25">
      <c r="A68" s="73"/>
      <c r="C68" s="442"/>
      <c r="D68" s="440" t="str">
        <f>'Table for material consumption'!D23</f>
        <v>opal</v>
      </c>
      <c r="E68" s="437">
        <f>(SUMIFS('Material Consumption'!$E$12:$E$50,'Material Consumption'!$D$12:$D$50,'Material Consumption'!$D68)*SUMIFS('GWP &amp; Emission Factors '!$F$154:$F$241,'GWP &amp; Emission Factors '!$E$154:$E$241,'Material Consumption'!$D68))/1000</f>
        <v>0</v>
      </c>
      <c r="F68" s="437">
        <f>(SUMIFS('Material Consumption'!$F$12:$F$50,'Material Consumption'!$D$12:$D$50,'Material Consumption'!$D68)*SUMIFS('GWP &amp; Emission Factors '!$F$154:$F$241,'GWP &amp; Emission Factors '!$E$154:$E$241,'Material Consumption'!$D68))/1000</f>
        <v>0</v>
      </c>
      <c r="G68" s="437">
        <f>(SUMIFS('Material Consumption'!$G$12:$G$50,'Material Consumption'!$D$12:$D$50,'Material Consumption'!$D68)*SUMIFS('GWP &amp; Emission Factors '!$F$154:$F$241,'GWP &amp; Emission Factors '!$E$154:$E$241,'Material Consumption'!$D68))/1000</f>
        <v>0</v>
      </c>
      <c r="H68" s="437">
        <f>(SUMIFS('Material Consumption'!$H$12:$H$50,'Material Consumption'!$D$12:$D$50,'Material Consumption'!$D68)*SUMIFS('GWP &amp; Emission Factors '!$F$154:$F$241,'GWP &amp; Emission Factors '!$E$154:$E$241,'Material Consumption'!$D68))/1000</f>
        <v>0</v>
      </c>
      <c r="I68" s="437">
        <f>(SUMIFS('Material Consumption'!$I$12:$I$50,'Material Consumption'!$D$12:$D$50,'Material Consumption'!$D68)*SUMIFS('GWP &amp; Emission Factors '!$F$154:$F$241,'GWP &amp; Emission Factors '!$E$154:$E$241,'Material Consumption'!$D68))/1000</f>
        <v>0</v>
      </c>
      <c r="J68" s="437">
        <f>(SUMIFS('Material Consumption'!$J$12:$J$50,'Material Consumption'!$D$12:$D$50,'Material Consumption'!$D68)*SUMIFS('GWP &amp; Emission Factors '!$F$154:$F$241,'GWP &amp; Emission Factors '!$E$154:$E$241,'Material Consumption'!$D68))/1000</f>
        <v>0</v>
      </c>
      <c r="K68" s="437">
        <f>(SUMIFS('Material Consumption'!$K$12:$K$50,'Material Consumption'!$D$12:$D$50,'Material Consumption'!$D68)*SUMIFS('GWP &amp; Emission Factors '!$F$154:$F$241,'GWP &amp; Emission Factors '!$E$154:$E$241,'Material Consumption'!$D68))/1000</f>
        <v>0</v>
      </c>
      <c r="L68" s="437">
        <f>(SUMIFS('Material Consumption'!$L$12:$L$50,'Material Consumption'!$D$12:$D$50,'Material Consumption'!$D68)*SUMIFS('GWP &amp; Emission Factors '!$F$154:$F$241,'GWP &amp; Emission Factors '!$E$154:$E$241,'Material Consumption'!$D68))/1000</f>
        <v>0</v>
      </c>
      <c r="M68" s="437">
        <f>(SUMIFS('Material Consumption'!$M$12:$M$50,'Material Consumption'!$D$12:$D$50,'Material Consumption'!$D68)*SUMIFS('GWP &amp; Emission Factors '!$F$154:$F$241,'GWP &amp; Emission Factors '!$E$154:$E$241,'Material Consumption'!$D68))/1000</f>
        <v>0</v>
      </c>
      <c r="N68" s="437">
        <f>(SUMIFS('Material Consumption'!$N$12:$N$50,'Material Consumption'!$D$12:$D$50,'Material Consumption'!$D68)*SUMIFS('GWP &amp; Emission Factors '!$F$154:$F$241,'GWP &amp; Emission Factors '!$E$154:$E$241,'Material Consumption'!$D68))/1000</f>
        <v>0</v>
      </c>
      <c r="O68" s="437">
        <f>(SUMIFS('Material Consumption'!$O$12:$O$50,'Material Consumption'!$D$12:$D$50,'Material Consumption'!$D68)*SUMIFS('GWP &amp; Emission Factors '!$F$154:$F$241,'GWP &amp; Emission Factors '!$E$154:$E$241,'Material Consumption'!$D68))/1000</f>
        <v>0</v>
      </c>
      <c r="P68" s="437">
        <f>(SUMIFS('Material Consumption'!$P$12:$P$50,'Material Consumption'!$D$12:$D$50,'Material Consumption'!$D68)*SUMIFS('GWP &amp; Emission Factors '!$F$154:$F$241,'GWP &amp; Emission Factors '!$E$154:$E$241,'Material Consumption'!$D68))/1000</f>
        <v>0</v>
      </c>
      <c r="Q68" s="448">
        <f t="shared" si="2"/>
        <v>0</v>
      </c>
    </row>
    <row r="69" spans="1:17" s="26" customFormat="1" x14ac:dyDescent="0.25">
      <c r="A69" s="73"/>
      <c r="C69" s="442"/>
      <c r="D69" s="440" t="str">
        <f>'Table for material consumption'!D24</f>
        <v>Polycarbonate</v>
      </c>
      <c r="E69" s="437">
        <f>(SUMIFS('Material Consumption'!$E$12:$E$50,'Material Consumption'!$D$12:$D$50,'Material Consumption'!$D69)*SUMIFS('GWP &amp; Emission Factors '!$F$154:$F$241,'GWP &amp; Emission Factors '!$E$154:$E$241,'Material Consumption'!$D69))/1000</f>
        <v>7.62</v>
      </c>
      <c r="F69" s="437">
        <f>(SUMIFS('Material Consumption'!$F$12:$F$50,'Material Consumption'!$D$12:$D$50,'Material Consumption'!$D69)*SUMIFS('GWP &amp; Emission Factors '!$F$154:$F$241,'GWP &amp; Emission Factors '!$E$154:$E$241,'Material Consumption'!$D69))/1000</f>
        <v>7.62</v>
      </c>
      <c r="G69" s="437">
        <f>(SUMIFS('Material Consumption'!$G$12:$G$50,'Material Consumption'!$D$12:$D$50,'Material Consumption'!$D69)*SUMIFS('GWP &amp; Emission Factors '!$F$154:$F$241,'GWP &amp; Emission Factors '!$E$154:$E$241,'Material Consumption'!$D69))/1000</f>
        <v>0</v>
      </c>
      <c r="H69" s="437">
        <f>(SUMIFS('Material Consumption'!$H$12:$H$50,'Material Consumption'!$D$12:$D$50,'Material Consumption'!$D69)*SUMIFS('GWP &amp; Emission Factors '!$F$154:$F$241,'GWP &amp; Emission Factors '!$E$154:$E$241,'Material Consumption'!$D69))/1000</f>
        <v>7.62</v>
      </c>
      <c r="I69" s="437">
        <f>(SUMIFS('Material Consumption'!$I$12:$I$50,'Material Consumption'!$D$12:$D$50,'Material Consumption'!$D69)*SUMIFS('GWP &amp; Emission Factors '!$F$154:$F$241,'GWP &amp; Emission Factors '!$E$154:$E$241,'Material Consumption'!$D69))/1000</f>
        <v>3.81</v>
      </c>
      <c r="J69" s="437">
        <f>(SUMIFS('Material Consumption'!$J$12:$J$50,'Material Consumption'!$D$12:$D$50,'Material Consumption'!$D69)*SUMIFS('GWP &amp; Emission Factors '!$F$154:$F$241,'GWP &amp; Emission Factors '!$E$154:$E$241,'Material Consumption'!$D69))/1000</f>
        <v>3.81</v>
      </c>
      <c r="K69" s="437">
        <f>(SUMIFS('Material Consumption'!$K$12:$K$50,'Material Consumption'!$D$12:$D$50,'Material Consumption'!$D69)*SUMIFS('GWP &amp; Emission Factors '!$F$154:$F$241,'GWP &amp; Emission Factors '!$E$154:$E$241,'Material Consumption'!$D69))/1000</f>
        <v>3.81</v>
      </c>
      <c r="L69" s="437">
        <f>(SUMIFS('Material Consumption'!$L$12:$L$50,'Material Consumption'!$D$12:$D$50,'Material Consumption'!$D69)*SUMIFS('GWP &amp; Emission Factors '!$F$154:$F$241,'GWP &amp; Emission Factors '!$E$154:$E$241,'Material Consumption'!$D69))/1000</f>
        <v>3.81</v>
      </c>
      <c r="M69" s="437">
        <f>(SUMIFS('Material Consumption'!$M$12:$M$50,'Material Consumption'!$D$12:$D$50,'Material Consumption'!$D69)*SUMIFS('GWP &amp; Emission Factors '!$F$154:$F$241,'GWP &amp; Emission Factors '!$E$154:$E$241,'Material Consumption'!$D69))/1000</f>
        <v>3.81</v>
      </c>
      <c r="N69" s="437">
        <f>(SUMIFS('Material Consumption'!$N$12:$N$50,'Material Consumption'!$D$12:$D$50,'Material Consumption'!$D69)*SUMIFS('GWP &amp; Emission Factors '!$F$154:$F$241,'GWP &amp; Emission Factors '!$E$154:$E$241,'Material Consumption'!$D69))/1000</f>
        <v>3.81</v>
      </c>
      <c r="O69" s="437">
        <f>(SUMIFS('Material Consumption'!$O$12:$O$50,'Material Consumption'!$D$12:$D$50,'Material Consumption'!$D69)*SUMIFS('GWP &amp; Emission Factors '!$F$154:$F$241,'GWP &amp; Emission Factors '!$E$154:$E$241,'Material Consumption'!$D69))/1000</f>
        <v>3.81</v>
      </c>
      <c r="P69" s="437">
        <f>(SUMIFS('Material Consumption'!$P$12:$P$50,'Material Consumption'!$D$12:$D$50,'Material Consumption'!$D69)*SUMIFS('GWP &amp; Emission Factors '!$F$154:$F$241,'GWP &amp; Emission Factors '!$E$154:$E$241,'Material Consumption'!$D69))/1000</f>
        <v>7.62</v>
      </c>
      <c r="Q69" s="448">
        <f t="shared" si="2"/>
        <v>57.150000000000006</v>
      </c>
    </row>
    <row r="70" spans="1:17" s="26" customFormat="1" x14ac:dyDescent="0.25">
      <c r="A70" s="73"/>
      <c r="C70" s="442"/>
      <c r="D70" s="440" t="str">
        <f>'Table for material consumption'!D25</f>
        <v>Primer</v>
      </c>
      <c r="E70" s="437">
        <f>(SUMIFS('Material Consumption'!$E$12:$E$50,'Material Consumption'!$D$12:$D$50,'Material Consumption'!$D70)*SUMIFS('GWP &amp; Emission Factors '!$F$154:$F$241,'GWP &amp; Emission Factors '!$E$154:$E$241,'Material Consumption'!$D70))/1000</f>
        <v>1.63</v>
      </c>
      <c r="F70" s="437">
        <f>(SUMIFS('Material Consumption'!$F$12:$F$50,'Material Consumption'!$D$12:$D$50,'Material Consumption'!$D70)*SUMIFS('GWP &amp; Emission Factors '!$F$154:$F$241,'GWP &amp; Emission Factors '!$E$154:$E$241,'Material Consumption'!$D70))/1000</f>
        <v>1.63</v>
      </c>
      <c r="G70" s="437">
        <f>(SUMIFS('Material Consumption'!$G$12:$G$50,'Material Consumption'!$D$12:$D$50,'Material Consumption'!$D70)*SUMIFS('GWP &amp; Emission Factors '!$F$154:$F$241,'GWP &amp; Emission Factors '!$E$154:$E$241,'Material Consumption'!$D70))/1000</f>
        <v>0</v>
      </c>
      <c r="H70" s="437">
        <f>(SUMIFS('Material Consumption'!$H$12:$H$50,'Material Consumption'!$D$12:$D$50,'Material Consumption'!$D70)*SUMIFS('GWP &amp; Emission Factors '!$F$154:$F$241,'GWP &amp; Emission Factors '!$E$154:$E$241,'Material Consumption'!$D70))/1000</f>
        <v>1.63</v>
      </c>
      <c r="I70" s="437">
        <f>(SUMIFS('Material Consumption'!$I$12:$I$50,'Material Consumption'!$D$12:$D$50,'Material Consumption'!$D70)*SUMIFS('GWP &amp; Emission Factors '!$F$154:$F$241,'GWP &amp; Emission Factors '!$E$154:$E$241,'Material Consumption'!$D70))/1000</f>
        <v>0.81499999999999995</v>
      </c>
      <c r="J70" s="437">
        <f>(SUMIFS('Material Consumption'!$J$12:$J$50,'Material Consumption'!$D$12:$D$50,'Material Consumption'!$D70)*SUMIFS('GWP &amp; Emission Factors '!$F$154:$F$241,'GWP &amp; Emission Factors '!$E$154:$E$241,'Material Consumption'!$D70))/1000</f>
        <v>0.81499999999999995</v>
      </c>
      <c r="K70" s="437">
        <f>(SUMIFS('Material Consumption'!$K$12:$K$50,'Material Consumption'!$D$12:$D$50,'Material Consumption'!$D70)*SUMIFS('GWP &amp; Emission Factors '!$F$154:$F$241,'GWP &amp; Emission Factors '!$E$154:$E$241,'Material Consumption'!$D70))/1000</f>
        <v>0.81499999999999995</v>
      </c>
      <c r="L70" s="437">
        <f>(SUMIFS('Material Consumption'!$L$12:$L$50,'Material Consumption'!$D$12:$D$50,'Material Consumption'!$D70)*SUMIFS('GWP &amp; Emission Factors '!$F$154:$F$241,'GWP &amp; Emission Factors '!$E$154:$E$241,'Material Consumption'!$D70))/1000</f>
        <v>0.81499999999999995</v>
      </c>
      <c r="M70" s="437">
        <f>(SUMIFS('Material Consumption'!$M$12:$M$50,'Material Consumption'!$D$12:$D$50,'Material Consumption'!$D70)*SUMIFS('GWP &amp; Emission Factors '!$F$154:$F$241,'GWP &amp; Emission Factors '!$E$154:$E$241,'Material Consumption'!$D70))/1000</f>
        <v>0.81499999999999995</v>
      </c>
      <c r="N70" s="437">
        <f>(SUMIFS('Material Consumption'!$N$12:$N$50,'Material Consumption'!$D$12:$D$50,'Material Consumption'!$D70)*SUMIFS('GWP &amp; Emission Factors '!$F$154:$F$241,'GWP &amp; Emission Factors '!$E$154:$E$241,'Material Consumption'!$D70))/1000</f>
        <v>0.81499999999999995</v>
      </c>
      <c r="O70" s="437">
        <f>(SUMIFS('Material Consumption'!$O$12:$O$50,'Material Consumption'!$D$12:$D$50,'Material Consumption'!$D70)*SUMIFS('GWP &amp; Emission Factors '!$F$154:$F$241,'GWP &amp; Emission Factors '!$E$154:$E$241,'Material Consumption'!$D70))/1000</f>
        <v>0.81499999999999995</v>
      </c>
      <c r="P70" s="437">
        <f>(SUMIFS('Material Consumption'!$P$12:$P$50,'Material Consumption'!$D$12:$D$50,'Material Consumption'!$D70)*SUMIFS('GWP &amp; Emission Factors '!$F$154:$F$241,'GWP &amp; Emission Factors '!$E$154:$E$241,'Material Consumption'!$D70))/1000</f>
        <v>1.63</v>
      </c>
      <c r="Q70" s="448">
        <f t="shared" si="2"/>
        <v>12.224999999999998</v>
      </c>
    </row>
    <row r="71" spans="1:17" s="26" customFormat="1" x14ac:dyDescent="0.25">
      <c r="A71" s="73"/>
      <c r="C71" s="442"/>
      <c r="D71" s="440" t="str">
        <f>'Table for material consumption'!D26</f>
        <v>Cement Primer</v>
      </c>
      <c r="E71" s="437">
        <f>(SUMIFS('Material Consumption'!$E$12:$E$50,'Material Consumption'!$D$12:$D$50,'Material Consumption'!$D71)*SUMIFS('GWP &amp; Emission Factors '!$F$154:$F$241,'GWP &amp; Emission Factors '!$E$154:$E$241,'Material Consumption'!$D71))/1000</f>
        <v>1.63</v>
      </c>
      <c r="F71" s="437">
        <f>(SUMIFS('Material Consumption'!$F$12:$F$50,'Material Consumption'!$D$12:$D$50,'Material Consumption'!$D71)*SUMIFS('GWP &amp; Emission Factors '!$F$154:$F$241,'GWP &amp; Emission Factors '!$E$154:$E$241,'Material Consumption'!$D71))/1000</f>
        <v>1.63</v>
      </c>
      <c r="G71" s="437">
        <f>(SUMIFS('Material Consumption'!$G$12:$G$50,'Material Consumption'!$D$12:$D$50,'Material Consumption'!$D71)*SUMIFS('GWP &amp; Emission Factors '!$F$154:$F$241,'GWP &amp; Emission Factors '!$E$154:$E$241,'Material Consumption'!$D71))/1000</f>
        <v>0</v>
      </c>
      <c r="H71" s="437">
        <f>(SUMIFS('Material Consumption'!$H$12:$H$50,'Material Consumption'!$D$12:$D$50,'Material Consumption'!$D71)*SUMIFS('GWP &amp; Emission Factors '!$F$154:$F$241,'GWP &amp; Emission Factors '!$E$154:$E$241,'Material Consumption'!$D71))/1000</f>
        <v>1.63</v>
      </c>
      <c r="I71" s="437">
        <f>(SUMIFS('Material Consumption'!$I$12:$I$50,'Material Consumption'!$D$12:$D$50,'Material Consumption'!$D71)*SUMIFS('GWP &amp; Emission Factors '!$F$154:$F$241,'GWP &amp; Emission Factors '!$E$154:$E$241,'Material Consumption'!$D71))/1000</f>
        <v>0.81499999999999995</v>
      </c>
      <c r="J71" s="437">
        <f>(SUMIFS('Material Consumption'!$J$12:$J$50,'Material Consumption'!$D$12:$D$50,'Material Consumption'!$D71)*SUMIFS('GWP &amp; Emission Factors '!$F$154:$F$241,'GWP &amp; Emission Factors '!$E$154:$E$241,'Material Consumption'!$D71))/1000</f>
        <v>0.81499999999999995</v>
      </c>
      <c r="K71" s="437">
        <f>(SUMIFS('Material Consumption'!$K$12:$K$50,'Material Consumption'!$D$12:$D$50,'Material Consumption'!$D71)*SUMIFS('GWP &amp; Emission Factors '!$F$154:$F$241,'GWP &amp; Emission Factors '!$E$154:$E$241,'Material Consumption'!$D71))/1000</f>
        <v>0.81499999999999995</v>
      </c>
      <c r="L71" s="437">
        <f>(SUMIFS('Material Consumption'!$L$12:$L$50,'Material Consumption'!$D$12:$D$50,'Material Consumption'!$D71)*SUMIFS('GWP &amp; Emission Factors '!$F$154:$F$241,'GWP &amp; Emission Factors '!$E$154:$E$241,'Material Consumption'!$D71))/1000</f>
        <v>0.81499999999999995</v>
      </c>
      <c r="M71" s="437">
        <f>(SUMIFS('Material Consumption'!$M$12:$M$50,'Material Consumption'!$D$12:$D$50,'Material Consumption'!$D71)*SUMIFS('GWP &amp; Emission Factors '!$F$154:$F$241,'GWP &amp; Emission Factors '!$E$154:$E$241,'Material Consumption'!$D71))/1000</f>
        <v>0.81499999999999995</v>
      </c>
      <c r="N71" s="437">
        <f>(SUMIFS('Material Consumption'!$N$12:$N$50,'Material Consumption'!$D$12:$D$50,'Material Consumption'!$D71)*SUMIFS('GWP &amp; Emission Factors '!$F$154:$F$241,'GWP &amp; Emission Factors '!$E$154:$E$241,'Material Consumption'!$D71))/1000</f>
        <v>0.81499999999999995</v>
      </c>
      <c r="O71" s="437">
        <f>(SUMIFS('Material Consumption'!$O$12:$O$50,'Material Consumption'!$D$12:$D$50,'Material Consumption'!$D71)*SUMIFS('GWP &amp; Emission Factors '!$F$154:$F$241,'GWP &amp; Emission Factors '!$E$154:$E$241,'Material Consumption'!$D71))/1000</f>
        <v>0.81499999999999995</v>
      </c>
      <c r="P71" s="437">
        <f>(SUMIFS('Material Consumption'!$P$12:$P$50,'Material Consumption'!$D$12:$D$50,'Material Consumption'!$D71)*SUMIFS('GWP &amp; Emission Factors '!$F$154:$F$241,'GWP &amp; Emission Factors '!$E$154:$E$241,'Material Consumption'!$D71))/1000</f>
        <v>1.63</v>
      </c>
      <c r="Q71" s="448">
        <f t="shared" si="2"/>
        <v>12.224999999999998</v>
      </c>
    </row>
    <row r="72" spans="1:17" s="26" customFormat="1" x14ac:dyDescent="0.25">
      <c r="A72" s="73"/>
      <c r="C72" s="442"/>
      <c r="D72" s="440" t="str">
        <f>'Table for material consumption'!D27</f>
        <v>White primer</v>
      </c>
      <c r="E72" s="437">
        <f>(SUMIFS('Material Consumption'!$E$12:$E$50,'Material Consumption'!$D$12:$D$50,'Material Consumption'!$D72)*SUMIFS('GWP &amp; Emission Factors '!$F$154:$F$241,'GWP &amp; Emission Factors '!$E$154:$E$241,'Material Consumption'!$D72))/1000</f>
        <v>1.38</v>
      </c>
      <c r="F72" s="437">
        <f>(SUMIFS('Material Consumption'!$F$12:$F$50,'Material Consumption'!$D$12:$D$50,'Material Consumption'!$D72)*SUMIFS('GWP &amp; Emission Factors '!$F$154:$F$241,'GWP &amp; Emission Factors '!$E$154:$E$241,'Material Consumption'!$D72))/1000</f>
        <v>1.38</v>
      </c>
      <c r="G72" s="437">
        <f>(SUMIFS('Material Consumption'!$G$12:$G$50,'Material Consumption'!$D$12:$D$50,'Material Consumption'!$D72)*SUMIFS('GWP &amp; Emission Factors '!$F$154:$F$241,'GWP &amp; Emission Factors '!$E$154:$E$241,'Material Consumption'!$D72))/1000</f>
        <v>0</v>
      </c>
      <c r="H72" s="437">
        <f>(SUMIFS('Material Consumption'!$H$12:$H$50,'Material Consumption'!$D$12:$D$50,'Material Consumption'!$D72)*SUMIFS('GWP &amp; Emission Factors '!$F$154:$F$241,'GWP &amp; Emission Factors '!$E$154:$E$241,'Material Consumption'!$D72))/1000</f>
        <v>1.38</v>
      </c>
      <c r="I72" s="437">
        <f>(SUMIFS('Material Consumption'!$I$12:$I$50,'Material Consumption'!$D$12:$D$50,'Material Consumption'!$D72)*SUMIFS('GWP &amp; Emission Factors '!$F$154:$F$241,'GWP &amp; Emission Factors '!$E$154:$E$241,'Material Consumption'!$D72))/1000</f>
        <v>0.69</v>
      </c>
      <c r="J72" s="437">
        <f>(SUMIFS('Material Consumption'!$J$12:$J$50,'Material Consumption'!$D$12:$D$50,'Material Consumption'!$D72)*SUMIFS('GWP &amp; Emission Factors '!$F$154:$F$241,'GWP &amp; Emission Factors '!$E$154:$E$241,'Material Consumption'!$D72))/1000</f>
        <v>0.69</v>
      </c>
      <c r="K72" s="437">
        <f>(SUMIFS('Material Consumption'!$K$12:$K$50,'Material Consumption'!$D$12:$D$50,'Material Consumption'!$D72)*SUMIFS('GWP &amp; Emission Factors '!$F$154:$F$241,'GWP &amp; Emission Factors '!$E$154:$E$241,'Material Consumption'!$D72))/1000</f>
        <v>0.69</v>
      </c>
      <c r="L72" s="437">
        <f>(SUMIFS('Material Consumption'!$L$12:$L$50,'Material Consumption'!$D$12:$D$50,'Material Consumption'!$D72)*SUMIFS('GWP &amp; Emission Factors '!$F$154:$F$241,'GWP &amp; Emission Factors '!$E$154:$E$241,'Material Consumption'!$D72))/1000</f>
        <v>0.69</v>
      </c>
      <c r="M72" s="437">
        <f>(SUMIFS('Material Consumption'!$M$12:$M$50,'Material Consumption'!$D$12:$D$50,'Material Consumption'!$D72)*SUMIFS('GWP &amp; Emission Factors '!$F$154:$F$241,'GWP &amp; Emission Factors '!$E$154:$E$241,'Material Consumption'!$D72))/1000</f>
        <v>0.69</v>
      </c>
      <c r="N72" s="437">
        <f>(SUMIFS('Material Consumption'!$N$12:$N$50,'Material Consumption'!$D$12:$D$50,'Material Consumption'!$D72)*SUMIFS('GWP &amp; Emission Factors '!$F$154:$F$241,'GWP &amp; Emission Factors '!$E$154:$E$241,'Material Consumption'!$D72))/1000</f>
        <v>0.69</v>
      </c>
      <c r="O72" s="437">
        <f>(SUMIFS('Material Consumption'!$O$12:$O$50,'Material Consumption'!$D$12:$D$50,'Material Consumption'!$D72)*SUMIFS('GWP &amp; Emission Factors '!$F$154:$F$241,'GWP &amp; Emission Factors '!$E$154:$E$241,'Material Consumption'!$D72))/1000</f>
        <v>0.69</v>
      </c>
      <c r="P72" s="437">
        <f>(SUMIFS('Material Consumption'!$P$12:$P$50,'Material Consumption'!$D$12:$D$50,'Material Consumption'!$D72)*SUMIFS('GWP &amp; Emission Factors '!$F$154:$F$241,'GWP &amp; Emission Factors '!$E$154:$E$241,'Material Consumption'!$D72))/1000</f>
        <v>1.38</v>
      </c>
      <c r="Q72" s="448">
        <f t="shared" si="2"/>
        <v>10.349999999999998</v>
      </c>
    </row>
    <row r="73" spans="1:17" s="26" customFormat="1" x14ac:dyDescent="0.25">
      <c r="A73" s="73"/>
      <c r="C73" s="442"/>
      <c r="D73" s="440" t="str">
        <f>'Table for material consumption'!D28</f>
        <v>Wood primer</v>
      </c>
      <c r="E73" s="437">
        <f>(SUMIFS('Material Consumption'!$E$12:$E$50,'Material Consumption'!$D$12:$D$50,'Material Consumption'!$D73)*SUMIFS('GWP &amp; Emission Factors '!$F$154:$F$241,'GWP &amp; Emission Factors '!$E$154:$E$241,'Material Consumption'!$D73))/1000</f>
        <v>1.42</v>
      </c>
      <c r="F73" s="437">
        <f>(SUMIFS('Material Consumption'!$F$12:$F$50,'Material Consumption'!$D$12:$D$50,'Material Consumption'!$D73)*SUMIFS('GWP &amp; Emission Factors '!$F$154:$F$241,'GWP &amp; Emission Factors '!$E$154:$E$241,'Material Consumption'!$D73))/1000</f>
        <v>1.42</v>
      </c>
      <c r="G73" s="437">
        <f>(SUMIFS('Material Consumption'!$G$12:$G$50,'Material Consumption'!$D$12:$D$50,'Material Consumption'!$D73)*SUMIFS('GWP &amp; Emission Factors '!$F$154:$F$241,'GWP &amp; Emission Factors '!$E$154:$E$241,'Material Consumption'!$D73))/1000</f>
        <v>0</v>
      </c>
      <c r="H73" s="437">
        <f>(SUMIFS('Material Consumption'!$H$12:$H$50,'Material Consumption'!$D$12:$D$50,'Material Consumption'!$D73)*SUMIFS('GWP &amp; Emission Factors '!$F$154:$F$241,'GWP &amp; Emission Factors '!$E$154:$E$241,'Material Consumption'!$D73))/1000</f>
        <v>1.42</v>
      </c>
      <c r="I73" s="437">
        <f>(SUMIFS('Material Consumption'!$I$12:$I$50,'Material Consumption'!$D$12:$D$50,'Material Consumption'!$D73)*SUMIFS('GWP &amp; Emission Factors '!$F$154:$F$241,'GWP &amp; Emission Factors '!$E$154:$E$241,'Material Consumption'!$D73))/1000</f>
        <v>0.71</v>
      </c>
      <c r="J73" s="437">
        <f>(SUMIFS('Material Consumption'!$J$12:$J$50,'Material Consumption'!$D$12:$D$50,'Material Consumption'!$D73)*SUMIFS('GWP &amp; Emission Factors '!$F$154:$F$241,'GWP &amp; Emission Factors '!$E$154:$E$241,'Material Consumption'!$D73))/1000</f>
        <v>0.71</v>
      </c>
      <c r="K73" s="437">
        <f>(SUMIFS('Material Consumption'!$K$12:$K$50,'Material Consumption'!$D$12:$D$50,'Material Consumption'!$D73)*SUMIFS('GWP &amp; Emission Factors '!$F$154:$F$241,'GWP &amp; Emission Factors '!$E$154:$E$241,'Material Consumption'!$D73))/1000</f>
        <v>0.71</v>
      </c>
      <c r="L73" s="437">
        <f>(SUMIFS('Material Consumption'!$L$12:$L$50,'Material Consumption'!$D$12:$D$50,'Material Consumption'!$D73)*SUMIFS('GWP &amp; Emission Factors '!$F$154:$F$241,'GWP &amp; Emission Factors '!$E$154:$E$241,'Material Consumption'!$D73))/1000</f>
        <v>0.71</v>
      </c>
      <c r="M73" s="437">
        <f>(SUMIFS('Material Consumption'!$M$12:$M$50,'Material Consumption'!$D$12:$D$50,'Material Consumption'!$D73)*SUMIFS('GWP &amp; Emission Factors '!$F$154:$F$241,'GWP &amp; Emission Factors '!$E$154:$E$241,'Material Consumption'!$D73))/1000</f>
        <v>0.71</v>
      </c>
      <c r="N73" s="437">
        <f>(SUMIFS('Material Consumption'!$N$12:$N$50,'Material Consumption'!$D$12:$D$50,'Material Consumption'!$D73)*SUMIFS('GWP &amp; Emission Factors '!$F$154:$F$241,'GWP &amp; Emission Factors '!$E$154:$E$241,'Material Consumption'!$D73))/1000</f>
        <v>0.71</v>
      </c>
      <c r="O73" s="437">
        <f>(SUMIFS('Material Consumption'!$O$12:$O$50,'Material Consumption'!$D$12:$D$50,'Material Consumption'!$D73)*SUMIFS('GWP &amp; Emission Factors '!$F$154:$F$241,'GWP &amp; Emission Factors '!$E$154:$E$241,'Material Consumption'!$D73))/1000</f>
        <v>0.71</v>
      </c>
      <c r="P73" s="437">
        <f>(SUMIFS('Material Consumption'!$P$12:$P$50,'Material Consumption'!$D$12:$D$50,'Material Consumption'!$D73)*SUMIFS('GWP &amp; Emission Factors '!$F$154:$F$241,'GWP &amp; Emission Factors '!$E$154:$E$241,'Material Consumption'!$D73))/1000</f>
        <v>1.42</v>
      </c>
      <c r="Q73" s="448">
        <f t="shared" si="2"/>
        <v>10.65</v>
      </c>
    </row>
    <row r="74" spans="1:17" s="26" customFormat="1" x14ac:dyDescent="0.25">
      <c r="A74" s="73"/>
      <c r="C74" s="442"/>
      <c r="D74" s="440" t="str">
        <f>'Table for material consumption'!D29</f>
        <v>Metal primer</v>
      </c>
      <c r="E74" s="437">
        <f>(SUMIFS('Material Consumption'!$E$12:$E$50,'Material Consumption'!$D$12:$D$50,'Material Consumption'!$D74)*SUMIFS('GWP &amp; Emission Factors '!$F$154:$F$241,'GWP &amp; Emission Factors '!$E$154:$E$241,'Material Consumption'!$D74))/1000</f>
        <v>1.1299999999999999</v>
      </c>
      <c r="F74" s="437">
        <f>(SUMIFS('Material Consumption'!$F$12:$F$50,'Material Consumption'!$D$12:$D$50,'Material Consumption'!$D74)*SUMIFS('GWP &amp; Emission Factors '!$F$154:$F$241,'GWP &amp; Emission Factors '!$E$154:$E$241,'Material Consumption'!$D74))/1000</f>
        <v>1.1299999999999999</v>
      </c>
      <c r="G74" s="437">
        <f>(SUMIFS('Material Consumption'!$G$12:$G$50,'Material Consumption'!$D$12:$D$50,'Material Consumption'!$D74)*SUMIFS('GWP &amp; Emission Factors '!$F$154:$F$241,'GWP &amp; Emission Factors '!$E$154:$E$241,'Material Consumption'!$D74))/1000</f>
        <v>0</v>
      </c>
      <c r="H74" s="437">
        <f>(SUMIFS('Material Consumption'!$H$12:$H$50,'Material Consumption'!$D$12:$D$50,'Material Consumption'!$D74)*SUMIFS('GWP &amp; Emission Factors '!$F$154:$F$241,'GWP &amp; Emission Factors '!$E$154:$E$241,'Material Consumption'!$D74))/1000</f>
        <v>1.1299999999999999</v>
      </c>
      <c r="I74" s="437">
        <f>(SUMIFS('Material Consumption'!$I$12:$I$50,'Material Consumption'!$D$12:$D$50,'Material Consumption'!$D74)*SUMIFS('GWP &amp; Emission Factors '!$F$154:$F$241,'GWP &amp; Emission Factors '!$E$154:$E$241,'Material Consumption'!$D74))/1000</f>
        <v>0.56499999999999995</v>
      </c>
      <c r="J74" s="437">
        <f>(SUMIFS('Material Consumption'!$J$12:$J$50,'Material Consumption'!$D$12:$D$50,'Material Consumption'!$D74)*SUMIFS('GWP &amp; Emission Factors '!$F$154:$F$241,'GWP &amp; Emission Factors '!$E$154:$E$241,'Material Consumption'!$D74))/1000</f>
        <v>0.56499999999999995</v>
      </c>
      <c r="K74" s="437">
        <f>(SUMIFS('Material Consumption'!$K$12:$K$50,'Material Consumption'!$D$12:$D$50,'Material Consumption'!$D74)*SUMIFS('GWP &amp; Emission Factors '!$F$154:$F$241,'GWP &amp; Emission Factors '!$E$154:$E$241,'Material Consumption'!$D74))/1000</f>
        <v>0.56499999999999995</v>
      </c>
      <c r="L74" s="437">
        <f>(SUMIFS('Material Consumption'!$L$12:$L$50,'Material Consumption'!$D$12:$D$50,'Material Consumption'!$D74)*SUMIFS('GWP &amp; Emission Factors '!$F$154:$F$241,'GWP &amp; Emission Factors '!$E$154:$E$241,'Material Consumption'!$D74))/1000</f>
        <v>0.56499999999999995</v>
      </c>
      <c r="M74" s="437">
        <f>(SUMIFS('Material Consumption'!$M$12:$M$50,'Material Consumption'!$D$12:$D$50,'Material Consumption'!$D74)*SUMIFS('GWP &amp; Emission Factors '!$F$154:$F$241,'GWP &amp; Emission Factors '!$E$154:$E$241,'Material Consumption'!$D74))/1000</f>
        <v>0.56499999999999995</v>
      </c>
      <c r="N74" s="437">
        <f>(SUMIFS('Material Consumption'!$N$12:$N$50,'Material Consumption'!$D$12:$D$50,'Material Consumption'!$D74)*SUMIFS('GWP &amp; Emission Factors '!$F$154:$F$241,'GWP &amp; Emission Factors '!$E$154:$E$241,'Material Consumption'!$D74))/1000</f>
        <v>0.56499999999999995</v>
      </c>
      <c r="O74" s="437">
        <f>(SUMIFS('Material Consumption'!$O$12:$O$50,'Material Consumption'!$D$12:$D$50,'Material Consumption'!$D74)*SUMIFS('GWP &amp; Emission Factors '!$F$154:$F$241,'GWP &amp; Emission Factors '!$E$154:$E$241,'Material Consumption'!$D74))/1000</f>
        <v>0.56499999999999995</v>
      </c>
      <c r="P74" s="437">
        <f>(SUMIFS('Material Consumption'!$P$12:$P$50,'Material Consumption'!$D$12:$D$50,'Material Consumption'!$D74)*SUMIFS('GWP &amp; Emission Factors '!$F$154:$F$241,'GWP &amp; Emission Factors '!$E$154:$E$241,'Material Consumption'!$D74))/1000</f>
        <v>1.1299999999999999</v>
      </c>
      <c r="Q74" s="448">
        <f t="shared" si="2"/>
        <v>8.4749999999999979</v>
      </c>
    </row>
    <row r="75" spans="1:17" s="26" customFormat="1" ht="39" x14ac:dyDescent="0.25">
      <c r="A75" s="73"/>
      <c r="C75" s="442"/>
      <c r="D75" s="440" t="str">
        <f>'Table for material consumption'!D30</f>
        <v>Yellow primer for MS and non-ferrous metals</v>
      </c>
      <c r="E75" s="437">
        <f>(SUMIFS('Material Consumption'!$E$12:$E$50,'Material Consumption'!$D$12:$D$50,'Material Consumption'!$D75)*SUMIFS('GWP &amp; Emission Factors '!$F$154:$F$241,'GWP &amp; Emission Factors '!$E$154:$E$241,'Material Consumption'!$D75))/1000</f>
        <v>1.1299999999999999</v>
      </c>
      <c r="F75" s="437">
        <f>(SUMIFS('Material Consumption'!$F$12:$F$50,'Material Consumption'!$D$12:$D$50,'Material Consumption'!$D75)*SUMIFS('GWP &amp; Emission Factors '!$F$154:$F$241,'GWP &amp; Emission Factors '!$E$154:$E$241,'Material Consumption'!$D75))/1000</f>
        <v>1.1299999999999999</v>
      </c>
      <c r="G75" s="437">
        <f>(SUMIFS('Material Consumption'!$G$12:$G$50,'Material Consumption'!$D$12:$D$50,'Material Consumption'!$D75)*SUMIFS('GWP &amp; Emission Factors '!$F$154:$F$241,'GWP &amp; Emission Factors '!$E$154:$E$241,'Material Consumption'!$D75))/1000</f>
        <v>0</v>
      </c>
      <c r="H75" s="437">
        <f>(SUMIFS('Material Consumption'!$H$12:$H$50,'Material Consumption'!$D$12:$D$50,'Material Consumption'!$D75)*SUMIFS('GWP &amp; Emission Factors '!$F$154:$F$241,'GWP &amp; Emission Factors '!$E$154:$E$241,'Material Consumption'!$D75))/1000</f>
        <v>1.1299999999999999</v>
      </c>
      <c r="I75" s="437">
        <f>(SUMIFS('Material Consumption'!$I$12:$I$50,'Material Consumption'!$D$12:$D$50,'Material Consumption'!$D75)*SUMIFS('GWP &amp; Emission Factors '!$F$154:$F$241,'GWP &amp; Emission Factors '!$E$154:$E$241,'Material Consumption'!$D75))/1000</f>
        <v>0.56499999999999995</v>
      </c>
      <c r="J75" s="437">
        <f>(SUMIFS('Material Consumption'!$J$12:$J$50,'Material Consumption'!$D$12:$D$50,'Material Consumption'!$D75)*SUMIFS('GWP &amp; Emission Factors '!$F$154:$F$241,'GWP &amp; Emission Factors '!$E$154:$E$241,'Material Consumption'!$D75))/1000</f>
        <v>0.56499999999999995</v>
      </c>
      <c r="K75" s="437">
        <f>(SUMIFS('Material Consumption'!$K$12:$K$50,'Material Consumption'!$D$12:$D$50,'Material Consumption'!$D75)*SUMIFS('GWP &amp; Emission Factors '!$F$154:$F$241,'GWP &amp; Emission Factors '!$E$154:$E$241,'Material Consumption'!$D75))/1000</f>
        <v>0.56499999999999995</v>
      </c>
      <c r="L75" s="437">
        <f>(SUMIFS('Material Consumption'!$L$12:$L$50,'Material Consumption'!$D$12:$D$50,'Material Consumption'!$D75)*SUMIFS('GWP &amp; Emission Factors '!$F$154:$F$241,'GWP &amp; Emission Factors '!$E$154:$E$241,'Material Consumption'!$D75))/1000</f>
        <v>0.56499999999999995</v>
      </c>
      <c r="M75" s="437">
        <f>(SUMIFS('Material Consumption'!$M$12:$M$50,'Material Consumption'!$D$12:$D$50,'Material Consumption'!$D75)*SUMIFS('GWP &amp; Emission Factors '!$F$154:$F$241,'GWP &amp; Emission Factors '!$E$154:$E$241,'Material Consumption'!$D75))/1000</f>
        <v>0.56499999999999995</v>
      </c>
      <c r="N75" s="437">
        <f>(SUMIFS('Material Consumption'!$N$12:$N$50,'Material Consumption'!$D$12:$D$50,'Material Consumption'!$D75)*SUMIFS('GWP &amp; Emission Factors '!$F$154:$F$241,'GWP &amp; Emission Factors '!$E$154:$E$241,'Material Consumption'!$D75))/1000</f>
        <v>0.56499999999999995</v>
      </c>
      <c r="O75" s="437">
        <f>(SUMIFS('Material Consumption'!$O$12:$O$50,'Material Consumption'!$D$12:$D$50,'Material Consumption'!$D75)*SUMIFS('GWP &amp; Emission Factors '!$F$154:$F$241,'GWP &amp; Emission Factors '!$E$154:$E$241,'Material Consumption'!$D75))/1000</f>
        <v>0.56499999999999995</v>
      </c>
      <c r="P75" s="437">
        <f>(SUMIFS('Material Consumption'!$P$12:$P$50,'Material Consumption'!$D$12:$D$50,'Material Consumption'!$D75)*SUMIFS('GWP &amp; Emission Factors '!$F$154:$F$241,'GWP &amp; Emission Factors '!$E$154:$E$241,'Material Consumption'!$D75))/1000</f>
        <v>1.1299999999999999</v>
      </c>
      <c r="Q75" s="448">
        <f t="shared" si="2"/>
        <v>8.4749999999999979</v>
      </c>
    </row>
    <row r="76" spans="1:17" s="26" customFormat="1" x14ac:dyDescent="0.25">
      <c r="A76" s="73"/>
      <c r="C76" s="442"/>
      <c r="D76" s="440" t="str">
        <f>'Table for material consumption'!D31</f>
        <v>Epoxy primer</v>
      </c>
      <c r="E76" s="437">
        <f>(SUMIFS('Material Consumption'!$E$12:$E$50,'Material Consumption'!$D$12:$D$50,'Material Consumption'!$D76)*SUMIFS('GWP &amp; Emission Factors '!$F$154:$F$241,'GWP &amp; Emission Factors '!$E$154:$E$241,'Material Consumption'!$D76))/1000</f>
        <v>3.07</v>
      </c>
      <c r="F76" s="437">
        <f>(SUMIFS('Material Consumption'!$F$12:$F$50,'Material Consumption'!$D$12:$D$50,'Material Consumption'!$D76)*SUMIFS('GWP &amp; Emission Factors '!$F$154:$F$241,'GWP &amp; Emission Factors '!$E$154:$E$241,'Material Consumption'!$D76))/1000</f>
        <v>3.07</v>
      </c>
      <c r="G76" s="437">
        <f>(SUMIFS('Material Consumption'!$G$12:$G$50,'Material Consumption'!$D$12:$D$50,'Material Consumption'!$D76)*SUMIFS('GWP &amp; Emission Factors '!$F$154:$F$241,'GWP &amp; Emission Factors '!$E$154:$E$241,'Material Consumption'!$D76))/1000</f>
        <v>0</v>
      </c>
      <c r="H76" s="437">
        <f>(SUMIFS('Material Consumption'!$H$12:$H$50,'Material Consumption'!$D$12:$D$50,'Material Consumption'!$D76)*SUMIFS('GWP &amp; Emission Factors '!$F$154:$F$241,'GWP &amp; Emission Factors '!$E$154:$E$241,'Material Consumption'!$D76))/1000</f>
        <v>3.07</v>
      </c>
      <c r="I76" s="437">
        <f>(SUMIFS('Material Consumption'!$I$12:$I$50,'Material Consumption'!$D$12:$D$50,'Material Consumption'!$D76)*SUMIFS('GWP &amp; Emission Factors '!$F$154:$F$241,'GWP &amp; Emission Factors '!$E$154:$E$241,'Material Consumption'!$D76))/1000</f>
        <v>1.5349999999999999</v>
      </c>
      <c r="J76" s="437">
        <f>(SUMIFS('Material Consumption'!$J$12:$J$50,'Material Consumption'!$D$12:$D$50,'Material Consumption'!$D76)*SUMIFS('GWP &amp; Emission Factors '!$F$154:$F$241,'GWP &amp; Emission Factors '!$E$154:$E$241,'Material Consumption'!$D76))/1000</f>
        <v>1.5349999999999999</v>
      </c>
      <c r="K76" s="437">
        <f>(SUMIFS('Material Consumption'!$K$12:$K$50,'Material Consumption'!$D$12:$D$50,'Material Consumption'!$D76)*SUMIFS('GWP &amp; Emission Factors '!$F$154:$F$241,'GWP &amp; Emission Factors '!$E$154:$E$241,'Material Consumption'!$D76))/1000</f>
        <v>1.5349999999999999</v>
      </c>
      <c r="L76" s="437">
        <f>(SUMIFS('Material Consumption'!$L$12:$L$50,'Material Consumption'!$D$12:$D$50,'Material Consumption'!$D76)*SUMIFS('GWP &amp; Emission Factors '!$F$154:$F$241,'GWP &amp; Emission Factors '!$E$154:$E$241,'Material Consumption'!$D76))/1000</f>
        <v>1.5349999999999999</v>
      </c>
      <c r="M76" s="437">
        <f>(SUMIFS('Material Consumption'!$M$12:$M$50,'Material Consumption'!$D$12:$D$50,'Material Consumption'!$D76)*SUMIFS('GWP &amp; Emission Factors '!$F$154:$F$241,'GWP &amp; Emission Factors '!$E$154:$E$241,'Material Consumption'!$D76))/1000</f>
        <v>1.5349999999999999</v>
      </c>
      <c r="N76" s="437">
        <f>(SUMIFS('Material Consumption'!$N$12:$N$50,'Material Consumption'!$D$12:$D$50,'Material Consumption'!$D76)*SUMIFS('GWP &amp; Emission Factors '!$F$154:$F$241,'GWP &amp; Emission Factors '!$E$154:$E$241,'Material Consumption'!$D76))/1000</f>
        <v>1.5349999999999999</v>
      </c>
      <c r="O76" s="437">
        <f>(SUMIFS('Material Consumption'!$O$12:$O$50,'Material Consumption'!$D$12:$D$50,'Material Consumption'!$D76)*SUMIFS('GWP &amp; Emission Factors '!$F$154:$F$241,'GWP &amp; Emission Factors '!$E$154:$E$241,'Material Consumption'!$D76))/1000</f>
        <v>1.5349999999999999</v>
      </c>
      <c r="P76" s="437">
        <f>(SUMIFS('Material Consumption'!$P$12:$P$50,'Material Consumption'!$D$12:$D$50,'Material Consumption'!$D76)*SUMIFS('GWP &amp; Emission Factors '!$F$154:$F$241,'GWP &amp; Emission Factors '!$E$154:$E$241,'Material Consumption'!$D76))/1000</f>
        <v>3.07</v>
      </c>
      <c r="Q76" s="448">
        <f t="shared" si="2"/>
        <v>23.024999999999999</v>
      </c>
    </row>
    <row r="77" spans="1:17" s="26" customFormat="1" x14ac:dyDescent="0.25">
      <c r="A77" s="73"/>
      <c r="C77" s="442"/>
      <c r="D77" s="440" t="str">
        <f>'Table for material consumption'!D32</f>
        <v>Epoxy Block Primer</v>
      </c>
      <c r="E77" s="437">
        <f>(SUMIFS('Material Consumption'!$E$12:$E$50,'Material Consumption'!$D$12:$D$50,'Material Consumption'!$D77)*SUMIFS('GWP &amp; Emission Factors '!$F$154:$F$241,'GWP &amp; Emission Factors '!$E$154:$E$241,'Material Consumption'!$D77))/1000</f>
        <v>5.89</v>
      </c>
      <c r="F77" s="437">
        <f>(SUMIFS('Material Consumption'!$F$12:$F$50,'Material Consumption'!$D$12:$D$50,'Material Consumption'!$D77)*SUMIFS('GWP &amp; Emission Factors '!$F$154:$F$241,'GWP &amp; Emission Factors '!$E$154:$E$241,'Material Consumption'!$D77))/1000</f>
        <v>5.89</v>
      </c>
      <c r="G77" s="437">
        <f>(SUMIFS('Material Consumption'!$G$12:$G$50,'Material Consumption'!$D$12:$D$50,'Material Consumption'!$D77)*SUMIFS('GWP &amp; Emission Factors '!$F$154:$F$241,'GWP &amp; Emission Factors '!$E$154:$E$241,'Material Consumption'!$D77))/1000</f>
        <v>0</v>
      </c>
      <c r="H77" s="437">
        <f>(SUMIFS('Material Consumption'!$H$12:$H$50,'Material Consumption'!$D$12:$D$50,'Material Consumption'!$D77)*SUMIFS('GWP &amp; Emission Factors '!$F$154:$F$241,'GWP &amp; Emission Factors '!$E$154:$E$241,'Material Consumption'!$D77))/1000</f>
        <v>5.89</v>
      </c>
      <c r="I77" s="437">
        <f>(SUMIFS('Material Consumption'!$I$12:$I$50,'Material Consumption'!$D$12:$D$50,'Material Consumption'!$D77)*SUMIFS('GWP &amp; Emission Factors '!$F$154:$F$241,'GWP &amp; Emission Factors '!$E$154:$E$241,'Material Consumption'!$D77))/1000</f>
        <v>2.9449999999999998</v>
      </c>
      <c r="J77" s="437">
        <f>(SUMIFS('Material Consumption'!$J$12:$J$50,'Material Consumption'!$D$12:$D$50,'Material Consumption'!$D77)*SUMIFS('GWP &amp; Emission Factors '!$F$154:$F$241,'GWP &amp; Emission Factors '!$E$154:$E$241,'Material Consumption'!$D77))/1000</f>
        <v>2.9449999999999998</v>
      </c>
      <c r="K77" s="437">
        <f>(SUMIFS('Material Consumption'!$K$12:$K$50,'Material Consumption'!$D$12:$D$50,'Material Consumption'!$D77)*SUMIFS('GWP &amp; Emission Factors '!$F$154:$F$241,'GWP &amp; Emission Factors '!$E$154:$E$241,'Material Consumption'!$D77))/1000</f>
        <v>2.9449999999999998</v>
      </c>
      <c r="L77" s="437">
        <f>(SUMIFS('Material Consumption'!$L$12:$L$50,'Material Consumption'!$D$12:$D$50,'Material Consumption'!$D77)*SUMIFS('GWP &amp; Emission Factors '!$F$154:$F$241,'GWP &amp; Emission Factors '!$E$154:$E$241,'Material Consumption'!$D77))/1000</f>
        <v>2.9449999999999998</v>
      </c>
      <c r="M77" s="437">
        <f>(SUMIFS('Material Consumption'!$M$12:$M$50,'Material Consumption'!$D$12:$D$50,'Material Consumption'!$D77)*SUMIFS('GWP &amp; Emission Factors '!$F$154:$F$241,'GWP &amp; Emission Factors '!$E$154:$E$241,'Material Consumption'!$D77))/1000</f>
        <v>2.9449999999999998</v>
      </c>
      <c r="N77" s="437">
        <f>(SUMIFS('Material Consumption'!$N$12:$N$50,'Material Consumption'!$D$12:$D$50,'Material Consumption'!$D77)*SUMIFS('GWP &amp; Emission Factors '!$F$154:$F$241,'GWP &amp; Emission Factors '!$E$154:$E$241,'Material Consumption'!$D77))/1000</f>
        <v>2.9449999999999998</v>
      </c>
      <c r="O77" s="437">
        <f>(SUMIFS('Material Consumption'!$O$12:$O$50,'Material Consumption'!$D$12:$D$50,'Material Consumption'!$D77)*SUMIFS('GWP &amp; Emission Factors '!$F$154:$F$241,'GWP &amp; Emission Factors '!$E$154:$E$241,'Material Consumption'!$D77))/1000</f>
        <v>2.9449999999999998</v>
      </c>
      <c r="P77" s="437">
        <f>(SUMIFS('Material Consumption'!$P$12:$P$50,'Material Consumption'!$D$12:$D$50,'Material Consumption'!$D77)*SUMIFS('GWP &amp; Emission Factors '!$F$154:$F$241,'GWP &amp; Emission Factors '!$E$154:$E$241,'Material Consumption'!$D77))/1000</f>
        <v>5.89</v>
      </c>
      <c r="Q77" s="448">
        <f t="shared" si="2"/>
        <v>44.174999999999997</v>
      </c>
    </row>
    <row r="78" spans="1:17" s="26" customFormat="1" x14ac:dyDescent="0.25">
      <c r="A78" s="73"/>
      <c r="C78" s="442"/>
      <c r="D78" s="440" t="str">
        <f>'Table for material consumption'!D33</f>
        <v xml:space="preserve"> Matt Primer</v>
      </c>
      <c r="E78" s="437">
        <f>(SUMIFS('Material Consumption'!$E$12:$E$50,'Material Consumption'!$D$12:$D$50,'Material Consumption'!$D78)*SUMIFS('GWP &amp; Emission Factors '!$F$154:$F$241,'GWP &amp; Emission Factors '!$E$154:$E$241,'Material Consumption'!$D78))/1000</f>
        <v>2.44</v>
      </c>
      <c r="F78" s="437">
        <f>(SUMIFS('Material Consumption'!$F$12:$F$50,'Material Consumption'!$D$12:$D$50,'Material Consumption'!$D78)*SUMIFS('GWP &amp; Emission Factors '!$F$154:$F$241,'GWP &amp; Emission Factors '!$E$154:$E$241,'Material Consumption'!$D78))/1000</f>
        <v>2.44</v>
      </c>
      <c r="G78" s="437">
        <f>(SUMIFS('Material Consumption'!$G$12:$G$50,'Material Consumption'!$D$12:$D$50,'Material Consumption'!$D78)*SUMIFS('GWP &amp; Emission Factors '!$F$154:$F$241,'GWP &amp; Emission Factors '!$E$154:$E$241,'Material Consumption'!$D78))/1000</f>
        <v>0</v>
      </c>
      <c r="H78" s="437">
        <f>(SUMIFS('Material Consumption'!$H$12:$H$50,'Material Consumption'!$D$12:$D$50,'Material Consumption'!$D78)*SUMIFS('GWP &amp; Emission Factors '!$F$154:$F$241,'GWP &amp; Emission Factors '!$E$154:$E$241,'Material Consumption'!$D78))/1000</f>
        <v>2.44</v>
      </c>
      <c r="I78" s="437">
        <f>(SUMIFS('Material Consumption'!$I$12:$I$50,'Material Consumption'!$D$12:$D$50,'Material Consumption'!$D78)*SUMIFS('GWP &amp; Emission Factors '!$F$154:$F$241,'GWP &amp; Emission Factors '!$E$154:$E$241,'Material Consumption'!$D78))/1000</f>
        <v>1.22</v>
      </c>
      <c r="J78" s="437">
        <f>(SUMIFS('Material Consumption'!$J$12:$J$50,'Material Consumption'!$D$12:$D$50,'Material Consumption'!$D78)*SUMIFS('GWP &amp; Emission Factors '!$F$154:$F$241,'GWP &amp; Emission Factors '!$E$154:$E$241,'Material Consumption'!$D78))/1000</f>
        <v>1.22</v>
      </c>
      <c r="K78" s="437">
        <f>(SUMIFS('Material Consumption'!$K$12:$K$50,'Material Consumption'!$D$12:$D$50,'Material Consumption'!$D78)*SUMIFS('GWP &amp; Emission Factors '!$F$154:$F$241,'GWP &amp; Emission Factors '!$E$154:$E$241,'Material Consumption'!$D78))/1000</f>
        <v>1.22</v>
      </c>
      <c r="L78" s="437">
        <f>(SUMIFS('Material Consumption'!$L$12:$L$50,'Material Consumption'!$D$12:$D$50,'Material Consumption'!$D78)*SUMIFS('GWP &amp; Emission Factors '!$F$154:$F$241,'GWP &amp; Emission Factors '!$E$154:$E$241,'Material Consumption'!$D78))/1000</f>
        <v>1.22</v>
      </c>
      <c r="M78" s="437">
        <f>(SUMIFS('Material Consumption'!$M$12:$M$50,'Material Consumption'!$D$12:$D$50,'Material Consumption'!$D78)*SUMIFS('GWP &amp; Emission Factors '!$F$154:$F$241,'GWP &amp; Emission Factors '!$E$154:$E$241,'Material Consumption'!$D78))/1000</f>
        <v>1.22</v>
      </c>
      <c r="N78" s="437">
        <f>(SUMIFS('Material Consumption'!$N$12:$N$50,'Material Consumption'!$D$12:$D$50,'Material Consumption'!$D78)*SUMIFS('GWP &amp; Emission Factors '!$F$154:$F$241,'GWP &amp; Emission Factors '!$E$154:$E$241,'Material Consumption'!$D78))/1000</f>
        <v>1.22</v>
      </c>
      <c r="O78" s="437">
        <f>(SUMIFS('Material Consumption'!$O$12:$O$50,'Material Consumption'!$D$12:$D$50,'Material Consumption'!$D78)*SUMIFS('GWP &amp; Emission Factors '!$F$154:$F$241,'GWP &amp; Emission Factors '!$E$154:$E$241,'Material Consumption'!$D78))/1000</f>
        <v>1.22</v>
      </c>
      <c r="P78" s="437">
        <f>(SUMIFS('Material Consumption'!$P$12:$P$50,'Material Consumption'!$D$12:$D$50,'Material Consumption'!$D78)*SUMIFS('GWP &amp; Emission Factors '!$F$154:$F$241,'GWP &amp; Emission Factors '!$E$154:$E$241,'Material Consumption'!$D78))/1000</f>
        <v>2.44</v>
      </c>
      <c r="Q78" s="448">
        <f t="shared" si="2"/>
        <v>18.300000000000004</v>
      </c>
    </row>
    <row r="79" spans="1:17" s="26" customFormat="1" x14ac:dyDescent="0.25">
      <c r="A79" s="73"/>
      <c r="C79" s="442"/>
      <c r="D79" s="440" t="str">
        <f>'Table for material consumption'!D34</f>
        <v>Glosy Primer</v>
      </c>
      <c r="E79" s="437">
        <f>(SUMIFS('Material Consumption'!$E$12:$E$50,'Material Consumption'!$D$12:$D$50,'Material Consumption'!$D79)*SUMIFS('GWP &amp; Emission Factors '!$F$154:$F$241,'GWP &amp; Emission Factors '!$E$154:$E$241,'Material Consumption'!$D79))/1000</f>
        <v>0</v>
      </c>
      <c r="F79" s="437">
        <f>(SUMIFS('Material Consumption'!$F$12:$F$50,'Material Consumption'!$D$12:$D$50,'Material Consumption'!$D79)*SUMIFS('GWP &amp; Emission Factors '!$F$154:$F$241,'GWP &amp; Emission Factors '!$E$154:$E$241,'Material Consumption'!$D79))/1000</f>
        <v>0</v>
      </c>
      <c r="G79" s="437">
        <f>(SUMIFS('Material Consumption'!$G$12:$G$50,'Material Consumption'!$D$12:$D$50,'Material Consumption'!$D79)*SUMIFS('GWP &amp; Emission Factors '!$F$154:$F$241,'GWP &amp; Emission Factors '!$E$154:$E$241,'Material Consumption'!$D79))/1000</f>
        <v>0</v>
      </c>
      <c r="H79" s="437">
        <f>(SUMIFS('Material Consumption'!$H$12:$H$50,'Material Consumption'!$D$12:$D$50,'Material Consumption'!$D79)*SUMIFS('GWP &amp; Emission Factors '!$F$154:$F$241,'GWP &amp; Emission Factors '!$E$154:$E$241,'Material Consumption'!$D79))/1000</f>
        <v>0</v>
      </c>
      <c r="I79" s="437">
        <f>(SUMIFS('Material Consumption'!$I$12:$I$50,'Material Consumption'!$D$12:$D$50,'Material Consumption'!$D79)*SUMIFS('GWP &amp; Emission Factors '!$F$154:$F$241,'GWP &amp; Emission Factors '!$E$154:$E$241,'Material Consumption'!$D79))/1000</f>
        <v>0</v>
      </c>
      <c r="J79" s="437">
        <f>(SUMIFS('Material Consumption'!$J$12:$J$50,'Material Consumption'!$D$12:$D$50,'Material Consumption'!$D79)*SUMIFS('GWP &amp; Emission Factors '!$F$154:$F$241,'GWP &amp; Emission Factors '!$E$154:$E$241,'Material Consumption'!$D79))/1000</f>
        <v>0</v>
      </c>
      <c r="K79" s="437">
        <f>(SUMIFS('Material Consumption'!$K$12:$K$50,'Material Consumption'!$D$12:$D$50,'Material Consumption'!$D79)*SUMIFS('GWP &amp; Emission Factors '!$F$154:$F$241,'GWP &amp; Emission Factors '!$E$154:$E$241,'Material Consumption'!$D79))/1000</f>
        <v>0</v>
      </c>
      <c r="L79" s="437">
        <f>(SUMIFS('Material Consumption'!$L$12:$L$50,'Material Consumption'!$D$12:$D$50,'Material Consumption'!$D79)*SUMIFS('GWP &amp; Emission Factors '!$F$154:$F$241,'GWP &amp; Emission Factors '!$E$154:$E$241,'Material Consumption'!$D79))/1000</f>
        <v>0</v>
      </c>
      <c r="M79" s="437">
        <f>(SUMIFS('Material Consumption'!$M$12:$M$50,'Material Consumption'!$D$12:$D$50,'Material Consumption'!$D79)*SUMIFS('GWP &amp; Emission Factors '!$F$154:$F$241,'GWP &amp; Emission Factors '!$E$154:$E$241,'Material Consumption'!$D79))/1000</f>
        <v>0</v>
      </c>
      <c r="N79" s="437">
        <f>(SUMIFS('Material Consumption'!$N$12:$N$50,'Material Consumption'!$D$12:$D$50,'Material Consumption'!$D79)*SUMIFS('GWP &amp; Emission Factors '!$F$154:$F$241,'GWP &amp; Emission Factors '!$E$154:$E$241,'Material Consumption'!$D79))/1000</f>
        <v>0</v>
      </c>
      <c r="O79" s="437">
        <f>(SUMIFS('Material Consumption'!$O$12:$O$50,'Material Consumption'!$D$12:$D$50,'Material Consumption'!$D79)*SUMIFS('GWP &amp; Emission Factors '!$F$154:$F$241,'GWP &amp; Emission Factors '!$E$154:$E$241,'Material Consumption'!$D79))/1000</f>
        <v>0</v>
      </c>
      <c r="P79" s="437">
        <f>(SUMIFS('Material Consumption'!$P$12:$P$50,'Material Consumption'!$D$12:$D$50,'Material Consumption'!$D79)*SUMIFS('GWP &amp; Emission Factors '!$F$154:$F$241,'GWP &amp; Emission Factors '!$E$154:$E$241,'Material Consumption'!$D79))/1000</f>
        <v>0</v>
      </c>
      <c r="Q79" s="448">
        <f t="shared" si="2"/>
        <v>0</v>
      </c>
    </row>
    <row r="80" spans="1:17" s="26" customFormat="1" ht="39" x14ac:dyDescent="0.25">
      <c r="A80" s="73"/>
      <c r="C80" s="442"/>
      <c r="D80" s="440" t="str">
        <f>'Table for material consumption'!D35</f>
        <v>Interior wooden surfaces and Metals Enamel</v>
      </c>
      <c r="E80" s="437">
        <f>(SUMIFS('Material Consumption'!$E$12:$E$50,'Material Consumption'!$D$12:$D$50,'Material Consumption'!$D80)*SUMIFS('GWP &amp; Emission Factors '!$F$154:$F$241,'GWP &amp; Emission Factors '!$E$154:$E$241,'Material Consumption'!$D80))/1000</f>
        <v>1.72</v>
      </c>
      <c r="F80" s="437">
        <f>(SUMIFS('Material Consumption'!$F$12:$F$50,'Material Consumption'!$D$12:$D$50,'Material Consumption'!$D80)*SUMIFS('GWP &amp; Emission Factors '!$F$154:$F$241,'GWP &amp; Emission Factors '!$E$154:$E$241,'Material Consumption'!$D80))/1000</f>
        <v>1.72</v>
      </c>
      <c r="G80" s="437">
        <f>(SUMIFS('Material Consumption'!$G$12:$G$50,'Material Consumption'!$D$12:$D$50,'Material Consumption'!$D80)*SUMIFS('GWP &amp; Emission Factors '!$F$154:$F$241,'GWP &amp; Emission Factors '!$E$154:$E$241,'Material Consumption'!$D80))/1000</f>
        <v>0</v>
      </c>
      <c r="H80" s="437">
        <f>(SUMIFS('Material Consumption'!$H$12:$H$50,'Material Consumption'!$D$12:$D$50,'Material Consumption'!$D80)*SUMIFS('GWP &amp; Emission Factors '!$F$154:$F$241,'GWP &amp; Emission Factors '!$E$154:$E$241,'Material Consumption'!$D80))/1000</f>
        <v>1.72</v>
      </c>
      <c r="I80" s="437">
        <f>(SUMIFS('Material Consumption'!$I$12:$I$50,'Material Consumption'!$D$12:$D$50,'Material Consumption'!$D80)*SUMIFS('GWP &amp; Emission Factors '!$F$154:$F$241,'GWP &amp; Emission Factors '!$E$154:$E$241,'Material Consumption'!$D80))/1000</f>
        <v>0.86</v>
      </c>
      <c r="J80" s="437">
        <f>(SUMIFS('Material Consumption'!$J$12:$J$50,'Material Consumption'!$D$12:$D$50,'Material Consumption'!$D80)*SUMIFS('GWP &amp; Emission Factors '!$F$154:$F$241,'GWP &amp; Emission Factors '!$E$154:$E$241,'Material Consumption'!$D80))/1000</f>
        <v>0.86</v>
      </c>
      <c r="K80" s="437">
        <f>(SUMIFS('Material Consumption'!$K$12:$K$50,'Material Consumption'!$D$12:$D$50,'Material Consumption'!$D80)*SUMIFS('GWP &amp; Emission Factors '!$F$154:$F$241,'GWP &amp; Emission Factors '!$E$154:$E$241,'Material Consumption'!$D80))/1000</f>
        <v>0.86</v>
      </c>
      <c r="L80" s="437">
        <f>(SUMIFS('Material Consumption'!$L$12:$L$50,'Material Consumption'!$D$12:$D$50,'Material Consumption'!$D80)*SUMIFS('GWP &amp; Emission Factors '!$F$154:$F$241,'GWP &amp; Emission Factors '!$E$154:$E$241,'Material Consumption'!$D80))/1000</f>
        <v>0.86</v>
      </c>
      <c r="M80" s="437">
        <f>(SUMIFS('Material Consumption'!$M$12:$M$50,'Material Consumption'!$D$12:$D$50,'Material Consumption'!$D80)*SUMIFS('GWP &amp; Emission Factors '!$F$154:$F$241,'GWP &amp; Emission Factors '!$E$154:$E$241,'Material Consumption'!$D80))/1000</f>
        <v>0.86</v>
      </c>
      <c r="N80" s="437">
        <f>(SUMIFS('Material Consumption'!$N$12:$N$50,'Material Consumption'!$D$12:$D$50,'Material Consumption'!$D80)*SUMIFS('GWP &amp; Emission Factors '!$F$154:$F$241,'GWP &amp; Emission Factors '!$E$154:$E$241,'Material Consumption'!$D80))/1000</f>
        <v>0.86</v>
      </c>
      <c r="O80" s="437">
        <f>(SUMIFS('Material Consumption'!$O$12:$O$50,'Material Consumption'!$D$12:$D$50,'Material Consumption'!$D80)*SUMIFS('GWP &amp; Emission Factors '!$F$154:$F$241,'GWP &amp; Emission Factors '!$E$154:$E$241,'Material Consumption'!$D80))/1000</f>
        <v>0.86</v>
      </c>
      <c r="P80" s="437">
        <f>(SUMIFS('Material Consumption'!$P$12:$P$50,'Material Consumption'!$D$12:$D$50,'Material Consumption'!$D80)*SUMIFS('GWP &amp; Emission Factors '!$F$154:$F$241,'GWP &amp; Emission Factors '!$E$154:$E$241,'Material Consumption'!$D80))/1000</f>
        <v>1.72</v>
      </c>
      <c r="Q80" s="448">
        <f t="shared" si="2"/>
        <v>12.9</v>
      </c>
    </row>
    <row r="81" spans="1:17" s="26" customFormat="1" ht="39" x14ac:dyDescent="0.25">
      <c r="A81" s="73"/>
      <c r="C81" s="442"/>
      <c r="D81" s="440" t="str">
        <f>'Table for material consumption'!D36</f>
        <v>High Glossy for masonry surfaces Enamel</v>
      </c>
      <c r="E81" s="437">
        <f>(SUMIFS('Material Consumption'!$E$12:$E$50,'Material Consumption'!$D$12:$D$50,'Material Consumption'!$D81)*SUMIFS('GWP &amp; Emission Factors '!$F$154:$F$241,'GWP &amp; Emission Factors '!$E$154:$E$241,'Material Consumption'!$D81))/1000</f>
        <v>1.9</v>
      </c>
      <c r="F81" s="437">
        <f>(SUMIFS('Material Consumption'!$F$12:$F$50,'Material Consumption'!$D$12:$D$50,'Material Consumption'!$D81)*SUMIFS('GWP &amp; Emission Factors '!$F$154:$F$241,'GWP &amp; Emission Factors '!$E$154:$E$241,'Material Consumption'!$D81))/1000</f>
        <v>1.9</v>
      </c>
      <c r="G81" s="437">
        <f>(SUMIFS('Material Consumption'!$G$12:$G$50,'Material Consumption'!$D$12:$D$50,'Material Consumption'!$D81)*SUMIFS('GWP &amp; Emission Factors '!$F$154:$F$241,'GWP &amp; Emission Factors '!$E$154:$E$241,'Material Consumption'!$D81))/1000</f>
        <v>0</v>
      </c>
      <c r="H81" s="437">
        <f>(SUMIFS('Material Consumption'!$H$12:$H$50,'Material Consumption'!$D$12:$D$50,'Material Consumption'!$D81)*SUMIFS('GWP &amp; Emission Factors '!$F$154:$F$241,'GWP &amp; Emission Factors '!$E$154:$E$241,'Material Consumption'!$D81))/1000</f>
        <v>1.9</v>
      </c>
      <c r="I81" s="437">
        <f>(SUMIFS('Material Consumption'!$I$12:$I$50,'Material Consumption'!$D$12:$D$50,'Material Consumption'!$D81)*SUMIFS('GWP &amp; Emission Factors '!$F$154:$F$241,'GWP &amp; Emission Factors '!$E$154:$E$241,'Material Consumption'!$D81))/1000</f>
        <v>0.95</v>
      </c>
      <c r="J81" s="437">
        <f>(SUMIFS('Material Consumption'!$J$12:$J$50,'Material Consumption'!$D$12:$D$50,'Material Consumption'!$D81)*SUMIFS('GWP &amp; Emission Factors '!$F$154:$F$241,'GWP &amp; Emission Factors '!$E$154:$E$241,'Material Consumption'!$D81))/1000</f>
        <v>0.95</v>
      </c>
      <c r="K81" s="437">
        <f>(SUMIFS('Material Consumption'!$K$12:$K$50,'Material Consumption'!$D$12:$D$50,'Material Consumption'!$D81)*SUMIFS('GWP &amp; Emission Factors '!$F$154:$F$241,'GWP &amp; Emission Factors '!$E$154:$E$241,'Material Consumption'!$D81))/1000</f>
        <v>0.95</v>
      </c>
      <c r="L81" s="437">
        <f>(SUMIFS('Material Consumption'!$L$12:$L$50,'Material Consumption'!$D$12:$D$50,'Material Consumption'!$D81)*SUMIFS('GWP &amp; Emission Factors '!$F$154:$F$241,'GWP &amp; Emission Factors '!$E$154:$E$241,'Material Consumption'!$D81))/1000</f>
        <v>0.95</v>
      </c>
      <c r="M81" s="437">
        <f>(SUMIFS('Material Consumption'!$M$12:$M$50,'Material Consumption'!$D$12:$D$50,'Material Consumption'!$D81)*SUMIFS('GWP &amp; Emission Factors '!$F$154:$F$241,'GWP &amp; Emission Factors '!$E$154:$E$241,'Material Consumption'!$D81))/1000</f>
        <v>0.95</v>
      </c>
      <c r="N81" s="437">
        <f>(SUMIFS('Material Consumption'!$N$12:$N$50,'Material Consumption'!$D$12:$D$50,'Material Consumption'!$D81)*SUMIFS('GWP &amp; Emission Factors '!$F$154:$F$241,'GWP &amp; Emission Factors '!$E$154:$E$241,'Material Consumption'!$D81))/1000</f>
        <v>0.95</v>
      </c>
      <c r="O81" s="437">
        <f>(SUMIFS('Material Consumption'!$O$12:$O$50,'Material Consumption'!$D$12:$D$50,'Material Consumption'!$D81)*SUMIFS('GWP &amp; Emission Factors '!$F$154:$F$241,'GWP &amp; Emission Factors '!$E$154:$E$241,'Material Consumption'!$D81))/1000</f>
        <v>0.95</v>
      </c>
      <c r="P81" s="437">
        <f>(SUMIFS('Material Consumption'!$P$12:$P$50,'Material Consumption'!$D$12:$D$50,'Material Consumption'!$D81)*SUMIFS('GWP &amp; Emission Factors '!$F$154:$F$241,'GWP &amp; Emission Factors '!$E$154:$E$241,'Material Consumption'!$D81))/1000</f>
        <v>1.9</v>
      </c>
      <c r="Q81" s="448">
        <f t="shared" si="2"/>
        <v>14.249999999999996</v>
      </c>
    </row>
    <row r="82" spans="1:17" s="26" customFormat="1" ht="26.25" x14ac:dyDescent="0.25">
      <c r="A82" s="73"/>
      <c r="C82" s="442"/>
      <c r="D82" s="440" t="str">
        <f>'Table for material consumption'!D37</f>
        <v>Interior surfaces Enamel</v>
      </c>
      <c r="E82" s="437">
        <f>(SUMIFS('Material Consumption'!$E$12:$E$50,'Material Consumption'!$D$12:$D$50,'Material Consumption'!$D82)*SUMIFS('GWP &amp; Emission Factors '!$F$154:$F$241,'GWP &amp; Emission Factors '!$E$154:$E$241,'Material Consumption'!$D82))/1000</f>
        <v>2.17</v>
      </c>
      <c r="F82" s="437">
        <f>(SUMIFS('Material Consumption'!$F$12:$F$50,'Material Consumption'!$D$12:$D$50,'Material Consumption'!$D82)*SUMIFS('GWP &amp; Emission Factors '!$F$154:$F$241,'GWP &amp; Emission Factors '!$E$154:$E$241,'Material Consumption'!$D82))/1000</f>
        <v>2.17</v>
      </c>
      <c r="G82" s="437">
        <f>(SUMIFS('Material Consumption'!$G$12:$G$50,'Material Consumption'!$D$12:$D$50,'Material Consumption'!$D82)*SUMIFS('GWP &amp; Emission Factors '!$F$154:$F$241,'GWP &amp; Emission Factors '!$E$154:$E$241,'Material Consumption'!$D82))/1000</f>
        <v>0</v>
      </c>
      <c r="H82" s="437">
        <f>(SUMIFS('Material Consumption'!$H$12:$H$50,'Material Consumption'!$D$12:$D$50,'Material Consumption'!$D82)*SUMIFS('GWP &amp; Emission Factors '!$F$154:$F$241,'GWP &amp; Emission Factors '!$E$154:$E$241,'Material Consumption'!$D82))/1000</f>
        <v>2.17</v>
      </c>
      <c r="I82" s="437">
        <f>(SUMIFS('Material Consumption'!$I$12:$I$50,'Material Consumption'!$D$12:$D$50,'Material Consumption'!$D82)*SUMIFS('GWP &amp; Emission Factors '!$F$154:$F$241,'GWP &amp; Emission Factors '!$E$154:$E$241,'Material Consumption'!$D82))/1000</f>
        <v>1.085</v>
      </c>
      <c r="J82" s="437">
        <f>(SUMIFS('Material Consumption'!$J$12:$J$50,'Material Consumption'!$D$12:$D$50,'Material Consumption'!$D82)*SUMIFS('GWP &amp; Emission Factors '!$F$154:$F$241,'GWP &amp; Emission Factors '!$E$154:$E$241,'Material Consumption'!$D82))/1000</f>
        <v>1.085</v>
      </c>
      <c r="K82" s="437">
        <f>(SUMIFS('Material Consumption'!$K$12:$K$50,'Material Consumption'!$D$12:$D$50,'Material Consumption'!$D82)*SUMIFS('GWP &amp; Emission Factors '!$F$154:$F$241,'GWP &amp; Emission Factors '!$E$154:$E$241,'Material Consumption'!$D82))/1000</f>
        <v>1.085</v>
      </c>
      <c r="L82" s="437">
        <f>(SUMIFS('Material Consumption'!$L$12:$L$50,'Material Consumption'!$D$12:$D$50,'Material Consumption'!$D82)*SUMIFS('GWP &amp; Emission Factors '!$F$154:$F$241,'GWP &amp; Emission Factors '!$E$154:$E$241,'Material Consumption'!$D82))/1000</f>
        <v>1.085</v>
      </c>
      <c r="M82" s="437">
        <f>(SUMIFS('Material Consumption'!$M$12:$M$50,'Material Consumption'!$D$12:$D$50,'Material Consumption'!$D82)*SUMIFS('GWP &amp; Emission Factors '!$F$154:$F$241,'GWP &amp; Emission Factors '!$E$154:$E$241,'Material Consumption'!$D82))/1000</f>
        <v>1.085</v>
      </c>
      <c r="N82" s="437">
        <f>(SUMIFS('Material Consumption'!$N$12:$N$50,'Material Consumption'!$D$12:$D$50,'Material Consumption'!$D82)*SUMIFS('GWP &amp; Emission Factors '!$F$154:$F$241,'GWP &amp; Emission Factors '!$E$154:$E$241,'Material Consumption'!$D82))/1000</f>
        <v>1.085</v>
      </c>
      <c r="O82" s="437">
        <f>(SUMIFS('Material Consumption'!$O$12:$O$50,'Material Consumption'!$D$12:$D$50,'Material Consumption'!$D82)*SUMIFS('GWP &amp; Emission Factors '!$F$154:$F$241,'GWP &amp; Emission Factors '!$E$154:$E$241,'Material Consumption'!$D82))/1000</f>
        <v>1.085</v>
      </c>
      <c r="P82" s="437">
        <f>(SUMIFS('Material Consumption'!$P$12:$P$50,'Material Consumption'!$D$12:$D$50,'Material Consumption'!$D82)*SUMIFS('GWP &amp; Emission Factors '!$F$154:$F$241,'GWP &amp; Emission Factors '!$E$154:$E$241,'Material Consumption'!$D82))/1000</f>
        <v>2.17</v>
      </c>
      <c r="Q82" s="448">
        <f t="shared" si="2"/>
        <v>16.275000000000006</v>
      </c>
    </row>
    <row r="83" spans="1:17" s="26" customFormat="1" ht="26.25" x14ac:dyDescent="0.25">
      <c r="A83" s="73"/>
      <c r="C83" s="442"/>
      <c r="D83" s="440" t="str">
        <f>'Table for material consumption'!D38</f>
        <v>Satin enamel for interior walls Enamel</v>
      </c>
      <c r="E83" s="437">
        <f>(SUMIFS('Material Consumption'!$E$12:$E$50,'Material Consumption'!$D$12:$D$50,'Material Consumption'!$D83)*SUMIFS('GWP &amp; Emission Factors '!$F$154:$F$241,'GWP &amp; Emission Factors '!$E$154:$E$241,'Material Consumption'!$D83))/1000</f>
        <v>1.64</v>
      </c>
      <c r="F83" s="437">
        <f>(SUMIFS('Material Consumption'!$F$12:$F$50,'Material Consumption'!$D$12:$D$50,'Material Consumption'!$D83)*SUMIFS('GWP &amp; Emission Factors '!$F$154:$F$241,'GWP &amp; Emission Factors '!$E$154:$E$241,'Material Consumption'!$D83))/1000</f>
        <v>1.64</v>
      </c>
      <c r="G83" s="437">
        <f>(SUMIFS('Material Consumption'!$G$12:$G$50,'Material Consumption'!$D$12:$D$50,'Material Consumption'!$D83)*SUMIFS('GWP &amp; Emission Factors '!$F$154:$F$241,'GWP &amp; Emission Factors '!$E$154:$E$241,'Material Consumption'!$D83))/1000</f>
        <v>0</v>
      </c>
      <c r="H83" s="437">
        <f>(SUMIFS('Material Consumption'!$H$12:$H$50,'Material Consumption'!$D$12:$D$50,'Material Consumption'!$D83)*SUMIFS('GWP &amp; Emission Factors '!$F$154:$F$241,'GWP &amp; Emission Factors '!$E$154:$E$241,'Material Consumption'!$D83))/1000</f>
        <v>1.64</v>
      </c>
      <c r="I83" s="437">
        <f>(SUMIFS('Material Consumption'!$I$12:$I$50,'Material Consumption'!$D$12:$D$50,'Material Consumption'!$D83)*SUMIFS('GWP &amp; Emission Factors '!$F$154:$F$241,'GWP &amp; Emission Factors '!$E$154:$E$241,'Material Consumption'!$D83))/1000</f>
        <v>0.82</v>
      </c>
      <c r="J83" s="437">
        <f>(SUMIFS('Material Consumption'!$J$12:$J$50,'Material Consumption'!$D$12:$D$50,'Material Consumption'!$D83)*SUMIFS('GWP &amp; Emission Factors '!$F$154:$F$241,'GWP &amp; Emission Factors '!$E$154:$E$241,'Material Consumption'!$D83))/1000</f>
        <v>0.82</v>
      </c>
      <c r="K83" s="437">
        <f>(SUMIFS('Material Consumption'!$K$12:$K$50,'Material Consumption'!$D$12:$D$50,'Material Consumption'!$D83)*SUMIFS('GWP &amp; Emission Factors '!$F$154:$F$241,'GWP &amp; Emission Factors '!$E$154:$E$241,'Material Consumption'!$D83))/1000</f>
        <v>0.82</v>
      </c>
      <c r="L83" s="437">
        <f>(SUMIFS('Material Consumption'!$L$12:$L$50,'Material Consumption'!$D$12:$D$50,'Material Consumption'!$D83)*SUMIFS('GWP &amp; Emission Factors '!$F$154:$F$241,'GWP &amp; Emission Factors '!$E$154:$E$241,'Material Consumption'!$D83))/1000</f>
        <v>0.82</v>
      </c>
      <c r="M83" s="437">
        <f>(SUMIFS('Material Consumption'!$M$12:$M$50,'Material Consumption'!$D$12:$D$50,'Material Consumption'!$D83)*SUMIFS('GWP &amp; Emission Factors '!$F$154:$F$241,'GWP &amp; Emission Factors '!$E$154:$E$241,'Material Consumption'!$D83))/1000</f>
        <v>0.82</v>
      </c>
      <c r="N83" s="437">
        <f>(SUMIFS('Material Consumption'!$N$12:$N$50,'Material Consumption'!$D$12:$D$50,'Material Consumption'!$D83)*SUMIFS('GWP &amp; Emission Factors '!$F$154:$F$241,'GWP &amp; Emission Factors '!$E$154:$E$241,'Material Consumption'!$D83))/1000</f>
        <v>0.82</v>
      </c>
      <c r="O83" s="437">
        <f>(SUMIFS('Material Consumption'!$O$12:$O$50,'Material Consumption'!$D$12:$D$50,'Material Consumption'!$D83)*SUMIFS('GWP &amp; Emission Factors '!$F$154:$F$241,'GWP &amp; Emission Factors '!$E$154:$E$241,'Material Consumption'!$D83))/1000</f>
        <v>0.82</v>
      </c>
      <c r="P83" s="437">
        <f>(SUMIFS('Material Consumption'!$P$12:$P$50,'Material Consumption'!$D$12:$D$50,'Material Consumption'!$D83)*SUMIFS('GWP &amp; Emission Factors '!$F$154:$F$241,'GWP &amp; Emission Factors '!$E$154:$E$241,'Material Consumption'!$D83))/1000</f>
        <v>1.64</v>
      </c>
      <c r="Q83" s="448">
        <f t="shared" si="2"/>
        <v>12.300000000000002</v>
      </c>
    </row>
    <row r="84" spans="1:17" s="26" customFormat="1" ht="39" x14ac:dyDescent="0.25">
      <c r="A84" s="73"/>
      <c r="C84" s="442"/>
      <c r="D84" s="440" t="str">
        <f>'Table for material consumption'!D39</f>
        <v>Super Glossy Enamel - interior and exterior metal 7 woods</v>
      </c>
      <c r="E84" s="437">
        <f>(SUMIFS('Material Consumption'!$E$12:$E$50,'Material Consumption'!$D$12:$D$50,'Material Consumption'!$D84)*SUMIFS('GWP &amp; Emission Factors '!$F$154:$F$241,'GWP &amp; Emission Factors '!$E$154:$E$241,'Material Consumption'!$D84))/1000</f>
        <v>2.35</v>
      </c>
      <c r="F84" s="437">
        <f>(SUMIFS('Material Consumption'!$F$12:$F$50,'Material Consumption'!$D$12:$D$50,'Material Consumption'!$D84)*SUMIFS('GWP &amp; Emission Factors '!$F$154:$F$241,'GWP &amp; Emission Factors '!$E$154:$E$241,'Material Consumption'!$D84))/1000</f>
        <v>2.35</v>
      </c>
      <c r="G84" s="437">
        <f>(SUMIFS('Material Consumption'!$G$12:$G$50,'Material Consumption'!$D$12:$D$50,'Material Consumption'!$D84)*SUMIFS('GWP &amp; Emission Factors '!$F$154:$F$241,'GWP &amp; Emission Factors '!$E$154:$E$241,'Material Consumption'!$D84))/1000</f>
        <v>0</v>
      </c>
      <c r="H84" s="437">
        <f>(SUMIFS('Material Consumption'!$H$12:$H$50,'Material Consumption'!$D$12:$D$50,'Material Consumption'!$D84)*SUMIFS('GWP &amp; Emission Factors '!$F$154:$F$241,'GWP &amp; Emission Factors '!$E$154:$E$241,'Material Consumption'!$D84))/1000</f>
        <v>2.35</v>
      </c>
      <c r="I84" s="437">
        <f>(SUMIFS('Material Consumption'!$I$12:$I$50,'Material Consumption'!$D$12:$D$50,'Material Consumption'!$D84)*SUMIFS('GWP &amp; Emission Factors '!$F$154:$F$241,'GWP &amp; Emission Factors '!$E$154:$E$241,'Material Consumption'!$D84))/1000</f>
        <v>1.175</v>
      </c>
      <c r="J84" s="437">
        <f>(SUMIFS('Material Consumption'!$J$12:$J$50,'Material Consumption'!$D$12:$D$50,'Material Consumption'!$D84)*SUMIFS('GWP &amp; Emission Factors '!$F$154:$F$241,'GWP &amp; Emission Factors '!$E$154:$E$241,'Material Consumption'!$D84))/1000</f>
        <v>1.175</v>
      </c>
      <c r="K84" s="437">
        <f>(SUMIFS('Material Consumption'!$K$12:$K$50,'Material Consumption'!$D$12:$D$50,'Material Consumption'!$D84)*SUMIFS('GWP &amp; Emission Factors '!$F$154:$F$241,'GWP &amp; Emission Factors '!$E$154:$E$241,'Material Consumption'!$D84))/1000</f>
        <v>1.175</v>
      </c>
      <c r="L84" s="437">
        <f>(SUMIFS('Material Consumption'!$L$12:$L$50,'Material Consumption'!$D$12:$D$50,'Material Consumption'!$D84)*SUMIFS('GWP &amp; Emission Factors '!$F$154:$F$241,'GWP &amp; Emission Factors '!$E$154:$E$241,'Material Consumption'!$D84))/1000</f>
        <v>1.175</v>
      </c>
      <c r="M84" s="437">
        <f>(SUMIFS('Material Consumption'!$M$12:$M$50,'Material Consumption'!$D$12:$D$50,'Material Consumption'!$D84)*SUMIFS('GWP &amp; Emission Factors '!$F$154:$F$241,'GWP &amp; Emission Factors '!$E$154:$E$241,'Material Consumption'!$D84))/1000</f>
        <v>1.175</v>
      </c>
      <c r="N84" s="437">
        <f>(SUMIFS('Material Consumption'!$N$12:$N$50,'Material Consumption'!$D$12:$D$50,'Material Consumption'!$D84)*SUMIFS('GWP &amp; Emission Factors '!$F$154:$F$241,'GWP &amp; Emission Factors '!$E$154:$E$241,'Material Consumption'!$D84))/1000</f>
        <v>1.175</v>
      </c>
      <c r="O84" s="437">
        <f>(SUMIFS('Material Consumption'!$O$12:$O$50,'Material Consumption'!$D$12:$D$50,'Material Consumption'!$D84)*SUMIFS('GWP &amp; Emission Factors '!$F$154:$F$241,'GWP &amp; Emission Factors '!$E$154:$E$241,'Material Consumption'!$D84))/1000</f>
        <v>1.175</v>
      </c>
      <c r="P84" s="437">
        <f>(SUMIFS('Material Consumption'!$P$12:$P$50,'Material Consumption'!$D$12:$D$50,'Material Consumption'!$D84)*SUMIFS('GWP &amp; Emission Factors '!$F$154:$F$241,'GWP &amp; Emission Factors '!$E$154:$E$241,'Material Consumption'!$D84))/1000</f>
        <v>2.35</v>
      </c>
      <c r="Q84" s="448">
        <f t="shared" si="2"/>
        <v>17.625000000000007</v>
      </c>
    </row>
    <row r="85" spans="1:17" s="26" customFormat="1" ht="26.25" x14ac:dyDescent="0.25">
      <c r="A85" s="73"/>
      <c r="C85" s="442"/>
      <c r="D85" s="440" t="str">
        <f>'Table for material consumption'!D40</f>
        <v>Interior walls extra Satin Enamel</v>
      </c>
      <c r="E85" s="437">
        <f>(SUMIFS('Material Consumption'!$E$12:$E$50,'Material Consumption'!$D$12:$D$50,'Material Consumption'!$D85)*SUMIFS('GWP &amp; Emission Factors '!$F$154:$F$241,'GWP &amp; Emission Factors '!$E$154:$E$241,'Material Consumption'!$D85))/1000</f>
        <v>1.86</v>
      </c>
      <c r="F85" s="437">
        <f>(SUMIFS('Material Consumption'!$F$12:$F$50,'Material Consumption'!$D$12:$D$50,'Material Consumption'!$D85)*SUMIFS('GWP &amp; Emission Factors '!$F$154:$F$241,'GWP &amp; Emission Factors '!$E$154:$E$241,'Material Consumption'!$D85))/1000</f>
        <v>1.86</v>
      </c>
      <c r="G85" s="437">
        <f>(SUMIFS('Material Consumption'!$G$12:$G$50,'Material Consumption'!$D$12:$D$50,'Material Consumption'!$D85)*SUMIFS('GWP &amp; Emission Factors '!$F$154:$F$241,'GWP &amp; Emission Factors '!$E$154:$E$241,'Material Consumption'!$D85))/1000</f>
        <v>0</v>
      </c>
      <c r="H85" s="437">
        <f>(SUMIFS('Material Consumption'!$H$12:$H$50,'Material Consumption'!$D$12:$D$50,'Material Consumption'!$D85)*SUMIFS('GWP &amp; Emission Factors '!$F$154:$F$241,'GWP &amp; Emission Factors '!$E$154:$E$241,'Material Consumption'!$D85))/1000</f>
        <v>1.86</v>
      </c>
      <c r="I85" s="437">
        <f>(SUMIFS('Material Consumption'!$I$12:$I$50,'Material Consumption'!$D$12:$D$50,'Material Consumption'!$D85)*SUMIFS('GWP &amp; Emission Factors '!$F$154:$F$241,'GWP &amp; Emission Factors '!$E$154:$E$241,'Material Consumption'!$D85))/1000</f>
        <v>0.93</v>
      </c>
      <c r="J85" s="437">
        <f>(SUMIFS('Material Consumption'!$J$12:$J$50,'Material Consumption'!$D$12:$D$50,'Material Consumption'!$D85)*SUMIFS('GWP &amp; Emission Factors '!$F$154:$F$241,'GWP &amp; Emission Factors '!$E$154:$E$241,'Material Consumption'!$D85))/1000</f>
        <v>0.93</v>
      </c>
      <c r="K85" s="437">
        <f>(SUMIFS('Material Consumption'!$K$12:$K$50,'Material Consumption'!$D$12:$D$50,'Material Consumption'!$D85)*SUMIFS('GWP &amp; Emission Factors '!$F$154:$F$241,'GWP &amp; Emission Factors '!$E$154:$E$241,'Material Consumption'!$D85))/1000</f>
        <v>0.93</v>
      </c>
      <c r="L85" s="437">
        <f>(SUMIFS('Material Consumption'!$L$12:$L$50,'Material Consumption'!$D$12:$D$50,'Material Consumption'!$D85)*SUMIFS('GWP &amp; Emission Factors '!$F$154:$F$241,'GWP &amp; Emission Factors '!$E$154:$E$241,'Material Consumption'!$D85))/1000</f>
        <v>0.93</v>
      </c>
      <c r="M85" s="437">
        <f>(SUMIFS('Material Consumption'!$M$12:$M$50,'Material Consumption'!$D$12:$D$50,'Material Consumption'!$D85)*SUMIFS('GWP &amp; Emission Factors '!$F$154:$F$241,'GWP &amp; Emission Factors '!$E$154:$E$241,'Material Consumption'!$D85))/1000</f>
        <v>0.93</v>
      </c>
      <c r="N85" s="437">
        <f>(SUMIFS('Material Consumption'!$N$12:$N$50,'Material Consumption'!$D$12:$D$50,'Material Consumption'!$D85)*SUMIFS('GWP &amp; Emission Factors '!$F$154:$F$241,'GWP &amp; Emission Factors '!$E$154:$E$241,'Material Consumption'!$D85))/1000</f>
        <v>0.93</v>
      </c>
      <c r="O85" s="437">
        <f>(SUMIFS('Material Consumption'!$O$12:$O$50,'Material Consumption'!$D$12:$D$50,'Material Consumption'!$D85)*SUMIFS('GWP &amp; Emission Factors '!$F$154:$F$241,'GWP &amp; Emission Factors '!$E$154:$E$241,'Material Consumption'!$D85))/1000</f>
        <v>0.93</v>
      </c>
      <c r="P85" s="437">
        <f>(SUMIFS('Material Consumption'!$P$12:$P$50,'Material Consumption'!$D$12:$D$50,'Material Consumption'!$D85)*SUMIFS('GWP &amp; Emission Factors '!$F$154:$F$241,'GWP &amp; Emission Factors '!$E$154:$E$241,'Material Consumption'!$D85))/1000</f>
        <v>1.86</v>
      </c>
      <c r="Q85" s="448">
        <f t="shared" si="2"/>
        <v>13.949999999999998</v>
      </c>
    </row>
    <row r="86" spans="1:17" s="26" customFormat="1" ht="39" x14ac:dyDescent="0.25">
      <c r="A86" s="73"/>
      <c r="C86" s="442"/>
      <c r="D86" s="440" t="str">
        <f>'Table for material consumption'!D41</f>
        <v>Interior &amp; exterior for all wood, metal and masonry Enamel</v>
      </c>
      <c r="E86" s="437">
        <f>(SUMIFS('Material Consumption'!$E$12:$E$50,'Material Consumption'!$D$12:$D$50,'Material Consumption'!$D86)*SUMIFS('GWP &amp; Emission Factors '!$F$154:$F$241,'GWP &amp; Emission Factors '!$E$154:$E$241,'Material Consumption'!$D86))/1000</f>
        <v>1.96</v>
      </c>
      <c r="F86" s="437">
        <f>(SUMIFS('Material Consumption'!$F$12:$F$50,'Material Consumption'!$D$12:$D$50,'Material Consumption'!$D86)*SUMIFS('GWP &amp; Emission Factors '!$F$154:$F$241,'GWP &amp; Emission Factors '!$E$154:$E$241,'Material Consumption'!$D86))/1000</f>
        <v>1.96</v>
      </c>
      <c r="G86" s="437">
        <f>(SUMIFS('Material Consumption'!$G$12:$G$50,'Material Consumption'!$D$12:$D$50,'Material Consumption'!$D86)*SUMIFS('GWP &amp; Emission Factors '!$F$154:$F$241,'GWP &amp; Emission Factors '!$E$154:$E$241,'Material Consumption'!$D86))/1000</f>
        <v>0</v>
      </c>
      <c r="H86" s="437">
        <f>(SUMIFS('Material Consumption'!$H$12:$H$50,'Material Consumption'!$D$12:$D$50,'Material Consumption'!$D86)*SUMIFS('GWP &amp; Emission Factors '!$F$154:$F$241,'GWP &amp; Emission Factors '!$E$154:$E$241,'Material Consumption'!$D86))/1000</f>
        <v>1.96</v>
      </c>
      <c r="I86" s="437">
        <f>(SUMIFS('Material Consumption'!$I$12:$I$50,'Material Consumption'!$D$12:$D$50,'Material Consumption'!$D86)*SUMIFS('GWP &amp; Emission Factors '!$F$154:$F$241,'GWP &amp; Emission Factors '!$E$154:$E$241,'Material Consumption'!$D86))/1000</f>
        <v>0.98</v>
      </c>
      <c r="J86" s="437">
        <f>(SUMIFS('Material Consumption'!$J$12:$J$50,'Material Consumption'!$D$12:$D$50,'Material Consumption'!$D86)*SUMIFS('GWP &amp; Emission Factors '!$F$154:$F$241,'GWP &amp; Emission Factors '!$E$154:$E$241,'Material Consumption'!$D86))/1000</f>
        <v>0.98</v>
      </c>
      <c r="K86" s="437">
        <f>(SUMIFS('Material Consumption'!$K$12:$K$50,'Material Consumption'!$D$12:$D$50,'Material Consumption'!$D86)*SUMIFS('GWP &amp; Emission Factors '!$F$154:$F$241,'GWP &amp; Emission Factors '!$E$154:$E$241,'Material Consumption'!$D86))/1000</f>
        <v>0.98</v>
      </c>
      <c r="L86" s="437">
        <f>(SUMIFS('Material Consumption'!$L$12:$L$50,'Material Consumption'!$D$12:$D$50,'Material Consumption'!$D86)*SUMIFS('GWP &amp; Emission Factors '!$F$154:$F$241,'GWP &amp; Emission Factors '!$E$154:$E$241,'Material Consumption'!$D86))/1000</f>
        <v>0.98</v>
      </c>
      <c r="M86" s="437">
        <f>(SUMIFS('Material Consumption'!$M$12:$M$50,'Material Consumption'!$D$12:$D$50,'Material Consumption'!$D86)*SUMIFS('GWP &amp; Emission Factors '!$F$154:$F$241,'GWP &amp; Emission Factors '!$E$154:$E$241,'Material Consumption'!$D86))/1000</f>
        <v>0.98</v>
      </c>
      <c r="N86" s="437">
        <f>(SUMIFS('Material Consumption'!$N$12:$N$50,'Material Consumption'!$D$12:$D$50,'Material Consumption'!$D86)*SUMIFS('GWP &amp; Emission Factors '!$F$154:$F$241,'GWP &amp; Emission Factors '!$E$154:$E$241,'Material Consumption'!$D86))/1000</f>
        <v>0.98</v>
      </c>
      <c r="O86" s="437">
        <f>(SUMIFS('Material Consumption'!$O$12:$O$50,'Material Consumption'!$D$12:$D$50,'Material Consumption'!$D86)*SUMIFS('GWP &amp; Emission Factors '!$F$154:$F$241,'GWP &amp; Emission Factors '!$E$154:$E$241,'Material Consumption'!$D86))/1000</f>
        <v>0.98</v>
      </c>
      <c r="P86" s="437">
        <f>(SUMIFS('Material Consumption'!$P$12:$P$50,'Material Consumption'!$D$12:$D$50,'Material Consumption'!$D86)*SUMIFS('GWP &amp; Emission Factors '!$F$154:$F$241,'GWP &amp; Emission Factors '!$E$154:$E$241,'Material Consumption'!$D86))/1000</f>
        <v>1.96</v>
      </c>
      <c r="Q86" s="448">
        <f t="shared" si="2"/>
        <v>14.700000000000003</v>
      </c>
    </row>
    <row r="87" spans="1:17" s="26" customFormat="1" x14ac:dyDescent="0.25">
      <c r="A87" s="73"/>
      <c r="C87" s="442"/>
      <c r="D87" s="440" t="str">
        <f>'Table for material consumption'!D42</f>
        <v>Mealamine sealer</v>
      </c>
      <c r="E87" s="437">
        <f>(SUMIFS('Material Consumption'!$E$12:$E$50,'Material Consumption'!$D$12:$D$50,'Material Consumption'!$D87)*SUMIFS('GWP &amp; Emission Factors '!$F$154:$F$241,'GWP &amp; Emission Factors '!$E$154:$E$241,'Material Consumption'!$D87))/1000</f>
        <v>0</v>
      </c>
      <c r="F87" s="437">
        <f>(SUMIFS('Material Consumption'!$F$12:$F$50,'Material Consumption'!$D$12:$D$50,'Material Consumption'!$D87)*SUMIFS('GWP &amp; Emission Factors '!$F$154:$F$241,'GWP &amp; Emission Factors '!$E$154:$E$241,'Material Consumption'!$D87))/1000</f>
        <v>0</v>
      </c>
      <c r="G87" s="437">
        <f>(SUMIFS('Material Consumption'!$G$12:$G$50,'Material Consumption'!$D$12:$D$50,'Material Consumption'!$D87)*SUMIFS('GWP &amp; Emission Factors '!$F$154:$F$241,'GWP &amp; Emission Factors '!$E$154:$E$241,'Material Consumption'!$D87))/1000</f>
        <v>0</v>
      </c>
      <c r="H87" s="437">
        <f>(SUMIFS('Material Consumption'!$H$12:$H$50,'Material Consumption'!$D$12:$D$50,'Material Consumption'!$D87)*SUMIFS('GWP &amp; Emission Factors '!$F$154:$F$241,'GWP &amp; Emission Factors '!$E$154:$E$241,'Material Consumption'!$D87))/1000</f>
        <v>0</v>
      </c>
      <c r="I87" s="437">
        <f>(SUMIFS('Material Consumption'!$I$12:$I$50,'Material Consumption'!$D$12:$D$50,'Material Consumption'!$D87)*SUMIFS('GWP &amp; Emission Factors '!$F$154:$F$241,'GWP &amp; Emission Factors '!$E$154:$E$241,'Material Consumption'!$D87))/1000</f>
        <v>0</v>
      </c>
      <c r="J87" s="437">
        <f>(SUMIFS('Material Consumption'!$J$12:$J$50,'Material Consumption'!$D$12:$D$50,'Material Consumption'!$D87)*SUMIFS('GWP &amp; Emission Factors '!$F$154:$F$241,'GWP &amp; Emission Factors '!$E$154:$E$241,'Material Consumption'!$D87))/1000</f>
        <v>0</v>
      </c>
      <c r="K87" s="437">
        <f>(SUMIFS('Material Consumption'!$K$12:$K$50,'Material Consumption'!$D$12:$D$50,'Material Consumption'!$D87)*SUMIFS('GWP &amp; Emission Factors '!$F$154:$F$241,'GWP &amp; Emission Factors '!$E$154:$E$241,'Material Consumption'!$D87))/1000</f>
        <v>0</v>
      </c>
      <c r="L87" s="437">
        <f>(SUMIFS('Material Consumption'!$L$12:$L$50,'Material Consumption'!$D$12:$D$50,'Material Consumption'!$D87)*SUMIFS('GWP &amp; Emission Factors '!$F$154:$F$241,'GWP &amp; Emission Factors '!$E$154:$E$241,'Material Consumption'!$D87))/1000</f>
        <v>0</v>
      </c>
      <c r="M87" s="437">
        <f>(SUMIFS('Material Consumption'!$M$12:$M$50,'Material Consumption'!$D$12:$D$50,'Material Consumption'!$D87)*SUMIFS('GWP &amp; Emission Factors '!$F$154:$F$241,'GWP &amp; Emission Factors '!$E$154:$E$241,'Material Consumption'!$D87))/1000</f>
        <v>0</v>
      </c>
      <c r="N87" s="437">
        <f>(SUMIFS('Material Consumption'!$N$12:$N$50,'Material Consumption'!$D$12:$D$50,'Material Consumption'!$D87)*SUMIFS('GWP &amp; Emission Factors '!$F$154:$F$241,'GWP &amp; Emission Factors '!$E$154:$E$241,'Material Consumption'!$D87))/1000</f>
        <v>0</v>
      </c>
      <c r="O87" s="437">
        <f>(SUMIFS('Material Consumption'!$O$12:$O$50,'Material Consumption'!$D$12:$D$50,'Material Consumption'!$D87)*SUMIFS('GWP &amp; Emission Factors '!$F$154:$F$241,'GWP &amp; Emission Factors '!$E$154:$E$241,'Material Consumption'!$D87))/1000</f>
        <v>0</v>
      </c>
      <c r="P87" s="437">
        <f>(SUMIFS('Material Consumption'!$P$12:$P$50,'Material Consumption'!$D$12:$D$50,'Material Consumption'!$D87)*SUMIFS('GWP &amp; Emission Factors '!$F$154:$F$241,'GWP &amp; Emission Factors '!$E$154:$E$241,'Material Consumption'!$D87))/1000</f>
        <v>0</v>
      </c>
      <c r="Q87" s="448">
        <f t="shared" si="2"/>
        <v>0</v>
      </c>
    </row>
    <row r="88" spans="1:17" s="26" customFormat="1" x14ac:dyDescent="0.25">
      <c r="A88" s="73"/>
      <c r="C88" s="442"/>
      <c r="D88" s="440" t="str">
        <f>'Table for material consumption'!D43</f>
        <v>Mealamine Finsiher</v>
      </c>
      <c r="E88" s="437">
        <f>(SUMIFS('Material Consumption'!$E$12:$E$50,'Material Consumption'!$D$12:$D$50,'Material Consumption'!$D88)*SUMIFS('GWP &amp; Emission Factors '!$F$154:$F$241,'GWP &amp; Emission Factors '!$E$154:$E$241,'Material Consumption'!$D88))/1000</f>
        <v>0</v>
      </c>
      <c r="F88" s="437">
        <f>(SUMIFS('Material Consumption'!$F$12:$F$50,'Material Consumption'!$D$12:$D$50,'Material Consumption'!$D88)*SUMIFS('GWP &amp; Emission Factors '!$F$154:$F$241,'GWP &amp; Emission Factors '!$E$154:$E$241,'Material Consumption'!$D88))/1000</f>
        <v>0</v>
      </c>
      <c r="G88" s="437">
        <f>(SUMIFS('Material Consumption'!$G$12:$G$50,'Material Consumption'!$D$12:$D$50,'Material Consumption'!$D88)*SUMIFS('GWP &amp; Emission Factors '!$F$154:$F$241,'GWP &amp; Emission Factors '!$E$154:$E$241,'Material Consumption'!$D88))/1000</f>
        <v>0</v>
      </c>
      <c r="H88" s="437">
        <f>(SUMIFS('Material Consumption'!$H$12:$H$50,'Material Consumption'!$D$12:$D$50,'Material Consumption'!$D88)*SUMIFS('GWP &amp; Emission Factors '!$F$154:$F$241,'GWP &amp; Emission Factors '!$E$154:$E$241,'Material Consumption'!$D88))/1000</f>
        <v>0</v>
      </c>
      <c r="I88" s="437">
        <f>(SUMIFS('Material Consumption'!$I$12:$I$50,'Material Consumption'!$D$12:$D$50,'Material Consumption'!$D88)*SUMIFS('GWP &amp; Emission Factors '!$F$154:$F$241,'GWP &amp; Emission Factors '!$E$154:$E$241,'Material Consumption'!$D88))/1000</f>
        <v>0</v>
      </c>
      <c r="J88" s="437">
        <f>(SUMIFS('Material Consumption'!$J$12:$J$50,'Material Consumption'!$D$12:$D$50,'Material Consumption'!$D88)*SUMIFS('GWP &amp; Emission Factors '!$F$154:$F$241,'GWP &amp; Emission Factors '!$E$154:$E$241,'Material Consumption'!$D88))/1000</f>
        <v>0</v>
      </c>
      <c r="K88" s="437">
        <f>(SUMIFS('Material Consumption'!$K$12:$K$50,'Material Consumption'!$D$12:$D$50,'Material Consumption'!$D88)*SUMIFS('GWP &amp; Emission Factors '!$F$154:$F$241,'GWP &amp; Emission Factors '!$E$154:$E$241,'Material Consumption'!$D88))/1000</f>
        <v>0</v>
      </c>
      <c r="L88" s="437">
        <f>(SUMIFS('Material Consumption'!$L$12:$L$50,'Material Consumption'!$D$12:$D$50,'Material Consumption'!$D88)*SUMIFS('GWP &amp; Emission Factors '!$F$154:$F$241,'GWP &amp; Emission Factors '!$E$154:$E$241,'Material Consumption'!$D88))/1000</f>
        <v>0</v>
      </c>
      <c r="M88" s="437">
        <f>(SUMIFS('Material Consumption'!$M$12:$M$50,'Material Consumption'!$D$12:$D$50,'Material Consumption'!$D88)*SUMIFS('GWP &amp; Emission Factors '!$F$154:$F$241,'GWP &amp; Emission Factors '!$E$154:$E$241,'Material Consumption'!$D88))/1000</f>
        <v>0</v>
      </c>
      <c r="N88" s="437">
        <f>(SUMIFS('Material Consumption'!$N$12:$N$50,'Material Consumption'!$D$12:$D$50,'Material Consumption'!$D88)*SUMIFS('GWP &amp; Emission Factors '!$F$154:$F$241,'GWP &amp; Emission Factors '!$E$154:$E$241,'Material Consumption'!$D88))/1000</f>
        <v>0</v>
      </c>
      <c r="O88" s="437">
        <f>(SUMIFS('Material Consumption'!$O$12:$O$50,'Material Consumption'!$D$12:$D$50,'Material Consumption'!$D88)*SUMIFS('GWP &amp; Emission Factors '!$F$154:$F$241,'GWP &amp; Emission Factors '!$E$154:$E$241,'Material Consumption'!$D88))/1000</f>
        <v>0</v>
      </c>
      <c r="P88" s="437">
        <f>(SUMIFS('Material Consumption'!$P$12:$P$50,'Material Consumption'!$D$12:$D$50,'Material Consumption'!$D88)*SUMIFS('GWP &amp; Emission Factors '!$F$154:$F$241,'GWP &amp; Emission Factors '!$E$154:$E$241,'Material Consumption'!$D88))/1000</f>
        <v>0</v>
      </c>
      <c r="Q88" s="448">
        <f t="shared" si="2"/>
        <v>0</v>
      </c>
    </row>
    <row r="89" spans="1:17" s="26" customFormat="1" ht="26.25" x14ac:dyDescent="0.25">
      <c r="A89" s="73"/>
      <c r="C89" s="442"/>
      <c r="D89" s="440" t="str">
        <f>'Table for material consumption'!D44</f>
        <v>Mealamine wood keeper</v>
      </c>
      <c r="E89" s="437">
        <f>(SUMIFS('Material Consumption'!$E$12:$E$50,'Material Consumption'!$D$12:$D$50,'Material Consumption'!$D89)*SUMIFS('GWP &amp; Emission Factors '!$F$154:$F$241,'GWP &amp; Emission Factors '!$E$154:$E$241,'Material Consumption'!$D89))/1000</f>
        <v>0</v>
      </c>
      <c r="F89" s="437">
        <f>(SUMIFS('Material Consumption'!$F$12:$F$50,'Material Consumption'!$D$12:$D$50,'Material Consumption'!$D89)*SUMIFS('GWP &amp; Emission Factors '!$F$154:$F$241,'GWP &amp; Emission Factors '!$E$154:$E$241,'Material Consumption'!$D89))/1000</f>
        <v>0</v>
      </c>
      <c r="G89" s="437">
        <f>(SUMIFS('Material Consumption'!$G$12:$G$50,'Material Consumption'!$D$12:$D$50,'Material Consumption'!$D89)*SUMIFS('GWP &amp; Emission Factors '!$F$154:$F$241,'GWP &amp; Emission Factors '!$E$154:$E$241,'Material Consumption'!$D89))/1000</f>
        <v>0</v>
      </c>
      <c r="H89" s="437">
        <f>(SUMIFS('Material Consumption'!$H$12:$H$50,'Material Consumption'!$D$12:$D$50,'Material Consumption'!$D89)*SUMIFS('GWP &amp; Emission Factors '!$F$154:$F$241,'GWP &amp; Emission Factors '!$E$154:$E$241,'Material Consumption'!$D89))/1000</f>
        <v>0</v>
      </c>
      <c r="I89" s="437">
        <f>(SUMIFS('Material Consumption'!$I$12:$I$50,'Material Consumption'!$D$12:$D$50,'Material Consumption'!$D89)*SUMIFS('GWP &amp; Emission Factors '!$F$154:$F$241,'GWP &amp; Emission Factors '!$E$154:$E$241,'Material Consumption'!$D89))/1000</f>
        <v>0</v>
      </c>
      <c r="J89" s="437">
        <f>(SUMIFS('Material Consumption'!$J$12:$J$50,'Material Consumption'!$D$12:$D$50,'Material Consumption'!$D89)*SUMIFS('GWP &amp; Emission Factors '!$F$154:$F$241,'GWP &amp; Emission Factors '!$E$154:$E$241,'Material Consumption'!$D89))/1000</f>
        <v>0</v>
      </c>
      <c r="K89" s="437">
        <f>(SUMIFS('Material Consumption'!$K$12:$K$50,'Material Consumption'!$D$12:$D$50,'Material Consumption'!$D89)*SUMIFS('GWP &amp; Emission Factors '!$F$154:$F$241,'GWP &amp; Emission Factors '!$E$154:$E$241,'Material Consumption'!$D89))/1000</f>
        <v>0</v>
      </c>
      <c r="L89" s="437">
        <f>(SUMIFS('Material Consumption'!$L$12:$L$50,'Material Consumption'!$D$12:$D$50,'Material Consumption'!$D89)*SUMIFS('GWP &amp; Emission Factors '!$F$154:$F$241,'GWP &amp; Emission Factors '!$E$154:$E$241,'Material Consumption'!$D89))/1000</f>
        <v>0</v>
      </c>
      <c r="M89" s="437">
        <f>(SUMIFS('Material Consumption'!$M$12:$M$50,'Material Consumption'!$D$12:$D$50,'Material Consumption'!$D89)*SUMIFS('GWP &amp; Emission Factors '!$F$154:$F$241,'GWP &amp; Emission Factors '!$E$154:$E$241,'Material Consumption'!$D89))/1000</f>
        <v>0</v>
      </c>
      <c r="N89" s="437">
        <f>(SUMIFS('Material Consumption'!$N$12:$N$50,'Material Consumption'!$D$12:$D$50,'Material Consumption'!$D89)*SUMIFS('GWP &amp; Emission Factors '!$F$154:$F$241,'GWP &amp; Emission Factors '!$E$154:$E$241,'Material Consumption'!$D89))/1000</f>
        <v>0</v>
      </c>
      <c r="O89" s="437">
        <f>(SUMIFS('Material Consumption'!$O$12:$O$50,'Material Consumption'!$D$12:$D$50,'Material Consumption'!$D89)*SUMIFS('GWP &amp; Emission Factors '!$F$154:$F$241,'GWP &amp; Emission Factors '!$E$154:$E$241,'Material Consumption'!$D89))/1000</f>
        <v>0</v>
      </c>
      <c r="P89" s="437">
        <f>(SUMIFS('Material Consumption'!$P$12:$P$50,'Material Consumption'!$D$12:$D$50,'Material Consumption'!$D89)*SUMIFS('GWP &amp; Emission Factors '!$F$154:$F$241,'GWP &amp; Emission Factors '!$E$154:$E$241,'Material Consumption'!$D89))/1000</f>
        <v>0</v>
      </c>
      <c r="Q89" s="448">
        <f t="shared" si="2"/>
        <v>0</v>
      </c>
    </row>
    <row r="90" spans="1:17" s="26" customFormat="1" x14ac:dyDescent="0.25">
      <c r="A90" s="73"/>
      <c r="C90" s="442"/>
      <c r="D90" s="440" t="str">
        <f>'Table for material consumption'!D45</f>
        <v>Pu Paint</v>
      </c>
      <c r="E90" s="437">
        <f>(SUMIFS('Material Consumption'!$E$12:$E$50,'Material Consumption'!$D$12:$D$50,'Material Consumption'!$D90)*SUMIFS('GWP &amp; Emission Factors '!$F$154:$F$241,'GWP &amp; Emission Factors '!$E$154:$E$241,'Material Consumption'!$D90))/1000</f>
        <v>5.35</v>
      </c>
      <c r="F90" s="437">
        <f>(SUMIFS('Material Consumption'!$F$12:$F$50,'Material Consumption'!$D$12:$D$50,'Material Consumption'!$D90)*SUMIFS('GWP &amp; Emission Factors '!$F$154:$F$241,'GWP &amp; Emission Factors '!$E$154:$E$241,'Material Consumption'!$D90))/1000</f>
        <v>5.35</v>
      </c>
      <c r="G90" s="437">
        <f>(SUMIFS('Material Consumption'!$G$12:$G$50,'Material Consumption'!$D$12:$D$50,'Material Consumption'!$D90)*SUMIFS('GWP &amp; Emission Factors '!$F$154:$F$241,'GWP &amp; Emission Factors '!$E$154:$E$241,'Material Consumption'!$D90))/1000</f>
        <v>0</v>
      </c>
      <c r="H90" s="437">
        <f>(SUMIFS('Material Consumption'!$H$12:$H$50,'Material Consumption'!$D$12:$D$50,'Material Consumption'!$D90)*SUMIFS('GWP &amp; Emission Factors '!$F$154:$F$241,'GWP &amp; Emission Factors '!$E$154:$E$241,'Material Consumption'!$D90))/1000</f>
        <v>5.35</v>
      </c>
      <c r="I90" s="437">
        <f>(SUMIFS('Material Consumption'!$I$12:$I$50,'Material Consumption'!$D$12:$D$50,'Material Consumption'!$D90)*SUMIFS('GWP &amp; Emission Factors '!$F$154:$F$241,'GWP &amp; Emission Factors '!$E$154:$E$241,'Material Consumption'!$D90))/1000</f>
        <v>2.6749999999999998</v>
      </c>
      <c r="J90" s="437">
        <f>(SUMIFS('Material Consumption'!$J$12:$J$50,'Material Consumption'!$D$12:$D$50,'Material Consumption'!$D90)*SUMIFS('GWP &amp; Emission Factors '!$F$154:$F$241,'GWP &amp; Emission Factors '!$E$154:$E$241,'Material Consumption'!$D90))/1000</f>
        <v>2.6749999999999998</v>
      </c>
      <c r="K90" s="437">
        <f>(SUMIFS('Material Consumption'!$K$12:$K$50,'Material Consumption'!$D$12:$D$50,'Material Consumption'!$D90)*SUMIFS('GWP &amp; Emission Factors '!$F$154:$F$241,'GWP &amp; Emission Factors '!$E$154:$E$241,'Material Consumption'!$D90))/1000</f>
        <v>2.6749999999999998</v>
      </c>
      <c r="L90" s="437">
        <f>(SUMIFS('Material Consumption'!$L$12:$L$50,'Material Consumption'!$D$12:$D$50,'Material Consumption'!$D90)*SUMIFS('GWP &amp; Emission Factors '!$F$154:$F$241,'GWP &amp; Emission Factors '!$E$154:$E$241,'Material Consumption'!$D90))/1000</f>
        <v>2.6749999999999998</v>
      </c>
      <c r="M90" s="437">
        <f>(SUMIFS('Material Consumption'!$M$12:$M$50,'Material Consumption'!$D$12:$D$50,'Material Consumption'!$D90)*SUMIFS('GWP &amp; Emission Factors '!$F$154:$F$241,'GWP &amp; Emission Factors '!$E$154:$E$241,'Material Consumption'!$D90))/1000</f>
        <v>2.6749999999999998</v>
      </c>
      <c r="N90" s="437">
        <f>(SUMIFS('Material Consumption'!$N$12:$N$50,'Material Consumption'!$D$12:$D$50,'Material Consumption'!$D90)*SUMIFS('GWP &amp; Emission Factors '!$F$154:$F$241,'GWP &amp; Emission Factors '!$E$154:$E$241,'Material Consumption'!$D90))/1000</f>
        <v>2.6749999999999998</v>
      </c>
      <c r="O90" s="437">
        <f>(SUMIFS('Material Consumption'!$O$12:$O$50,'Material Consumption'!$D$12:$D$50,'Material Consumption'!$D90)*SUMIFS('GWP &amp; Emission Factors '!$F$154:$F$241,'GWP &amp; Emission Factors '!$E$154:$E$241,'Material Consumption'!$D90))/1000</f>
        <v>2.6749999999999998</v>
      </c>
      <c r="P90" s="437">
        <f>(SUMIFS('Material Consumption'!$P$12:$P$50,'Material Consumption'!$D$12:$D$50,'Material Consumption'!$D90)*SUMIFS('GWP &amp; Emission Factors '!$F$154:$F$241,'GWP &amp; Emission Factors '!$E$154:$E$241,'Material Consumption'!$D90))/1000</f>
        <v>5.35</v>
      </c>
      <c r="Q90" s="448">
        <f t="shared" si="2"/>
        <v>40.125</v>
      </c>
    </row>
    <row r="91" spans="1:17" s="26" customFormat="1" x14ac:dyDescent="0.25">
      <c r="A91" s="73"/>
      <c r="C91" s="442"/>
      <c r="D91" s="440" t="str">
        <f>'Table for material consumption'!D46</f>
        <v>PU mettalic/ Gold</v>
      </c>
      <c r="E91" s="437">
        <f>(SUMIFS('Material Consumption'!$E$12:$E$50,'Material Consumption'!$D$12:$D$50,'Material Consumption'!$D91)*SUMIFS('GWP &amp; Emission Factors '!$F$154:$F$241,'GWP &amp; Emission Factors '!$E$154:$E$241,'Material Consumption'!$D91))/1000</f>
        <v>0</v>
      </c>
      <c r="F91" s="437">
        <f>(SUMIFS('Material Consumption'!$F$12:$F$50,'Material Consumption'!$D$12:$D$50,'Material Consumption'!$D91)*SUMIFS('GWP &amp; Emission Factors '!$F$154:$F$241,'GWP &amp; Emission Factors '!$E$154:$E$241,'Material Consumption'!$D91))/1000</f>
        <v>0</v>
      </c>
      <c r="G91" s="437">
        <f>(SUMIFS('Material Consumption'!$G$12:$G$50,'Material Consumption'!$D$12:$D$50,'Material Consumption'!$D91)*SUMIFS('GWP &amp; Emission Factors '!$F$154:$F$241,'GWP &amp; Emission Factors '!$E$154:$E$241,'Material Consumption'!$D91))/1000</f>
        <v>0</v>
      </c>
      <c r="H91" s="437">
        <f>(SUMIFS('Material Consumption'!$H$12:$H$50,'Material Consumption'!$D$12:$D$50,'Material Consumption'!$D91)*SUMIFS('GWP &amp; Emission Factors '!$F$154:$F$241,'GWP &amp; Emission Factors '!$E$154:$E$241,'Material Consumption'!$D91))/1000</f>
        <v>0</v>
      </c>
      <c r="I91" s="437">
        <f>(SUMIFS('Material Consumption'!$I$12:$I$50,'Material Consumption'!$D$12:$D$50,'Material Consumption'!$D91)*SUMIFS('GWP &amp; Emission Factors '!$F$154:$F$241,'GWP &amp; Emission Factors '!$E$154:$E$241,'Material Consumption'!$D91))/1000</f>
        <v>0</v>
      </c>
      <c r="J91" s="437">
        <f>(SUMIFS('Material Consumption'!$J$12:$J$50,'Material Consumption'!$D$12:$D$50,'Material Consumption'!$D91)*SUMIFS('GWP &amp; Emission Factors '!$F$154:$F$241,'GWP &amp; Emission Factors '!$E$154:$E$241,'Material Consumption'!$D91))/1000</f>
        <v>0</v>
      </c>
      <c r="K91" s="437">
        <f>(SUMIFS('Material Consumption'!$K$12:$K$50,'Material Consumption'!$D$12:$D$50,'Material Consumption'!$D91)*SUMIFS('GWP &amp; Emission Factors '!$F$154:$F$241,'GWP &amp; Emission Factors '!$E$154:$E$241,'Material Consumption'!$D91))/1000</f>
        <v>0</v>
      </c>
      <c r="L91" s="437">
        <f>(SUMIFS('Material Consumption'!$L$12:$L$50,'Material Consumption'!$D$12:$D$50,'Material Consumption'!$D91)*SUMIFS('GWP &amp; Emission Factors '!$F$154:$F$241,'GWP &amp; Emission Factors '!$E$154:$E$241,'Material Consumption'!$D91))/1000</f>
        <v>0</v>
      </c>
      <c r="M91" s="437">
        <f>(SUMIFS('Material Consumption'!$M$12:$M$50,'Material Consumption'!$D$12:$D$50,'Material Consumption'!$D91)*SUMIFS('GWP &amp; Emission Factors '!$F$154:$F$241,'GWP &amp; Emission Factors '!$E$154:$E$241,'Material Consumption'!$D91))/1000</f>
        <v>0</v>
      </c>
      <c r="N91" s="437">
        <f>(SUMIFS('Material Consumption'!$N$12:$N$50,'Material Consumption'!$D$12:$D$50,'Material Consumption'!$D91)*SUMIFS('GWP &amp; Emission Factors '!$F$154:$F$241,'GWP &amp; Emission Factors '!$E$154:$E$241,'Material Consumption'!$D91))/1000</f>
        <v>0</v>
      </c>
      <c r="O91" s="437">
        <f>(SUMIFS('Material Consumption'!$O$12:$O$50,'Material Consumption'!$D$12:$D$50,'Material Consumption'!$D91)*SUMIFS('GWP &amp; Emission Factors '!$F$154:$F$241,'GWP &amp; Emission Factors '!$E$154:$E$241,'Material Consumption'!$D91))/1000</f>
        <v>0</v>
      </c>
      <c r="P91" s="437">
        <f>(SUMIFS('Material Consumption'!$P$12:$P$50,'Material Consumption'!$D$12:$D$50,'Material Consumption'!$D91)*SUMIFS('GWP &amp; Emission Factors '!$F$154:$F$241,'GWP &amp; Emission Factors '!$E$154:$E$241,'Material Consumption'!$D91))/1000</f>
        <v>0</v>
      </c>
      <c r="Q91" s="448">
        <f t="shared" si="2"/>
        <v>0</v>
      </c>
    </row>
    <row r="92" spans="1:17" s="26" customFormat="1" x14ac:dyDescent="0.25">
      <c r="A92" s="73"/>
      <c r="C92" s="442"/>
      <c r="D92" s="440" t="str">
        <f>'Table for material consumption'!D47</f>
        <v>Acetone</v>
      </c>
      <c r="E92" s="437">
        <f>(SUMIFS('Material Consumption'!$E$12:$E$50,'Material Consumption'!$D$12:$D$50,'Material Consumption'!$D92)*SUMIFS('GWP &amp; Emission Factors '!$F$154:$F$241,'GWP &amp; Emission Factors '!$E$154:$E$241,'Material Consumption'!$D92))/1000</f>
        <v>2.19</v>
      </c>
      <c r="F92" s="437">
        <f>(SUMIFS('Material Consumption'!$F$12:$F$50,'Material Consumption'!$D$12:$D$50,'Material Consumption'!$D92)*SUMIFS('GWP &amp; Emission Factors '!$F$154:$F$241,'GWP &amp; Emission Factors '!$E$154:$E$241,'Material Consumption'!$D92))/1000</f>
        <v>2.19</v>
      </c>
      <c r="G92" s="437">
        <f>(SUMIFS('Material Consumption'!$G$12:$G$50,'Material Consumption'!$D$12:$D$50,'Material Consumption'!$D92)*SUMIFS('GWP &amp; Emission Factors '!$F$154:$F$241,'GWP &amp; Emission Factors '!$E$154:$E$241,'Material Consumption'!$D92))/1000</f>
        <v>0</v>
      </c>
      <c r="H92" s="437">
        <f>(SUMIFS('Material Consumption'!$H$12:$H$50,'Material Consumption'!$D$12:$D$50,'Material Consumption'!$D92)*SUMIFS('GWP &amp; Emission Factors '!$F$154:$F$241,'GWP &amp; Emission Factors '!$E$154:$E$241,'Material Consumption'!$D92))/1000</f>
        <v>2.19</v>
      </c>
      <c r="I92" s="437">
        <f>(SUMIFS('Material Consumption'!$I$12:$I$50,'Material Consumption'!$D$12:$D$50,'Material Consumption'!$D92)*SUMIFS('GWP &amp; Emission Factors '!$F$154:$F$241,'GWP &amp; Emission Factors '!$E$154:$E$241,'Material Consumption'!$D92))/1000</f>
        <v>1.095</v>
      </c>
      <c r="J92" s="437">
        <f>(SUMIFS('Material Consumption'!$J$12:$J$50,'Material Consumption'!$D$12:$D$50,'Material Consumption'!$D92)*SUMIFS('GWP &amp; Emission Factors '!$F$154:$F$241,'GWP &amp; Emission Factors '!$E$154:$E$241,'Material Consumption'!$D92))/1000</f>
        <v>1.095</v>
      </c>
      <c r="K92" s="437">
        <f>(SUMIFS('Material Consumption'!$K$12:$K$50,'Material Consumption'!$D$12:$D$50,'Material Consumption'!$D92)*SUMIFS('GWP &amp; Emission Factors '!$F$154:$F$241,'GWP &amp; Emission Factors '!$E$154:$E$241,'Material Consumption'!$D92))/1000</f>
        <v>1.095</v>
      </c>
      <c r="L92" s="437">
        <f>(SUMIFS('Material Consumption'!$L$12:$L$50,'Material Consumption'!$D$12:$D$50,'Material Consumption'!$D92)*SUMIFS('GWP &amp; Emission Factors '!$F$154:$F$241,'GWP &amp; Emission Factors '!$E$154:$E$241,'Material Consumption'!$D92))/1000</f>
        <v>1.095</v>
      </c>
      <c r="M92" s="437">
        <f>(SUMIFS('Material Consumption'!$M$12:$M$50,'Material Consumption'!$D$12:$D$50,'Material Consumption'!$D92)*SUMIFS('GWP &amp; Emission Factors '!$F$154:$F$241,'GWP &amp; Emission Factors '!$E$154:$E$241,'Material Consumption'!$D92))/1000</f>
        <v>1.095</v>
      </c>
      <c r="N92" s="437">
        <f>(SUMIFS('Material Consumption'!$N$12:$N$50,'Material Consumption'!$D$12:$D$50,'Material Consumption'!$D92)*SUMIFS('GWP &amp; Emission Factors '!$F$154:$F$241,'GWP &amp; Emission Factors '!$E$154:$E$241,'Material Consumption'!$D92))/1000</f>
        <v>1.095</v>
      </c>
      <c r="O92" s="437">
        <f>(SUMIFS('Material Consumption'!$O$12:$O$50,'Material Consumption'!$D$12:$D$50,'Material Consumption'!$D92)*SUMIFS('GWP &amp; Emission Factors '!$F$154:$F$241,'GWP &amp; Emission Factors '!$E$154:$E$241,'Material Consumption'!$D92))/1000</f>
        <v>1.095</v>
      </c>
      <c r="P92" s="437">
        <f>(SUMIFS('Material Consumption'!$P$12:$P$50,'Material Consumption'!$D$12:$D$50,'Material Consumption'!$D92)*SUMIFS('GWP &amp; Emission Factors '!$F$154:$F$241,'GWP &amp; Emission Factors '!$E$154:$E$241,'Material Consumption'!$D92))/1000</f>
        <v>2.19</v>
      </c>
      <c r="Q92" s="448">
        <f t="shared" si="2"/>
        <v>16.425000000000004</v>
      </c>
    </row>
    <row r="93" spans="1:17" s="26" customFormat="1" x14ac:dyDescent="0.25">
      <c r="A93" s="73"/>
      <c r="C93" s="442"/>
      <c r="D93" s="440" t="str">
        <f>'Table for material consumption'!D48</f>
        <v>BROWN PAPER ROLL</v>
      </c>
      <c r="E93" s="437">
        <f>(SUMIFS('Material Consumption'!$E$12:$E$50,'Material Consumption'!$D$12:$D$50,'Material Consumption'!$D93)*SUMIFS('GWP &amp; Emission Factors '!$F$154:$F$241,'GWP &amp; Emission Factors '!$E$154:$E$241,'Material Consumption'!$D93))/1000</f>
        <v>2.42</v>
      </c>
      <c r="F93" s="437">
        <f>(SUMIFS('Material Consumption'!$F$12:$F$50,'Material Consumption'!$D$12:$D$50,'Material Consumption'!$D93)*SUMIFS('GWP &amp; Emission Factors '!$F$154:$F$241,'GWP &amp; Emission Factors '!$E$154:$E$241,'Material Consumption'!$D93))/1000</f>
        <v>2.42</v>
      </c>
      <c r="G93" s="437">
        <f>(SUMIFS('Material Consumption'!$G$12:$G$50,'Material Consumption'!$D$12:$D$50,'Material Consumption'!$D93)*SUMIFS('GWP &amp; Emission Factors '!$F$154:$F$241,'GWP &amp; Emission Factors '!$E$154:$E$241,'Material Consumption'!$D93))/1000</f>
        <v>0</v>
      </c>
      <c r="H93" s="437">
        <f>(SUMIFS('Material Consumption'!$H$12:$H$50,'Material Consumption'!$D$12:$D$50,'Material Consumption'!$D93)*SUMIFS('GWP &amp; Emission Factors '!$F$154:$F$241,'GWP &amp; Emission Factors '!$E$154:$E$241,'Material Consumption'!$D93))/1000</f>
        <v>2.42</v>
      </c>
      <c r="I93" s="437">
        <f>(SUMIFS('Material Consumption'!$I$12:$I$50,'Material Consumption'!$D$12:$D$50,'Material Consumption'!$D93)*SUMIFS('GWP &amp; Emission Factors '!$F$154:$F$241,'GWP &amp; Emission Factors '!$E$154:$E$241,'Material Consumption'!$D93))/1000</f>
        <v>1.21</v>
      </c>
      <c r="J93" s="437">
        <f>(SUMIFS('Material Consumption'!$J$12:$J$50,'Material Consumption'!$D$12:$D$50,'Material Consumption'!$D93)*SUMIFS('GWP &amp; Emission Factors '!$F$154:$F$241,'GWP &amp; Emission Factors '!$E$154:$E$241,'Material Consumption'!$D93))/1000</f>
        <v>1.21</v>
      </c>
      <c r="K93" s="437">
        <f>(SUMIFS('Material Consumption'!$K$12:$K$50,'Material Consumption'!$D$12:$D$50,'Material Consumption'!$D93)*SUMIFS('GWP &amp; Emission Factors '!$F$154:$F$241,'GWP &amp; Emission Factors '!$E$154:$E$241,'Material Consumption'!$D93))/1000</f>
        <v>1.21</v>
      </c>
      <c r="L93" s="437">
        <f>(SUMIFS('Material Consumption'!$L$12:$L$50,'Material Consumption'!$D$12:$D$50,'Material Consumption'!$D93)*SUMIFS('GWP &amp; Emission Factors '!$F$154:$F$241,'GWP &amp; Emission Factors '!$E$154:$E$241,'Material Consumption'!$D93))/1000</f>
        <v>1.21</v>
      </c>
      <c r="M93" s="437">
        <f>(SUMIFS('Material Consumption'!$M$12:$M$50,'Material Consumption'!$D$12:$D$50,'Material Consumption'!$D93)*SUMIFS('GWP &amp; Emission Factors '!$F$154:$F$241,'GWP &amp; Emission Factors '!$E$154:$E$241,'Material Consumption'!$D93))/1000</f>
        <v>1.21</v>
      </c>
      <c r="N93" s="437">
        <f>(SUMIFS('Material Consumption'!$N$12:$N$50,'Material Consumption'!$D$12:$D$50,'Material Consumption'!$D93)*SUMIFS('GWP &amp; Emission Factors '!$F$154:$F$241,'GWP &amp; Emission Factors '!$E$154:$E$241,'Material Consumption'!$D93))/1000</f>
        <v>1.21</v>
      </c>
      <c r="O93" s="437">
        <f>(SUMIFS('Material Consumption'!$O$12:$O$50,'Material Consumption'!$D$12:$D$50,'Material Consumption'!$D93)*SUMIFS('GWP &amp; Emission Factors '!$F$154:$F$241,'GWP &amp; Emission Factors '!$E$154:$E$241,'Material Consumption'!$D93))/1000</f>
        <v>1.21</v>
      </c>
      <c r="P93" s="437">
        <f>(SUMIFS('Material Consumption'!$P$12:$P$50,'Material Consumption'!$D$12:$D$50,'Material Consumption'!$D93)*SUMIFS('GWP &amp; Emission Factors '!$F$154:$F$241,'GWP &amp; Emission Factors '!$E$154:$E$241,'Material Consumption'!$D93))/1000</f>
        <v>2.42</v>
      </c>
      <c r="Q93" s="448">
        <f t="shared" si="2"/>
        <v>18.150000000000006</v>
      </c>
    </row>
    <row r="94" spans="1:17" s="26" customFormat="1" ht="26.25" x14ac:dyDescent="0.25">
      <c r="A94" s="73"/>
      <c r="C94" s="442"/>
      <c r="D94" s="440" t="str">
        <f>'Table for material consumption'!D49</f>
        <v>CORRUGATED ROLL (25MTR)</v>
      </c>
      <c r="E94" s="437">
        <f>(SUMIFS('Material Consumption'!$E$12:$E$50,'Material Consumption'!$D$12:$D$50,'Material Consumption'!$D94)*SUMIFS('GWP &amp; Emission Factors '!$F$154:$F$241,'GWP &amp; Emission Factors '!$E$154:$E$241,'Material Consumption'!$D94))/1000</f>
        <v>23.5</v>
      </c>
      <c r="F94" s="437">
        <f>(SUMIFS('Material Consumption'!$F$12:$F$50,'Material Consumption'!$D$12:$D$50,'Material Consumption'!$D94)*SUMIFS('GWP &amp; Emission Factors '!$F$154:$F$241,'GWP &amp; Emission Factors '!$E$154:$E$241,'Material Consumption'!$D94))/1000</f>
        <v>23.5</v>
      </c>
      <c r="G94" s="437">
        <f>(SUMIFS('Material Consumption'!$G$12:$G$50,'Material Consumption'!$D$12:$D$50,'Material Consumption'!$D94)*SUMIFS('GWP &amp; Emission Factors '!$F$154:$F$241,'GWP &amp; Emission Factors '!$E$154:$E$241,'Material Consumption'!$D94))/1000</f>
        <v>0</v>
      </c>
      <c r="H94" s="437">
        <f>(SUMIFS('Material Consumption'!$H$12:$H$50,'Material Consumption'!$D$12:$D$50,'Material Consumption'!$D94)*SUMIFS('GWP &amp; Emission Factors '!$F$154:$F$241,'GWP &amp; Emission Factors '!$E$154:$E$241,'Material Consumption'!$D94))/1000</f>
        <v>23.5</v>
      </c>
      <c r="I94" s="437">
        <f>(SUMIFS('Material Consumption'!$I$12:$I$50,'Material Consumption'!$D$12:$D$50,'Material Consumption'!$D94)*SUMIFS('GWP &amp; Emission Factors '!$F$154:$F$241,'GWP &amp; Emission Factors '!$E$154:$E$241,'Material Consumption'!$D94))/1000</f>
        <v>11.75</v>
      </c>
      <c r="J94" s="437">
        <f>(SUMIFS('Material Consumption'!$J$12:$J$50,'Material Consumption'!$D$12:$D$50,'Material Consumption'!$D94)*SUMIFS('GWP &amp; Emission Factors '!$F$154:$F$241,'GWP &amp; Emission Factors '!$E$154:$E$241,'Material Consumption'!$D94))/1000</f>
        <v>11.75</v>
      </c>
      <c r="K94" s="437">
        <f>(SUMIFS('Material Consumption'!$K$12:$K$50,'Material Consumption'!$D$12:$D$50,'Material Consumption'!$D94)*SUMIFS('GWP &amp; Emission Factors '!$F$154:$F$241,'GWP &amp; Emission Factors '!$E$154:$E$241,'Material Consumption'!$D94))/1000</f>
        <v>11.75</v>
      </c>
      <c r="L94" s="437">
        <f>(SUMIFS('Material Consumption'!$L$12:$L$50,'Material Consumption'!$D$12:$D$50,'Material Consumption'!$D94)*SUMIFS('GWP &amp; Emission Factors '!$F$154:$F$241,'GWP &amp; Emission Factors '!$E$154:$E$241,'Material Consumption'!$D94))/1000</f>
        <v>11.75</v>
      </c>
      <c r="M94" s="437">
        <f>(SUMIFS('Material Consumption'!$M$12:$M$50,'Material Consumption'!$D$12:$D$50,'Material Consumption'!$D94)*SUMIFS('GWP &amp; Emission Factors '!$F$154:$F$241,'GWP &amp; Emission Factors '!$E$154:$E$241,'Material Consumption'!$D94))/1000</f>
        <v>11.75</v>
      </c>
      <c r="N94" s="437">
        <f>(SUMIFS('Material Consumption'!$N$12:$N$50,'Material Consumption'!$D$12:$D$50,'Material Consumption'!$D94)*SUMIFS('GWP &amp; Emission Factors '!$F$154:$F$241,'GWP &amp; Emission Factors '!$E$154:$E$241,'Material Consumption'!$D94))/1000</f>
        <v>11.75</v>
      </c>
      <c r="O94" s="437">
        <f>(SUMIFS('Material Consumption'!$O$12:$O$50,'Material Consumption'!$D$12:$D$50,'Material Consumption'!$D94)*SUMIFS('GWP &amp; Emission Factors '!$F$154:$F$241,'GWP &amp; Emission Factors '!$E$154:$E$241,'Material Consumption'!$D94))/1000</f>
        <v>11.75</v>
      </c>
      <c r="P94" s="437">
        <f>(SUMIFS('Material Consumption'!$P$12:$P$50,'Material Consumption'!$D$12:$D$50,'Material Consumption'!$D94)*SUMIFS('GWP &amp; Emission Factors '!$F$154:$F$241,'GWP &amp; Emission Factors '!$E$154:$E$241,'Material Consumption'!$D94))/1000</f>
        <v>23.5</v>
      </c>
      <c r="Q94" s="448">
        <f t="shared" si="2"/>
        <v>176.25</v>
      </c>
    </row>
    <row r="95" spans="1:17" s="26" customFormat="1" ht="26.25" x14ac:dyDescent="0.25">
      <c r="A95" s="73"/>
      <c r="C95" s="442"/>
      <c r="D95" s="440" t="str">
        <f>'Table for material consumption'!D50</f>
        <v>FOAM ROLL (100MTR/ROLL)</v>
      </c>
      <c r="E95" s="437">
        <f>(SUMIFS('Material Consumption'!$E$12:$E$50,'Material Consumption'!$D$12:$D$50,'Material Consumption'!$D95)*SUMIFS('GWP &amp; Emission Factors '!$F$154:$F$241,'GWP &amp; Emission Factors '!$E$154:$E$241,'Material Consumption'!$D95))/1000</f>
        <v>149.70000000000002</v>
      </c>
      <c r="F95" s="437">
        <f>(SUMIFS('Material Consumption'!$F$12:$F$50,'Material Consumption'!$D$12:$D$50,'Material Consumption'!$D95)*SUMIFS('GWP &amp; Emission Factors '!$F$154:$F$241,'GWP &amp; Emission Factors '!$E$154:$E$241,'Material Consumption'!$D95))/1000</f>
        <v>149.70000000000002</v>
      </c>
      <c r="G95" s="437">
        <f>(SUMIFS('Material Consumption'!$G$12:$G$50,'Material Consumption'!$D$12:$D$50,'Material Consumption'!$D95)*SUMIFS('GWP &amp; Emission Factors '!$F$154:$F$241,'GWP &amp; Emission Factors '!$E$154:$E$241,'Material Consumption'!$D95))/1000</f>
        <v>0</v>
      </c>
      <c r="H95" s="437">
        <f>(SUMIFS('Material Consumption'!$H$12:$H$50,'Material Consumption'!$D$12:$D$50,'Material Consumption'!$D95)*SUMIFS('GWP &amp; Emission Factors '!$F$154:$F$241,'GWP &amp; Emission Factors '!$E$154:$E$241,'Material Consumption'!$D95))/1000</f>
        <v>149.70000000000002</v>
      </c>
      <c r="I95" s="437">
        <f>(SUMIFS('Material Consumption'!$I$12:$I$50,'Material Consumption'!$D$12:$D$50,'Material Consumption'!$D95)*SUMIFS('GWP &amp; Emission Factors '!$F$154:$F$241,'GWP &amp; Emission Factors '!$E$154:$E$241,'Material Consumption'!$D95))/1000</f>
        <v>74.850000000000009</v>
      </c>
      <c r="J95" s="437">
        <f>(SUMIFS('Material Consumption'!$J$12:$J$50,'Material Consumption'!$D$12:$D$50,'Material Consumption'!$D95)*SUMIFS('GWP &amp; Emission Factors '!$F$154:$F$241,'GWP &amp; Emission Factors '!$E$154:$E$241,'Material Consumption'!$D95))/1000</f>
        <v>74.850000000000009</v>
      </c>
      <c r="K95" s="437">
        <f>(SUMIFS('Material Consumption'!$K$12:$K$50,'Material Consumption'!$D$12:$D$50,'Material Consumption'!$D95)*SUMIFS('GWP &amp; Emission Factors '!$F$154:$F$241,'GWP &amp; Emission Factors '!$E$154:$E$241,'Material Consumption'!$D95))/1000</f>
        <v>74.850000000000009</v>
      </c>
      <c r="L95" s="437">
        <f>(SUMIFS('Material Consumption'!$L$12:$L$50,'Material Consumption'!$D$12:$D$50,'Material Consumption'!$D95)*SUMIFS('GWP &amp; Emission Factors '!$F$154:$F$241,'GWP &amp; Emission Factors '!$E$154:$E$241,'Material Consumption'!$D95))/1000</f>
        <v>74.850000000000009</v>
      </c>
      <c r="M95" s="437">
        <f>(SUMIFS('Material Consumption'!$M$12:$M$50,'Material Consumption'!$D$12:$D$50,'Material Consumption'!$D95)*SUMIFS('GWP &amp; Emission Factors '!$F$154:$F$241,'GWP &amp; Emission Factors '!$E$154:$E$241,'Material Consumption'!$D95))/1000</f>
        <v>74.850000000000009</v>
      </c>
      <c r="N95" s="437">
        <f>(SUMIFS('Material Consumption'!$N$12:$N$50,'Material Consumption'!$D$12:$D$50,'Material Consumption'!$D95)*SUMIFS('GWP &amp; Emission Factors '!$F$154:$F$241,'GWP &amp; Emission Factors '!$E$154:$E$241,'Material Consumption'!$D95))/1000</f>
        <v>74.850000000000009</v>
      </c>
      <c r="O95" s="437">
        <f>(SUMIFS('Material Consumption'!$O$12:$O$50,'Material Consumption'!$D$12:$D$50,'Material Consumption'!$D95)*SUMIFS('GWP &amp; Emission Factors '!$F$154:$F$241,'GWP &amp; Emission Factors '!$E$154:$E$241,'Material Consumption'!$D95))/1000</f>
        <v>74.850000000000009</v>
      </c>
      <c r="P95" s="437">
        <f>(SUMIFS('Material Consumption'!$P$12:$P$50,'Material Consumption'!$D$12:$D$50,'Material Consumption'!$D95)*SUMIFS('GWP &amp; Emission Factors '!$F$154:$F$241,'GWP &amp; Emission Factors '!$E$154:$E$241,'Material Consumption'!$D95))/1000</f>
        <v>149.70000000000002</v>
      </c>
      <c r="Q95" s="448">
        <f t="shared" si="2"/>
        <v>1122.7500000000002</v>
      </c>
    </row>
    <row r="96" spans="1:17" x14ac:dyDescent="0.25">
      <c r="D96" s="433" t="s">
        <v>116</v>
      </c>
      <c r="E96" s="383">
        <f>SUM(E57:E95)</f>
        <v>256.15014472083561</v>
      </c>
      <c r="F96" s="383">
        <f t="shared" ref="F96:P96" si="3">SUM(F57:F95)</f>
        <v>254.8</v>
      </c>
      <c r="G96" s="383">
        <f t="shared" si="3"/>
        <v>0</v>
      </c>
      <c r="H96" s="383">
        <f t="shared" si="3"/>
        <v>254.8</v>
      </c>
      <c r="I96" s="383">
        <f t="shared" si="3"/>
        <v>127.4</v>
      </c>
      <c r="J96" s="383">
        <f t="shared" si="3"/>
        <v>127.4</v>
      </c>
      <c r="K96" s="383">
        <f t="shared" si="3"/>
        <v>127.4</v>
      </c>
      <c r="L96" s="383">
        <f t="shared" si="3"/>
        <v>127.4</v>
      </c>
      <c r="M96" s="383">
        <f t="shared" si="3"/>
        <v>127.4</v>
      </c>
      <c r="N96" s="383">
        <f t="shared" si="3"/>
        <v>127.4</v>
      </c>
      <c r="O96" s="383">
        <f t="shared" si="3"/>
        <v>127.4</v>
      </c>
      <c r="P96" s="383">
        <f t="shared" si="3"/>
        <v>254.8</v>
      </c>
      <c r="Q96" s="450">
        <f t="shared" si="2"/>
        <v>1912.3501447208359</v>
      </c>
    </row>
    <row r="97" spans="3:17" x14ac:dyDescent="0.25">
      <c r="D97" s="434" t="s">
        <v>148</v>
      </c>
      <c r="E97" s="262">
        <f>'Project Emission Distribution'!$F8</f>
        <v>11</v>
      </c>
      <c r="F97" s="262">
        <f>'Project Emission Distribution'!$F$9</f>
        <v>24</v>
      </c>
      <c r="G97" s="262">
        <f>'Project Emission Distribution'!$F$10</f>
        <v>16</v>
      </c>
      <c r="H97" s="262">
        <f>'Project Emission Distribution'!$F$11</f>
        <v>16</v>
      </c>
      <c r="I97" s="262">
        <f>'Project Emission Distribution'!$F$12</f>
        <v>15</v>
      </c>
      <c r="J97" s="262">
        <f>'Project Emission Distribution'!$F$13</f>
        <v>15</v>
      </c>
      <c r="K97" s="262">
        <f>'Project Emission Distribution'!$F$14</f>
        <v>8</v>
      </c>
      <c r="L97" s="262">
        <f>'Project Emission Distribution'!$F$15</f>
        <v>1</v>
      </c>
      <c r="M97" s="262">
        <f>'Project Emission Distribution'!$F$16</f>
        <v>1</v>
      </c>
      <c r="N97" s="262">
        <f>'Project Emission Distribution'!$F$17</f>
        <v>1</v>
      </c>
      <c r="O97" s="262">
        <f>'Project Emission Distribution'!$F$18</f>
        <v>1</v>
      </c>
      <c r="P97" s="262">
        <f>'Project Emission Distribution'!$F$19</f>
        <v>1</v>
      </c>
      <c r="Q97" s="446"/>
    </row>
    <row r="100" spans="3:17" x14ac:dyDescent="0.25">
      <c r="D100" s="261"/>
      <c r="E100" s="261"/>
      <c r="F100" s="111"/>
      <c r="G100" s="111"/>
      <c r="H100" s="111"/>
      <c r="I100" s="111"/>
    </row>
    <row r="101" spans="3:17" ht="45" x14ac:dyDescent="0.25">
      <c r="C101" s="251" t="s">
        <v>158</v>
      </c>
      <c r="D101" s="281" t="s">
        <v>149</v>
      </c>
      <c r="E101" s="281" t="s">
        <v>150</v>
      </c>
      <c r="F101" s="251" t="s">
        <v>168</v>
      </c>
      <c r="G101" s="111"/>
      <c r="H101" s="111"/>
    </row>
    <row r="102" spans="3:17" x14ac:dyDescent="0.25">
      <c r="C102" s="279" t="str">
        <f>'Project Emission Distribution'!D25</f>
        <v>A201</v>
      </c>
      <c r="D102" s="283">
        <f>'Project Emission Distribution'!E25</f>
        <v>44562</v>
      </c>
      <c r="E102" s="284">
        <f>'Project Emission Distribution'!F25</f>
        <v>44681</v>
      </c>
      <c r="F102" s="280">
        <f t="shared" ref="F102:F133" si="4">SUMIFS($E$167:$E$531,$D$167:$D$531,"&gt;="&amp;D102,$D$167:$D$531,"&lt;="&amp;E102)</f>
        <v>49.828043459469932</v>
      </c>
      <c r="G102" s="111"/>
      <c r="H102" s="111"/>
    </row>
    <row r="103" spans="3:17" x14ac:dyDescent="0.25">
      <c r="C103" s="279" t="str">
        <f>'Project Emission Distribution'!D26</f>
        <v>AN02</v>
      </c>
      <c r="D103" s="285">
        <f>'Project Emission Distribution'!E26</f>
        <v>44593</v>
      </c>
      <c r="E103" s="286">
        <f>'Project Emission Distribution'!F26</f>
        <v>44620</v>
      </c>
      <c r="F103" s="280">
        <f t="shared" si="4"/>
        <v>10.616666666666664</v>
      </c>
      <c r="G103" s="111"/>
      <c r="H103" s="111"/>
    </row>
    <row r="104" spans="3:17" x14ac:dyDescent="0.25">
      <c r="C104" s="279" t="str">
        <f>'Project Emission Distribution'!D27</f>
        <v>AN03</v>
      </c>
      <c r="D104" s="287">
        <f>'Project Emission Distribution'!E27</f>
        <v>44593</v>
      </c>
      <c r="E104" s="288">
        <f>'Project Emission Distribution'!F27</f>
        <v>44781</v>
      </c>
      <c r="F104" s="280">
        <f t="shared" si="4"/>
        <v>92.330752688172097</v>
      </c>
      <c r="G104" s="111"/>
      <c r="H104" s="111"/>
    </row>
    <row r="105" spans="3:17" x14ac:dyDescent="0.25">
      <c r="C105" s="279" t="str">
        <f>'Project Emission Distribution'!D28</f>
        <v>AN04</v>
      </c>
      <c r="D105" s="285">
        <f>'Project Emission Distribution'!E28</f>
        <v>44583</v>
      </c>
      <c r="E105" s="286">
        <f>'Project Emission Distribution'!F28</f>
        <v>44635</v>
      </c>
      <c r="F105" s="280">
        <f t="shared" si="4"/>
        <v>18.128401115958027</v>
      </c>
      <c r="G105" s="111"/>
      <c r="H105" s="111"/>
    </row>
    <row r="106" spans="3:17" x14ac:dyDescent="0.25">
      <c r="C106" s="279" t="str">
        <f>'Project Emission Distribution'!D29</f>
        <v>AN05</v>
      </c>
      <c r="D106" s="287">
        <f>'Project Emission Distribution'!E29</f>
        <v>44614</v>
      </c>
      <c r="E106" s="288">
        <f>'Project Emission Distribution'!F29</f>
        <v>44770</v>
      </c>
      <c r="F106" s="280">
        <f t="shared" si="4"/>
        <v>49.949704301075315</v>
      </c>
      <c r="G106" s="111"/>
      <c r="H106" s="111"/>
    </row>
    <row r="107" spans="3:17" x14ac:dyDescent="0.25">
      <c r="C107" s="279" t="str">
        <f>'Project Emission Distribution'!D30</f>
        <v>AN06</v>
      </c>
      <c r="D107" s="285">
        <f>'Project Emission Distribution'!E30</f>
        <v>44593</v>
      </c>
      <c r="E107" s="286">
        <f>'Project Emission Distribution'!F30</f>
        <v>44781</v>
      </c>
      <c r="F107" s="280">
        <f t="shared" si="4"/>
        <v>92.330752688172097</v>
      </c>
      <c r="G107" s="111"/>
      <c r="H107" s="111"/>
    </row>
    <row r="108" spans="3:17" x14ac:dyDescent="0.25">
      <c r="C108" s="279" t="str">
        <f>'Project Emission Distribution'!D31</f>
        <v>AN07</v>
      </c>
      <c r="D108" s="287">
        <f>'Project Emission Distribution'!E31</f>
        <v>44583</v>
      </c>
      <c r="E108" s="288">
        <f>'Project Emission Distribution'!F31</f>
        <v>44635</v>
      </c>
      <c r="F108" s="280">
        <f t="shared" si="4"/>
        <v>18.128401115958027</v>
      </c>
      <c r="G108" s="111"/>
      <c r="H108" s="111"/>
    </row>
    <row r="109" spans="3:17" x14ac:dyDescent="0.25">
      <c r="C109" s="279" t="str">
        <f>'Project Emission Distribution'!D32</f>
        <v>AN08</v>
      </c>
      <c r="D109" s="285">
        <f>'Project Emission Distribution'!E32</f>
        <v>44614</v>
      </c>
      <c r="E109" s="286">
        <f>'Project Emission Distribution'!F32</f>
        <v>44770</v>
      </c>
      <c r="F109" s="280">
        <f t="shared" si="4"/>
        <v>49.949704301075315</v>
      </c>
      <c r="G109" s="111"/>
      <c r="H109" s="111"/>
    </row>
    <row r="110" spans="3:17" x14ac:dyDescent="0.25">
      <c r="C110" s="279" t="str">
        <f>'Project Emission Distribution'!D33</f>
        <v>AN09</v>
      </c>
      <c r="D110" s="287">
        <f>'Project Emission Distribution'!E33</f>
        <v>44593</v>
      </c>
      <c r="E110" s="288">
        <f>'Project Emission Distribution'!F33</f>
        <v>44781</v>
      </c>
      <c r="F110" s="280">
        <f t="shared" si="4"/>
        <v>92.330752688172097</v>
      </c>
      <c r="G110" s="111"/>
      <c r="H110" s="111"/>
    </row>
    <row r="111" spans="3:17" x14ac:dyDescent="0.25">
      <c r="C111" s="279" t="str">
        <f>'Project Emission Distribution'!D34</f>
        <v>AN10</v>
      </c>
      <c r="D111" s="285">
        <f>'Project Emission Distribution'!E34</f>
        <v>44583</v>
      </c>
      <c r="E111" s="286">
        <f>'Project Emission Distribution'!F34</f>
        <v>44635</v>
      </c>
      <c r="F111" s="280">
        <f t="shared" si="4"/>
        <v>18.128401115958027</v>
      </c>
      <c r="G111" s="111"/>
      <c r="H111" s="111"/>
    </row>
    <row r="112" spans="3:17" x14ac:dyDescent="0.25">
      <c r="C112" s="279" t="str">
        <f>'Project Emission Distribution'!D35</f>
        <v>AN11</v>
      </c>
      <c r="D112" s="287">
        <f>'Project Emission Distribution'!E35</f>
        <v>44614</v>
      </c>
      <c r="E112" s="288">
        <f>'Project Emission Distribution'!F35</f>
        <v>44770</v>
      </c>
      <c r="F112" s="280">
        <f t="shared" si="4"/>
        <v>49.949704301075315</v>
      </c>
      <c r="G112" s="111"/>
      <c r="H112" s="111"/>
    </row>
    <row r="113" spans="3:8" x14ac:dyDescent="0.25">
      <c r="C113" s="279" t="str">
        <f>'Project Emission Distribution'!D36</f>
        <v>AN12</v>
      </c>
      <c r="D113" s="285">
        <f>'Project Emission Distribution'!E36</f>
        <v>44593</v>
      </c>
      <c r="E113" s="286">
        <f>'Project Emission Distribution'!F36</f>
        <v>44781</v>
      </c>
      <c r="F113" s="280">
        <f t="shared" si="4"/>
        <v>92.330752688172097</v>
      </c>
      <c r="G113" s="111"/>
      <c r="H113" s="111"/>
    </row>
    <row r="114" spans="3:8" x14ac:dyDescent="0.25">
      <c r="C114" s="279" t="str">
        <f>'Project Emission Distribution'!D37</f>
        <v>AN13</v>
      </c>
      <c r="D114" s="287">
        <f>'Project Emission Distribution'!E37</f>
        <v>44593</v>
      </c>
      <c r="E114" s="288">
        <f>'Project Emission Distribution'!F37</f>
        <v>44781</v>
      </c>
      <c r="F114" s="280">
        <f t="shared" si="4"/>
        <v>92.330752688172097</v>
      </c>
      <c r="G114" s="111"/>
      <c r="H114" s="111"/>
    </row>
    <row r="115" spans="3:8" x14ac:dyDescent="0.25">
      <c r="C115" s="279" t="str">
        <f>'Project Emission Distribution'!D38</f>
        <v>AN14</v>
      </c>
      <c r="D115" s="285">
        <f>'Project Emission Distribution'!E38</f>
        <v>44583</v>
      </c>
      <c r="E115" s="286">
        <f>'Project Emission Distribution'!F38</f>
        <v>44635</v>
      </c>
      <c r="F115" s="280">
        <f t="shared" si="4"/>
        <v>18.128401115958027</v>
      </c>
      <c r="G115" s="111"/>
      <c r="H115" s="111"/>
    </row>
    <row r="116" spans="3:8" x14ac:dyDescent="0.25">
      <c r="C116" s="279" t="str">
        <f>'Project Emission Distribution'!D39</f>
        <v>AN15</v>
      </c>
      <c r="D116" s="287">
        <f>'Project Emission Distribution'!E39</f>
        <v>44614</v>
      </c>
      <c r="E116" s="288">
        <f>'Project Emission Distribution'!F39</f>
        <v>44770</v>
      </c>
      <c r="F116" s="280">
        <f t="shared" si="4"/>
        <v>49.949704301075315</v>
      </c>
      <c r="G116" s="111"/>
      <c r="H116" s="111"/>
    </row>
    <row r="117" spans="3:8" x14ac:dyDescent="0.25">
      <c r="C117" s="279" t="str">
        <f>'Project Emission Distribution'!D40</f>
        <v>AN16</v>
      </c>
      <c r="D117" s="285">
        <f>'Project Emission Distribution'!E40</f>
        <v>44593</v>
      </c>
      <c r="E117" s="286">
        <f>'Project Emission Distribution'!F40</f>
        <v>44781</v>
      </c>
      <c r="F117" s="280">
        <f t="shared" si="4"/>
        <v>92.330752688172097</v>
      </c>
      <c r="G117" s="111"/>
      <c r="H117" s="111"/>
    </row>
    <row r="118" spans="3:8" x14ac:dyDescent="0.25">
      <c r="C118" s="279" t="str">
        <f>'Project Emission Distribution'!D41</f>
        <v>AN17</v>
      </c>
      <c r="D118" s="287">
        <f>'Project Emission Distribution'!E41</f>
        <v>44583</v>
      </c>
      <c r="E118" s="288">
        <f>'Project Emission Distribution'!F41</f>
        <v>44635</v>
      </c>
      <c r="F118" s="280">
        <f t="shared" si="4"/>
        <v>18.128401115958027</v>
      </c>
      <c r="G118" s="111"/>
      <c r="H118" s="111"/>
    </row>
    <row r="119" spans="3:8" x14ac:dyDescent="0.25">
      <c r="C119" s="279" t="str">
        <f>'Project Emission Distribution'!D42</f>
        <v>AN18</v>
      </c>
      <c r="D119" s="285">
        <f>'Project Emission Distribution'!E42</f>
        <v>44614</v>
      </c>
      <c r="E119" s="286">
        <f>'Project Emission Distribution'!F42</f>
        <v>44770</v>
      </c>
      <c r="F119" s="280">
        <f t="shared" si="4"/>
        <v>49.949704301075315</v>
      </c>
      <c r="G119" s="111"/>
      <c r="H119" s="111"/>
    </row>
    <row r="120" spans="3:8" x14ac:dyDescent="0.25">
      <c r="C120" s="279" t="str">
        <f>'Project Emission Distribution'!D43</f>
        <v>AN19</v>
      </c>
      <c r="D120" s="287">
        <f>'Project Emission Distribution'!E43</f>
        <v>44593</v>
      </c>
      <c r="E120" s="288">
        <f>'Project Emission Distribution'!F43</f>
        <v>44781</v>
      </c>
      <c r="F120" s="280">
        <f t="shared" si="4"/>
        <v>92.330752688172097</v>
      </c>
      <c r="G120" s="111"/>
      <c r="H120" s="111"/>
    </row>
    <row r="121" spans="3:8" x14ac:dyDescent="0.25">
      <c r="C121" s="279" t="str">
        <f>'Project Emission Distribution'!D44</f>
        <v>AN20</v>
      </c>
      <c r="D121" s="285">
        <f>'Project Emission Distribution'!E44</f>
        <v>44583</v>
      </c>
      <c r="E121" s="286">
        <f>'Project Emission Distribution'!F44</f>
        <v>44635</v>
      </c>
      <c r="F121" s="280">
        <f t="shared" si="4"/>
        <v>18.128401115958027</v>
      </c>
      <c r="G121" s="111"/>
      <c r="H121" s="111"/>
    </row>
    <row r="122" spans="3:8" x14ac:dyDescent="0.25">
      <c r="C122" s="279" t="str">
        <f>'Project Emission Distribution'!D45</f>
        <v>AN21</v>
      </c>
      <c r="D122" s="287">
        <f>'Project Emission Distribution'!E45</f>
        <v>44614</v>
      </c>
      <c r="E122" s="288">
        <f>'Project Emission Distribution'!F45</f>
        <v>44770</v>
      </c>
      <c r="F122" s="280">
        <f t="shared" si="4"/>
        <v>49.949704301075315</v>
      </c>
      <c r="G122" s="111"/>
      <c r="H122" s="111"/>
    </row>
    <row r="123" spans="3:8" x14ac:dyDescent="0.25">
      <c r="C123" s="279" t="str">
        <f>'Project Emission Distribution'!D46</f>
        <v>AN22</v>
      </c>
      <c r="D123" s="285">
        <f>'Project Emission Distribution'!E46</f>
        <v>44562</v>
      </c>
      <c r="E123" s="286">
        <f>'Project Emission Distribution'!F46</f>
        <v>44781</v>
      </c>
      <c r="F123" s="280">
        <f t="shared" si="4"/>
        <v>115.61712948097535</v>
      </c>
      <c r="G123" s="111"/>
      <c r="H123" s="111"/>
    </row>
    <row r="124" spans="3:8" x14ac:dyDescent="0.25">
      <c r="C124" s="279" t="str">
        <f>'Project Emission Distribution'!D47</f>
        <v>AN23</v>
      </c>
      <c r="D124" s="287">
        <f>'Project Emission Distribution'!E47</f>
        <v>44583</v>
      </c>
      <c r="E124" s="288">
        <f>'Project Emission Distribution'!F47</f>
        <v>44635</v>
      </c>
      <c r="F124" s="280">
        <f t="shared" si="4"/>
        <v>18.128401115958027</v>
      </c>
      <c r="G124" s="111"/>
      <c r="H124" s="111"/>
    </row>
    <row r="125" spans="3:8" x14ac:dyDescent="0.25">
      <c r="C125" s="279" t="str">
        <f>'Project Emission Distribution'!D48</f>
        <v>AN24</v>
      </c>
      <c r="D125" s="285">
        <f>'Project Emission Distribution'!E48</f>
        <v>44583</v>
      </c>
      <c r="E125" s="286">
        <f>'Project Emission Distribution'!F48</f>
        <v>44770</v>
      </c>
      <c r="F125" s="280">
        <f t="shared" si="4"/>
        <v>65.423938750366673</v>
      </c>
      <c r="G125" s="111"/>
      <c r="H125" s="111"/>
    </row>
    <row r="126" spans="3:8" x14ac:dyDescent="0.25">
      <c r="C126" s="279" t="str">
        <f>'Project Emission Distribution'!D49</f>
        <v>AN25</v>
      </c>
      <c r="D126" s="287">
        <f>'Project Emission Distribution'!E49</f>
        <v>44562</v>
      </c>
      <c r="E126" s="288">
        <f>'Project Emission Distribution'!F49</f>
        <v>44614</v>
      </c>
      <c r="F126" s="280">
        <f t="shared" si="4"/>
        <v>31.6280434594699</v>
      </c>
      <c r="G126" s="111"/>
      <c r="H126" s="111"/>
    </row>
    <row r="127" spans="3:8" x14ac:dyDescent="0.25">
      <c r="C127" s="279" t="str">
        <f>'Project Emission Distribution'!D50</f>
        <v>AN26</v>
      </c>
      <c r="D127" s="285">
        <f>'Project Emission Distribution'!E50</f>
        <v>44774</v>
      </c>
      <c r="E127" s="286">
        <f>'Project Emission Distribution'!F50</f>
        <v>44926</v>
      </c>
      <c r="F127" s="280">
        <f t="shared" si="4"/>
        <v>764.40000000000146</v>
      </c>
      <c r="G127" s="111"/>
      <c r="H127" s="111"/>
    </row>
    <row r="128" spans="3:8" x14ac:dyDescent="0.25">
      <c r="C128" s="279" t="str">
        <f>'Project Emission Distribution'!D51</f>
        <v>AN27</v>
      </c>
      <c r="D128" s="287" t="str">
        <f>'Project Emission Distribution'!E51</f>
        <v/>
      </c>
      <c r="E128" s="288" t="str">
        <f>'Project Emission Distribution'!F51</f>
        <v/>
      </c>
      <c r="F128" s="280">
        <f t="shared" si="4"/>
        <v>0</v>
      </c>
      <c r="G128" s="111"/>
      <c r="H128" s="111"/>
    </row>
    <row r="129" spans="3:8" x14ac:dyDescent="0.25">
      <c r="C129" s="279" t="str">
        <f>'Project Emission Distribution'!D52</f>
        <v>AN28</v>
      </c>
      <c r="D129" s="285" t="str">
        <f>'Project Emission Distribution'!E52</f>
        <v/>
      </c>
      <c r="E129" s="286" t="str">
        <f>'Project Emission Distribution'!F52</f>
        <v/>
      </c>
      <c r="F129" s="280">
        <f t="shared" si="4"/>
        <v>0</v>
      </c>
      <c r="G129" s="111"/>
      <c r="H129" s="111"/>
    </row>
    <row r="130" spans="3:8" x14ac:dyDescent="0.25">
      <c r="C130" s="279" t="str">
        <f>'Project Emission Distribution'!D53</f>
        <v>AN29</v>
      </c>
      <c r="D130" s="287" t="str">
        <f>'Project Emission Distribution'!E53</f>
        <v/>
      </c>
      <c r="E130" s="288" t="str">
        <f>'Project Emission Distribution'!F53</f>
        <v/>
      </c>
      <c r="F130" s="280">
        <f t="shared" si="4"/>
        <v>0</v>
      </c>
      <c r="G130" s="111"/>
      <c r="H130" s="111"/>
    </row>
    <row r="131" spans="3:8" x14ac:dyDescent="0.25">
      <c r="C131" s="279" t="str">
        <f>'Project Emission Distribution'!D54</f>
        <v>AN30</v>
      </c>
      <c r="D131" s="285" t="str">
        <f>'Project Emission Distribution'!E54</f>
        <v/>
      </c>
      <c r="E131" s="286" t="str">
        <f>'Project Emission Distribution'!F54</f>
        <v/>
      </c>
      <c r="F131" s="280">
        <f t="shared" si="4"/>
        <v>0</v>
      </c>
      <c r="G131" s="111"/>
      <c r="H131" s="111"/>
    </row>
    <row r="132" spans="3:8" x14ac:dyDescent="0.25">
      <c r="C132" s="279" t="str">
        <f>'Project Emission Distribution'!D55</f>
        <v>AN31</v>
      </c>
      <c r="D132" s="287" t="str">
        <f>'Project Emission Distribution'!E55</f>
        <v/>
      </c>
      <c r="E132" s="288" t="str">
        <f>'Project Emission Distribution'!F55</f>
        <v/>
      </c>
      <c r="F132" s="280">
        <f t="shared" si="4"/>
        <v>0</v>
      </c>
      <c r="G132" s="111"/>
      <c r="H132" s="111"/>
    </row>
    <row r="133" spans="3:8" x14ac:dyDescent="0.25">
      <c r="C133" s="279" t="str">
        <f>'Project Emission Distribution'!D56</f>
        <v>AN32</v>
      </c>
      <c r="D133" s="285" t="str">
        <f>'Project Emission Distribution'!E56</f>
        <v/>
      </c>
      <c r="E133" s="286" t="str">
        <f>'Project Emission Distribution'!F56</f>
        <v/>
      </c>
      <c r="F133" s="280">
        <f t="shared" si="4"/>
        <v>0</v>
      </c>
      <c r="G133" s="111"/>
      <c r="H133" s="111"/>
    </row>
    <row r="134" spans="3:8" x14ac:dyDescent="0.25">
      <c r="C134" s="279" t="str">
        <f>'Project Emission Distribution'!D57</f>
        <v>AN33</v>
      </c>
      <c r="D134" s="287" t="str">
        <f>'Project Emission Distribution'!E57</f>
        <v/>
      </c>
      <c r="E134" s="288" t="str">
        <f>'Project Emission Distribution'!F57</f>
        <v/>
      </c>
      <c r="F134" s="280">
        <f t="shared" ref="F134:F161" si="5">SUMIFS($E$167:$E$531,$D$167:$D$531,"&gt;="&amp;D134,$D$167:$D$531,"&lt;="&amp;E134)</f>
        <v>0</v>
      </c>
      <c r="G134" s="111"/>
      <c r="H134" s="111"/>
    </row>
    <row r="135" spans="3:8" x14ac:dyDescent="0.25">
      <c r="C135" s="279" t="str">
        <f>'Project Emission Distribution'!D58</f>
        <v>AN34</v>
      </c>
      <c r="D135" s="285" t="str">
        <f>'Project Emission Distribution'!E58</f>
        <v/>
      </c>
      <c r="E135" s="286" t="str">
        <f>'Project Emission Distribution'!F58</f>
        <v/>
      </c>
      <c r="F135" s="280">
        <f t="shared" si="5"/>
        <v>0</v>
      </c>
      <c r="G135" s="111"/>
      <c r="H135" s="111"/>
    </row>
    <row r="136" spans="3:8" x14ac:dyDescent="0.25">
      <c r="C136" s="279" t="str">
        <f>'Project Emission Distribution'!D59</f>
        <v>AN35</v>
      </c>
      <c r="D136" s="287" t="str">
        <f>'Project Emission Distribution'!E59</f>
        <v/>
      </c>
      <c r="E136" s="288" t="str">
        <f>'Project Emission Distribution'!F59</f>
        <v/>
      </c>
      <c r="F136" s="280">
        <f t="shared" si="5"/>
        <v>0</v>
      </c>
      <c r="G136" s="111"/>
      <c r="H136" s="111"/>
    </row>
    <row r="137" spans="3:8" x14ac:dyDescent="0.25">
      <c r="C137" s="279" t="str">
        <f>'Project Emission Distribution'!D60</f>
        <v>AN36</v>
      </c>
      <c r="D137" s="285" t="str">
        <f>'Project Emission Distribution'!E60</f>
        <v/>
      </c>
      <c r="E137" s="286" t="str">
        <f>'Project Emission Distribution'!F60</f>
        <v/>
      </c>
      <c r="F137" s="280">
        <f t="shared" si="5"/>
        <v>0</v>
      </c>
      <c r="G137" s="111"/>
      <c r="H137" s="111"/>
    </row>
    <row r="138" spans="3:8" x14ac:dyDescent="0.25">
      <c r="C138" s="279" t="str">
        <f>'Project Emission Distribution'!D61</f>
        <v>AN37</v>
      </c>
      <c r="D138" s="287" t="str">
        <f>'Project Emission Distribution'!E61</f>
        <v/>
      </c>
      <c r="E138" s="288" t="str">
        <f>'Project Emission Distribution'!F61</f>
        <v/>
      </c>
      <c r="F138" s="280">
        <f t="shared" si="5"/>
        <v>0</v>
      </c>
      <c r="G138" s="111"/>
      <c r="H138" s="111"/>
    </row>
    <row r="139" spans="3:8" x14ac:dyDescent="0.25">
      <c r="C139" s="279" t="str">
        <f>'Project Emission Distribution'!D62</f>
        <v>AN38</v>
      </c>
      <c r="D139" s="285" t="str">
        <f>'Project Emission Distribution'!E62</f>
        <v/>
      </c>
      <c r="E139" s="286" t="str">
        <f>'Project Emission Distribution'!F62</f>
        <v/>
      </c>
      <c r="F139" s="280">
        <f t="shared" si="5"/>
        <v>0</v>
      </c>
      <c r="G139" s="111"/>
      <c r="H139" s="111"/>
    </row>
    <row r="140" spans="3:8" x14ac:dyDescent="0.25">
      <c r="C140" s="279" t="str">
        <f>'Project Emission Distribution'!D63</f>
        <v>AN39</v>
      </c>
      <c r="D140" s="287" t="str">
        <f>'Project Emission Distribution'!E63</f>
        <v/>
      </c>
      <c r="E140" s="288" t="str">
        <f>'Project Emission Distribution'!F63</f>
        <v/>
      </c>
      <c r="F140" s="280">
        <f t="shared" si="5"/>
        <v>0</v>
      </c>
      <c r="G140" s="111"/>
      <c r="H140" s="111"/>
    </row>
    <row r="141" spans="3:8" x14ac:dyDescent="0.25">
      <c r="C141" s="279" t="str">
        <f>'Project Emission Distribution'!D64</f>
        <v>AN40</v>
      </c>
      <c r="D141" s="285" t="str">
        <f>'Project Emission Distribution'!E64</f>
        <v/>
      </c>
      <c r="E141" s="286" t="str">
        <f>'Project Emission Distribution'!F64</f>
        <v/>
      </c>
      <c r="F141" s="280">
        <f t="shared" si="5"/>
        <v>0</v>
      </c>
      <c r="G141" s="111"/>
      <c r="H141" s="111"/>
    </row>
    <row r="142" spans="3:8" x14ac:dyDescent="0.25">
      <c r="C142" s="279" t="str">
        <f>'Project Emission Distribution'!D65</f>
        <v>AN41</v>
      </c>
      <c r="D142" s="287" t="str">
        <f>'Project Emission Distribution'!E65</f>
        <v/>
      </c>
      <c r="E142" s="288" t="str">
        <f>'Project Emission Distribution'!F65</f>
        <v/>
      </c>
      <c r="F142" s="280">
        <f t="shared" si="5"/>
        <v>0</v>
      </c>
      <c r="G142" s="111"/>
      <c r="H142" s="111"/>
    </row>
    <row r="143" spans="3:8" x14ac:dyDescent="0.25">
      <c r="C143" s="279" t="str">
        <f>'Project Emission Distribution'!D66</f>
        <v>AN42</v>
      </c>
      <c r="D143" s="285" t="str">
        <f>'Project Emission Distribution'!E66</f>
        <v/>
      </c>
      <c r="E143" s="286" t="str">
        <f>'Project Emission Distribution'!F66</f>
        <v/>
      </c>
      <c r="F143" s="280">
        <f t="shared" si="5"/>
        <v>0</v>
      </c>
      <c r="G143" s="111"/>
      <c r="H143" s="111"/>
    </row>
    <row r="144" spans="3:8" x14ac:dyDescent="0.25">
      <c r="C144" s="279" t="str">
        <f>'Project Emission Distribution'!D67</f>
        <v>AN43</v>
      </c>
      <c r="D144" s="287" t="str">
        <f>'Project Emission Distribution'!E67</f>
        <v/>
      </c>
      <c r="E144" s="288" t="str">
        <f>'Project Emission Distribution'!F67</f>
        <v/>
      </c>
      <c r="F144" s="280">
        <f t="shared" si="5"/>
        <v>0</v>
      </c>
      <c r="G144" s="111"/>
      <c r="H144" s="111"/>
    </row>
    <row r="145" spans="3:8" x14ac:dyDescent="0.25">
      <c r="C145" s="279" t="str">
        <f>'Project Emission Distribution'!D68</f>
        <v>AN44</v>
      </c>
      <c r="D145" s="285" t="str">
        <f>'Project Emission Distribution'!E68</f>
        <v/>
      </c>
      <c r="E145" s="286" t="str">
        <f>'Project Emission Distribution'!F68</f>
        <v/>
      </c>
      <c r="F145" s="280">
        <f t="shared" si="5"/>
        <v>0</v>
      </c>
      <c r="G145" s="111"/>
      <c r="H145" s="111"/>
    </row>
    <row r="146" spans="3:8" x14ac:dyDescent="0.25">
      <c r="C146" s="279" t="str">
        <f>'Project Emission Distribution'!D69</f>
        <v>AN45</v>
      </c>
      <c r="D146" s="287" t="str">
        <f>'Project Emission Distribution'!E69</f>
        <v/>
      </c>
      <c r="E146" s="288" t="str">
        <f>'Project Emission Distribution'!F69</f>
        <v/>
      </c>
      <c r="F146" s="280">
        <f t="shared" si="5"/>
        <v>0</v>
      </c>
      <c r="G146" s="111"/>
      <c r="H146" s="111"/>
    </row>
    <row r="147" spans="3:8" x14ac:dyDescent="0.25">
      <c r="C147" s="279" t="str">
        <f>'Project Emission Distribution'!D70</f>
        <v>AN46</v>
      </c>
      <c r="D147" s="285" t="str">
        <f>'Project Emission Distribution'!E70</f>
        <v/>
      </c>
      <c r="E147" s="286" t="str">
        <f>'Project Emission Distribution'!F70</f>
        <v/>
      </c>
      <c r="F147" s="280">
        <f t="shared" si="5"/>
        <v>0</v>
      </c>
      <c r="G147" s="111"/>
      <c r="H147" s="111"/>
    </row>
    <row r="148" spans="3:8" x14ac:dyDescent="0.25">
      <c r="C148" s="279" t="str">
        <f>'Project Emission Distribution'!D71</f>
        <v>AN47</v>
      </c>
      <c r="D148" s="287" t="str">
        <f>'Project Emission Distribution'!E71</f>
        <v/>
      </c>
      <c r="E148" s="288" t="str">
        <f>'Project Emission Distribution'!F71</f>
        <v/>
      </c>
      <c r="F148" s="280">
        <f t="shared" si="5"/>
        <v>0</v>
      </c>
      <c r="G148" s="111"/>
      <c r="H148" s="111"/>
    </row>
    <row r="149" spans="3:8" x14ac:dyDescent="0.25">
      <c r="C149" s="279" t="str">
        <f>'Project Emission Distribution'!D72</f>
        <v>AN48</v>
      </c>
      <c r="D149" s="285" t="str">
        <f>'Project Emission Distribution'!E72</f>
        <v/>
      </c>
      <c r="E149" s="286" t="str">
        <f>'Project Emission Distribution'!F72</f>
        <v/>
      </c>
      <c r="F149" s="280">
        <f t="shared" si="5"/>
        <v>0</v>
      </c>
      <c r="G149" s="111"/>
      <c r="H149" s="111"/>
    </row>
    <row r="150" spans="3:8" x14ac:dyDescent="0.25">
      <c r="C150" s="279" t="str">
        <f>'Project Emission Distribution'!D73</f>
        <v>AN49</v>
      </c>
      <c r="D150" s="287" t="str">
        <f>'Project Emission Distribution'!E73</f>
        <v/>
      </c>
      <c r="E150" s="288" t="str">
        <f>'Project Emission Distribution'!F73</f>
        <v/>
      </c>
      <c r="F150" s="280">
        <f t="shared" si="5"/>
        <v>0</v>
      </c>
      <c r="G150" s="111"/>
      <c r="H150" s="111"/>
    </row>
    <row r="151" spans="3:8" x14ac:dyDescent="0.25">
      <c r="C151" s="279" t="str">
        <f>'Project Emission Distribution'!D74</f>
        <v>AN50</v>
      </c>
      <c r="D151" s="285" t="str">
        <f>'Project Emission Distribution'!E74</f>
        <v/>
      </c>
      <c r="E151" s="286" t="str">
        <f>'Project Emission Distribution'!F74</f>
        <v/>
      </c>
      <c r="F151" s="280">
        <f t="shared" si="5"/>
        <v>0</v>
      </c>
      <c r="G151" s="111"/>
      <c r="H151" s="111"/>
    </row>
    <row r="152" spans="3:8" x14ac:dyDescent="0.25">
      <c r="C152" s="279" t="str">
        <f>'Project Emission Distribution'!D75</f>
        <v>AN51</v>
      </c>
      <c r="D152" s="287" t="str">
        <f>'Project Emission Distribution'!E75</f>
        <v/>
      </c>
      <c r="E152" s="288" t="str">
        <f>'Project Emission Distribution'!F75</f>
        <v/>
      </c>
      <c r="F152" s="280">
        <f t="shared" si="5"/>
        <v>0</v>
      </c>
      <c r="G152" s="111"/>
      <c r="H152" s="111"/>
    </row>
    <row r="153" spans="3:8" x14ac:dyDescent="0.25">
      <c r="C153" s="279" t="str">
        <f>'Project Emission Distribution'!D76</f>
        <v>AN52</v>
      </c>
      <c r="D153" s="285" t="str">
        <f>'Project Emission Distribution'!E76</f>
        <v/>
      </c>
      <c r="E153" s="286" t="str">
        <f>'Project Emission Distribution'!F76</f>
        <v/>
      </c>
      <c r="F153" s="280">
        <f t="shared" si="5"/>
        <v>0</v>
      </c>
      <c r="G153" s="111"/>
      <c r="H153" s="111"/>
    </row>
    <row r="154" spans="3:8" x14ac:dyDescent="0.25">
      <c r="C154" s="279" t="str">
        <f>'Project Emission Distribution'!D77</f>
        <v>AN53</v>
      </c>
      <c r="D154" s="287" t="str">
        <f>'Project Emission Distribution'!E77</f>
        <v/>
      </c>
      <c r="E154" s="288" t="str">
        <f>'Project Emission Distribution'!F77</f>
        <v/>
      </c>
      <c r="F154" s="280">
        <f t="shared" si="5"/>
        <v>0</v>
      </c>
      <c r="G154" s="111"/>
      <c r="H154" s="111"/>
    </row>
    <row r="155" spans="3:8" x14ac:dyDescent="0.25">
      <c r="C155" s="279" t="str">
        <f>'Project Emission Distribution'!D78</f>
        <v>AN54</v>
      </c>
      <c r="D155" s="285" t="str">
        <f>'Project Emission Distribution'!E78</f>
        <v/>
      </c>
      <c r="E155" s="286" t="str">
        <f>'Project Emission Distribution'!F78</f>
        <v/>
      </c>
      <c r="F155" s="280">
        <f t="shared" si="5"/>
        <v>0</v>
      </c>
      <c r="G155" s="111"/>
      <c r="H155" s="111"/>
    </row>
    <row r="156" spans="3:8" x14ac:dyDescent="0.25">
      <c r="C156" s="279" t="str">
        <f>'Project Emission Distribution'!D79</f>
        <v>AN55</v>
      </c>
      <c r="D156" s="287" t="str">
        <f>'Project Emission Distribution'!E79</f>
        <v/>
      </c>
      <c r="E156" s="288" t="str">
        <f>'Project Emission Distribution'!F79</f>
        <v/>
      </c>
      <c r="F156" s="280">
        <f t="shared" si="5"/>
        <v>0</v>
      </c>
      <c r="G156" s="111"/>
      <c r="H156" s="111"/>
    </row>
    <row r="157" spans="3:8" x14ac:dyDescent="0.25">
      <c r="C157" s="279" t="str">
        <f>'Project Emission Distribution'!D80</f>
        <v>AN56</v>
      </c>
      <c r="D157" s="285" t="str">
        <f>'Project Emission Distribution'!E80</f>
        <v/>
      </c>
      <c r="E157" s="286" t="str">
        <f>'Project Emission Distribution'!F80</f>
        <v/>
      </c>
      <c r="F157" s="280">
        <f t="shared" si="5"/>
        <v>0</v>
      </c>
      <c r="G157" s="111"/>
      <c r="H157" s="111"/>
    </row>
    <row r="158" spans="3:8" x14ac:dyDescent="0.25">
      <c r="C158" s="279" t="str">
        <f>'Project Emission Distribution'!D81</f>
        <v>AN57</v>
      </c>
      <c r="D158" s="287" t="str">
        <f>'Project Emission Distribution'!E81</f>
        <v/>
      </c>
      <c r="E158" s="288" t="str">
        <f>'Project Emission Distribution'!F81</f>
        <v/>
      </c>
      <c r="F158" s="280">
        <f t="shared" si="5"/>
        <v>0</v>
      </c>
      <c r="G158" s="111"/>
      <c r="H158" s="111"/>
    </row>
    <row r="159" spans="3:8" x14ac:dyDescent="0.25">
      <c r="C159" s="279" t="str">
        <f>'Project Emission Distribution'!D82</f>
        <v>AN58</v>
      </c>
      <c r="D159" s="285" t="str">
        <f>'Project Emission Distribution'!E82</f>
        <v/>
      </c>
      <c r="E159" s="286" t="str">
        <f>'Project Emission Distribution'!F82</f>
        <v/>
      </c>
      <c r="F159" s="280">
        <f t="shared" si="5"/>
        <v>0</v>
      </c>
      <c r="G159" s="111"/>
      <c r="H159" s="111"/>
    </row>
    <row r="160" spans="3:8" x14ac:dyDescent="0.25">
      <c r="C160" s="279" t="str">
        <f>'Project Emission Distribution'!D83</f>
        <v>AN59</v>
      </c>
      <c r="D160" s="287" t="str">
        <f>'Project Emission Distribution'!E83</f>
        <v/>
      </c>
      <c r="E160" s="288" t="str">
        <f>'Project Emission Distribution'!F83</f>
        <v/>
      </c>
      <c r="F160" s="280">
        <f t="shared" si="5"/>
        <v>0</v>
      </c>
      <c r="G160" s="111"/>
      <c r="H160" s="111"/>
    </row>
    <row r="161" spans="3:11" x14ac:dyDescent="0.25">
      <c r="C161" s="279" t="str">
        <f>'Project Emission Distribution'!D84</f>
        <v>AN60</v>
      </c>
      <c r="D161" s="289" t="str">
        <f>'Project Emission Distribution'!E84</f>
        <v/>
      </c>
      <c r="E161" s="290" t="str">
        <f>'Project Emission Distribution'!F84</f>
        <v/>
      </c>
      <c r="F161" s="280">
        <f t="shared" si="5"/>
        <v>0</v>
      </c>
      <c r="G161" s="111"/>
      <c r="H161" s="111"/>
    </row>
    <row r="162" spans="3:11" x14ac:dyDescent="0.25">
      <c r="D162" s="111"/>
      <c r="E162" s="111"/>
      <c r="F162" s="111"/>
      <c r="G162" s="111"/>
      <c r="H162" s="111"/>
      <c r="I162" s="111"/>
    </row>
    <row r="163" spans="3:11" x14ac:dyDescent="0.25">
      <c r="D163" s="111"/>
      <c r="E163" s="111"/>
      <c r="F163" s="111"/>
      <c r="G163" s="111"/>
      <c r="H163" s="111"/>
      <c r="I163" s="111"/>
    </row>
    <row r="164" spans="3:11" x14ac:dyDescent="0.25">
      <c r="D164" s="111"/>
      <c r="E164" s="111"/>
      <c r="F164" s="111"/>
      <c r="G164" s="111"/>
      <c r="H164" s="111"/>
      <c r="I164" s="111"/>
    </row>
    <row r="165" spans="3:11" x14ac:dyDescent="0.25">
      <c r="D165" s="111"/>
      <c r="E165" s="111"/>
      <c r="F165" s="111"/>
      <c r="G165" s="111"/>
      <c r="H165" s="111"/>
      <c r="I165" s="111"/>
    </row>
    <row r="166" spans="3:11" ht="90" x14ac:dyDescent="0.25">
      <c r="D166" s="126" t="s">
        <v>5</v>
      </c>
      <c r="E166" s="118" t="s">
        <v>159</v>
      </c>
      <c r="F166" s="111"/>
      <c r="G166" s="111"/>
      <c r="H166" s="111"/>
      <c r="I166" s="111"/>
    </row>
    <row r="167" spans="3:11" x14ac:dyDescent="0.25">
      <c r="D167" s="128">
        <v>44562</v>
      </c>
      <c r="E167" s="129">
        <f t="shared" ref="E167:E197" si="6">IF($E$96*$E$97&gt;0,$E$96/$E$97/31,0)</f>
        <v>0.75117344492913674</v>
      </c>
      <c r="F167" s="111"/>
      <c r="G167" s="111"/>
      <c r="H167" s="111"/>
      <c r="I167" s="111"/>
      <c r="J167" s="51"/>
      <c r="K167" s="51" t="s">
        <v>439</v>
      </c>
    </row>
    <row r="168" spans="3:11" x14ac:dyDescent="0.25">
      <c r="D168" s="128">
        <v>44563</v>
      </c>
      <c r="E168" s="129">
        <f t="shared" si="6"/>
        <v>0.75117344492913674</v>
      </c>
      <c r="F168" s="111"/>
      <c r="G168" s="111"/>
      <c r="H168" s="111"/>
      <c r="I168" s="111"/>
      <c r="J168" s="51" t="s">
        <v>438</v>
      </c>
      <c r="K168" s="51">
        <f>1/1000</f>
        <v>1E-3</v>
      </c>
    </row>
    <row r="169" spans="3:11" x14ac:dyDescent="0.25">
      <c r="D169" s="128">
        <v>44564</v>
      </c>
      <c r="E169" s="129">
        <f t="shared" si="6"/>
        <v>0.75117344492913674</v>
      </c>
      <c r="F169" s="111"/>
      <c r="G169" s="111"/>
      <c r="H169" s="111"/>
      <c r="I169" s="111"/>
      <c r="J169" s="51" t="s">
        <v>442</v>
      </c>
      <c r="K169" s="51">
        <v>1</v>
      </c>
    </row>
    <row r="170" spans="3:11" x14ac:dyDescent="0.25">
      <c r="D170" s="128">
        <v>44565</v>
      </c>
      <c r="E170" s="129">
        <f t="shared" si="6"/>
        <v>0.75117344492913674</v>
      </c>
      <c r="F170" s="111"/>
      <c r="G170" s="111"/>
      <c r="H170" s="111"/>
      <c r="I170" s="111"/>
      <c r="J170" s="452" t="s">
        <v>441</v>
      </c>
      <c r="K170" s="51">
        <f>12*25.4/1000</f>
        <v>0.30479999999999996</v>
      </c>
    </row>
    <row r="171" spans="3:11" x14ac:dyDescent="0.25">
      <c r="D171" s="128">
        <v>44566</v>
      </c>
      <c r="E171" s="129">
        <f t="shared" si="6"/>
        <v>0.75117344492913674</v>
      </c>
      <c r="F171" s="111"/>
      <c r="G171" s="111"/>
      <c r="H171" s="111"/>
      <c r="I171" s="111"/>
      <c r="J171" s="51" t="s">
        <v>440</v>
      </c>
      <c r="K171" s="51">
        <f>25.4*1/1000</f>
        <v>2.5399999999999999E-2</v>
      </c>
    </row>
    <row r="172" spans="3:11" x14ac:dyDescent="0.25">
      <c r="D172" s="128">
        <v>44567</v>
      </c>
      <c r="E172" s="129">
        <f t="shared" si="6"/>
        <v>0.75117344492913674</v>
      </c>
      <c r="F172" s="111"/>
      <c r="G172" s="111"/>
      <c r="H172" s="111"/>
      <c r="I172" s="111"/>
    </row>
    <row r="173" spans="3:11" x14ac:dyDescent="0.25">
      <c r="D173" s="128">
        <v>44568</v>
      </c>
      <c r="E173" s="129">
        <f t="shared" si="6"/>
        <v>0.75117344492913674</v>
      </c>
      <c r="F173" s="111"/>
      <c r="G173" s="111"/>
      <c r="H173" s="111"/>
      <c r="I173" s="111"/>
    </row>
    <row r="174" spans="3:11" x14ac:dyDescent="0.25">
      <c r="D174" s="128">
        <v>44569</v>
      </c>
      <c r="E174" s="129">
        <f t="shared" si="6"/>
        <v>0.75117344492913674</v>
      </c>
      <c r="F174" s="111"/>
      <c r="G174" s="111"/>
      <c r="H174" s="111"/>
      <c r="I174" s="111"/>
    </row>
    <row r="175" spans="3:11" x14ac:dyDescent="0.25">
      <c r="D175" s="128">
        <v>44570</v>
      </c>
      <c r="E175" s="129">
        <f t="shared" si="6"/>
        <v>0.75117344492913674</v>
      </c>
      <c r="F175" s="111"/>
      <c r="G175" s="111"/>
      <c r="H175" s="111"/>
      <c r="I175" s="111"/>
    </row>
    <row r="176" spans="3:11" x14ac:dyDescent="0.25">
      <c r="D176" s="128">
        <v>44571</v>
      </c>
      <c r="E176" s="129">
        <f t="shared" si="6"/>
        <v>0.75117344492913674</v>
      </c>
      <c r="F176" s="111"/>
      <c r="G176" s="111"/>
      <c r="H176" s="111"/>
      <c r="I176" s="111"/>
    </row>
    <row r="177" spans="4:9" x14ac:dyDescent="0.25">
      <c r="D177" s="128">
        <v>44572</v>
      </c>
      <c r="E177" s="129">
        <f t="shared" si="6"/>
        <v>0.75117344492913674</v>
      </c>
      <c r="F177" s="111"/>
      <c r="G177" s="111"/>
      <c r="H177" s="111"/>
      <c r="I177" s="111"/>
    </row>
    <row r="178" spans="4:9" x14ac:dyDescent="0.25">
      <c r="D178" s="128">
        <v>44573</v>
      </c>
      <c r="E178" s="129">
        <f t="shared" si="6"/>
        <v>0.75117344492913674</v>
      </c>
      <c r="F178" s="111"/>
      <c r="G178" s="111"/>
      <c r="H178" s="111"/>
      <c r="I178" s="111"/>
    </row>
    <row r="179" spans="4:9" x14ac:dyDescent="0.25">
      <c r="D179" s="128">
        <v>44574</v>
      </c>
      <c r="E179" s="129">
        <f t="shared" si="6"/>
        <v>0.75117344492913674</v>
      </c>
      <c r="F179" s="111"/>
      <c r="G179" s="111"/>
      <c r="H179" s="111"/>
      <c r="I179" s="111"/>
    </row>
    <row r="180" spans="4:9" x14ac:dyDescent="0.25">
      <c r="D180" s="128">
        <v>44575</v>
      </c>
      <c r="E180" s="129">
        <f t="shared" si="6"/>
        <v>0.75117344492913674</v>
      </c>
      <c r="F180" s="111"/>
      <c r="G180" s="111"/>
      <c r="H180" s="111"/>
      <c r="I180" s="111"/>
    </row>
    <row r="181" spans="4:9" x14ac:dyDescent="0.25">
      <c r="D181" s="128">
        <v>44576</v>
      </c>
      <c r="E181" s="129">
        <f t="shared" si="6"/>
        <v>0.75117344492913674</v>
      </c>
      <c r="F181" s="111"/>
      <c r="G181" s="111"/>
      <c r="H181" s="111"/>
      <c r="I181" s="111"/>
    </row>
    <row r="182" spans="4:9" x14ac:dyDescent="0.25">
      <c r="D182" s="128">
        <v>44577</v>
      </c>
      <c r="E182" s="129">
        <f t="shared" si="6"/>
        <v>0.75117344492913674</v>
      </c>
      <c r="F182" s="111"/>
      <c r="G182" s="111"/>
      <c r="H182" s="111"/>
      <c r="I182" s="111"/>
    </row>
    <row r="183" spans="4:9" x14ac:dyDescent="0.25">
      <c r="D183" s="128">
        <v>44578</v>
      </c>
      <c r="E183" s="129">
        <f t="shared" si="6"/>
        <v>0.75117344492913674</v>
      </c>
      <c r="F183" s="111"/>
      <c r="G183" s="111"/>
      <c r="H183" s="111"/>
      <c r="I183" s="111"/>
    </row>
    <row r="184" spans="4:9" x14ac:dyDescent="0.25">
      <c r="D184" s="128">
        <v>44579</v>
      </c>
      <c r="E184" s="129">
        <f t="shared" si="6"/>
        <v>0.75117344492913674</v>
      </c>
      <c r="F184" s="111"/>
      <c r="G184" s="111"/>
      <c r="H184" s="111"/>
      <c r="I184" s="111"/>
    </row>
    <row r="185" spans="4:9" x14ac:dyDescent="0.25">
      <c r="D185" s="128">
        <v>44580</v>
      </c>
      <c r="E185" s="129">
        <f t="shared" si="6"/>
        <v>0.75117344492913674</v>
      </c>
      <c r="F185" s="111"/>
      <c r="G185" s="111"/>
      <c r="H185" s="111"/>
      <c r="I185" s="111"/>
    </row>
    <row r="186" spans="4:9" x14ac:dyDescent="0.25">
      <c r="D186" s="128">
        <v>44581</v>
      </c>
      <c r="E186" s="129">
        <f t="shared" si="6"/>
        <v>0.75117344492913674</v>
      </c>
      <c r="F186" s="111"/>
      <c r="G186" s="111"/>
      <c r="H186" s="111"/>
      <c r="I186" s="111"/>
    </row>
    <row r="187" spans="4:9" x14ac:dyDescent="0.25">
      <c r="D187" s="128">
        <v>44582</v>
      </c>
      <c r="E187" s="129">
        <f t="shared" si="6"/>
        <v>0.75117344492913674</v>
      </c>
      <c r="F187" s="111"/>
      <c r="G187" s="111"/>
      <c r="H187" s="111"/>
      <c r="I187" s="111"/>
    </row>
    <row r="188" spans="4:9" x14ac:dyDescent="0.25">
      <c r="D188" s="128">
        <v>44583</v>
      </c>
      <c r="E188" s="129">
        <f t="shared" si="6"/>
        <v>0.75117344492913674</v>
      </c>
      <c r="F188" s="111"/>
      <c r="G188" s="111"/>
      <c r="H188" s="111"/>
      <c r="I188" s="111"/>
    </row>
    <row r="189" spans="4:9" x14ac:dyDescent="0.25">
      <c r="D189" s="128">
        <v>44584</v>
      </c>
      <c r="E189" s="129">
        <f t="shared" si="6"/>
        <v>0.75117344492913674</v>
      </c>
      <c r="F189" s="111"/>
      <c r="G189" s="111"/>
      <c r="H189" s="111"/>
      <c r="I189" s="111"/>
    </row>
    <row r="190" spans="4:9" x14ac:dyDescent="0.25">
      <c r="D190" s="128">
        <v>44585</v>
      </c>
      <c r="E190" s="129">
        <f t="shared" si="6"/>
        <v>0.75117344492913674</v>
      </c>
      <c r="F190" s="111"/>
      <c r="G190" s="111"/>
      <c r="H190" s="111"/>
      <c r="I190" s="111"/>
    </row>
    <row r="191" spans="4:9" x14ac:dyDescent="0.25">
      <c r="D191" s="128">
        <v>44586</v>
      </c>
      <c r="E191" s="129">
        <f t="shared" si="6"/>
        <v>0.75117344492913674</v>
      </c>
      <c r="F191" s="111"/>
      <c r="G191" s="111"/>
      <c r="H191" s="111"/>
      <c r="I191" s="111"/>
    </row>
    <row r="192" spans="4:9" x14ac:dyDescent="0.25">
      <c r="D192" s="128">
        <v>44587</v>
      </c>
      <c r="E192" s="129">
        <f t="shared" si="6"/>
        <v>0.75117344492913674</v>
      </c>
      <c r="F192" s="111"/>
      <c r="G192" s="111"/>
      <c r="H192" s="111"/>
      <c r="I192" s="111"/>
    </row>
    <row r="193" spans="4:9" x14ac:dyDescent="0.25">
      <c r="D193" s="128">
        <v>44588</v>
      </c>
      <c r="E193" s="129">
        <f t="shared" si="6"/>
        <v>0.75117344492913674</v>
      </c>
      <c r="F193" s="111"/>
      <c r="G193" s="111"/>
      <c r="H193" s="111"/>
      <c r="I193" s="111"/>
    </row>
    <row r="194" spans="4:9" x14ac:dyDescent="0.25">
      <c r="D194" s="128">
        <v>44589</v>
      </c>
      <c r="E194" s="129">
        <f t="shared" si="6"/>
        <v>0.75117344492913674</v>
      </c>
      <c r="F194" s="111"/>
      <c r="G194" s="111"/>
      <c r="H194" s="111"/>
      <c r="I194" s="111"/>
    </row>
    <row r="195" spans="4:9" x14ac:dyDescent="0.25">
      <c r="D195" s="128">
        <v>44590</v>
      </c>
      <c r="E195" s="129">
        <f t="shared" si="6"/>
        <v>0.75117344492913674</v>
      </c>
      <c r="F195" s="111"/>
      <c r="G195" s="111"/>
      <c r="H195" s="111"/>
      <c r="I195" s="111"/>
    </row>
    <row r="196" spans="4:9" x14ac:dyDescent="0.25">
      <c r="D196" s="128">
        <v>44591</v>
      </c>
      <c r="E196" s="129">
        <f t="shared" si="6"/>
        <v>0.75117344492913674</v>
      </c>
      <c r="F196" s="111"/>
      <c r="G196" s="111"/>
      <c r="H196" s="111"/>
      <c r="I196" s="111"/>
    </row>
    <row r="197" spans="4:9" x14ac:dyDescent="0.25">
      <c r="D197" s="128">
        <v>44592</v>
      </c>
      <c r="E197" s="129">
        <f t="shared" si="6"/>
        <v>0.75117344492913674</v>
      </c>
      <c r="F197" s="111"/>
      <c r="G197" s="111"/>
      <c r="H197" s="111"/>
      <c r="I197" s="111"/>
    </row>
    <row r="198" spans="4:9" x14ac:dyDescent="0.25">
      <c r="D198" s="128">
        <v>44593</v>
      </c>
      <c r="E198" s="129">
        <f t="shared" ref="E198:E225" si="7">IF($F$96*$F$97&gt;0,$F$96/$F$97/28,0)</f>
        <v>0.37916666666666671</v>
      </c>
      <c r="F198" s="111"/>
      <c r="G198" s="111"/>
      <c r="H198" s="111"/>
      <c r="I198" s="111"/>
    </row>
    <row r="199" spans="4:9" x14ac:dyDescent="0.25">
      <c r="D199" s="128">
        <v>44594</v>
      </c>
      <c r="E199" s="129">
        <f t="shared" si="7"/>
        <v>0.37916666666666671</v>
      </c>
      <c r="F199" s="111"/>
      <c r="G199" s="111"/>
      <c r="H199" s="111"/>
      <c r="I199" s="111"/>
    </row>
    <row r="200" spans="4:9" x14ac:dyDescent="0.25">
      <c r="D200" s="128">
        <v>44595</v>
      </c>
      <c r="E200" s="129">
        <f t="shared" si="7"/>
        <v>0.37916666666666671</v>
      </c>
      <c r="F200" s="111"/>
      <c r="G200" s="111"/>
      <c r="H200" s="111"/>
      <c r="I200" s="111"/>
    </row>
    <row r="201" spans="4:9" x14ac:dyDescent="0.25">
      <c r="D201" s="128">
        <v>44596</v>
      </c>
      <c r="E201" s="129">
        <f t="shared" si="7"/>
        <v>0.37916666666666671</v>
      </c>
      <c r="F201" s="111"/>
      <c r="G201" s="111"/>
      <c r="H201" s="111"/>
      <c r="I201" s="111"/>
    </row>
    <row r="202" spans="4:9" x14ac:dyDescent="0.25">
      <c r="D202" s="128">
        <v>44597</v>
      </c>
      <c r="E202" s="129">
        <f t="shared" si="7"/>
        <v>0.37916666666666671</v>
      </c>
      <c r="F202" s="111"/>
      <c r="G202" s="111"/>
      <c r="H202" s="111"/>
      <c r="I202" s="111"/>
    </row>
    <row r="203" spans="4:9" x14ac:dyDescent="0.25">
      <c r="D203" s="128">
        <v>44598</v>
      </c>
      <c r="E203" s="129">
        <f t="shared" si="7"/>
        <v>0.37916666666666671</v>
      </c>
      <c r="F203" s="111"/>
      <c r="G203" s="111"/>
      <c r="H203" s="111"/>
      <c r="I203" s="111"/>
    </row>
    <row r="204" spans="4:9" x14ac:dyDescent="0.25">
      <c r="D204" s="128">
        <v>44599</v>
      </c>
      <c r="E204" s="129">
        <f t="shared" si="7"/>
        <v>0.37916666666666671</v>
      </c>
      <c r="F204" s="111"/>
      <c r="G204" s="111"/>
      <c r="H204" s="111"/>
      <c r="I204" s="111"/>
    </row>
    <row r="205" spans="4:9" x14ac:dyDescent="0.25">
      <c r="D205" s="128">
        <v>44600</v>
      </c>
      <c r="E205" s="129">
        <f t="shared" si="7"/>
        <v>0.37916666666666671</v>
      </c>
      <c r="F205" s="111"/>
      <c r="G205" s="111"/>
      <c r="H205" s="111"/>
      <c r="I205" s="111"/>
    </row>
    <row r="206" spans="4:9" x14ac:dyDescent="0.25">
      <c r="D206" s="128">
        <v>44601</v>
      </c>
      <c r="E206" s="129">
        <f t="shared" si="7"/>
        <v>0.37916666666666671</v>
      </c>
      <c r="F206" s="111"/>
      <c r="G206" s="111"/>
      <c r="H206" s="111"/>
      <c r="I206" s="111"/>
    </row>
    <row r="207" spans="4:9" x14ac:dyDescent="0.25">
      <c r="D207" s="128">
        <v>44602</v>
      </c>
      <c r="E207" s="129">
        <f t="shared" si="7"/>
        <v>0.37916666666666671</v>
      </c>
      <c r="F207" s="111"/>
      <c r="G207" s="111"/>
      <c r="H207" s="111"/>
      <c r="I207" s="111"/>
    </row>
    <row r="208" spans="4:9" x14ac:dyDescent="0.25">
      <c r="D208" s="128">
        <v>44603</v>
      </c>
      <c r="E208" s="129">
        <f t="shared" si="7"/>
        <v>0.37916666666666671</v>
      </c>
      <c r="F208" s="111"/>
      <c r="G208" s="111"/>
      <c r="H208" s="111"/>
      <c r="I208" s="111"/>
    </row>
    <row r="209" spans="4:9" x14ac:dyDescent="0.25">
      <c r="D209" s="128">
        <v>44604</v>
      </c>
      <c r="E209" s="129">
        <f t="shared" si="7"/>
        <v>0.37916666666666671</v>
      </c>
      <c r="F209" s="111"/>
      <c r="G209" s="111"/>
      <c r="H209" s="111"/>
      <c r="I209" s="111"/>
    </row>
    <row r="210" spans="4:9" x14ac:dyDescent="0.25">
      <c r="D210" s="128">
        <v>44605</v>
      </c>
      <c r="E210" s="129">
        <f t="shared" si="7"/>
        <v>0.37916666666666671</v>
      </c>
      <c r="F210" s="111"/>
      <c r="G210" s="111"/>
      <c r="H210" s="111"/>
      <c r="I210" s="111"/>
    </row>
    <row r="211" spans="4:9" x14ac:dyDescent="0.25">
      <c r="D211" s="128">
        <v>44606</v>
      </c>
      <c r="E211" s="129">
        <f t="shared" si="7"/>
        <v>0.37916666666666671</v>
      </c>
      <c r="F211" s="111"/>
      <c r="G211" s="111"/>
      <c r="H211" s="111"/>
      <c r="I211" s="111"/>
    </row>
    <row r="212" spans="4:9" x14ac:dyDescent="0.25">
      <c r="D212" s="128">
        <v>44607</v>
      </c>
      <c r="E212" s="129">
        <f t="shared" si="7"/>
        <v>0.37916666666666671</v>
      </c>
      <c r="F212" s="111"/>
      <c r="G212" s="111"/>
      <c r="H212" s="111"/>
      <c r="I212" s="111"/>
    </row>
    <row r="213" spans="4:9" x14ac:dyDescent="0.25">
      <c r="D213" s="128">
        <v>44608</v>
      </c>
      <c r="E213" s="129">
        <f t="shared" si="7"/>
        <v>0.37916666666666671</v>
      </c>
      <c r="F213" s="111"/>
      <c r="G213" s="111"/>
      <c r="H213" s="111"/>
      <c r="I213" s="111"/>
    </row>
    <row r="214" spans="4:9" x14ac:dyDescent="0.25">
      <c r="D214" s="128">
        <v>44609</v>
      </c>
      <c r="E214" s="129">
        <f t="shared" si="7"/>
        <v>0.37916666666666671</v>
      </c>
      <c r="F214" s="111"/>
      <c r="G214" s="111"/>
      <c r="H214" s="111"/>
      <c r="I214" s="111"/>
    </row>
    <row r="215" spans="4:9" x14ac:dyDescent="0.25">
      <c r="D215" s="128">
        <v>44610</v>
      </c>
      <c r="E215" s="129">
        <f t="shared" si="7"/>
        <v>0.37916666666666671</v>
      </c>
      <c r="F215" s="111"/>
      <c r="G215" s="111"/>
      <c r="H215" s="111"/>
      <c r="I215" s="111"/>
    </row>
    <row r="216" spans="4:9" x14ac:dyDescent="0.25">
      <c r="D216" s="128">
        <v>44611</v>
      </c>
      <c r="E216" s="129">
        <f t="shared" si="7"/>
        <v>0.37916666666666671</v>
      </c>
      <c r="F216" s="111"/>
      <c r="G216" s="111"/>
      <c r="H216" s="111"/>
      <c r="I216" s="111"/>
    </row>
    <row r="217" spans="4:9" x14ac:dyDescent="0.25">
      <c r="D217" s="128">
        <v>44612</v>
      </c>
      <c r="E217" s="129">
        <f t="shared" si="7"/>
        <v>0.37916666666666671</v>
      </c>
      <c r="F217" s="111"/>
      <c r="G217" s="111"/>
      <c r="H217" s="111"/>
      <c r="I217" s="111"/>
    </row>
    <row r="218" spans="4:9" x14ac:dyDescent="0.25">
      <c r="D218" s="128">
        <v>44613</v>
      </c>
      <c r="E218" s="129">
        <f t="shared" si="7"/>
        <v>0.37916666666666671</v>
      </c>
      <c r="F218" s="111"/>
      <c r="G218" s="111"/>
      <c r="H218" s="111"/>
      <c r="I218" s="111"/>
    </row>
    <row r="219" spans="4:9" x14ac:dyDescent="0.25">
      <c r="D219" s="128">
        <v>44614</v>
      </c>
      <c r="E219" s="129">
        <f t="shared" si="7"/>
        <v>0.37916666666666671</v>
      </c>
      <c r="F219" s="111"/>
      <c r="G219" s="111"/>
      <c r="H219" s="111"/>
      <c r="I219" s="111"/>
    </row>
    <row r="220" spans="4:9" x14ac:dyDescent="0.25">
      <c r="D220" s="128">
        <v>44615</v>
      </c>
      <c r="E220" s="129">
        <f t="shared" si="7"/>
        <v>0.37916666666666671</v>
      </c>
      <c r="F220" s="111"/>
      <c r="G220" s="111"/>
      <c r="H220" s="111"/>
      <c r="I220" s="111"/>
    </row>
    <row r="221" spans="4:9" x14ac:dyDescent="0.25">
      <c r="D221" s="128">
        <v>44616</v>
      </c>
      <c r="E221" s="129">
        <f t="shared" si="7"/>
        <v>0.37916666666666671</v>
      </c>
      <c r="F221" s="111"/>
      <c r="G221" s="111"/>
      <c r="H221" s="111"/>
      <c r="I221" s="111"/>
    </row>
    <row r="222" spans="4:9" x14ac:dyDescent="0.25">
      <c r="D222" s="128">
        <v>44617</v>
      </c>
      <c r="E222" s="129">
        <f t="shared" si="7"/>
        <v>0.37916666666666671</v>
      </c>
      <c r="F222" s="111"/>
      <c r="G222" s="111"/>
      <c r="H222" s="111"/>
      <c r="I222" s="111"/>
    </row>
    <row r="223" spans="4:9" x14ac:dyDescent="0.25">
      <c r="D223" s="128">
        <v>44618</v>
      </c>
      <c r="E223" s="129">
        <f t="shared" si="7"/>
        <v>0.37916666666666671</v>
      </c>
      <c r="F223" s="111"/>
      <c r="G223" s="111"/>
      <c r="H223" s="111"/>
      <c r="I223" s="111"/>
    </row>
    <row r="224" spans="4:9" x14ac:dyDescent="0.25">
      <c r="D224" s="128">
        <v>44619</v>
      </c>
      <c r="E224" s="129">
        <f t="shared" si="7"/>
        <v>0.37916666666666671</v>
      </c>
      <c r="F224" s="111"/>
      <c r="G224" s="111"/>
      <c r="H224" s="111"/>
      <c r="I224" s="111"/>
    </row>
    <row r="225" spans="4:9" x14ac:dyDescent="0.25">
      <c r="D225" s="128">
        <v>44620</v>
      </c>
      <c r="E225" s="129">
        <f t="shared" si="7"/>
        <v>0.37916666666666671</v>
      </c>
      <c r="F225" s="111"/>
      <c r="G225" s="111"/>
      <c r="H225" s="111"/>
      <c r="I225" s="111"/>
    </row>
    <row r="226" spans="4:9" x14ac:dyDescent="0.25">
      <c r="D226" s="128">
        <v>44621</v>
      </c>
      <c r="E226" s="129">
        <f t="shared" ref="E226:E256" si="8">IF($G$96*$G$97&gt;0,$G$96/$G$97/31,0)</f>
        <v>0</v>
      </c>
      <c r="F226" s="111"/>
      <c r="G226" s="111"/>
      <c r="H226" s="111"/>
      <c r="I226" s="111"/>
    </row>
    <row r="227" spans="4:9" x14ac:dyDescent="0.25">
      <c r="D227" s="128">
        <v>44622</v>
      </c>
      <c r="E227" s="129">
        <f t="shared" si="8"/>
        <v>0</v>
      </c>
      <c r="F227" s="111"/>
      <c r="G227" s="111"/>
      <c r="H227" s="111"/>
      <c r="I227" s="111"/>
    </row>
    <row r="228" spans="4:9" x14ac:dyDescent="0.25">
      <c r="D228" s="128">
        <v>44623</v>
      </c>
      <c r="E228" s="129">
        <f t="shared" si="8"/>
        <v>0</v>
      </c>
      <c r="F228" s="111"/>
      <c r="G228" s="111"/>
      <c r="H228" s="111"/>
      <c r="I228" s="111"/>
    </row>
    <row r="229" spans="4:9" x14ac:dyDescent="0.25">
      <c r="D229" s="128">
        <v>44624</v>
      </c>
      <c r="E229" s="129">
        <f t="shared" si="8"/>
        <v>0</v>
      </c>
      <c r="F229" s="111"/>
      <c r="G229" s="111"/>
      <c r="H229" s="111"/>
      <c r="I229" s="111"/>
    </row>
    <row r="230" spans="4:9" x14ac:dyDescent="0.25">
      <c r="D230" s="128">
        <v>44625</v>
      </c>
      <c r="E230" s="129">
        <f t="shared" si="8"/>
        <v>0</v>
      </c>
      <c r="F230" s="111"/>
      <c r="G230" s="111"/>
      <c r="H230" s="111"/>
      <c r="I230" s="111"/>
    </row>
    <row r="231" spans="4:9" x14ac:dyDescent="0.25">
      <c r="D231" s="128">
        <v>44626</v>
      </c>
      <c r="E231" s="129">
        <f t="shared" si="8"/>
        <v>0</v>
      </c>
      <c r="F231" s="111"/>
      <c r="G231" s="111"/>
      <c r="H231" s="111"/>
      <c r="I231" s="111"/>
    </row>
    <row r="232" spans="4:9" x14ac:dyDescent="0.25">
      <c r="D232" s="128">
        <v>44627</v>
      </c>
      <c r="E232" s="129">
        <f t="shared" si="8"/>
        <v>0</v>
      </c>
      <c r="F232" s="111"/>
      <c r="G232" s="111"/>
      <c r="H232" s="111"/>
      <c r="I232" s="111"/>
    </row>
    <row r="233" spans="4:9" x14ac:dyDescent="0.25">
      <c r="D233" s="128">
        <v>44628</v>
      </c>
      <c r="E233" s="129">
        <f t="shared" si="8"/>
        <v>0</v>
      </c>
      <c r="F233" s="111"/>
      <c r="G233" s="111"/>
      <c r="H233" s="111"/>
      <c r="I233" s="111"/>
    </row>
    <row r="234" spans="4:9" x14ac:dyDescent="0.25">
      <c r="D234" s="128">
        <v>44629</v>
      </c>
      <c r="E234" s="129">
        <f t="shared" si="8"/>
        <v>0</v>
      </c>
      <c r="F234" s="111"/>
      <c r="G234" s="111"/>
      <c r="H234" s="111"/>
      <c r="I234" s="111"/>
    </row>
    <row r="235" spans="4:9" x14ac:dyDescent="0.25">
      <c r="D235" s="128">
        <v>44630</v>
      </c>
      <c r="E235" s="129">
        <f t="shared" si="8"/>
        <v>0</v>
      </c>
      <c r="F235" s="111"/>
      <c r="G235" s="111"/>
      <c r="H235" s="111"/>
      <c r="I235" s="111"/>
    </row>
    <row r="236" spans="4:9" x14ac:dyDescent="0.25">
      <c r="D236" s="128">
        <v>44631</v>
      </c>
      <c r="E236" s="129">
        <f t="shared" si="8"/>
        <v>0</v>
      </c>
      <c r="F236" s="111"/>
      <c r="G236" s="111"/>
      <c r="H236" s="111"/>
      <c r="I236" s="111"/>
    </row>
    <row r="237" spans="4:9" x14ac:dyDescent="0.25">
      <c r="D237" s="128">
        <v>44632</v>
      </c>
      <c r="E237" s="129">
        <f t="shared" si="8"/>
        <v>0</v>
      </c>
      <c r="F237" s="111"/>
      <c r="G237" s="111"/>
      <c r="H237" s="111"/>
      <c r="I237" s="111"/>
    </row>
    <row r="238" spans="4:9" x14ac:dyDescent="0.25">
      <c r="D238" s="128">
        <v>44633</v>
      </c>
      <c r="E238" s="129">
        <f t="shared" si="8"/>
        <v>0</v>
      </c>
      <c r="F238" s="111"/>
      <c r="G238" s="111"/>
      <c r="H238" s="111"/>
      <c r="I238" s="111"/>
    </row>
    <row r="239" spans="4:9" x14ac:dyDescent="0.25">
      <c r="D239" s="128">
        <v>44634</v>
      </c>
      <c r="E239" s="129">
        <f t="shared" si="8"/>
        <v>0</v>
      </c>
      <c r="F239" s="111"/>
      <c r="G239" s="111"/>
      <c r="H239" s="111"/>
      <c r="I239" s="111"/>
    </row>
    <row r="240" spans="4:9" x14ac:dyDescent="0.25">
      <c r="D240" s="128">
        <v>44635</v>
      </c>
      <c r="E240" s="129">
        <f t="shared" si="8"/>
        <v>0</v>
      </c>
      <c r="F240" s="111"/>
      <c r="G240" s="111"/>
      <c r="H240" s="111"/>
      <c r="I240" s="111"/>
    </row>
    <row r="241" spans="4:9" x14ac:dyDescent="0.25">
      <c r="D241" s="128">
        <v>44636</v>
      </c>
      <c r="E241" s="129">
        <f t="shared" si="8"/>
        <v>0</v>
      </c>
      <c r="F241" s="111"/>
      <c r="G241" s="111"/>
      <c r="H241" s="111"/>
      <c r="I241" s="111"/>
    </row>
    <row r="242" spans="4:9" x14ac:dyDescent="0.25">
      <c r="D242" s="128">
        <v>44637</v>
      </c>
      <c r="E242" s="129">
        <f t="shared" si="8"/>
        <v>0</v>
      </c>
      <c r="F242" s="111"/>
      <c r="G242" s="111"/>
      <c r="H242" s="111"/>
      <c r="I242" s="111"/>
    </row>
    <row r="243" spans="4:9" x14ac:dyDescent="0.25">
      <c r="D243" s="128">
        <v>44638</v>
      </c>
      <c r="E243" s="129">
        <f t="shared" si="8"/>
        <v>0</v>
      </c>
      <c r="F243" s="111"/>
      <c r="G243" s="111"/>
      <c r="H243" s="111"/>
      <c r="I243" s="111"/>
    </row>
    <row r="244" spans="4:9" x14ac:dyDescent="0.25">
      <c r="D244" s="128">
        <v>44639</v>
      </c>
      <c r="E244" s="129">
        <f t="shared" si="8"/>
        <v>0</v>
      </c>
      <c r="F244" s="111"/>
      <c r="G244" s="111"/>
      <c r="H244" s="111"/>
      <c r="I244" s="111"/>
    </row>
    <row r="245" spans="4:9" x14ac:dyDescent="0.25">
      <c r="D245" s="128">
        <v>44640</v>
      </c>
      <c r="E245" s="129">
        <f t="shared" si="8"/>
        <v>0</v>
      </c>
      <c r="F245" s="111"/>
      <c r="G245" s="111"/>
      <c r="H245" s="111"/>
      <c r="I245" s="111"/>
    </row>
    <row r="246" spans="4:9" x14ac:dyDescent="0.25">
      <c r="D246" s="128">
        <v>44641</v>
      </c>
      <c r="E246" s="129">
        <f t="shared" si="8"/>
        <v>0</v>
      </c>
      <c r="F246" s="111"/>
      <c r="G246" s="111"/>
      <c r="H246" s="111"/>
      <c r="I246" s="111"/>
    </row>
    <row r="247" spans="4:9" x14ac:dyDescent="0.25">
      <c r="D247" s="128">
        <v>44642</v>
      </c>
      <c r="E247" s="129">
        <f t="shared" si="8"/>
        <v>0</v>
      </c>
      <c r="F247" s="111"/>
      <c r="G247" s="111"/>
      <c r="H247" s="111"/>
      <c r="I247" s="111"/>
    </row>
    <row r="248" spans="4:9" x14ac:dyDescent="0.25">
      <c r="D248" s="128">
        <v>44643</v>
      </c>
      <c r="E248" s="129">
        <f t="shared" si="8"/>
        <v>0</v>
      </c>
      <c r="F248" s="111"/>
      <c r="G248" s="111"/>
      <c r="H248" s="111"/>
      <c r="I248" s="111"/>
    </row>
    <row r="249" spans="4:9" x14ac:dyDescent="0.25">
      <c r="D249" s="128">
        <v>44644</v>
      </c>
      <c r="E249" s="129">
        <f t="shared" si="8"/>
        <v>0</v>
      </c>
      <c r="F249" s="111"/>
      <c r="G249" s="111"/>
      <c r="H249" s="111"/>
      <c r="I249" s="111"/>
    </row>
    <row r="250" spans="4:9" x14ac:dyDescent="0.25">
      <c r="D250" s="128">
        <v>44645</v>
      </c>
      <c r="E250" s="129">
        <f t="shared" si="8"/>
        <v>0</v>
      </c>
      <c r="F250" s="111"/>
      <c r="G250" s="111"/>
      <c r="H250" s="111"/>
      <c r="I250" s="111"/>
    </row>
    <row r="251" spans="4:9" x14ac:dyDescent="0.25">
      <c r="D251" s="128">
        <v>44646</v>
      </c>
      <c r="E251" s="129">
        <f t="shared" si="8"/>
        <v>0</v>
      </c>
      <c r="F251" s="111"/>
      <c r="G251" s="111"/>
      <c r="H251" s="111"/>
      <c r="I251" s="111"/>
    </row>
    <row r="252" spans="4:9" x14ac:dyDescent="0.25">
      <c r="D252" s="128">
        <v>44647</v>
      </c>
      <c r="E252" s="129">
        <f t="shared" si="8"/>
        <v>0</v>
      </c>
      <c r="F252" s="111"/>
      <c r="G252" s="111"/>
      <c r="H252" s="111"/>
      <c r="I252" s="111"/>
    </row>
    <row r="253" spans="4:9" x14ac:dyDescent="0.25">
      <c r="D253" s="128">
        <v>44648</v>
      </c>
      <c r="E253" s="129">
        <f t="shared" si="8"/>
        <v>0</v>
      </c>
      <c r="F253" s="111"/>
      <c r="G253" s="111"/>
      <c r="H253" s="111"/>
      <c r="I253" s="111"/>
    </row>
    <row r="254" spans="4:9" x14ac:dyDescent="0.25">
      <c r="D254" s="128">
        <v>44649</v>
      </c>
      <c r="E254" s="129">
        <f t="shared" si="8"/>
        <v>0</v>
      </c>
      <c r="F254" s="111"/>
      <c r="G254" s="111"/>
      <c r="H254" s="111"/>
      <c r="I254" s="111"/>
    </row>
    <row r="255" spans="4:9" x14ac:dyDescent="0.25">
      <c r="D255" s="128">
        <v>44650</v>
      </c>
      <c r="E255" s="129">
        <f t="shared" si="8"/>
        <v>0</v>
      </c>
      <c r="F255" s="111"/>
      <c r="G255" s="111"/>
      <c r="H255" s="111"/>
      <c r="I255" s="111"/>
    </row>
    <row r="256" spans="4:9" x14ac:dyDescent="0.25">
      <c r="D256" s="128">
        <v>44651</v>
      </c>
      <c r="E256" s="129">
        <f t="shared" si="8"/>
        <v>0</v>
      </c>
      <c r="F256" s="111"/>
      <c r="G256" s="111"/>
      <c r="H256" s="111"/>
      <c r="I256" s="111"/>
    </row>
    <row r="257" spans="4:9" x14ac:dyDescent="0.25">
      <c r="D257" s="128">
        <v>44652</v>
      </c>
      <c r="E257" s="129">
        <f t="shared" ref="E257:E286" si="9">IF($H$96*$H$97&gt;0,$H$96/$H$97/30,0)</f>
        <v>0.53083333333333338</v>
      </c>
      <c r="F257" s="111"/>
      <c r="G257" s="111"/>
      <c r="H257" s="111"/>
      <c r="I257" s="111"/>
    </row>
    <row r="258" spans="4:9" x14ac:dyDescent="0.25">
      <c r="D258" s="128">
        <v>44653</v>
      </c>
      <c r="E258" s="129">
        <f t="shared" si="9"/>
        <v>0.53083333333333338</v>
      </c>
      <c r="F258" s="111"/>
      <c r="G258" s="111"/>
      <c r="H258" s="111"/>
      <c r="I258" s="111"/>
    </row>
    <row r="259" spans="4:9" x14ac:dyDescent="0.25">
      <c r="D259" s="128">
        <v>44654</v>
      </c>
      <c r="E259" s="129">
        <f t="shared" si="9"/>
        <v>0.53083333333333338</v>
      </c>
      <c r="F259" s="111"/>
      <c r="G259" s="111"/>
      <c r="H259" s="111"/>
      <c r="I259" s="111"/>
    </row>
    <row r="260" spans="4:9" x14ac:dyDescent="0.25">
      <c r="D260" s="128">
        <v>44655</v>
      </c>
      <c r="E260" s="129">
        <f t="shared" si="9"/>
        <v>0.53083333333333338</v>
      </c>
      <c r="F260" s="111"/>
      <c r="G260" s="111"/>
      <c r="H260" s="111"/>
      <c r="I260" s="111"/>
    </row>
    <row r="261" spans="4:9" x14ac:dyDescent="0.25">
      <c r="D261" s="128">
        <v>44656</v>
      </c>
      <c r="E261" s="129">
        <f t="shared" si="9"/>
        <v>0.53083333333333338</v>
      </c>
      <c r="F261" s="111"/>
      <c r="G261" s="111"/>
      <c r="H261" s="111"/>
      <c r="I261" s="111"/>
    </row>
    <row r="262" spans="4:9" x14ac:dyDescent="0.25">
      <c r="D262" s="128">
        <v>44657</v>
      </c>
      <c r="E262" s="129">
        <f t="shared" si="9"/>
        <v>0.53083333333333338</v>
      </c>
      <c r="F262" s="111"/>
      <c r="G262" s="111"/>
      <c r="H262" s="111"/>
      <c r="I262" s="111"/>
    </row>
    <row r="263" spans="4:9" x14ac:dyDescent="0.25">
      <c r="D263" s="128">
        <v>44658</v>
      </c>
      <c r="E263" s="129">
        <f t="shared" si="9"/>
        <v>0.53083333333333338</v>
      </c>
      <c r="F263" s="111"/>
      <c r="G263" s="111"/>
      <c r="H263" s="111"/>
      <c r="I263" s="111"/>
    </row>
    <row r="264" spans="4:9" x14ac:dyDescent="0.25">
      <c r="D264" s="128">
        <v>44659</v>
      </c>
      <c r="E264" s="129">
        <f t="shared" si="9"/>
        <v>0.53083333333333338</v>
      </c>
      <c r="F264" s="111"/>
      <c r="G264" s="111"/>
      <c r="H264" s="111"/>
      <c r="I264" s="111"/>
    </row>
    <row r="265" spans="4:9" x14ac:dyDescent="0.25">
      <c r="D265" s="128">
        <v>44660</v>
      </c>
      <c r="E265" s="129">
        <f t="shared" si="9"/>
        <v>0.53083333333333338</v>
      </c>
      <c r="F265" s="111"/>
      <c r="G265" s="111"/>
      <c r="H265" s="111"/>
      <c r="I265" s="111"/>
    </row>
    <row r="266" spans="4:9" x14ac:dyDescent="0.25">
      <c r="D266" s="128">
        <v>44661</v>
      </c>
      <c r="E266" s="129">
        <f t="shared" si="9"/>
        <v>0.53083333333333338</v>
      </c>
      <c r="F266" s="111"/>
      <c r="G266" s="111"/>
      <c r="H266" s="111"/>
      <c r="I266" s="111"/>
    </row>
    <row r="267" spans="4:9" x14ac:dyDescent="0.25">
      <c r="D267" s="128">
        <v>44662</v>
      </c>
      <c r="E267" s="129">
        <f t="shared" si="9"/>
        <v>0.53083333333333338</v>
      </c>
      <c r="F267" s="111"/>
      <c r="G267" s="111"/>
      <c r="H267" s="111"/>
      <c r="I267" s="111"/>
    </row>
    <row r="268" spans="4:9" x14ac:dyDescent="0.25">
      <c r="D268" s="128">
        <v>44663</v>
      </c>
      <c r="E268" s="129">
        <f t="shared" si="9"/>
        <v>0.53083333333333338</v>
      </c>
      <c r="F268" s="111"/>
      <c r="G268" s="111"/>
      <c r="H268" s="111"/>
      <c r="I268" s="111"/>
    </row>
    <row r="269" spans="4:9" x14ac:dyDescent="0.25">
      <c r="D269" s="128">
        <v>44664</v>
      </c>
      <c r="E269" s="129">
        <f t="shared" si="9"/>
        <v>0.53083333333333338</v>
      </c>
      <c r="F269" s="111"/>
      <c r="G269" s="111"/>
      <c r="H269" s="111"/>
      <c r="I269" s="111"/>
    </row>
    <row r="270" spans="4:9" x14ac:dyDescent="0.25">
      <c r="D270" s="128">
        <v>44665</v>
      </c>
      <c r="E270" s="129">
        <f t="shared" si="9"/>
        <v>0.53083333333333338</v>
      </c>
      <c r="F270" s="111"/>
      <c r="G270" s="111"/>
      <c r="H270" s="111"/>
      <c r="I270" s="111"/>
    </row>
    <row r="271" spans="4:9" x14ac:dyDescent="0.25">
      <c r="D271" s="128">
        <v>44666</v>
      </c>
      <c r="E271" s="129">
        <f t="shared" si="9"/>
        <v>0.53083333333333338</v>
      </c>
      <c r="F271" s="111"/>
      <c r="G271" s="111"/>
      <c r="H271" s="111"/>
      <c r="I271" s="111"/>
    </row>
    <row r="272" spans="4:9" x14ac:dyDescent="0.25">
      <c r="D272" s="128">
        <v>44667</v>
      </c>
      <c r="E272" s="129">
        <f t="shared" si="9"/>
        <v>0.53083333333333338</v>
      </c>
      <c r="F272" s="111"/>
      <c r="G272" s="111"/>
      <c r="H272" s="111"/>
      <c r="I272" s="111"/>
    </row>
    <row r="273" spans="4:9" x14ac:dyDescent="0.25">
      <c r="D273" s="128">
        <v>44668</v>
      </c>
      <c r="E273" s="129">
        <f t="shared" si="9"/>
        <v>0.53083333333333338</v>
      </c>
      <c r="F273" s="111"/>
      <c r="G273" s="111"/>
      <c r="H273" s="111"/>
      <c r="I273" s="111"/>
    </row>
    <row r="274" spans="4:9" x14ac:dyDescent="0.25">
      <c r="D274" s="128">
        <v>44669</v>
      </c>
      <c r="E274" s="129">
        <f t="shared" si="9"/>
        <v>0.53083333333333338</v>
      </c>
      <c r="F274" s="111"/>
      <c r="G274" s="111"/>
      <c r="H274" s="111"/>
      <c r="I274" s="111"/>
    </row>
    <row r="275" spans="4:9" x14ac:dyDescent="0.25">
      <c r="D275" s="128">
        <v>44670</v>
      </c>
      <c r="E275" s="129">
        <f t="shared" si="9"/>
        <v>0.53083333333333338</v>
      </c>
      <c r="F275" s="111"/>
      <c r="G275" s="111"/>
      <c r="H275" s="111"/>
      <c r="I275" s="111"/>
    </row>
    <row r="276" spans="4:9" x14ac:dyDescent="0.25">
      <c r="D276" s="128">
        <v>44671</v>
      </c>
      <c r="E276" s="129">
        <f t="shared" si="9"/>
        <v>0.53083333333333338</v>
      </c>
      <c r="F276" s="111"/>
      <c r="G276" s="111"/>
      <c r="H276" s="111"/>
      <c r="I276" s="111"/>
    </row>
    <row r="277" spans="4:9" x14ac:dyDescent="0.25">
      <c r="D277" s="128">
        <v>44672</v>
      </c>
      <c r="E277" s="129">
        <f t="shared" si="9"/>
        <v>0.53083333333333338</v>
      </c>
      <c r="F277" s="111"/>
      <c r="G277" s="111"/>
      <c r="H277" s="111"/>
      <c r="I277" s="111"/>
    </row>
    <row r="278" spans="4:9" x14ac:dyDescent="0.25">
      <c r="D278" s="128">
        <v>44673</v>
      </c>
      <c r="E278" s="129">
        <f t="shared" si="9"/>
        <v>0.53083333333333338</v>
      </c>
      <c r="F278" s="111"/>
      <c r="G278" s="111"/>
      <c r="H278" s="111"/>
      <c r="I278" s="111"/>
    </row>
    <row r="279" spans="4:9" x14ac:dyDescent="0.25">
      <c r="D279" s="128">
        <v>44674</v>
      </c>
      <c r="E279" s="129">
        <f t="shared" si="9"/>
        <v>0.53083333333333338</v>
      </c>
      <c r="F279" s="111"/>
      <c r="G279" s="111"/>
      <c r="H279" s="111"/>
      <c r="I279" s="111"/>
    </row>
    <row r="280" spans="4:9" x14ac:dyDescent="0.25">
      <c r="D280" s="128">
        <v>44675</v>
      </c>
      <c r="E280" s="129">
        <f t="shared" si="9"/>
        <v>0.53083333333333338</v>
      </c>
      <c r="F280" s="111"/>
      <c r="G280" s="111"/>
      <c r="H280" s="111"/>
      <c r="I280" s="111"/>
    </row>
    <row r="281" spans="4:9" x14ac:dyDescent="0.25">
      <c r="D281" s="128">
        <v>44676</v>
      </c>
      <c r="E281" s="129">
        <f t="shared" si="9"/>
        <v>0.53083333333333338</v>
      </c>
      <c r="F281" s="111"/>
      <c r="G281" s="111"/>
      <c r="H281" s="111"/>
      <c r="I281" s="111"/>
    </row>
    <row r="282" spans="4:9" x14ac:dyDescent="0.25">
      <c r="D282" s="128">
        <v>44677</v>
      </c>
      <c r="E282" s="129">
        <f t="shared" si="9"/>
        <v>0.53083333333333338</v>
      </c>
      <c r="F282" s="111"/>
      <c r="G282" s="111"/>
      <c r="H282" s="111"/>
      <c r="I282" s="111"/>
    </row>
    <row r="283" spans="4:9" x14ac:dyDescent="0.25">
      <c r="D283" s="128">
        <v>44678</v>
      </c>
      <c r="E283" s="129">
        <f t="shared" si="9"/>
        <v>0.53083333333333338</v>
      </c>
      <c r="F283" s="111"/>
      <c r="G283" s="111"/>
      <c r="H283" s="111"/>
      <c r="I283" s="111"/>
    </row>
    <row r="284" spans="4:9" x14ac:dyDescent="0.25">
      <c r="D284" s="128">
        <v>44679</v>
      </c>
      <c r="E284" s="129">
        <f t="shared" si="9"/>
        <v>0.53083333333333338</v>
      </c>
      <c r="F284" s="111"/>
      <c r="G284" s="111"/>
      <c r="H284" s="111"/>
      <c r="I284" s="111"/>
    </row>
    <row r="285" spans="4:9" x14ac:dyDescent="0.25">
      <c r="D285" s="128">
        <v>44680</v>
      </c>
      <c r="E285" s="129">
        <f t="shared" si="9"/>
        <v>0.53083333333333338</v>
      </c>
      <c r="F285" s="111"/>
      <c r="G285" s="111"/>
      <c r="H285" s="111"/>
      <c r="I285" s="111"/>
    </row>
    <row r="286" spans="4:9" x14ac:dyDescent="0.25">
      <c r="D286" s="128">
        <v>44681</v>
      </c>
      <c r="E286" s="129">
        <f t="shared" si="9"/>
        <v>0.53083333333333338</v>
      </c>
      <c r="F286" s="111"/>
      <c r="G286" s="111"/>
      <c r="H286" s="111"/>
      <c r="I286" s="111"/>
    </row>
    <row r="287" spans="4:9" x14ac:dyDescent="0.25">
      <c r="D287" s="128">
        <v>44682</v>
      </c>
      <c r="E287" s="129">
        <f t="shared" ref="E287:E317" si="10">IF($I$96*$I$97&gt;0,$I$96/$I$97/31,0)</f>
        <v>0.27397849462365592</v>
      </c>
      <c r="F287" s="111"/>
      <c r="G287" s="111"/>
      <c r="H287" s="111"/>
      <c r="I287" s="111"/>
    </row>
    <row r="288" spans="4:9" x14ac:dyDescent="0.25">
      <c r="D288" s="128">
        <v>44683</v>
      </c>
      <c r="E288" s="129">
        <f t="shared" si="10"/>
        <v>0.27397849462365592</v>
      </c>
      <c r="F288" s="111"/>
      <c r="G288" s="111"/>
      <c r="H288" s="111"/>
      <c r="I288" s="111"/>
    </row>
    <row r="289" spans="4:9" x14ac:dyDescent="0.25">
      <c r="D289" s="128">
        <v>44684</v>
      </c>
      <c r="E289" s="129">
        <f t="shared" si="10"/>
        <v>0.27397849462365592</v>
      </c>
      <c r="F289" s="111"/>
      <c r="G289" s="111"/>
      <c r="H289" s="111"/>
      <c r="I289" s="111"/>
    </row>
    <row r="290" spans="4:9" x14ac:dyDescent="0.25">
      <c r="D290" s="128">
        <v>44685</v>
      </c>
      <c r="E290" s="129">
        <f t="shared" si="10"/>
        <v>0.27397849462365592</v>
      </c>
      <c r="F290" s="111"/>
      <c r="G290" s="111"/>
      <c r="H290" s="111"/>
      <c r="I290" s="111"/>
    </row>
    <row r="291" spans="4:9" x14ac:dyDescent="0.25">
      <c r="D291" s="128">
        <v>44686</v>
      </c>
      <c r="E291" s="129">
        <f t="shared" si="10"/>
        <v>0.27397849462365592</v>
      </c>
      <c r="F291" s="111"/>
      <c r="G291" s="111"/>
      <c r="H291" s="111"/>
      <c r="I291" s="111"/>
    </row>
    <row r="292" spans="4:9" x14ac:dyDescent="0.25">
      <c r="D292" s="128">
        <v>44687</v>
      </c>
      <c r="E292" s="129">
        <f t="shared" si="10"/>
        <v>0.27397849462365592</v>
      </c>
      <c r="F292" s="111"/>
      <c r="G292" s="111"/>
      <c r="H292" s="111"/>
      <c r="I292" s="111"/>
    </row>
    <row r="293" spans="4:9" x14ac:dyDescent="0.25">
      <c r="D293" s="128">
        <v>44688</v>
      </c>
      <c r="E293" s="129">
        <f t="shared" si="10"/>
        <v>0.27397849462365592</v>
      </c>
      <c r="F293" s="111"/>
      <c r="G293" s="111"/>
      <c r="H293" s="111"/>
      <c r="I293" s="111"/>
    </row>
    <row r="294" spans="4:9" x14ac:dyDescent="0.25">
      <c r="D294" s="128">
        <v>44689</v>
      </c>
      <c r="E294" s="129">
        <f t="shared" si="10"/>
        <v>0.27397849462365592</v>
      </c>
      <c r="F294" s="111"/>
      <c r="G294" s="111"/>
      <c r="H294" s="111"/>
      <c r="I294" s="111"/>
    </row>
    <row r="295" spans="4:9" x14ac:dyDescent="0.25">
      <c r="D295" s="128">
        <v>44690</v>
      </c>
      <c r="E295" s="129">
        <f t="shared" si="10"/>
        <v>0.27397849462365592</v>
      </c>
      <c r="F295" s="111"/>
      <c r="G295" s="111"/>
      <c r="H295" s="111"/>
      <c r="I295" s="111"/>
    </row>
    <row r="296" spans="4:9" x14ac:dyDescent="0.25">
      <c r="D296" s="128">
        <v>44691</v>
      </c>
      <c r="E296" s="129">
        <f t="shared" si="10"/>
        <v>0.27397849462365592</v>
      </c>
      <c r="F296" s="111"/>
      <c r="G296" s="111"/>
      <c r="H296" s="111"/>
      <c r="I296" s="111"/>
    </row>
    <row r="297" spans="4:9" x14ac:dyDescent="0.25">
      <c r="D297" s="128">
        <v>44692</v>
      </c>
      <c r="E297" s="129">
        <f t="shared" si="10"/>
        <v>0.27397849462365592</v>
      </c>
      <c r="F297" s="111"/>
      <c r="G297" s="111"/>
      <c r="H297" s="111"/>
      <c r="I297" s="111"/>
    </row>
    <row r="298" spans="4:9" x14ac:dyDescent="0.25">
      <c r="D298" s="128">
        <v>44693</v>
      </c>
      <c r="E298" s="129">
        <f t="shared" si="10"/>
        <v>0.27397849462365592</v>
      </c>
      <c r="F298" s="111"/>
      <c r="G298" s="111"/>
      <c r="H298" s="111"/>
      <c r="I298" s="111"/>
    </row>
    <row r="299" spans="4:9" x14ac:dyDescent="0.25">
      <c r="D299" s="128">
        <v>44694</v>
      </c>
      <c r="E299" s="129">
        <f t="shared" si="10"/>
        <v>0.27397849462365592</v>
      </c>
      <c r="F299" s="111"/>
      <c r="G299" s="111"/>
      <c r="H299" s="111"/>
      <c r="I299" s="111"/>
    </row>
    <row r="300" spans="4:9" x14ac:dyDescent="0.25">
      <c r="D300" s="128">
        <v>44695</v>
      </c>
      <c r="E300" s="129">
        <f t="shared" si="10"/>
        <v>0.27397849462365592</v>
      </c>
      <c r="F300" s="111"/>
      <c r="G300" s="111"/>
      <c r="H300" s="111"/>
      <c r="I300" s="111"/>
    </row>
    <row r="301" spans="4:9" x14ac:dyDescent="0.25">
      <c r="D301" s="128">
        <v>44696</v>
      </c>
      <c r="E301" s="129">
        <f t="shared" si="10"/>
        <v>0.27397849462365592</v>
      </c>
      <c r="F301" s="111"/>
      <c r="G301" s="111"/>
      <c r="H301" s="111"/>
      <c r="I301" s="111"/>
    </row>
    <row r="302" spans="4:9" x14ac:dyDescent="0.25">
      <c r="D302" s="128">
        <v>44697</v>
      </c>
      <c r="E302" s="129">
        <f t="shared" si="10"/>
        <v>0.27397849462365592</v>
      </c>
      <c r="F302" s="111"/>
      <c r="G302" s="111"/>
      <c r="H302" s="111"/>
      <c r="I302" s="111"/>
    </row>
    <row r="303" spans="4:9" x14ac:dyDescent="0.25">
      <c r="D303" s="128">
        <v>44698</v>
      </c>
      <c r="E303" s="129">
        <f t="shared" si="10"/>
        <v>0.27397849462365592</v>
      </c>
      <c r="F303" s="111"/>
      <c r="G303" s="111"/>
      <c r="H303" s="111"/>
      <c r="I303" s="111"/>
    </row>
    <row r="304" spans="4:9" x14ac:dyDescent="0.25">
      <c r="D304" s="128">
        <v>44699</v>
      </c>
      <c r="E304" s="129">
        <f t="shared" si="10"/>
        <v>0.27397849462365592</v>
      </c>
      <c r="F304" s="111"/>
      <c r="G304" s="111"/>
      <c r="H304" s="111"/>
      <c r="I304" s="111"/>
    </row>
    <row r="305" spans="4:9" x14ac:dyDescent="0.25">
      <c r="D305" s="128">
        <v>44700</v>
      </c>
      <c r="E305" s="129">
        <f t="shared" si="10"/>
        <v>0.27397849462365592</v>
      </c>
      <c r="F305" s="111"/>
      <c r="G305" s="111"/>
      <c r="H305" s="111"/>
      <c r="I305" s="111"/>
    </row>
    <row r="306" spans="4:9" x14ac:dyDescent="0.25">
      <c r="D306" s="128">
        <v>44701</v>
      </c>
      <c r="E306" s="129">
        <f t="shared" si="10"/>
        <v>0.27397849462365592</v>
      </c>
      <c r="F306" s="111"/>
      <c r="G306" s="111"/>
      <c r="H306" s="111"/>
      <c r="I306" s="111"/>
    </row>
    <row r="307" spans="4:9" x14ac:dyDescent="0.25">
      <c r="D307" s="128">
        <v>44702</v>
      </c>
      <c r="E307" s="129">
        <f t="shared" si="10"/>
        <v>0.27397849462365592</v>
      </c>
      <c r="F307" s="111"/>
      <c r="G307" s="111"/>
      <c r="H307" s="111"/>
      <c r="I307" s="111"/>
    </row>
    <row r="308" spans="4:9" x14ac:dyDescent="0.25">
      <c r="D308" s="128">
        <v>44703</v>
      </c>
      <c r="E308" s="129">
        <f t="shared" si="10"/>
        <v>0.27397849462365592</v>
      </c>
      <c r="F308" s="111"/>
      <c r="G308" s="111"/>
      <c r="H308" s="111"/>
      <c r="I308" s="111"/>
    </row>
    <row r="309" spans="4:9" x14ac:dyDescent="0.25">
      <c r="D309" s="128">
        <v>44704</v>
      </c>
      <c r="E309" s="129">
        <f t="shared" si="10"/>
        <v>0.27397849462365592</v>
      </c>
      <c r="F309" s="111"/>
      <c r="G309" s="111"/>
      <c r="H309" s="111"/>
      <c r="I309" s="111"/>
    </row>
    <row r="310" spans="4:9" x14ac:dyDescent="0.25">
      <c r="D310" s="128">
        <v>44705</v>
      </c>
      <c r="E310" s="129">
        <f t="shared" si="10"/>
        <v>0.27397849462365592</v>
      </c>
      <c r="F310" s="111"/>
      <c r="G310" s="111"/>
      <c r="H310" s="111"/>
      <c r="I310" s="111"/>
    </row>
    <row r="311" spans="4:9" x14ac:dyDescent="0.25">
      <c r="D311" s="128">
        <v>44706</v>
      </c>
      <c r="E311" s="129">
        <f t="shared" si="10"/>
        <v>0.27397849462365592</v>
      </c>
      <c r="F311" s="111"/>
      <c r="G311" s="111"/>
      <c r="H311" s="111"/>
      <c r="I311" s="111"/>
    </row>
    <row r="312" spans="4:9" x14ac:dyDescent="0.25">
      <c r="D312" s="128">
        <v>44707</v>
      </c>
      <c r="E312" s="129">
        <f t="shared" si="10"/>
        <v>0.27397849462365592</v>
      </c>
      <c r="F312" s="111"/>
      <c r="G312" s="111"/>
      <c r="H312" s="111"/>
      <c r="I312" s="111"/>
    </row>
    <row r="313" spans="4:9" x14ac:dyDescent="0.25">
      <c r="D313" s="128">
        <v>44708</v>
      </c>
      <c r="E313" s="129">
        <f t="shared" si="10"/>
        <v>0.27397849462365592</v>
      </c>
      <c r="F313" s="111"/>
      <c r="G313" s="111"/>
      <c r="H313" s="111"/>
      <c r="I313" s="111"/>
    </row>
    <row r="314" spans="4:9" x14ac:dyDescent="0.25">
      <c r="D314" s="128">
        <v>44709</v>
      </c>
      <c r="E314" s="129">
        <f t="shared" si="10"/>
        <v>0.27397849462365592</v>
      </c>
      <c r="F314" s="111"/>
      <c r="G314" s="111"/>
      <c r="H314" s="111"/>
      <c r="I314" s="111"/>
    </row>
    <row r="315" spans="4:9" x14ac:dyDescent="0.25">
      <c r="D315" s="128">
        <v>44710</v>
      </c>
      <c r="E315" s="129">
        <f t="shared" si="10"/>
        <v>0.27397849462365592</v>
      </c>
      <c r="F315" s="111"/>
      <c r="G315" s="111"/>
      <c r="H315" s="111"/>
      <c r="I315" s="111"/>
    </row>
    <row r="316" spans="4:9" x14ac:dyDescent="0.25">
      <c r="D316" s="128">
        <v>44711</v>
      </c>
      <c r="E316" s="129">
        <f t="shared" si="10"/>
        <v>0.27397849462365592</v>
      </c>
      <c r="F316" s="111"/>
      <c r="G316" s="111"/>
      <c r="H316" s="111"/>
      <c r="I316" s="111"/>
    </row>
    <row r="317" spans="4:9" x14ac:dyDescent="0.25">
      <c r="D317" s="128">
        <v>44712</v>
      </c>
      <c r="E317" s="129">
        <f t="shared" si="10"/>
        <v>0.27397849462365592</v>
      </c>
      <c r="F317" s="111"/>
      <c r="G317" s="111"/>
      <c r="H317" s="111"/>
      <c r="I317" s="111"/>
    </row>
    <row r="318" spans="4:9" x14ac:dyDescent="0.25">
      <c r="D318" s="128">
        <v>44713</v>
      </c>
      <c r="E318" s="129">
        <f t="shared" ref="E318:E347" si="11">IF($J$96*$J$97&gt;0,$J$96/$J$97/30,0)</f>
        <v>0.28311111111111115</v>
      </c>
      <c r="F318" s="111"/>
      <c r="G318" s="111"/>
      <c r="H318" s="111"/>
      <c r="I318" s="111"/>
    </row>
    <row r="319" spans="4:9" x14ac:dyDescent="0.25">
      <c r="D319" s="128">
        <v>44714</v>
      </c>
      <c r="E319" s="129">
        <f t="shared" si="11"/>
        <v>0.28311111111111115</v>
      </c>
      <c r="F319" s="111"/>
      <c r="G319" s="111"/>
      <c r="H319" s="111"/>
      <c r="I319" s="111"/>
    </row>
    <row r="320" spans="4:9" x14ac:dyDescent="0.25">
      <c r="D320" s="128">
        <v>44715</v>
      </c>
      <c r="E320" s="129">
        <f t="shared" si="11"/>
        <v>0.28311111111111115</v>
      </c>
      <c r="F320" s="111"/>
      <c r="G320" s="111"/>
      <c r="H320" s="111"/>
      <c r="I320" s="111"/>
    </row>
    <row r="321" spans="4:9" x14ac:dyDescent="0.25">
      <c r="D321" s="128">
        <v>44716</v>
      </c>
      <c r="E321" s="129">
        <f t="shared" si="11"/>
        <v>0.28311111111111115</v>
      </c>
      <c r="F321" s="111"/>
      <c r="G321" s="111"/>
      <c r="H321" s="111"/>
      <c r="I321" s="111"/>
    </row>
    <row r="322" spans="4:9" x14ac:dyDescent="0.25">
      <c r="D322" s="128">
        <v>44717</v>
      </c>
      <c r="E322" s="129">
        <f t="shared" si="11"/>
        <v>0.28311111111111115</v>
      </c>
      <c r="F322" s="111"/>
      <c r="G322" s="111"/>
      <c r="H322" s="111"/>
      <c r="I322" s="111"/>
    </row>
    <row r="323" spans="4:9" x14ac:dyDescent="0.25">
      <c r="D323" s="128">
        <v>44718</v>
      </c>
      <c r="E323" s="129">
        <f t="shared" si="11"/>
        <v>0.28311111111111115</v>
      </c>
      <c r="F323" s="111"/>
      <c r="G323" s="111"/>
      <c r="H323" s="111"/>
      <c r="I323" s="111"/>
    </row>
    <row r="324" spans="4:9" x14ac:dyDescent="0.25">
      <c r="D324" s="128">
        <v>44719</v>
      </c>
      <c r="E324" s="129">
        <f t="shared" si="11"/>
        <v>0.28311111111111115</v>
      </c>
      <c r="F324" s="111"/>
      <c r="G324" s="111"/>
      <c r="H324" s="111"/>
      <c r="I324" s="111"/>
    </row>
    <row r="325" spans="4:9" x14ac:dyDescent="0.25">
      <c r="D325" s="128">
        <v>44720</v>
      </c>
      <c r="E325" s="129">
        <f t="shared" si="11"/>
        <v>0.28311111111111115</v>
      </c>
      <c r="F325" s="111"/>
      <c r="G325" s="111"/>
      <c r="H325" s="111"/>
      <c r="I325" s="111"/>
    </row>
    <row r="326" spans="4:9" x14ac:dyDescent="0.25">
      <c r="D326" s="128">
        <v>44721</v>
      </c>
      <c r="E326" s="129">
        <f t="shared" si="11"/>
        <v>0.28311111111111115</v>
      </c>
      <c r="F326" s="111"/>
      <c r="G326" s="111"/>
      <c r="H326" s="111"/>
      <c r="I326" s="111"/>
    </row>
    <row r="327" spans="4:9" x14ac:dyDescent="0.25">
      <c r="D327" s="128">
        <v>44722</v>
      </c>
      <c r="E327" s="129">
        <f t="shared" si="11"/>
        <v>0.28311111111111115</v>
      </c>
      <c r="F327" s="111"/>
      <c r="G327" s="111"/>
      <c r="H327" s="111"/>
      <c r="I327" s="111"/>
    </row>
    <row r="328" spans="4:9" x14ac:dyDescent="0.25">
      <c r="D328" s="128">
        <v>44723</v>
      </c>
      <c r="E328" s="129">
        <f t="shared" si="11"/>
        <v>0.28311111111111115</v>
      </c>
      <c r="F328" s="111"/>
      <c r="G328" s="111"/>
      <c r="H328" s="111"/>
      <c r="I328" s="111"/>
    </row>
    <row r="329" spans="4:9" x14ac:dyDescent="0.25">
      <c r="D329" s="128">
        <v>44724</v>
      </c>
      <c r="E329" s="129">
        <f t="shared" si="11"/>
        <v>0.28311111111111115</v>
      </c>
      <c r="F329" s="111"/>
      <c r="G329" s="111"/>
      <c r="H329" s="111"/>
      <c r="I329" s="111"/>
    </row>
    <row r="330" spans="4:9" x14ac:dyDescent="0.25">
      <c r="D330" s="128">
        <v>44725</v>
      </c>
      <c r="E330" s="129">
        <f t="shared" si="11"/>
        <v>0.28311111111111115</v>
      </c>
      <c r="F330" s="111"/>
      <c r="G330" s="111"/>
      <c r="H330" s="111"/>
      <c r="I330" s="111"/>
    </row>
    <row r="331" spans="4:9" x14ac:dyDescent="0.25">
      <c r="D331" s="128">
        <v>44726</v>
      </c>
      <c r="E331" s="129">
        <f t="shared" si="11"/>
        <v>0.28311111111111115</v>
      </c>
      <c r="F331" s="111"/>
      <c r="G331" s="111"/>
      <c r="H331" s="111"/>
      <c r="I331" s="111"/>
    </row>
    <row r="332" spans="4:9" x14ac:dyDescent="0.25">
      <c r="D332" s="128">
        <v>44727</v>
      </c>
      <c r="E332" s="129">
        <f t="shared" si="11"/>
        <v>0.28311111111111115</v>
      </c>
      <c r="F332" s="111"/>
      <c r="G332" s="111"/>
      <c r="H332" s="111"/>
      <c r="I332" s="111"/>
    </row>
    <row r="333" spans="4:9" x14ac:dyDescent="0.25">
      <c r="D333" s="128">
        <v>44728</v>
      </c>
      <c r="E333" s="129">
        <f t="shared" si="11"/>
        <v>0.28311111111111115</v>
      </c>
      <c r="F333" s="111"/>
      <c r="G333" s="111"/>
      <c r="H333" s="111"/>
      <c r="I333" s="111"/>
    </row>
    <row r="334" spans="4:9" x14ac:dyDescent="0.25">
      <c r="D334" s="128">
        <v>44729</v>
      </c>
      <c r="E334" s="129">
        <f t="shared" si="11"/>
        <v>0.28311111111111115</v>
      </c>
      <c r="F334" s="111"/>
      <c r="G334" s="111"/>
      <c r="H334" s="111"/>
      <c r="I334" s="111"/>
    </row>
    <row r="335" spans="4:9" x14ac:dyDescent="0.25">
      <c r="D335" s="128">
        <v>44730</v>
      </c>
      <c r="E335" s="129">
        <f t="shared" si="11"/>
        <v>0.28311111111111115</v>
      </c>
      <c r="F335" s="111"/>
      <c r="G335" s="111"/>
      <c r="H335" s="111"/>
      <c r="I335" s="111"/>
    </row>
    <row r="336" spans="4:9" x14ac:dyDescent="0.25">
      <c r="D336" s="128">
        <v>44731</v>
      </c>
      <c r="E336" s="129">
        <f t="shared" si="11"/>
        <v>0.28311111111111115</v>
      </c>
      <c r="F336" s="111"/>
      <c r="G336" s="111"/>
      <c r="H336" s="111"/>
      <c r="I336" s="111"/>
    </row>
    <row r="337" spans="4:9" x14ac:dyDescent="0.25">
      <c r="D337" s="128">
        <v>44732</v>
      </c>
      <c r="E337" s="129">
        <f t="shared" si="11"/>
        <v>0.28311111111111115</v>
      </c>
      <c r="F337" s="111"/>
      <c r="G337" s="111"/>
      <c r="H337" s="111"/>
      <c r="I337" s="111"/>
    </row>
    <row r="338" spans="4:9" x14ac:dyDescent="0.25">
      <c r="D338" s="128">
        <v>44733</v>
      </c>
      <c r="E338" s="129">
        <f t="shared" si="11"/>
        <v>0.28311111111111115</v>
      </c>
      <c r="F338" s="111"/>
      <c r="G338" s="111"/>
      <c r="H338" s="111"/>
      <c r="I338" s="111"/>
    </row>
    <row r="339" spans="4:9" x14ac:dyDescent="0.25">
      <c r="D339" s="128">
        <v>44734</v>
      </c>
      <c r="E339" s="129">
        <f t="shared" si="11"/>
        <v>0.28311111111111115</v>
      </c>
      <c r="F339" s="111"/>
      <c r="G339" s="111"/>
      <c r="H339" s="111"/>
      <c r="I339" s="111"/>
    </row>
    <row r="340" spans="4:9" x14ac:dyDescent="0.25">
      <c r="D340" s="128">
        <v>44735</v>
      </c>
      <c r="E340" s="129">
        <f t="shared" si="11"/>
        <v>0.28311111111111115</v>
      </c>
      <c r="F340" s="111"/>
      <c r="G340" s="111"/>
      <c r="H340" s="111"/>
      <c r="I340" s="111"/>
    </row>
    <row r="341" spans="4:9" x14ac:dyDescent="0.25">
      <c r="D341" s="128">
        <v>44736</v>
      </c>
      <c r="E341" s="129">
        <f t="shared" si="11"/>
        <v>0.28311111111111115</v>
      </c>
      <c r="F341" s="111"/>
      <c r="G341" s="111"/>
      <c r="H341" s="111"/>
      <c r="I341" s="111"/>
    </row>
    <row r="342" spans="4:9" x14ac:dyDescent="0.25">
      <c r="D342" s="128">
        <v>44737</v>
      </c>
      <c r="E342" s="129">
        <f t="shared" si="11"/>
        <v>0.28311111111111115</v>
      </c>
      <c r="F342" s="111"/>
      <c r="G342" s="111"/>
      <c r="H342" s="111"/>
      <c r="I342" s="111"/>
    </row>
    <row r="343" spans="4:9" x14ac:dyDescent="0.25">
      <c r="D343" s="128">
        <v>44738</v>
      </c>
      <c r="E343" s="129">
        <f t="shared" si="11"/>
        <v>0.28311111111111115</v>
      </c>
      <c r="F343" s="111"/>
      <c r="G343" s="111"/>
      <c r="H343" s="111"/>
      <c r="I343" s="111"/>
    </row>
    <row r="344" spans="4:9" x14ac:dyDescent="0.25">
      <c r="D344" s="128">
        <v>44739</v>
      </c>
      <c r="E344" s="129">
        <f t="shared" si="11"/>
        <v>0.28311111111111115</v>
      </c>
      <c r="F344" s="111"/>
      <c r="G344" s="111"/>
      <c r="H344" s="111"/>
      <c r="I344" s="111"/>
    </row>
    <row r="345" spans="4:9" x14ac:dyDescent="0.25">
      <c r="D345" s="128">
        <v>44740</v>
      </c>
      <c r="E345" s="129">
        <f t="shared" si="11"/>
        <v>0.28311111111111115</v>
      </c>
      <c r="F345" s="111"/>
      <c r="G345" s="111"/>
      <c r="H345" s="111"/>
      <c r="I345" s="111"/>
    </row>
    <row r="346" spans="4:9" x14ac:dyDescent="0.25">
      <c r="D346" s="128">
        <v>44741</v>
      </c>
      <c r="E346" s="129">
        <f t="shared" si="11"/>
        <v>0.28311111111111115</v>
      </c>
      <c r="F346" s="111"/>
      <c r="G346" s="111"/>
      <c r="H346" s="111"/>
      <c r="I346" s="111"/>
    </row>
    <row r="347" spans="4:9" x14ac:dyDescent="0.25">
      <c r="D347" s="128">
        <v>44742</v>
      </c>
      <c r="E347" s="129">
        <f t="shared" si="11"/>
        <v>0.28311111111111115</v>
      </c>
      <c r="F347" s="111"/>
      <c r="G347" s="111"/>
      <c r="H347" s="111"/>
      <c r="I347" s="111"/>
    </row>
    <row r="348" spans="4:9" x14ac:dyDescent="0.25">
      <c r="D348" s="128">
        <v>44743</v>
      </c>
      <c r="E348" s="129">
        <f t="shared" ref="E348:E378" si="12">IF($K$96*$K$97&gt;0,$K$96/$K$97/31,0)</f>
        <v>0.51370967741935492</v>
      </c>
      <c r="F348" s="111"/>
      <c r="G348" s="111"/>
      <c r="H348" s="111"/>
      <c r="I348" s="111"/>
    </row>
    <row r="349" spans="4:9" x14ac:dyDescent="0.25">
      <c r="D349" s="128">
        <v>44744</v>
      </c>
      <c r="E349" s="129">
        <f t="shared" si="12"/>
        <v>0.51370967741935492</v>
      </c>
      <c r="F349" s="111"/>
      <c r="G349" s="111"/>
      <c r="H349" s="111"/>
      <c r="I349" s="111"/>
    </row>
    <row r="350" spans="4:9" x14ac:dyDescent="0.25">
      <c r="D350" s="128">
        <v>44745</v>
      </c>
      <c r="E350" s="129">
        <f t="shared" si="12"/>
        <v>0.51370967741935492</v>
      </c>
      <c r="F350" s="111"/>
      <c r="G350" s="111"/>
      <c r="H350" s="111"/>
      <c r="I350" s="111"/>
    </row>
    <row r="351" spans="4:9" x14ac:dyDescent="0.25">
      <c r="D351" s="128">
        <v>44746</v>
      </c>
      <c r="E351" s="129">
        <f t="shared" si="12"/>
        <v>0.51370967741935492</v>
      </c>
      <c r="F351" s="111"/>
      <c r="G351" s="111"/>
      <c r="H351" s="111"/>
      <c r="I351" s="111"/>
    </row>
    <row r="352" spans="4:9" x14ac:dyDescent="0.25">
      <c r="D352" s="128">
        <v>44747</v>
      </c>
      <c r="E352" s="129">
        <f t="shared" si="12"/>
        <v>0.51370967741935492</v>
      </c>
      <c r="F352" s="111"/>
      <c r="G352" s="111"/>
      <c r="H352" s="111"/>
      <c r="I352" s="111"/>
    </row>
    <row r="353" spans="4:9" x14ac:dyDescent="0.25">
      <c r="D353" s="128">
        <v>44748</v>
      </c>
      <c r="E353" s="129">
        <f t="shared" si="12"/>
        <v>0.51370967741935492</v>
      </c>
      <c r="F353" s="111"/>
      <c r="G353" s="111"/>
      <c r="H353" s="111"/>
      <c r="I353" s="111"/>
    </row>
    <row r="354" spans="4:9" x14ac:dyDescent="0.25">
      <c r="D354" s="128">
        <v>44749</v>
      </c>
      <c r="E354" s="129">
        <f t="shared" si="12"/>
        <v>0.51370967741935492</v>
      </c>
      <c r="F354" s="111"/>
      <c r="G354" s="111"/>
      <c r="H354" s="111"/>
      <c r="I354" s="111"/>
    </row>
    <row r="355" spans="4:9" x14ac:dyDescent="0.25">
      <c r="D355" s="128">
        <v>44750</v>
      </c>
      <c r="E355" s="129">
        <f t="shared" si="12"/>
        <v>0.51370967741935492</v>
      </c>
      <c r="F355" s="111"/>
      <c r="G355" s="111"/>
      <c r="H355" s="111"/>
      <c r="I355" s="111"/>
    </row>
    <row r="356" spans="4:9" x14ac:dyDescent="0.25">
      <c r="D356" s="128">
        <v>44751</v>
      </c>
      <c r="E356" s="129">
        <f t="shared" si="12"/>
        <v>0.51370967741935492</v>
      </c>
      <c r="F356" s="111"/>
      <c r="G356" s="111"/>
      <c r="H356" s="111"/>
      <c r="I356" s="111"/>
    </row>
    <row r="357" spans="4:9" x14ac:dyDescent="0.25">
      <c r="D357" s="128">
        <v>44752</v>
      </c>
      <c r="E357" s="129">
        <f t="shared" si="12"/>
        <v>0.51370967741935492</v>
      </c>
      <c r="F357" s="111"/>
      <c r="G357" s="111"/>
      <c r="H357" s="111"/>
      <c r="I357" s="111"/>
    </row>
    <row r="358" spans="4:9" x14ac:dyDescent="0.25">
      <c r="D358" s="128">
        <v>44753</v>
      </c>
      <c r="E358" s="129">
        <f t="shared" si="12"/>
        <v>0.51370967741935492</v>
      </c>
      <c r="F358" s="111"/>
      <c r="G358" s="111"/>
      <c r="H358" s="111"/>
      <c r="I358" s="111"/>
    </row>
    <row r="359" spans="4:9" x14ac:dyDescent="0.25">
      <c r="D359" s="128">
        <v>44754</v>
      </c>
      <c r="E359" s="129">
        <f t="shared" si="12"/>
        <v>0.51370967741935492</v>
      </c>
      <c r="F359" s="111"/>
      <c r="G359" s="111"/>
      <c r="H359" s="111"/>
      <c r="I359" s="111"/>
    </row>
    <row r="360" spans="4:9" x14ac:dyDescent="0.25">
      <c r="D360" s="128">
        <v>44755</v>
      </c>
      <c r="E360" s="129">
        <f t="shared" si="12"/>
        <v>0.51370967741935492</v>
      </c>
      <c r="F360" s="111"/>
      <c r="G360" s="111"/>
      <c r="H360" s="111"/>
      <c r="I360" s="111"/>
    </row>
    <row r="361" spans="4:9" x14ac:dyDescent="0.25">
      <c r="D361" s="128">
        <v>44756</v>
      </c>
      <c r="E361" s="129">
        <f t="shared" si="12"/>
        <v>0.51370967741935492</v>
      </c>
      <c r="F361" s="111"/>
      <c r="G361" s="111"/>
      <c r="H361" s="111"/>
      <c r="I361" s="111"/>
    </row>
    <row r="362" spans="4:9" x14ac:dyDescent="0.25">
      <c r="D362" s="128">
        <v>44757</v>
      </c>
      <c r="E362" s="129">
        <f t="shared" si="12"/>
        <v>0.51370967741935492</v>
      </c>
      <c r="F362" s="111"/>
      <c r="G362" s="111"/>
      <c r="H362" s="111"/>
      <c r="I362" s="111"/>
    </row>
    <row r="363" spans="4:9" x14ac:dyDescent="0.25">
      <c r="D363" s="128">
        <v>44758</v>
      </c>
      <c r="E363" s="129">
        <f t="shared" si="12"/>
        <v>0.51370967741935492</v>
      </c>
      <c r="F363" s="111"/>
      <c r="G363" s="111"/>
      <c r="H363" s="111"/>
      <c r="I363" s="111"/>
    </row>
    <row r="364" spans="4:9" x14ac:dyDescent="0.25">
      <c r="D364" s="128">
        <v>44759</v>
      </c>
      <c r="E364" s="129">
        <f t="shared" si="12"/>
        <v>0.51370967741935492</v>
      </c>
      <c r="F364" s="111"/>
      <c r="G364" s="111"/>
      <c r="H364" s="111"/>
      <c r="I364" s="111"/>
    </row>
    <row r="365" spans="4:9" x14ac:dyDescent="0.25">
      <c r="D365" s="128">
        <v>44760</v>
      </c>
      <c r="E365" s="129">
        <f t="shared" si="12"/>
        <v>0.51370967741935492</v>
      </c>
      <c r="F365" s="111"/>
      <c r="G365" s="111"/>
      <c r="H365" s="111"/>
      <c r="I365" s="111"/>
    </row>
    <row r="366" spans="4:9" x14ac:dyDescent="0.25">
      <c r="D366" s="128">
        <v>44761</v>
      </c>
      <c r="E366" s="129">
        <f t="shared" si="12"/>
        <v>0.51370967741935492</v>
      </c>
      <c r="F366" s="111"/>
      <c r="G366" s="111"/>
      <c r="H366" s="111"/>
      <c r="I366" s="111"/>
    </row>
    <row r="367" spans="4:9" x14ac:dyDescent="0.25">
      <c r="D367" s="128">
        <v>44762</v>
      </c>
      <c r="E367" s="129">
        <f t="shared" si="12"/>
        <v>0.51370967741935492</v>
      </c>
      <c r="F367" s="111"/>
      <c r="G367" s="111"/>
      <c r="H367" s="111"/>
      <c r="I367" s="111"/>
    </row>
    <row r="368" spans="4:9" x14ac:dyDescent="0.25">
      <c r="D368" s="128">
        <v>44763</v>
      </c>
      <c r="E368" s="129">
        <f t="shared" si="12"/>
        <v>0.51370967741935492</v>
      </c>
      <c r="F368" s="111"/>
      <c r="G368" s="111"/>
      <c r="H368" s="111"/>
      <c r="I368" s="111"/>
    </row>
    <row r="369" spans="4:9" x14ac:dyDescent="0.25">
      <c r="D369" s="128">
        <v>44764</v>
      </c>
      <c r="E369" s="129">
        <f t="shared" si="12"/>
        <v>0.51370967741935492</v>
      </c>
      <c r="F369" s="111"/>
      <c r="G369" s="111"/>
      <c r="H369" s="111"/>
      <c r="I369" s="111"/>
    </row>
    <row r="370" spans="4:9" x14ac:dyDescent="0.25">
      <c r="D370" s="128">
        <v>44765</v>
      </c>
      <c r="E370" s="129">
        <f t="shared" si="12"/>
        <v>0.51370967741935492</v>
      </c>
      <c r="F370" s="111"/>
      <c r="G370" s="111"/>
      <c r="H370" s="111"/>
      <c r="I370" s="111"/>
    </row>
    <row r="371" spans="4:9" x14ac:dyDescent="0.25">
      <c r="D371" s="128">
        <v>44766</v>
      </c>
      <c r="E371" s="129">
        <f t="shared" si="12"/>
        <v>0.51370967741935492</v>
      </c>
      <c r="F371" s="111"/>
      <c r="G371" s="111"/>
      <c r="H371" s="111"/>
      <c r="I371" s="111"/>
    </row>
    <row r="372" spans="4:9" x14ac:dyDescent="0.25">
      <c r="D372" s="128">
        <v>44767</v>
      </c>
      <c r="E372" s="129">
        <f t="shared" si="12"/>
        <v>0.51370967741935492</v>
      </c>
      <c r="F372" s="111"/>
      <c r="G372" s="111"/>
      <c r="H372" s="111"/>
      <c r="I372" s="111"/>
    </row>
    <row r="373" spans="4:9" x14ac:dyDescent="0.25">
      <c r="D373" s="128">
        <v>44768</v>
      </c>
      <c r="E373" s="129">
        <f t="shared" si="12"/>
        <v>0.51370967741935492</v>
      </c>
      <c r="F373" s="111"/>
      <c r="G373" s="111"/>
      <c r="H373" s="111"/>
      <c r="I373" s="111"/>
    </row>
    <row r="374" spans="4:9" x14ac:dyDescent="0.25">
      <c r="D374" s="128">
        <v>44769</v>
      </c>
      <c r="E374" s="129">
        <f t="shared" si="12"/>
        <v>0.51370967741935492</v>
      </c>
      <c r="F374" s="111"/>
      <c r="G374" s="111"/>
      <c r="H374" s="111"/>
      <c r="I374" s="111"/>
    </row>
    <row r="375" spans="4:9" x14ac:dyDescent="0.25">
      <c r="D375" s="128">
        <v>44770</v>
      </c>
      <c r="E375" s="129">
        <f t="shared" si="12"/>
        <v>0.51370967741935492</v>
      </c>
      <c r="F375" s="111"/>
      <c r="G375" s="111"/>
      <c r="H375" s="111"/>
      <c r="I375" s="111"/>
    </row>
    <row r="376" spans="4:9" x14ac:dyDescent="0.25">
      <c r="D376" s="128">
        <v>44771</v>
      </c>
      <c r="E376" s="129">
        <f t="shared" si="12"/>
        <v>0.51370967741935492</v>
      </c>
      <c r="F376" s="111"/>
      <c r="G376" s="111"/>
      <c r="H376" s="111"/>
      <c r="I376" s="111"/>
    </row>
    <row r="377" spans="4:9" x14ac:dyDescent="0.25">
      <c r="D377" s="128">
        <v>44772</v>
      </c>
      <c r="E377" s="129">
        <f t="shared" si="12"/>
        <v>0.51370967741935492</v>
      </c>
      <c r="F377" s="111"/>
      <c r="G377" s="111"/>
      <c r="H377" s="111"/>
      <c r="I377" s="111"/>
    </row>
    <row r="378" spans="4:9" x14ac:dyDescent="0.25">
      <c r="D378" s="128">
        <v>44773</v>
      </c>
      <c r="E378" s="129">
        <f t="shared" si="12"/>
        <v>0.51370967741935492</v>
      </c>
      <c r="F378" s="111"/>
      <c r="G378" s="111"/>
      <c r="H378" s="111"/>
      <c r="I378" s="111"/>
    </row>
    <row r="379" spans="4:9" x14ac:dyDescent="0.25">
      <c r="D379" s="128">
        <v>44774</v>
      </c>
      <c r="E379" s="129">
        <f t="shared" ref="E379:E409" si="13">IF($L$96*$L$97&gt;0,$L$96/$L$97/31,0)</f>
        <v>4.1096774193548393</v>
      </c>
      <c r="F379" s="111"/>
      <c r="G379" s="111"/>
      <c r="H379" s="111"/>
      <c r="I379" s="111"/>
    </row>
    <row r="380" spans="4:9" x14ac:dyDescent="0.25">
      <c r="D380" s="128">
        <v>44775</v>
      </c>
      <c r="E380" s="129">
        <f t="shared" si="13"/>
        <v>4.1096774193548393</v>
      </c>
      <c r="F380" s="111"/>
      <c r="G380" s="111"/>
      <c r="H380" s="111"/>
      <c r="I380" s="111"/>
    </row>
    <row r="381" spans="4:9" x14ac:dyDescent="0.25">
      <c r="D381" s="128">
        <v>44776</v>
      </c>
      <c r="E381" s="129">
        <f t="shared" si="13"/>
        <v>4.1096774193548393</v>
      </c>
      <c r="F381" s="111"/>
      <c r="G381" s="111"/>
      <c r="H381" s="111"/>
      <c r="I381" s="111"/>
    </row>
    <row r="382" spans="4:9" x14ac:dyDescent="0.25">
      <c r="D382" s="128">
        <v>44777</v>
      </c>
      <c r="E382" s="129">
        <f t="shared" si="13"/>
        <v>4.1096774193548393</v>
      </c>
      <c r="F382" s="111"/>
      <c r="G382" s="111"/>
      <c r="H382" s="111"/>
      <c r="I382" s="111"/>
    </row>
    <row r="383" spans="4:9" x14ac:dyDescent="0.25">
      <c r="D383" s="128">
        <v>44778</v>
      </c>
      <c r="E383" s="129">
        <f t="shared" si="13"/>
        <v>4.1096774193548393</v>
      </c>
      <c r="F383" s="111"/>
      <c r="G383" s="111"/>
      <c r="H383" s="111"/>
      <c r="I383" s="111"/>
    </row>
    <row r="384" spans="4:9" x14ac:dyDescent="0.25">
      <c r="D384" s="128">
        <v>44779</v>
      </c>
      <c r="E384" s="129">
        <f t="shared" si="13"/>
        <v>4.1096774193548393</v>
      </c>
      <c r="F384" s="111"/>
      <c r="G384" s="111"/>
      <c r="H384" s="111"/>
      <c r="I384" s="111"/>
    </row>
    <row r="385" spans="4:9" x14ac:dyDescent="0.25">
      <c r="D385" s="128">
        <v>44780</v>
      </c>
      <c r="E385" s="129">
        <f t="shared" si="13"/>
        <v>4.1096774193548393</v>
      </c>
      <c r="F385" s="111"/>
      <c r="G385" s="111"/>
      <c r="H385" s="111"/>
      <c r="I385" s="111"/>
    </row>
    <row r="386" spans="4:9" x14ac:dyDescent="0.25">
      <c r="D386" s="128">
        <v>44781</v>
      </c>
      <c r="E386" s="129">
        <f t="shared" si="13"/>
        <v>4.1096774193548393</v>
      </c>
      <c r="F386" s="111"/>
      <c r="G386" s="111"/>
      <c r="H386" s="111"/>
      <c r="I386" s="111"/>
    </row>
    <row r="387" spans="4:9" x14ac:dyDescent="0.25">
      <c r="D387" s="128">
        <v>44782</v>
      </c>
      <c r="E387" s="129">
        <f t="shared" si="13"/>
        <v>4.1096774193548393</v>
      </c>
      <c r="F387" s="111"/>
      <c r="G387" s="111"/>
      <c r="H387" s="111"/>
      <c r="I387" s="111"/>
    </row>
    <row r="388" spans="4:9" x14ac:dyDescent="0.25">
      <c r="D388" s="128">
        <v>44783</v>
      </c>
      <c r="E388" s="129">
        <f t="shared" si="13"/>
        <v>4.1096774193548393</v>
      </c>
      <c r="F388" s="111"/>
      <c r="G388" s="111"/>
      <c r="H388" s="111"/>
      <c r="I388" s="111"/>
    </row>
    <row r="389" spans="4:9" x14ac:dyDescent="0.25">
      <c r="D389" s="128">
        <v>44784</v>
      </c>
      <c r="E389" s="129">
        <f t="shared" si="13"/>
        <v>4.1096774193548393</v>
      </c>
      <c r="F389" s="111"/>
      <c r="G389" s="111"/>
      <c r="H389" s="111"/>
      <c r="I389" s="111"/>
    </row>
    <row r="390" spans="4:9" x14ac:dyDescent="0.25">
      <c r="D390" s="128">
        <v>44785</v>
      </c>
      <c r="E390" s="129">
        <f t="shared" si="13"/>
        <v>4.1096774193548393</v>
      </c>
      <c r="F390" s="111"/>
      <c r="G390" s="111"/>
      <c r="H390" s="111"/>
      <c r="I390" s="111"/>
    </row>
    <row r="391" spans="4:9" x14ac:dyDescent="0.25">
      <c r="D391" s="128">
        <v>44786</v>
      </c>
      <c r="E391" s="129">
        <f t="shared" si="13"/>
        <v>4.1096774193548393</v>
      </c>
      <c r="F391" s="111"/>
      <c r="G391" s="111"/>
      <c r="H391" s="111"/>
      <c r="I391" s="111"/>
    </row>
    <row r="392" spans="4:9" x14ac:dyDescent="0.25">
      <c r="D392" s="128">
        <v>44787</v>
      </c>
      <c r="E392" s="129">
        <f t="shared" si="13"/>
        <v>4.1096774193548393</v>
      </c>
      <c r="F392" s="111"/>
      <c r="G392" s="111"/>
      <c r="H392" s="111"/>
      <c r="I392" s="111"/>
    </row>
    <row r="393" spans="4:9" x14ac:dyDescent="0.25">
      <c r="D393" s="128">
        <v>44788</v>
      </c>
      <c r="E393" s="129">
        <f t="shared" si="13"/>
        <v>4.1096774193548393</v>
      </c>
      <c r="F393" s="111"/>
      <c r="G393" s="111"/>
      <c r="H393" s="111"/>
      <c r="I393" s="111"/>
    </row>
    <row r="394" spans="4:9" x14ac:dyDescent="0.25">
      <c r="D394" s="128">
        <v>44789</v>
      </c>
      <c r="E394" s="129">
        <f t="shared" si="13"/>
        <v>4.1096774193548393</v>
      </c>
      <c r="F394" s="111"/>
      <c r="G394" s="111"/>
      <c r="H394" s="111"/>
      <c r="I394" s="111"/>
    </row>
    <row r="395" spans="4:9" x14ac:dyDescent="0.25">
      <c r="D395" s="128">
        <v>44790</v>
      </c>
      <c r="E395" s="129">
        <f t="shared" si="13"/>
        <v>4.1096774193548393</v>
      </c>
      <c r="F395" s="111"/>
      <c r="G395" s="111"/>
      <c r="H395" s="111"/>
      <c r="I395" s="111"/>
    </row>
    <row r="396" spans="4:9" x14ac:dyDescent="0.25">
      <c r="D396" s="128">
        <v>44791</v>
      </c>
      <c r="E396" s="129">
        <f t="shared" si="13"/>
        <v>4.1096774193548393</v>
      </c>
      <c r="F396" s="111"/>
      <c r="G396" s="111"/>
      <c r="H396" s="111"/>
      <c r="I396" s="111"/>
    </row>
    <row r="397" spans="4:9" x14ac:dyDescent="0.25">
      <c r="D397" s="128">
        <v>44792</v>
      </c>
      <c r="E397" s="129">
        <f t="shared" si="13"/>
        <v>4.1096774193548393</v>
      </c>
      <c r="F397" s="111"/>
      <c r="G397" s="111"/>
      <c r="H397" s="111"/>
      <c r="I397" s="111"/>
    </row>
    <row r="398" spans="4:9" x14ac:dyDescent="0.25">
      <c r="D398" s="128">
        <v>44793</v>
      </c>
      <c r="E398" s="129">
        <f t="shared" si="13"/>
        <v>4.1096774193548393</v>
      </c>
      <c r="F398" s="111"/>
      <c r="G398" s="111"/>
      <c r="H398" s="111"/>
      <c r="I398" s="111"/>
    </row>
    <row r="399" spans="4:9" x14ac:dyDescent="0.25">
      <c r="D399" s="128">
        <v>44794</v>
      </c>
      <c r="E399" s="129">
        <f t="shared" si="13"/>
        <v>4.1096774193548393</v>
      </c>
      <c r="F399" s="111"/>
      <c r="G399" s="111"/>
      <c r="H399" s="111"/>
      <c r="I399" s="111"/>
    </row>
    <row r="400" spans="4:9" x14ac:dyDescent="0.25">
      <c r="D400" s="128">
        <v>44795</v>
      </c>
      <c r="E400" s="129">
        <f t="shared" si="13"/>
        <v>4.1096774193548393</v>
      </c>
      <c r="F400" s="111"/>
      <c r="G400" s="111"/>
      <c r="H400" s="111"/>
      <c r="I400" s="111"/>
    </row>
    <row r="401" spans="4:9" x14ac:dyDescent="0.25">
      <c r="D401" s="128">
        <v>44796</v>
      </c>
      <c r="E401" s="129">
        <f t="shared" si="13"/>
        <v>4.1096774193548393</v>
      </c>
      <c r="F401" s="111"/>
      <c r="G401" s="111"/>
      <c r="H401" s="111"/>
      <c r="I401" s="111"/>
    </row>
    <row r="402" spans="4:9" x14ac:dyDescent="0.25">
      <c r="D402" s="128">
        <v>44797</v>
      </c>
      <c r="E402" s="129">
        <f t="shared" si="13"/>
        <v>4.1096774193548393</v>
      </c>
      <c r="F402" s="111"/>
      <c r="G402" s="111"/>
      <c r="H402" s="111"/>
      <c r="I402" s="111"/>
    </row>
    <row r="403" spans="4:9" x14ac:dyDescent="0.25">
      <c r="D403" s="128">
        <v>44798</v>
      </c>
      <c r="E403" s="129">
        <f t="shared" si="13"/>
        <v>4.1096774193548393</v>
      </c>
      <c r="F403" s="111"/>
      <c r="G403" s="111"/>
      <c r="H403" s="111"/>
      <c r="I403" s="111"/>
    </row>
    <row r="404" spans="4:9" x14ac:dyDescent="0.25">
      <c r="D404" s="128">
        <v>44799</v>
      </c>
      <c r="E404" s="129">
        <f t="shared" si="13"/>
        <v>4.1096774193548393</v>
      </c>
      <c r="F404" s="111"/>
      <c r="G404" s="111"/>
      <c r="H404" s="111"/>
      <c r="I404" s="111"/>
    </row>
    <row r="405" spans="4:9" x14ac:dyDescent="0.25">
      <c r="D405" s="128">
        <v>44800</v>
      </c>
      <c r="E405" s="129">
        <f t="shared" si="13"/>
        <v>4.1096774193548393</v>
      </c>
      <c r="F405" s="111"/>
      <c r="G405" s="111"/>
      <c r="H405" s="111"/>
      <c r="I405" s="111"/>
    </row>
    <row r="406" spans="4:9" x14ac:dyDescent="0.25">
      <c r="D406" s="128">
        <v>44801</v>
      </c>
      <c r="E406" s="129">
        <f t="shared" si="13"/>
        <v>4.1096774193548393</v>
      </c>
      <c r="F406" s="111"/>
      <c r="G406" s="111"/>
      <c r="H406" s="111"/>
      <c r="I406" s="111"/>
    </row>
    <row r="407" spans="4:9" x14ac:dyDescent="0.25">
      <c r="D407" s="128">
        <v>44802</v>
      </c>
      <c r="E407" s="129">
        <f t="shared" si="13"/>
        <v>4.1096774193548393</v>
      </c>
      <c r="F407" s="111"/>
      <c r="G407" s="111"/>
      <c r="H407" s="111"/>
      <c r="I407" s="111"/>
    </row>
    <row r="408" spans="4:9" x14ac:dyDescent="0.25">
      <c r="D408" s="128">
        <v>44803</v>
      </c>
      <c r="E408" s="129">
        <f t="shared" si="13"/>
        <v>4.1096774193548393</v>
      </c>
      <c r="F408" s="111"/>
      <c r="G408" s="111"/>
      <c r="H408" s="111"/>
      <c r="I408" s="111"/>
    </row>
    <row r="409" spans="4:9" x14ac:dyDescent="0.25">
      <c r="D409" s="128">
        <v>44804</v>
      </c>
      <c r="E409" s="129">
        <f t="shared" si="13"/>
        <v>4.1096774193548393</v>
      </c>
      <c r="F409" s="111"/>
      <c r="G409" s="111"/>
      <c r="H409" s="111"/>
      <c r="I409" s="111"/>
    </row>
    <row r="410" spans="4:9" x14ac:dyDescent="0.25">
      <c r="D410" s="128">
        <v>44805</v>
      </c>
      <c r="E410" s="129">
        <f t="shared" ref="E410:E439" si="14">IF($M$96*$M$97&gt;0,$M$96/$M$97/30,0)</f>
        <v>4.246666666666667</v>
      </c>
      <c r="F410" s="111"/>
      <c r="G410" s="111"/>
      <c r="H410" s="111"/>
      <c r="I410" s="111"/>
    </row>
    <row r="411" spans="4:9" x14ac:dyDescent="0.25">
      <c r="D411" s="128">
        <v>44806</v>
      </c>
      <c r="E411" s="129">
        <f t="shared" si="14"/>
        <v>4.246666666666667</v>
      </c>
      <c r="F411" s="111"/>
      <c r="G411" s="111"/>
      <c r="H411" s="111"/>
      <c r="I411" s="111"/>
    </row>
    <row r="412" spans="4:9" x14ac:dyDescent="0.25">
      <c r="D412" s="128">
        <v>44807</v>
      </c>
      <c r="E412" s="129">
        <f t="shared" si="14"/>
        <v>4.246666666666667</v>
      </c>
      <c r="F412" s="111"/>
      <c r="G412" s="111"/>
      <c r="H412" s="111"/>
      <c r="I412" s="111"/>
    </row>
    <row r="413" spans="4:9" x14ac:dyDescent="0.25">
      <c r="D413" s="128">
        <v>44808</v>
      </c>
      <c r="E413" s="129">
        <f t="shared" si="14"/>
        <v>4.246666666666667</v>
      </c>
      <c r="F413" s="111"/>
      <c r="G413" s="111"/>
      <c r="H413" s="111"/>
      <c r="I413" s="111"/>
    </row>
    <row r="414" spans="4:9" x14ac:dyDescent="0.25">
      <c r="D414" s="128">
        <v>44809</v>
      </c>
      <c r="E414" s="129">
        <f t="shared" si="14"/>
        <v>4.246666666666667</v>
      </c>
      <c r="F414" s="111"/>
      <c r="G414" s="111"/>
      <c r="H414" s="111"/>
      <c r="I414" s="111"/>
    </row>
    <row r="415" spans="4:9" x14ac:dyDescent="0.25">
      <c r="D415" s="128">
        <v>44810</v>
      </c>
      <c r="E415" s="129">
        <f t="shared" si="14"/>
        <v>4.246666666666667</v>
      </c>
      <c r="F415" s="111"/>
      <c r="G415" s="111"/>
      <c r="H415" s="111"/>
      <c r="I415" s="111"/>
    </row>
    <row r="416" spans="4:9" x14ac:dyDescent="0.25">
      <c r="D416" s="128">
        <v>44811</v>
      </c>
      <c r="E416" s="129">
        <f t="shared" si="14"/>
        <v>4.246666666666667</v>
      </c>
      <c r="F416" s="111"/>
      <c r="G416" s="111"/>
      <c r="H416" s="111"/>
      <c r="I416" s="111"/>
    </row>
    <row r="417" spans="4:9" x14ac:dyDescent="0.25">
      <c r="D417" s="128">
        <v>44812</v>
      </c>
      <c r="E417" s="129">
        <f t="shared" si="14"/>
        <v>4.246666666666667</v>
      </c>
      <c r="F417" s="111"/>
      <c r="G417" s="111"/>
      <c r="H417" s="111"/>
      <c r="I417" s="111"/>
    </row>
    <row r="418" spans="4:9" x14ac:dyDescent="0.25">
      <c r="D418" s="128">
        <v>44813</v>
      </c>
      <c r="E418" s="129">
        <f t="shared" si="14"/>
        <v>4.246666666666667</v>
      </c>
      <c r="F418" s="111"/>
      <c r="G418" s="111"/>
      <c r="H418" s="111"/>
      <c r="I418" s="111"/>
    </row>
    <row r="419" spans="4:9" x14ac:dyDescent="0.25">
      <c r="D419" s="128">
        <v>44814</v>
      </c>
      <c r="E419" s="129">
        <f t="shared" si="14"/>
        <v>4.246666666666667</v>
      </c>
      <c r="F419" s="111"/>
      <c r="G419" s="111"/>
      <c r="H419" s="111"/>
      <c r="I419" s="111"/>
    </row>
    <row r="420" spans="4:9" x14ac:dyDescent="0.25">
      <c r="D420" s="128">
        <v>44815</v>
      </c>
      <c r="E420" s="129">
        <f t="shared" si="14"/>
        <v>4.246666666666667</v>
      </c>
      <c r="F420" s="111"/>
      <c r="G420" s="111"/>
      <c r="H420" s="111"/>
      <c r="I420" s="111"/>
    </row>
    <row r="421" spans="4:9" x14ac:dyDescent="0.25">
      <c r="D421" s="128">
        <v>44816</v>
      </c>
      <c r="E421" s="129">
        <f t="shared" si="14"/>
        <v>4.246666666666667</v>
      </c>
      <c r="F421" s="111"/>
      <c r="G421" s="111"/>
      <c r="H421" s="111"/>
      <c r="I421" s="111"/>
    </row>
    <row r="422" spans="4:9" x14ac:dyDescent="0.25">
      <c r="D422" s="128">
        <v>44817</v>
      </c>
      <c r="E422" s="129">
        <f t="shared" si="14"/>
        <v>4.246666666666667</v>
      </c>
      <c r="F422" s="111"/>
      <c r="G422" s="111"/>
      <c r="H422" s="111"/>
      <c r="I422" s="111"/>
    </row>
    <row r="423" spans="4:9" x14ac:dyDescent="0.25">
      <c r="D423" s="128">
        <v>44818</v>
      </c>
      <c r="E423" s="129">
        <f t="shared" si="14"/>
        <v>4.246666666666667</v>
      </c>
      <c r="F423" s="111"/>
      <c r="G423" s="111"/>
      <c r="H423" s="111"/>
      <c r="I423" s="111"/>
    </row>
    <row r="424" spans="4:9" x14ac:dyDescent="0.25">
      <c r="D424" s="128">
        <v>44819</v>
      </c>
      <c r="E424" s="129">
        <f t="shared" si="14"/>
        <v>4.246666666666667</v>
      </c>
      <c r="F424" s="111"/>
      <c r="G424" s="111"/>
      <c r="H424" s="111"/>
      <c r="I424" s="111"/>
    </row>
    <row r="425" spans="4:9" x14ac:dyDescent="0.25">
      <c r="D425" s="128">
        <v>44820</v>
      </c>
      <c r="E425" s="129">
        <f t="shared" si="14"/>
        <v>4.246666666666667</v>
      </c>
      <c r="F425" s="111"/>
      <c r="G425" s="111"/>
      <c r="H425" s="111"/>
      <c r="I425" s="111"/>
    </row>
    <row r="426" spans="4:9" x14ac:dyDescent="0.25">
      <c r="D426" s="128">
        <v>44821</v>
      </c>
      <c r="E426" s="129">
        <f t="shared" si="14"/>
        <v>4.246666666666667</v>
      </c>
      <c r="F426" s="111"/>
      <c r="G426" s="111"/>
      <c r="H426" s="111"/>
      <c r="I426" s="111"/>
    </row>
    <row r="427" spans="4:9" x14ac:dyDescent="0.25">
      <c r="D427" s="128">
        <v>44822</v>
      </c>
      <c r="E427" s="129">
        <f t="shared" si="14"/>
        <v>4.246666666666667</v>
      </c>
      <c r="F427" s="111"/>
      <c r="G427" s="111"/>
      <c r="H427" s="111"/>
      <c r="I427" s="111"/>
    </row>
    <row r="428" spans="4:9" x14ac:dyDescent="0.25">
      <c r="D428" s="128">
        <v>44823</v>
      </c>
      <c r="E428" s="129">
        <f t="shared" si="14"/>
        <v>4.246666666666667</v>
      </c>
      <c r="F428" s="111"/>
      <c r="G428" s="111"/>
      <c r="H428" s="111"/>
      <c r="I428" s="111"/>
    </row>
    <row r="429" spans="4:9" x14ac:dyDescent="0.25">
      <c r="D429" s="128">
        <v>44824</v>
      </c>
      <c r="E429" s="129">
        <f t="shared" si="14"/>
        <v>4.246666666666667</v>
      </c>
      <c r="F429" s="111"/>
      <c r="G429" s="111"/>
      <c r="H429" s="111"/>
      <c r="I429" s="111"/>
    </row>
    <row r="430" spans="4:9" x14ac:dyDescent="0.25">
      <c r="D430" s="128">
        <v>44825</v>
      </c>
      <c r="E430" s="129">
        <f t="shared" si="14"/>
        <v>4.246666666666667</v>
      </c>
      <c r="F430" s="111"/>
      <c r="G430" s="111"/>
      <c r="H430" s="111"/>
      <c r="I430" s="111"/>
    </row>
    <row r="431" spans="4:9" x14ac:dyDescent="0.25">
      <c r="D431" s="128">
        <v>44826</v>
      </c>
      <c r="E431" s="129">
        <f t="shared" si="14"/>
        <v>4.246666666666667</v>
      </c>
      <c r="F431" s="111"/>
      <c r="G431" s="111"/>
      <c r="H431" s="111"/>
      <c r="I431" s="111"/>
    </row>
    <row r="432" spans="4:9" x14ac:dyDescent="0.25">
      <c r="D432" s="128">
        <v>44827</v>
      </c>
      <c r="E432" s="129">
        <f t="shared" si="14"/>
        <v>4.246666666666667</v>
      </c>
      <c r="F432" s="111"/>
      <c r="G432" s="111"/>
      <c r="H432" s="111"/>
      <c r="I432" s="111"/>
    </row>
    <row r="433" spans="4:9" x14ac:dyDescent="0.25">
      <c r="D433" s="128">
        <v>44828</v>
      </c>
      <c r="E433" s="129">
        <f t="shared" si="14"/>
        <v>4.246666666666667</v>
      </c>
      <c r="F433" s="111"/>
      <c r="G433" s="111"/>
      <c r="H433" s="111"/>
      <c r="I433" s="111"/>
    </row>
    <row r="434" spans="4:9" x14ac:dyDescent="0.25">
      <c r="D434" s="128">
        <v>44829</v>
      </c>
      <c r="E434" s="129">
        <f t="shared" si="14"/>
        <v>4.246666666666667</v>
      </c>
      <c r="F434" s="111"/>
      <c r="G434" s="111"/>
      <c r="H434" s="111"/>
      <c r="I434" s="111"/>
    </row>
    <row r="435" spans="4:9" x14ac:dyDescent="0.25">
      <c r="D435" s="128">
        <v>44830</v>
      </c>
      <c r="E435" s="129">
        <f t="shared" si="14"/>
        <v>4.246666666666667</v>
      </c>
      <c r="F435" s="111"/>
      <c r="G435" s="111"/>
      <c r="H435" s="111"/>
      <c r="I435" s="111"/>
    </row>
    <row r="436" spans="4:9" x14ac:dyDescent="0.25">
      <c r="D436" s="128">
        <v>44831</v>
      </c>
      <c r="E436" s="129">
        <f t="shared" si="14"/>
        <v>4.246666666666667</v>
      </c>
      <c r="F436" s="111"/>
      <c r="G436" s="111"/>
      <c r="H436" s="111"/>
      <c r="I436" s="111"/>
    </row>
    <row r="437" spans="4:9" x14ac:dyDescent="0.25">
      <c r="D437" s="128">
        <v>44832</v>
      </c>
      <c r="E437" s="129">
        <f t="shared" si="14"/>
        <v>4.246666666666667</v>
      </c>
      <c r="F437" s="111"/>
      <c r="G437" s="111"/>
      <c r="H437" s="111"/>
      <c r="I437" s="111"/>
    </row>
    <row r="438" spans="4:9" x14ac:dyDescent="0.25">
      <c r="D438" s="128">
        <v>44833</v>
      </c>
      <c r="E438" s="129">
        <f t="shared" si="14"/>
        <v>4.246666666666667</v>
      </c>
      <c r="F438" s="111"/>
      <c r="G438" s="111"/>
      <c r="H438" s="111"/>
      <c r="I438" s="111"/>
    </row>
    <row r="439" spans="4:9" x14ac:dyDescent="0.25">
      <c r="D439" s="128">
        <v>44834</v>
      </c>
      <c r="E439" s="129">
        <f t="shared" si="14"/>
        <v>4.246666666666667</v>
      </c>
      <c r="F439" s="111"/>
      <c r="G439" s="111"/>
      <c r="H439" s="111"/>
      <c r="I439" s="111"/>
    </row>
    <row r="440" spans="4:9" x14ac:dyDescent="0.25">
      <c r="D440" s="128">
        <v>44835</v>
      </c>
      <c r="E440" s="129">
        <f t="shared" ref="E440:E470" si="15">IF($N$96*$N$97&gt;0,$N$96/$N$97/31,0)</f>
        <v>4.1096774193548393</v>
      </c>
      <c r="F440" s="111"/>
      <c r="G440" s="111"/>
      <c r="H440" s="111"/>
      <c r="I440" s="111"/>
    </row>
    <row r="441" spans="4:9" x14ac:dyDescent="0.25">
      <c r="D441" s="128">
        <v>44836</v>
      </c>
      <c r="E441" s="129">
        <f t="shared" si="15"/>
        <v>4.1096774193548393</v>
      </c>
      <c r="F441" s="111"/>
      <c r="G441" s="111"/>
      <c r="H441" s="111"/>
      <c r="I441" s="111"/>
    </row>
    <row r="442" spans="4:9" x14ac:dyDescent="0.25">
      <c r="D442" s="128">
        <v>44837</v>
      </c>
      <c r="E442" s="129">
        <f t="shared" si="15"/>
        <v>4.1096774193548393</v>
      </c>
      <c r="F442" s="111"/>
      <c r="G442" s="111"/>
      <c r="H442" s="111"/>
      <c r="I442" s="111"/>
    </row>
    <row r="443" spans="4:9" x14ac:dyDescent="0.25">
      <c r="D443" s="128">
        <v>44838</v>
      </c>
      <c r="E443" s="129">
        <f t="shared" si="15"/>
        <v>4.1096774193548393</v>
      </c>
      <c r="F443" s="111"/>
      <c r="G443" s="111"/>
      <c r="H443" s="111"/>
      <c r="I443" s="111"/>
    </row>
    <row r="444" spans="4:9" x14ac:dyDescent="0.25">
      <c r="D444" s="128">
        <v>44839</v>
      </c>
      <c r="E444" s="129">
        <f t="shared" si="15"/>
        <v>4.1096774193548393</v>
      </c>
      <c r="F444" s="111"/>
      <c r="G444" s="111"/>
      <c r="H444" s="111"/>
      <c r="I444" s="111"/>
    </row>
    <row r="445" spans="4:9" x14ac:dyDescent="0.25">
      <c r="D445" s="128">
        <v>44840</v>
      </c>
      <c r="E445" s="129">
        <f t="shared" si="15"/>
        <v>4.1096774193548393</v>
      </c>
      <c r="F445" s="111"/>
      <c r="G445" s="111"/>
      <c r="H445" s="111"/>
      <c r="I445" s="111"/>
    </row>
    <row r="446" spans="4:9" x14ac:dyDescent="0.25">
      <c r="D446" s="128">
        <v>44841</v>
      </c>
      <c r="E446" s="129">
        <f t="shared" si="15"/>
        <v>4.1096774193548393</v>
      </c>
      <c r="F446" s="111"/>
      <c r="G446" s="111"/>
      <c r="H446" s="111"/>
      <c r="I446" s="111"/>
    </row>
    <row r="447" spans="4:9" x14ac:dyDescent="0.25">
      <c r="D447" s="128">
        <v>44842</v>
      </c>
      <c r="E447" s="129">
        <f t="shared" si="15"/>
        <v>4.1096774193548393</v>
      </c>
      <c r="F447" s="111"/>
      <c r="G447" s="111"/>
      <c r="H447" s="111"/>
      <c r="I447" s="111"/>
    </row>
    <row r="448" spans="4:9" x14ac:dyDescent="0.25">
      <c r="D448" s="128">
        <v>44843</v>
      </c>
      <c r="E448" s="129">
        <f t="shared" si="15"/>
        <v>4.1096774193548393</v>
      </c>
      <c r="F448" s="111"/>
      <c r="G448" s="111"/>
      <c r="H448" s="111"/>
      <c r="I448" s="111"/>
    </row>
    <row r="449" spans="4:9" x14ac:dyDescent="0.25">
      <c r="D449" s="128">
        <v>44844</v>
      </c>
      <c r="E449" s="129">
        <f t="shared" si="15"/>
        <v>4.1096774193548393</v>
      </c>
      <c r="F449" s="111"/>
      <c r="G449" s="111"/>
      <c r="H449" s="111"/>
      <c r="I449" s="111"/>
    </row>
    <row r="450" spans="4:9" x14ac:dyDescent="0.25">
      <c r="D450" s="128">
        <v>44845</v>
      </c>
      <c r="E450" s="129">
        <f t="shared" si="15"/>
        <v>4.1096774193548393</v>
      </c>
      <c r="F450" s="111"/>
      <c r="G450" s="111"/>
      <c r="H450" s="111"/>
      <c r="I450" s="111"/>
    </row>
    <row r="451" spans="4:9" x14ac:dyDescent="0.25">
      <c r="D451" s="128">
        <v>44846</v>
      </c>
      <c r="E451" s="129">
        <f t="shared" si="15"/>
        <v>4.1096774193548393</v>
      </c>
      <c r="F451" s="111"/>
      <c r="G451" s="111"/>
      <c r="H451" s="111"/>
      <c r="I451" s="111"/>
    </row>
    <row r="452" spans="4:9" x14ac:dyDescent="0.25">
      <c r="D452" s="128">
        <v>44847</v>
      </c>
      <c r="E452" s="129">
        <f t="shared" si="15"/>
        <v>4.1096774193548393</v>
      </c>
      <c r="F452" s="111"/>
      <c r="G452" s="111"/>
      <c r="H452" s="111"/>
      <c r="I452" s="111"/>
    </row>
    <row r="453" spans="4:9" x14ac:dyDescent="0.25">
      <c r="D453" s="128">
        <v>44848</v>
      </c>
      <c r="E453" s="129">
        <f t="shared" si="15"/>
        <v>4.1096774193548393</v>
      </c>
      <c r="F453" s="111"/>
      <c r="G453" s="111"/>
      <c r="H453" s="111"/>
      <c r="I453" s="111"/>
    </row>
    <row r="454" spans="4:9" x14ac:dyDescent="0.25">
      <c r="D454" s="128">
        <v>44849</v>
      </c>
      <c r="E454" s="129">
        <f t="shared" si="15"/>
        <v>4.1096774193548393</v>
      </c>
      <c r="F454" s="111"/>
      <c r="G454" s="111"/>
      <c r="H454" s="111"/>
      <c r="I454" s="111"/>
    </row>
    <row r="455" spans="4:9" x14ac:dyDescent="0.25">
      <c r="D455" s="128">
        <v>44850</v>
      </c>
      <c r="E455" s="129">
        <f t="shared" si="15"/>
        <v>4.1096774193548393</v>
      </c>
      <c r="F455" s="111"/>
      <c r="G455" s="111"/>
      <c r="H455" s="111"/>
      <c r="I455" s="111"/>
    </row>
    <row r="456" spans="4:9" x14ac:dyDescent="0.25">
      <c r="D456" s="128">
        <v>44851</v>
      </c>
      <c r="E456" s="129">
        <f t="shared" si="15"/>
        <v>4.1096774193548393</v>
      </c>
      <c r="F456" s="111"/>
      <c r="G456" s="111"/>
      <c r="H456" s="111"/>
      <c r="I456" s="111"/>
    </row>
    <row r="457" spans="4:9" x14ac:dyDescent="0.25">
      <c r="D457" s="128">
        <v>44852</v>
      </c>
      <c r="E457" s="129">
        <f t="shared" si="15"/>
        <v>4.1096774193548393</v>
      </c>
      <c r="F457" s="111"/>
      <c r="G457" s="111"/>
      <c r="H457" s="111"/>
      <c r="I457" s="111"/>
    </row>
    <row r="458" spans="4:9" x14ac:dyDescent="0.25">
      <c r="D458" s="128">
        <v>44853</v>
      </c>
      <c r="E458" s="129">
        <f t="shared" si="15"/>
        <v>4.1096774193548393</v>
      </c>
      <c r="F458" s="111"/>
      <c r="G458" s="111"/>
      <c r="H458" s="111"/>
      <c r="I458" s="111"/>
    </row>
    <row r="459" spans="4:9" x14ac:dyDescent="0.25">
      <c r="D459" s="128">
        <v>44854</v>
      </c>
      <c r="E459" s="129">
        <f t="shared" si="15"/>
        <v>4.1096774193548393</v>
      </c>
      <c r="F459" s="111"/>
      <c r="G459" s="111"/>
      <c r="H459" s="111"/>
      <c r="I459" s="111"/>
    </row>
    <row r="460" spans="4:9" x14ac:dyDescent="0.25">
      <c r="D460" s="128">
        <v>44855</v>
      </c>
      <c r="E460" s="129">
        <f t="shared" si="15"/>
        <v>4.1096774193548393</v>
      </c>
      <c r="F460" s="111"/>
      <c r="G460" s="111"/>
      <c r="H460" s="111"/>
      <c r="I460" s="111"/>
    </row>
    <row r="461" spans="4:9" x14ac:dyDescent="0.25">
      <c r="D461" s="128">
        <v>44856</v>
      </c>
      <c r="E461" s="129">
        <f t="shared" si="15"/>
        <v>4.1096774193548393</v>
      </c>
      <c r="F461" s="111"/>
      <c r="G461" s="111"/>
      <c r="H461" s="111"/>
      <c r="I461" s="111"/>
    </row>
    <row r="462" spans="4:9" x14ac:dyDescent="0.25">
      <c r="D462" s="128">
        <v>44857</v>
      </c>
      <c r="E462" s="129">
        <f t="shared" si="15"/>
        <v>4.1096774193548393</v>
      </c>
      <c r="F462" s="111"/>
      <c r="G462" s="111"/>
      <c r="H462" s="111"/>
      <c r="I462" s="111"/>
    </row>
    <row r="463" spans="4:9" x14ac:dyDescent="0.25">
      <c r="D463" s="128">
        <v>44858</v>
      </c>
      <c r="E463" s="129">
        <f t="shared" si="15"/>
        <v>4.1096774193548393</v>
      </c>
      <c r="F463" s="111"/>
      <c r="G463" s="111"/>
      <c r="H463" s="111"/>
      <c r="I463" s="111"/>
    </row>
    <row r="464" spans="4:9" x14ac:dyDescent="0.25">
      <c r="D464" s="128">
        <v>44859</v>
      </c>
      <c r="E464" s="129">
        <f t="shared" si="15"/>
        <v>4.1096774193548393</v>
      </c>
      <c r="F464" s="111"/>
      <c r="G464" s="111"/>
      <c r="H464" s="111"/>
      <c r="I464" s="111"/>
    </row>
    <row r="465" spans="4:9" x14ac:dyDescent="0.25">
      <c r="D465" s="128">
        <v>44860</v>
      </c>
      <c r="E465" s="129">
        <f t="shared" si="15"/>
        <v>4.1096774193548393</v>
      </c>
      <c r="F465" s="111"/>
      <c r="G465" s="111"/>
      <c r="H465" s="111"/>
      <c r="I465" s="111"/>
    </row>
    <row r="466" spans="4:9" x14ac:dyDescent="0.25">
      <c r="D466" s="128">
        <v>44861</v>
      </c>
      <c r="E466" s="129">
        <f t="shared" si="15"/>
        <v>4.1096774193548393</v>
      </c>
      <c r="F466" s="111"/>
      <c r="G466" s="111"/>
      <c r="H466" s="111"/>
      <c r="I466" s="111"/>
    </row>
    <row r="467" spans="4:9" x14ac:dyDescent="0.25">
      <c r="D467" s="128">
        <v>44862</v>
      </c>
      <c r="E467" s="129">
        <f t="shared" si="15"/>
        <v>4.1096774193548393</v>
      </c>
      <c r="F467" s="111"/>
      <c r="G467" s="111"/>
      <c r="H467" s="111"/>
      <c r="I467" s="111"/>
    </row>
    <row r="468" spans="4:9" x14ac:dyDescent="0.25">
      <c r="D468" s="128">
        <v>44863</v>
      </c>
      <c r="E468" s="129">
        <f t="shared" si="15"/>
        <v>4.1096774193548393</v>
      </c>
      <c r="F468" s="111"/>
      <c r="G468" s="111"/>
      <c r="H468" s="111"/>
      <c r="I468" s="111"/>
    </row>
    <row r="469" spans="4:9" x14ac:dyDescent="0.25">
      <c r="D469" s="128">
        <v>44864</v>
      </c>
      <c r="E469" s="129">
        <f t="shared" si="15"/>
        <v>4.1096774193548393</v>
      </c>
      <c r="F469" s="111"/>
      <c r="G469" s="111"/>
      <c r="H469" s="111"/>
      <c r="I469" s="111"/>
    </row>
    <row r="470" spans="4:9" x14ac:dyDescent="0.25">
      <c r="D470" s="128">
        <v>44865</v>
      </c>
      <c r="E470" s="129">
        <f t="shared" si="15"/>
        <v>4.1096774193548393</v>
      </c>
      <c r="F470" s="111"/>
      <c r="G470" s="111"/>
      <c r="H470" s="111"/>
      <c r="I470" s="111"/>
    </row>
    <row r="471" spans="4:9" x14ac:dyDescent="0.25">
      <c r="D471" s="128">
        <v>44866</v>
      </c>
      <c r="E471" s="129">
        <f t="shared" ref="E471:E500" si="16">IF($O$96*$O$97&gt;0,$O$96/$O$97/30,0)</f>
        <v>4.246666666666667</v>
      </c>
      <c r="F471" s="111"/>
      <c r="G471" s="111"/>
      <c r="H471" s="111"/>
      <c r="I471" s="111"/>
    </row>
    <row r="472" spans="4:9" x14ac:dyDescent="0.25">
      <c r="D472" s="128">
        <v>44867</v>
      </c>
      <c r="E472" s="129">
        <f t="shared" si="16"/>
        <v>4.246666666666667</v>
      </c>
      <c r="F472" s="111"/>
      <c r="G472" s="111"/>
      <c r="H472" s="111"/>
      <c r="I472" s="111"/>
    </row>
    <row r="473" spans="4:9" x14ac:dyDescent="0.25">
      <c r="D473" s="128">
        <v>44868</v>
      </c>
      <c r="E473" s="129">
        <f t="shared" si="16"/>
        <v>4.246666666666667</v>
      </c>
      <c r="F473" s="111"/>
      <c r="G473" s="111"/>
      <c r="H473" s="111"/>
      <c r="I473" s="111"/>
    </row>
    <row r="474" spans="4:9" x14ac:dyDescent="0.25">
      <c r="D474" s="128">
        <v>44869</v>
      </c>
      <c r="E474" s="129">
        <f t="shared" si="16"/>
        <v>4.246666666666667</v>
      </c>
      <c r="F474" s="111"/>
      <c r="G474" s="111"/>
      <c r="H474" s="111"/>
      <c r="I474" s="111"/>
    </row>
    <row r="475" spans="4:9" x14ac:dyDescent="0.25">
      <c r="D475" s="128">
        <v>44870</v>
      </c>
      <c r="E475" s="129">
        <f t="shared" si="16"/>
        <v>4.246666666666667</v>
      </c>
      <c r="F475" s="111"/>
      <c r="G475" s="111"/>
      <c r="H475" s="111"/>
      <c r="I475" s="111"/>
    </row>
    <row r="476" spans="4:9" x14ac:dyDescent="0.25">
      <c r="D476" s="128">
        <v>44871</v>
      </c>
      <c r="E476" s="129">
        <f t="shared" si="16"/>
        <v>4.246666666666667</v>
      </c>
      <c r="F476" s="111"/>
      <c r="G476" s="111"/>
      <c r="H476" s="111"/>
      <c r="I476" s="111"/>
    </row>
    <row r="477" spans="4:9" x14ac:dyDescent="0.25">
      <c r="D477" s="128">
        <v>44872</v>
      </c>
      <c r="E477" s="129">
        <f t="shared" si="16"/>
        <v>4.246666666666667</v>
      </c>
      <c r="F477" s="111"/>
      <c r="G477" s="111"/>
      <c r="H477" s="111"/>
      <c r="I477" s="111"/>
    </row>
    <row r="478" spans="4:9" x14ac:dyDescent="0.25">
      <c r="D478" s="128">
        <v>44873</v>
      </c>
      <c r="E478" s="129">
        <f t="shared" si="16"/>
        <v>4.246666666666667</v>
      </c>
      <c r="F478" s="111"/>
      <c r="G478" s="111"/>
      <c r="H478" s="111"/>
      <c r="I478" s="111"/>
    </row>
    <row r="479" spans="4:9" x14ac:dyDescent="0.25">
      <c r="D479" s="128">
        <v>44874</v>
      </c>
      <c r="E479" s="129">
        <f t="shared" si="16"/>
        <v>4.246666666666667</v>
      </c>
      <c r="F479" s="111"/>
      <c r="G479" s="111"/>
      <c r="H479" s="111"/>
      <c r="I479" s="111"/>
    </row>
    <row r="480" spans="4:9" x14ac:dyDescent="0.25">
      <c r="D480" s="128">
        <v>44875</v>
      </c>
      <c r="E480" s="129">
        <f t="shared" si="16"/>
        <v>4.246666666666667</v>
      </c>
      <c r="F480" s="111"/>
      <c r="G480" s="111"/>
      <c r="H480" s="111"/>
      <c r="I480" s="111"/>
    </row>
    <row r="481" spans="4:9" x14ac:dyDescent="0.25">
      <c r="D481" s="128">
        <v>44876</v>
      </c>
      <c r="E481" s="129">
        <f t="shared" si="16"/>
        <v>4.246666666666667</v>
      </c>
      <c r="F481" s="111"/>
      <c r="G481" s="111"/>
      <c r="H481" s="111"/>
      <c r="I481" s="111"/>
    </row>
    <row r="482" spans="4:9" x14ac:dyDescent="0.25">
      <c r="D482" s="128">
        <v>44877</v>
      </c>
      <c r="E482" s="129">
        <f t="shared" si="16"/>
        <v>4.246666666666667</v>
      </c>
      <c r="F482" s="111"/>
      <c r="G482" s="111"/>
      <c r="H482" s="111"/>
      <c r="I482" s="111"/>
    </row>
    <row r="483" spans="4:9" x14ac:dyDescent="0.25">
      <c r="D483" s="128">
        <v>44878</v>
      </c>
      <c r="E483" s="129">
        <f t="shared" si="16"/>
        <v>4.246666666666667</v>
      </c>
      <c r="F483" s="111"/>
      <c r="G483" s="111"/>
      <c r="H483" s="111"/>
      <c r="I483" s="111"/>
    </row>
    <row r="484" spans="4:9" x14ac:dyDescent="0.25">
      <c r="D484" s="128">
        <v>44879</v>
      </c>
      <c r="E484" s="129">
        <f t="shared" si="16"/>
        <v>4.246666666666667</v>
      </c>
      <c r="F484" s="111"/>
      <c r="G484" s="111"/>
      <c r="H484" s="111"/>
      <c r="I484" s="111"/>
    </row>
    <row r="485" spans="4:9" x14ac:dyDescent="0.25">
      <c r="D485" s="128">
        <v>44880</v>
      </c>
      <c r="E485" s="129">
        <f t="shared" si="16"/>
        <v>4.246666666666667</v>
      </c>
      <c r="F485" s="111"/>
      <c r="G485" s="111"/>
      <c r="H485" s="111"/>
      <c r="I485" s="111"/>
    </row>
    <row r="486" spans="4:9" x14ac:dyDescent="0.25">
      <c r="D486" s="128">
        <v>44881</v>
      </c>
      <c r="E486" s="129">
        <f t="shared" si="16"/>
        <v>4.246666666666667</v>
      </c>
      <c r="F486" s="111"/>
      <c r="G486" s="111"/>
      <c r="H486" s="111"/>
      <c r="I486" s="111"/>
    </row>
    <row r="487" spans="4:9" x14ac:dyDescent="0.25">
      <c r="D487" s="128">
        <v>44882</v>
      </c>
      <c r="E487" s="129">
        <f t="shared" si="16"/>
        <v>4.246666666666667</v>
      </c>
      <c r="F487" s="111"/>
      <c r="G487" s="111"/>
      <c r="H487" s="111"/>
      <c r="I487" s="111"/>
    </row>
    <row r="488" spans="4:9" x14ac:dyDescent="0.25">
      <c r="D488" s="128">
        <v>44883</v>
      </c>
      <c r="E488" s="129">
        <f t="shared" si="16"/>
        <v>4.246666666666667</v>
      </c>
      <c r="F488" s="111"/>
      <c r="G488" s="111"/>
      <c r="H488" s="111"/>
      <c r="I488" s="111"/>
    </row>
    <row r="489" spans="4:9" x14ac:dyDescent="0.25">
      <c r="D489" s="128">
        <v>44884</v>
      </c>
      <c r="E489" s="129">
        <f t="shared" si="16"/>
        <v>4.246666666666667</v>
      </c>
      <c r="F489" s="111"/>
      <c r="G489" s="111"/>
      <c r="H489" s="111"/>
      <c r="I489" s="111"/>
    </row>
    <row r="490" spans="4:9" x14ac:dyDescent="0.25">
      <c r="D490" s="128">
        <v>44885</v>
      </c>
      <c r="E490" s="129">
        <f t="shared" si="16"/>
        <v>4.246666666666667</v>
      </c>
      <c r="F490" s="111"/>
      <c r="G490" s="111"/>
      <c r="H490" s="111"/>
      <c r="I490" s="111"/>
    </row>
    <row r="491" spans="4:9" x14ac:dyDescent="0.25">
      <c r="D491" s="128">
        <v>44886</v>
      </c>
      <c r="E491" s="129">
        <f t="shared" si="16"/>
        <v>4.246666666666667</v>
      </c>
      <c r="F491" s="111"/>
      <c r="G491" s="111"/>
      <c r="H491" s="111"/>
      <c r="I491" s="111"/>
    </row>
    <row r="492" spans="4:9" x14ac:dyDescent="0.25">
      <c r="D492" s="128">
        <v>44887</v>
      </c>
      <c r="E492" s="129">
        <f t="shared" si="16"/>
        <v>4.246666666666667</v>
      </c>
      <c r="F492" s="111"/>
      <c r="G492" s="111"/>
      <c r="H492" s="111"/>
      <c r="I492" s="111"/>
    </row>
    <row r="493" spans="4:9" x14ac:dyDescent="0.25">
      <c r="D493" s="128">
        <v>44888</v>
      </c>
      <c r="E493" s="129">
        <f t="shared" si="16"/>
        <v>4.246666666666667</v>
      </c>
      <c r="F493" s="111"/>
      <c r="G493" s="111"/>
      <c r="H493" s="111"/>
      <c r="I493" s="111"/>
    </row>
    <row r="494" spans="4:9" x14ac:dyDescent="0.25">
      <c r="D494" s="128">
        <v>44889</v>
      </c>
      <c r="E494" s="129">
        <f t="shared" si="16"/>
        <v>4.246666666666667</v>
      </c>
      <c r="F494" s="111"/>
      <c r="G494" s="111"/>
      <c r="H494" s="111"/>
      <c r="I494" s="111"/>
    </row>
    <row r="495" spans="4:9" x14ac:dyDescent="0.25">
      <c r="D495" s="128">
        <v>44890</v>
      </c>
      <c r="E495" s="129">
        <f t="shared" si="16"/>
        <v>4.246666666666667</v>
      </c>
      <c r="F495" s="111"/>
      <c r="G495" s="111"/>
      <c r="H495" s="111"/>
      <c r="I495" s="111"/>
    </row>
    <row r="496" spans="4:9" x14ac:dyDescent="0.25">
      <c r="D496" s="128">
        <v>44891</v>
      </c>
      <c r="E496" s="129">
        <f t="shared" si="16"/>
        <v>4.246666666666667</v>
      </c>
      <c r="F496" s="111"/>
      <c r="G496" s="111"/>
      <c r="H496" s="111"/>
      <c r="I496" s="111"/>
    </row>
    <row r="497" spans="4:9" x14ac:dyDescent="0.25">
      <c r="D497" s="128">
        <v>44892</v>
      </c>
      <c r="E497" s="129">
        <f t="shared" si="16"/>
        <v>4.246666666666667</v>
      </c>
      <c r="F497" s="111"/>
      <c r="G497" s="111"/>
      <c r="H497" s="111"/>
      <c r="I497" s="111"/>
    </row>
    <row r="498" spans="4:9" x14ac:dyDescent="0.25">
      <c r="D498" s="128">
        <v>44893</v>
      </c>
      <c r="E498" s="129">
        <f t="shared" si="16"/>
        <v>4.246666666666667</v>
      </c>
      <c r="F498" s="111"/>
      <c r="G498" s="111"/>
      <c r="H498" s="111"/>
      <c r="I498" s="111"/>
    </row>
    <row r="499" spans="4:9" x14ac:dyDescent="0.25">
      <c r="D499" s="128">
        <v>44894</v>
      </c>
      <c r="E499" s="129">
        <f t="shared" si="16"/>
        <v>4.246666666666667</v>
      </c>
      <c r="F499" s="111"/>
      <c r="G499" s="111"/>
      <c r="H499" s="111"/>
      <c r="I499" s="111"/>
    </row>
    <row r="500" spans="4:9" x14ac:dyDescent="0.25">
      <c r="D500" s="128">
        <v>44895</v>
      </c>
      <c r="E500" s="129">
        <f t="shared" si="16"/>
        <v>4.246666666666667</v>
      </c>
      <c r="F500" s="111"/>
      <c r="G500" s="111"/>
      <c r="H500" s="111"/>
      <c r="I500" s="111"/>
    </row>
    <row r="501" spans="4:9" x14ac:dyDescent="0.25">
      <c r="D501" s="128">
        <v>44896</v>
      </c>
      <c r="E501" s="129">
        <f t="shared" ref="E501:E531" si="17">IF($P$96*$P$97&gt;0,$P$96/$P$97/31,0)</f>
        <v>8.2193548387096786</v>
      </c>
      <c r="F501" s="111"/>
      <c r="G501" s="111"/>
      <c r="H501" s="111"/>
      <c r="I501" s="111"/>
    </row>
    <row r="502" spans="4:9" x14ac:dyDescent="0.25">
      <c r="D502" s="128">
        <v>44897</v>
      </c>
      <c r="E502" s="129">
        <f t="shared" si="17"/>
        <v>8.2193548387096786</v>
      </c>
      <c r="F502" s="111"/>
      <c r="G502" s="111"/>
      <c r="H502" s="111"/>
      <c r="I502" s="111"/>
    </row>
    <row r="503" spans="4:9" x14ac:dyDescent="0.25">
      <c r="D503" s="128">
        <v>44898</v>
      </c>
      <c r="E503" s="129">
        <f t="shared" si="17"/>
        <v>8.2193548387096786</v>
      </c>
      <c r="F503" s="111"/>
      <c r="G503" s="111"/>
      <c r="H503" s="111"/>
      <c r="I503" s="111"/>
    </row>
    <row r="504" spans="4:9" x14ac:dyDescent="0.25">
      <c r="D504" s="128">
        <v>44899</v>
      </c>
      <c r="E504" s="129">
        <f t="shared" si="17"/>
        <v>8.2193548387096786</v>
      </c>
      <c r="F504" s="111"/>
      <c r="G504" s="111"/>
      <c r="H504" s="111"/>
      <c r="I504" s="111"/>
    </row>
    <row r="505" spans="4:9" x14ac:dyDescent="0.25">
      <c r="D505" s="128">
        <v>44900</v>
      </c>
      <c r="E505" s="129">
        <f t="shared" si="17"/>
        <v>8.2193548387096786</v>
      </c>
      <c r="F505" s="111"/>
      <c r="G505" s="111"/>
      <c r="H505" s="111"/>
      <c r="I505" s="111"/>
    </row>
    <row r="506" spans="4:9" x14ac:dyDescent="0.25">
      <c r="D506" s="128">
        <v>44901</v>
      </c>
      <c r="E506" s="129">
        <f t="shared" si="17"/>
        <v>8.2193548387096786</v>
      </c>
      <c r="F506" s="111"/>
      <c r="G506" s="111"/>
      <c r="H506" s="111"/>
      <c r="I506" s="111"/>
    </row>
    <row r="507" spans="4:9" x14ac:dyDescent="0.25">
      <c r="D507" s="128">
        <v>44902</v>
      </c>
      <c r="E507" s="129">
        <f t="shared" si="17"/>
        <v>8.2193548387096786</v>
      </c>
      <c r="F507" s="111"/>
      <c r="G507" s="111"/>
      <c r="H507" s="111"/>
      <c r="I507" s="111"/>
    </row>
    <row r="508" spans="4:9" x14ac:dyDescent="0.25">
      <c r="D508" s="128">
        <v>44903</v>
      </c>
      <c r="E508" s="129">
        <f t="shared" si="17"/>
        <v>8.2193548387096786</v>
      </c>
      <c r="F508" s="111"/>
      <c r="G508" s="111"/>
      <c r="H508" s="111"/>
      <c r="I508" s="111"/>
    </row>
    <row r="509" spans="4:9" x14ac:dyDescent="0.25">
      <c r="D509" s="128">
        <v>44904</v>
      </c>
      <c r="E509" s="129">
        <f t="shared" si="17"/>
        <v>8.2193548387096786</v>
      </c>
      <c r="F509" s="111"/>
      <c r="G509" s="111"/>
      <c r="H509" s="111"/>
      <c r="I509" s="111"/>
    </row>
    <row r="510" spans="4:9" x14ac:dyDescent="0.25">
      <c r="D510" s="128">
        <v>44905</v>
      </c>
      <c r="E510" s="129">
        <f t="shared" si="17"/>
        <v>8.2193548387096786</v>
      </c>
      <c r="F510" s="111"/>
      <c r="G510" s="111"/>
      <c r="H510" s="111"/>
      <c r="I510" s="111"/>
    </row>
    <row r="511" spans="4:9" x14ac:dyDescent="0.25">
      <c r="D511" s="128">
        <v>44906</v>
      </c>
      <c r="E511" s="129">
        <f t="shared" si="17"/>
        <v>8.2193548387096786</v>
      </c>
      <c r="F511" s="111"/>
      <c r="G511" s="111"/>
      <c r="H511" s="111"/>
      <c r="I511" s="111"/>
    </row>
    <row r="512" spans="4:9" x14ac:dyDescent="0.25">
      <c r="D512" s="128">
        <v>44907</v>
      </c>
      <c r="E512" s="129">
        <f t="shared" si="17"/>
        <v>8.2193548387096786</v>
      </c>
      <c r="F512" s="111"/>
      <c r="G512" s="111"/>
      <c r="H512" s="111"/>
      <c r="I512" s="111"/>
    </row>
    <row r="513" spans="4:9" x14ac:dyDescent="0.25">
      <c r="D513" s="128">
        <v>44908</v>
      </c>
      <c r="E513" s="129">
        <f t="shared" si="17"/>
        <v>8.2193548387096786</v>
      </c>
      <c r="F513" s="111"/>
      <c r="G513" s="111"/>
      <c r="H513" s="111"/>
      <c r="I513" s="111"/>
    </row>
    <row r="514" spans="4:9" x14ac:dyDescent="0.25">
      <c r="D514" s="128">
        <v>44909</v>
      </c>
      <c r="E514" s="129">
        <f t="shared" si="17"/>
        <v>8.2193548387096786</v>
      </c>
      <c r="F514" s="111"/>
      <c r="G514" s="111"/>
      <c r="H514" s="111"/>
      <c r="I514" s="111"/>
    </row>
    <row r="515" spans="4:9" x14ac:dyDescent="0.25">
      <c r="D515" s="128">
        <v>44910</v>
      </c>
      <c r="E515" s="129">
        <f t="shared" si="17"/>
        <v>8.2193548387096786</v>
      </c>
      <c r="F515" s="111"/>
      <c r="G515" s="111"/>
      <c r="H515" s="111"/>
      <c r="I515" s="111"/>
    </row>
    <row r="516" spans="4:9" x14ac:dyDescent="0.25">
      <c r="D516" s="128">
        <v>44911</v>
      </c>
      <c r="E516" s="129">
        <f t="shared" si="17"/>
        <v>8.2193548387096786</v>
      </c>
      <c r="F516" s="111"/>
      <c r="G516" s="111"/>
      <c r="H516" s="111"/>
      <c r="I516" s="111"/>
    </row>
    <row r="517" spans="4:9" x14ac:dyDescent="0.25">
      <c r="D517" s="128">
        <v>44912</v>
      </c>
      <c r="E517" s="129">
        <f t="shared" si="17"/>
        <v>8.2193548387096786</v>
      </c>
      <c r="F517" s="111"/>
      <c r="G517" s="111"/>
      <c r="H517" s="111"/>
      <c r="I517" s="111"/>
    </row>
    <row r="518" spans="4:9" x14ac:dyDescent="0.25">
      <c r="D518" s="128">
        <v>44913</v>
      </c>
      <c r="E518" s="129">
        <f t="shared" si="17"/>
        <v>8.2193548387096786</v>
      </c>
      <c r="F518" s="111"/>
      <c r="G518" s="111"/>
      <c r="H518" s="111"/>
      <c r="I518" s="111"/>
    </row>
    <row r="519" spans="4:9" x14ac:dyDescent="0.25">
      <c r="D519" s="128">
        <v>44914</v>
      </c>
      <c r="E519" s="129">
        <f t="shared" si="17"/>
        <v>8.2193548387096786</v>
      </c>
      <c r="F519" s="111"/>
      <c r="G519" s="111"/>
      <c r="H519" s="111"/>
      <c r="I519" s="111"/>
    </row>
    <row r="520" spans="4:9" x14ac:dyDescent="0.25">
      <c r="D520" s="128">
        <v>44915</v>
      </c>
      <c r="E520" s="129">
        <f t="shared" si="17"/>
        <v>8.2193548387096786</v>
      </c>
      <c r="F520" s="111"/>
      <c r="G520" s="111"/>
      <c r="H520" s="111"/>
      <c r="I520" s="111"/>
    </row>
    <row r="521" spans="4:9" x14ac:dyDescent="0.25">
      <c r="D521" s="128">
        <v>44916</v>
      </c>
      <c r="E521" s="129">
        <f t="shared" si="17"/>
        <v>8.2193548387096786</v>
      </c>
      <c r="F521" s="111"/>
      <c r="G521" s="111"/>
      <c r="H521" s="111"/>
      <c r="I521" s="111"/>
    </row>
    <row r="522" spans="4:9" x14ac:dyDescent="0.25">
      <c r="D522" s="128">
        <v>44917</v>
      </c>
      <c r="E522" s="129">
        <f t="shared" si="17"/>
        <v>8.2193548387096786</v>
      </c>
      <c r="F522" s="111"/>
      <c r="G522" s="111"/>
      <c r="H522" s="111"/>
      <c r="I522" s="111"/>
    </row>
    <row r="523" spans="4:9" x14ac:dyDescent="0.25">
      <c r="D523" s="128">
        <v>44918</v>
      </c>
      <c r="E523" s="129">
        <f t="shared" si="17"/>
        <v>8.2193548387096786</v>
      </c>
      <c r="F523" s="111"/>
      <c r="G523" s="111"/>
      <c r="H523" s="111"/>
      <c r="I523" s="111"/>
    </row>
    <row r="524" spans="4:9" x14ac:dyDescent="0.25">
      <c r="D524" s="128">
        <v>44919</v>
      </c>
      <c r="E524" s="129">
        <f t="shared" si="17"/>
        <v>8.2193548387096786</v>
      </c>
      <c r="F524" s="111"/>
      <c r="G524" s="111"/>
      <c r="H524" s="111"/>
      <c r="I524" s="111"/>
    </row>
    <row r="525" spans="4:9" x14ac:dyDescent="0.25">
      <c r="D525" s="128">
        <v>44920</v>
      </c>
      <c r="E525" s="129">
        <f t="shared" si="17"/>
        <v>8.2193548387096786</v>
      </c>
      <c r="F525" s="111"/>
      <c r="G525" s="111"/>
      <c r="H525" s="111"/>
      <c r="I525" s="111"/>
    </row>
    <row r="526" spans="4:9" x14ac:dyDescent="0.25">
      <c r="D526" s="128">
        <v>44921</v>
      </c>
      <c r="E526" s="129">
        <f t="shared" si="17"/>
        <v>8.2193548387096786</v>
      </c>
      <c r="F526" s="111"/>
      <c r="G526" s="111"/>
      <c r="H526" s="111"/>
      <c r="I526" s="111"/>
    </row>
    <row r="527" spans="4:9" x14ac:dyDescent="0.25">
      <c r="D527" s="128">
        <v>44922</v>
      </c>
      <c r="E527" s="129">
        <f t="shared" si="17"/>
        <v>8.2193548387096786</v>
      </c>
      <c r="F527" s="111"/>
      <c r="G527" s="111"/>
      <c r="H527" s="111"/>
      <c r="I527" s="111"/>
    </row>
    <row r="528" spans="4:9" x14ac:dyDescent="0.25">
      <c r="D528" s="128">
        <v>44923</v>
      </c>
      <c r="E528" s="129">
        <f t="shared" si="17"/>
        <v>8.2193548387096786</v>
      </c>
      <c r="F528" s="111"/>
      <c r="G528" s="111"/>
      <c r="H528" s="111"/>
      <c r="I528" s="111"/>
    </row>
    <row r="529" spans="4:9" x14ac:dyDescent="0.25">
      <c r="D529" s="128">
        <v>44924</v>
      </c>
      <c r="E529" s="129">
        <f t="shared" si="17"/>
        <v>8.2193548387096786</v>
      </c>
      <c r="F529" s="111"/>
      <c r="G529" s="111"/>
      <c r="H529" s="111"/>
      <c r="I529" s="111"/>
    </row>
    <row r="530" spans="4:9" x14ac:dyDescent="0.25">
      <c r="D530" s="128">
        <v>44925</v>
      </c>
      <c r="E530" s="129">
        <f t="shared" si="17"/>
        <v>8.2193548387096786</v>
      </c>
      <c r="F530" s="111"/>
      <c r="G530" s="111"/>
      <c r="H530" s="111"/>
      <c r="I530" s="111"/>
    </row>
    <row r="531" spans="4:9" x14ac:dyDescent="0.25">
      <c r="D531" s="128">
        <v>44926</v>
      </c>
      <c r="E531" s="129">
        <f t="shared" si="17"/>
        <v>8.2193548387096786</v>
      </c>
      <c r="F531" s="111"/>
      <c r="G531" s="111"/>
      <c r="H531" s="111"/>
      <c r="I531" s="111"/>
    </row>
  </sheetData>
  <mergeCells count="14">
    <mergeCell ref="D55:D56"/>
    <mergeCell ref="S10:S11"/>
    <mergeCell ref="E10:P10"/>
    <mergeCell ref="R10:R11"/>
    <mergeCell ref="E55:P55"/>
    <mergeCell ref="Q55:Q56"/>
    <mergeCell ref="M4:S5"/>
    <mergeCell ref="C10:C11"/>
    <mergeCell ref="D10:D11"/>
    <mergeCell ref="Q10:Q11"/>
    <mergeCell ref="D9:F9"/>
    <mergeCell ref="Q6:Q7"/>
    <mergeCell ref="R8:S8"/>
    <mergeCell ref="R6:S7"/>
  </mergeCells>
  <dataValidations count="5">
    <dataValidation type="decimal" operator="greaterThanOrEqual" allowBlank="1" showInputMessage="1" showErrorMessage="1" error="Please enter Numbers more than 0." prompt="Please enter Material Consumption Quantity in Kg" sqref="E12:P50" xr:uid="{99AFB6EB-4D50-4BBE-9568-8EB0C34FEC9D}">
      <formula1>0</formula1>
    </dataValidation>
    <dataValidation type="list" allowBlank="1" showInputMessage="1" showErrorMessage="1" sqref="N7 O7 P7" xr:uid="{0EEFA71C-686A-4BEC-ADB0-9EAC076B8E1A}">
      <formula1>$J$168:$J$171</formula1>
    </dataValidation>
    <dataValidation type="whole" operator="greaterThan" allowBlank="1" showInputMessage="1" showErrorMessage="1" prompt="Please Enter Whole Number" sqref="Q8" xr:uid="{82F1CC34-0DCB-4D35-A99B-DD68E25E00DA}">
      <formula1>0</formula1>
    </dataValidation>
    <dataValidation type="whole" operator="greaterThan" allowBlank="1" showInputMessage="1" showErrorMessage="1" prompt="Enter Values more than 0" sqref="N8:O8" xr:uid="{1EBB6E46-9644-41C0-A5EA-B8AACA25A87A}">
      <formula1>0</formula1>
    </dataValidation>
    <dataValidation type="whole" operator="greaterThan" allowBlank="1" showInputMessage="1" showErrorMessage="1" prompt="Enter whole number greater than 0" sqref="P8" xr:uid="{8B746CD1-4160-4ADE-959D-50A664FC48AD}">
      <formula1>0</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EF15A-0ABA-4962-8643-62B5BE1FEE59}">
  <dimension ref="A1:T73"/>
  <sheetViews>
    <sheetView topLeftCell="A10" workbookViewId="0">
      <selection activeCell="F14" sqref="F14"/>
    </sheetView>
  </sheetViews>
  <sheetFormatPr defaultColWidth="9.28515625" defaultRowHeight="15" x14ac:dyDescent="0.25"/>
  <cols>
    <col min="1" max="1" width="9.28515625" style="1"/>
    <col min="2" max="2" width="5.7109375" style="1" customWidth="1"/>
    <col min="3" max="3" width="9.28515625" style="1"/>
    <col min="4" max="4" width="13.7109375" style="1" customWidth="1"/>
    <col min="5" max="11" width="17" style="1" customWidth="1"/>
    <col min="12" max="13" width="9.28515625" style="1"/>
    <col min="14" max="14" width="2.7109375" style="1" customWidth="1"/>
    <col min="15" max="15" width="5.7109375" style="1" customWidth="1"/>
    <col min="16" max="16" width="5" style="1" customWidth="1"/>
    <col min="17" max="17" width="1.42578125" style="1" customWidth="1"/>
    <col min="18" max="18" width="1.28515625" style="1" customWidth="1"/>
    <col min="19" max="16384" width="9.28515625" style="1"/>
  </cols>
  <sheetData>
    <row r="1" spans="1:20" ht="24.95" customHeight="1" x14ac:dyDescent="0.35">
      <c r="A1" s="375"/>
      <c r="B1" s="375"/>
      <c r="C1" s="375"/>
      <c r="D1" s="375"/>
      <c r="E1" s="375"/>
      <c r="F1" s="375"/>
      <c r="G1" s="376" t="s">
        <v>2341</v>
      </c>
      <c r="H1" s="377"/>
      <c r="I1" s="377"/>
      <c r="J1" s="377"/>
      <c r="K1" s="377"/>
      <c r="L1" s="375"/>
      <c r="M1" s="375"/>
      <c r="N1" s="375"/>
      <c r="O1" s="375"/>
      <c r="P1" s="375"/>
      <c r="Q1" s="375"/>
      <c r="R1" s="375"/>
      <c r="S1" s="135"/>
      <c r="T1" s="135"/>
    </row>
    <row r="3" spans="1:20" x14ac:dyDescent="0.25">
      <c r="E3"/>
    </row>
    <row r="4" spans="1:20" x14ac:dyDescent="0.25">
      <c r="E4"/>
    </row>
    <row r="5" spans="1:20" x14ac:dyDescent="0.25">
      <c r="E5" s="135"/>
    </row>
    <row r="6" spans="1:20" x14ac:dyDescent="0.25">
      <c r="D6" s="65"/>
      <c r="E6" s="949"/>
      <c r="F6" s="949"/>
      <c r="G6" s="949"/>
      <c r="H6" s="949"/>
    </row>
    <row r="11" spans="1:20" x14ac:dyDescent="0.25">
      <c r="D11" s="137"/>
      <c r="E11" s="63"/>
      <c r="F11" s="151"/>
    </row>
    <row r="12" spans="1:20" ht="39" customHeight="1" x14ac:dyDescent="0.25">
      <c r="D12" s="254" t="s">
        <v>82</v>
      </c>
      <c r="E12" s="950" t="s">
        <v>2343</v>
      </c>
      <c r="F12" s="970"/>
      <c r="G12" s="971" t="s">
        <v>2344</v>
      </c>
      <c r="H12" s="972"/>
      <c r="I12" s="950" t="s">
        <v>2348</v>
      </c>
      <c r="J12" s="970"/>
      <c r="K12" s="952" t="s">
        <v>2347</v>
      </c>
    </row>
    <row r="13" spans="1:20" ht="47.25" customHeight="1" x14ac:dyDescent="0.25">
      <c r="D13" s="254" t="s">
        <v>2342</v>
      </c>
      <c r="E13" s="254" t="s">
        <v>2345</v>
      </c>
      <c r="F13" s="254" t="s">
        <v>2346</v>
      </c>
      <c r="G13" s="254" t="s">
        <v>2345</v>
      </c>
      <c r="H13" s="254" t="s">
        <v>2346</v>
      </c>
      <c r="I13" s="254" t="s">
        <v>2345</v>
      </c>
      <c r="J13" s="254" t="s">
        <v>2346</v>
      </c>
      <c r="K13" s="953"/>
    </row>
    <row r="14" spans="1:20" x14ac:dyDescent="0.25">
      <c r="D14" s="255" t="str">
        <f>'Project Emission Distribution'!D25</f>
        <v>A201</v>
      </c>
      <c r="E14" s="822">
        <v>25</v>
      </c>
      <c r="F14" s="823">
        <v>250</v>
      </c>
      <c r="G14" s="822"/>
      <c r="H14" s="823"/>
      <c r="I14" s="822"/>
      <c r="J14" s="823"/>
      <c r="K14" s="813">
        <f>$E14*$F14*'GWP &amp; Emission Factors '!$D$117+$G14*$H14*'GWP &amp; Emission Factors '!$D$114+$I14*$J14*'GWP &amp; Emission Factors '!$D$111</f>
        <v>0.82424375000000005</v>
      </c>
    </row>
    <row r="15" spans="1:20" x14ac:dyDescent="0.25">
      <c r="D15" s="255" t="str">
        <f>'Project Emission Distribution'!D26</f>
        <v>AN02</v>
      </c>
      <c r="E15" s="822"/>
      <c r="F15" s="823"/>
      <c r="G15" s="822"/>
      <c r="H15" s="823"/>
      <c r="I15" s="822"/>
      <c r="J15" s="823"/>
      <c r="K15" s="813">
        <f>$E15*$F15*'GWP &amp; Emission Factors '!$D$117+$G15*$H15*'GWP &amp; Emission Factors '!$D$114+$I15*$J15*'GWP &amp; Emission Factors '!$D$111</f>
        <v>0</v>
      </c>
    </row>
    <row r="16" spans="1:20" x14ac:dyDescent="0.25">
      <c r="D16" s="255" t="str">
        <f>'Project Emission Distribution'!D27</f>
        <v>AN03</v>
      </c>
      <c r="E16" s="822"/>
      <c r="F16" s="823"/>
      <c r="G16" s="822"/>
      <c r="H16" s="823"/>
      <c r="I16" s="822"/>
      <c r="J16" s="823"/>
      <c r="K16" s="813">
        <f>$E16*$F16*'GWP &amp; Emission Factors '!$D$117+$G16*$H16*'GWP &amp; Emission Factors '!$D$114+$I16*$J16*'GWP &amp; Emission Factors '!$D$111</f>
        <v>0</v>
      </c>
    </row>
    <row r="17" spans="4:11" x14ac:dyDescent="0.25">
      <c r="D17" s="255" t="str">
        <f>'Project Emission Distribution'!D28</f>
        <v>AN04</v>
      </c>
      <c r="E17" s="822"/>
      <c r="F17" s="823"/>
      <c r="G17" s="822"/>
      <c r="H17" s="823"/>
      <c r="I17" s="822"/>
      <c r="J17" s="823"/>
      <c r="K17" s="813">
        <f>$E17*$F17*'GWP &amp; Emission Factors '!$D$117+$G17*$H17*'GWP &amp; Emission Factors '!$D$114+$I17*$J17*'GWP &amp; Emission Factors '!$D$111</f>
        <v>0</v>
      </c>
    </row>
    <row r="18" spans="4:11" x14ac:dyDescent="0.25">
      <c r="D18" s="255" t="str">
        <f>'Project Emission Distribution'!D29</f>
        <v>AN05</v>
      </c>
      <c r="E18" s="822"/>
      <c r="F18" s="823"/>
      <c r="G18" s="822"/>
      <c r="H18" s="823"/>
      <c r="I18" s="822"/>
      <c r="J18" s="823"/>
      <c r="K18" s="813">
        <f>$E18*$F18*'GWP &amp; Emission Factors '!$D$117+$G18*$H18*'GWP &amp; Emission Factors '!$D$114+$I18*$J18*'GWP &amp; Emission Factors '!$D$111</f>
        <v>0</v>
      </c>
    </row>
    <row r="19" spans="4:11" x14ac:dyDescent="0.25">
      <c r="D19" s="255" t="str">
        <f>'Project Emission Distribution'!D30</f>
        <v>AN06</v>
      </c>
      <c r="E19" s="822"/>
      <c r="F19" s="823"/>
      <c r="G19" s="822"/>
      <c r="H19" s="823"/>
      <c r="I19" s="822"/>
      <c r="J19" s="823"/>
      <c r="K19" s="813">
        <f>$E19*$F19*'GWP &amp; Emission Factors '!$D$117+$G19*$H19*'GWP &amp; Emission Factors '!$D$114+$I19*$J19*'GWP &amp; Emission Factors '!$D$111</f>
        <v>0</v>
      </c>
    </row>
    <row r="20" spans="4:11" x14ac:dyDescent="0.25">
      <c r="D20" s="255" t="str">
        <f>'Project Emission Distribution'!D31</f>
        <v>AN07</v>
      </c>
      <c r="E20" s="822"/>
      <c r="F20" s="823"/>
      <c r="G20" s="822"/>
      <c r="H20" s="823"/>
      <c r="I20" s="822"/>
      <c r="J20" s="823"/>
      <c r="K20" s="813">
        <f>$E20*$F20*'GWP &amp; Emission Factors '!$D$117+$G20*$H20*'GWP &amp; Emission Factors '!$D$114+$I20*$J20*'GWP &amp; Emission Factors '!$D$111</f>
        <v>0</v>
      </c>
    </row>
    <row r="21" spans="4:11" x14ac:dyDescent="0.25">
      <c r="D21" s="255" t="str">
        <f>'Project Emission Distribution'!D32</f>
        <v>AN08</v>
      </c>
      <c r="E21" s="822"/>
      <c r="F21" s="823"/>
      <c r="G21" s="822"/>
      <c r="H21" s="823"/>
      <c r="I21" s="822"/>
      <c r="J21" s="823"/>
      <c r="K21" s="813">
        <f>$E21*$F21*'GWP &amp; Emission Factors '!$D$117+$G21*$H21*'GWP &amp; Emission Factors '!$D$114+$I21*$J21*'GWP &amp; Emission Factors '!$D$111</f>
        <v>0</v>
      </c>
    </row>
    <row r="22" spans="4:11" x14ac:dyDescent="0.25">
      <c r="D22" s="255" t="str">
        <f>'Project Emission Distribution'!D33</f>
        <v>AN09</v>
      </c>
      <c r="E22" s="822"/>
      <c r="F22" s="823"/>
      <c r="G22" s="822"/>
      <c r="H22" s="823"/>
      <c r="I22" s="822"/>
      <c r="J22" s="823"/>
      <c r="K22" s="813">
        <f>$E22*$F22*'GWP &amp; Emission Factors '!$D$117+$G22*$H22*'GWP &amp; Emission Factors '!$D$114+$I22*$J22*'GWP &amp; Emission Factors '!$D$111</f>
        <v>0</v>
      </c>
    </row>
    <row r="23" spans="4:11" x14ac:dyDescent="0.25">
      <c r="D23" s="255" t="str">
        <f>'Project Emission Distribution'!D34</f>
        <v>AN10</v>
      </c>
      <c r="E23" s="822"/>
      <c r="F23" s="823"/>
      <c r="G23" s="822"/>
      <c r="H23" s="823"/>
      <c r="I23" s="822"/>
      <c r="J23" s="823"/>
      <c r="K23" s="813">
        <f>$E23*$F23*'GWP &amp; Emission Factors '!$D$117+$G23*$H23*'GWP &amp; Emission Factors '!$D$114+$I23*$J23*'GWP &amp; Emission Factors '!$D$111</f>
        <v>0</v>
      </c>
    </row>
    <row r="24" spans="4:11" x14ac:dyDescent="0.25">
      <c r="D24" s="255" t="str">
        <f>'Project Emission Distribution'!D35</f>
        <v>AN11</v>
      </c>
      <c r="E24" s="822"/>
      <c r="F24" s="823"/>
      <c r="G24" s="822"/>
      <c r="H24" s="823"/>
      <c r="I24" s="822"/>
      <c r="J24" s="823"/>
      <c r="K24" s="813">
        <f>$E24*$F24*'GWP &amp; Emission Factors '!$D$117+$G24*$H24*'GWP &amp; Emission Factors '!$D$114+$I24*$J24*'GWP &amp; Emission Factors '!$D$111</f>
        <v>0</v>
      </c>
    </row>
    <row r="25" spans="4:11" x14ac:dyDescent="0.25">
      <c r="D25" s="255" t="str">
        <f>'Project Emission Distribution'!D36</f>
        <v>AN12</v>
      </c>
      <c r="E25" s="822"/>
      <c r="F25" s="823"/>
      <c r="G25" s="822"/>
      <c r="H25" s="823"/>
      <c r="I25" s="822"/>
      <c r="J25" s="823"/>
      <c r="K25" s="813">
        <f>$E25*$F25*'GWP &amp; Emission Factors '!$D$117+$G25*$H25*'GWP &amp; Emission Factors '!$D$114+$I25*$J25*'GWP &amp; Emission Factors '!$D$111</f>
        <v>0</v>
      </c>
    </row>
    <row r="26" spans="4:11" x14ac:dyDescent="0.25">
      <c r="D26" s="255" t="str">
        <f>'Project Emission Distribution'!D37</f>
        <v>AN13</v>
      </c>
      <c r="E26" s="822"/>
      <c r="F26" s="823"/>
      <c r="G26" s="822"/>
      <c r="H26" s="823"/>
      <c r="I26" s="822"/>
      <c r="J26" s="823"/>
      <c r="K26" s="813">
        <f>$E26*$F26*'GWP &amp; Emission Factors '!$D$117+$G26*$H26*'GWP &amp; Emission Factors '!$D$114+$I26*$J26*'GWP &amp; Emission Factors '!$D$111</f>
        <v>0</v>
      </c>
    </row>
    <row r="27" spans="4:11" x14ac:dyDescent="0.25">
      <c r="D27" s="255" t="str">
        <f>'Project Emission Distribution'!D38</f>
        <v>AN14</v>
      </c>
      <c r="E27" s="822"/>
      <c r="F27" s="823"/>
      <c r="G27" s="822"/>
      <c r="H27" s="823"/>
      <c r="I27" s="822"/>
      <c r="J27" s="823"/>
      <c r="K27" s="813">
        <f>$E27*$F27*'GWP &amp; Emission Factors '!$D$117+$G27*$H27*'GWP &amp; Emission Factors '!$D$114+$I27*$J27*'GWP &amp; Emission Factors '!$D$111</f>
        <v>0</v>
      </c>
    </row>
    <row r="28" spans="4:11" x14ac:dyDescent="0.25">
      <c r="D28" s="255" t="str">
        <f>'Project Emission Distribution'!D39</f>
        <v>AN15</v>
      </c>
      <c r="E28" s="822"/>
      <c r="F28" s="823"/>
      <c r="G28" s="822"/>
      <c r="H28" s="823"/>
      <c r="I28" s="822"/>
      <c r="J28" s="823"/>
      <c r="K28" s="813">
        <f>$E28*$F28*'GWP &amp; Emission Factors '!$D$117+$G28*$H28*'GWP &amp; Emission Factors '!$D$114+$I28*$J28*'GWP &amp; Emission Factors '!$D$111</f>
        <v>0</v>
      </c>
    </row>
    <row r="29" spans="4:11" x14ac:dyDescent="0.25">
      <c r="D29" s="255" t="str">
        <f>'Project Emission Distribution'!D40</f>
        <v>AN16</v>
      </c>
      <c r="E29" s="822"/>
      <c r="F29" s="823"/>
      <c r="G29" s="822"/>
      <c r="H29" s="823"/>
      <c r="I29" s="822"/>
      <c r="J29" s="823"/>
      <c r="K29" s="813">
        <f>$E29*$F29*'GWP &amp; Emission Factors '!$D$117+$G29*$H29*'GWP &amp; Emission Factors '!$D$114+$I29*$J29*'GWP &amp; Emission Factors '!$D$111</f>
        <v>0</v>
      </c>
    </row>
    <row r="30" spans="4:11" x14ac:dyDescent="0.25">
      <c r="D30" s="255" t="str">
        <f>'Project Emission Distribution'!D41</f>
        <v>AN17</v>
      </c>
      <c r="E30" s="822"/>
      <c r="F30" s="823"/>
      <c r="G30" s="822"/>
      <c r="H30" s="823"/>
      <c r="I30" s="822"/>
      <c r="J30" s="823"/>
      <c r="K30" s="813">
        <f>$E30*$F30*'GWP &amp; Emission Factors '!$D$117+$G30*$H30*'GWP &amp; Emission Factors '!$D$114+$I30*$J30*'GWP &amp; Emission Factors '!$D$111</f>
        <v>0</v>
      </c>
    </row>
    <row r="31" spans="4:11" x14ac:dyDescent="0.25">
      <c r="D31" s="255" t="str">
        <f>'Project Emission Distribution'!D42</f>
        <v>AN18</v>
      </c>
      <c r="E31" s="822"/>
      <c r="F31" s="823"/>
      <c r="G31" s="822"/>
      <c r="H31" s="823"/>
      <c r="I31" s="822"/>
      <c r="J31" s="823"/>
      <c r="K31" s="813">
        <f>$E31*$F31*'GWP &amp; Emission Factors '!$D$117+$G31*$H31*'GWP &amp; Emission Factors '!$D$114+$I31*$J31*'GWP &amp; Emission Factors '!$D$111</f>
        <v>0</v>
      </c>
    </row>
    <row r="32" spans="4:11" x14ac:dyDescent="0.25">
      <c r="D32" s="255" t="str">
        <f>'Project Emission Distribution'!D43</f>
        <v>AN19</v>
      </c>
      <c r="E32" s="822"/>
      <c r="F32" s="823"/>
      <c r="G32" s="822"/>
      <c r="H32" s="823"/>
      <c r="I32" s="822"/>
      <c r="J32" s="823"/>
      <c r="K32" s="813">
        <f>$E32*$F32*'GWP &amp; Emission Factors '!$D$117+$G32*$H32*'GWP &amp; Emission Factors '!$D$114+$I32*$J32*'GWP &amp; Emission Factors '!$D$111</f>
        <v>0</v>
      </c>
    </row>
    <row r="33" spans="4:11" x14ac:dyDescent="0.25">
      <c r="D33" s="255" t="str">
        <f>'Project Emission Distribution'!D44</f>
        <v>AN20</v>
      </c>
      <c r="E33" s="822"/>
      <c r="F33" s="823"/>
      <c r="G33" s="822"/>
      <c r="H33" s="823"/>
      <c r="I33" s="822"/>
      <c r="J33" s="823"/>
      <c r="K33" s="813">
        <f>$E33*$F33*'GWP &amp; Emission Factors '!$D$117+$G33*$H33*'GWP &amp; Emission Factors '!$D$114+$I33*$J33*'GWP &amp; Emission Factors '!$D$111</f>
        <v>0</v>
      </c>
    </row>
    <row r="34" spans="4:11" x14ac:dyDescent="0.25">
      <c r="D34" s="255" t="str">
        <f>'Project Emission Distribution'!D45</f>
        <v>AN21</v>
      </c>
      <c r="E34" s="822"/>
      <c r="F34" s="823"/>
      <c r="G34" s="822"/>
      <c r="H34" s="823"/>
      <c r="I34" s="822"/>
      <c r="J34" s="823"/>
      <c r="K34" s="813">
        <f>$E34*$F34*'GWP &amp; Emission Factors '!$D$117+$G34*$H34*'GWP &amp; Emission Factors '!$D$114+$I34*$J34*'GWP &amp; Emission Factors '!$D$111</f>
        <v>0</v>
      </c>
    </row>
    <row r="35" spans="4:11" x14ac:dyDescent="0.25">
      <c r="D35" s="255" t="str">
        <f>'Project Emission Distribution'!D46</f>
        <v>AN22</v>
      </c>
      <c r="E35" s="822"/>
      <c r="F35" s="823"/>
      <c r="G35" s="822"/>
      <c r="H35" s="823"/>
      <c r="I35" s="822"/>
      <c r="J35" s="823"/>
      <c r="K35" s="813">
        <f>$E35*$F35*'GWP &amp; Emission Factors '!$D$117+$G35*$H35*'GWP &amp; Emission Factors '!$D$114+$I35*$J35*'GWP &amp; Emission Factors '!$D$111</f>
        <v>0</v>
      </c>
    </row>
    <row r="36" spans="4:11" x14ac:dyDescent="0.25">
      <c r="D36" s="255" t="str">
        <f>'Project Emission Distribution'!D47</f>
        <v>AN23</v>
      </c>
      <c r="E36" s="822"/>
      <c r="F36" s="822"/>
      <c r="G36" s="822"/>
      <c r="H36" s="822"/>
      <c r="I36" s="822"/>
      <c r="J36" s="822"/>
      <c r="K36" s="813">
        <f>$E36*$F36*'GWP &amp; Emission Factors '!$D$117+$G36*$H36*'GWP &amp; Emission Factors '!$D$114+$I36*$J36*'GWP &amp; Emission Factors '!$D$111</f>
        <v>0</v>
      </c>
    </row>
    <row r="37" spans="4:11" ht="13.5" customHeight="1" x14ac:dyDescent="0.25">
      <c r="D37" s="255" t="str">
        <f>'Project Emission Distribution'!D48</f>
        <v>AN24</v>
      </c>
      <c r="E37" s="822"/>
      <c r="F37" s="822"/>
      <c r="G37" s="822"/>
      <c r="H37" s="822"/>
      <c r="I37" s="822"/>
      <c r="J37" s="822"/>
      <c r="K37" s="813">
        <f>$E37*$F37*'GWP &amp; Emission Factors '!$D$117+$G37*$H37*'GWP &amp; Emission Factors '!$D$114+$I37*$J37*'GWP &amp; Emission Factors '!$D$111</f>
        <v>0</v>
      </c>
    </row>
    <row r="38" spans="4:11" x14ac:dyDescent="0.25">
      <c r="D38" s="255" t="str">
        <f>'Project Emission Distribution'!D49</f>
        <v>AN25</v>
      </c>
      <c r="E38" s="824"/>
      <c r="F38" s="824"/>
      <c r="G38" s="824"/>
      <c r="H38" s="824"/>
      <c r="I38" s="824"/>
      <c r="J38" s="824"/>
      <c r="K38" s="813">
        <f>$E38*$F38*'GWP &amp; Emission Factors '!$D$117+$G38*$H38*'GWP &amp; Emission Factors '!$D$114+$I38*$J38*'GWP &amp; Emission Factors '!$D$111</f>
        <v>0</v>
      </c>
    </row>
    <row r="39" spans="4:11" x14ac:dyDescent="0.25">
      <c r="D39" s="255" t="str">
        <f>'Project Emission Distribution'!D50</f>
        <v>AN26</v>
      </c>
      <c r="E39" s="823"/>
      <c r="F39" s="824"/>
      <c r="G39" s="823"/>
      <c r="H39" s="824"/>
      <c r="I39" s="823"/>
      <c r="J39" s="824"/>
      <c r="K39" s="813">
        <f>$E39*$F39*'GWP &amp; Emission Factors '!$D$117+$G39*$H39*'GWP &amp; Emission Factors '!$D$114+$I39*$J39*'GWP &amp; Emission Factors '!$D$111</f>
        <v>0</v>
      </c>
    </row>
    <row r="40" spans="4:11" x14ac:dyDescent="0.25">
      <c r="D40" s="255" t="str">
        <f>'Project Emission Distribution'!D51</f>
        <v>AN27</v>
      </c>
      <c r="E40" s="825"/>
      <c r="F40" s="825"/>
      <c r="G40" s="825"/>
      <c r="H40" s="825"/>
      <c r="I40" s="825"/>
      <c r="J40" s="825"/>
      <c r="K40" s="813">
        <f>$E40*$F40*'GWP &amp; Emission Factors '!$D$117+$G40*$H40*'GWP &amp; Emission Factors '!$D$114+$I40*$J40*'GWP &amp; Emission Factors '!$D$111</f>
        <v>0</v>
      </c>
    </row>
    <row r="41" spans="4:11" x14ac:dyDescent="0.25">
      <c r="D41" s="255" t="str">
        <f>'Project Emission Distribution'!D52</f>
        <v>AN28</v>
      </c>
      <c r="E41" s="823"/>
      <c r="F41" s="823"/>
      <c r="G41" s="823"/>
      <c r="H41" s="823"/>
      <c r="I41" s="823"/>
      <c r="J41" s="823"/>
      <c r="K41" s="813">
        <f>$E41*$F41*'GWP &amp; Emission Factors '!$D$117+$G41*$H41*'GWP &amp; Emission Factors '!$D$114+$I41*$J41*'GWP &amp; Emission Factors '!$D$111</f>
        <v>0</v>
      </c>
    </row>
    <row r="42" spans="4:11" x14ac:dyDescent="0.25">
      <c r="D42" s="255" t="str">
        <f>'Project Emission Distribution'!D53</f>
        <v>AN29</v>
      </c>
      <c r="E42" s="822"/>
      <c r="F42" s="822"/>
      <c r="G42" s="822"/>
      <c r="H42" s="822"/>
      <c r="I42" s="822"/>
      <c r="J42" s="822"/>
      <c r="K42" s="813">
        <f>$E42*$F42*'GWP &amp; Emission Factors '!$D$117+$G42*$H42*'GWP &amp; Emission Factors '!$D$114+$I42*$J42*'GWP &amp; Emission Factors '!$D$111</f>
        <v>0</v>
      </c>
    </row>
    <row r="43" spans="4:11" x14ac:dyDescent="0.25">
      <c r="D43" s="255" t="str">
        <f>'Project Emission Distribution'!D54</f>
        <v>AN30</v>
      </c>
      <c r="E43" s="822"/>
      <c r="F43" s="822"/>
      <c r="G43" s="822"/>
      <c r="H43" s="822"/>
      <c r="I43" s="822"/>
      <c r="J43" s="822"/>
      <c r="K43" s="813">
        <f>$E43*$F43*'GWP &amp; Emission Factors '!$D$117+$G43*$H43*'GWP &amp; Emission Factors '!$D$114+$I43*$J43*'GWP &amp; Emission Factors '!$D$111</f>
        <v>0</v>
      </c>
    </row>
    <row r="44" spans="4:11" x14ac:dyDescent="0.25">
      <c r="D44" s="255" t="str">
        <f>'Project Emission Distribution'!D55</f>
        <v>AN31</v>
      </c>
      <c r="E44" s="822"/>
      <c r="F44" s="822"/>
      <c r="G44" s="822"/>
      <c r="H44" s="822"/>
      <c r="I44" s="822"/>
      <c r="J44" s="822"/>
      <c r="K44" s="813">
        <f>$E44*$F44*'GWP &amp; Emission Factors '!$D$117+$G44*$H44*'GWP &amp; Emission Factors '!$D$114+$I44*$J44*'GWP &amp; Emission Factors '!$D$111</f>
        <v>0</v>
      </c>
    </row>
    <row r="45" spans="4:11" x14ac:dyDescent="0.25">
      <c r="D45" s="255" t="str">
        <f>'Project Emission Distribution'!D56</f>
        <v>AN32</v>
      </c>
      <c r="E45" s="822"/>
      <c r="F45" s="822"/>
      <c r="G45" s="822"/>
      <c r="H45" s="822"/>
      <c r="I45" s="822"/>
      <c r="J45" s="822"/>
      <c r="K45" s="813">
        <f>$E45*$F45*'GWP &amp; Emission Factors '!$D$117+$G45*$H45*'GWP &amp; Emission Factors '!$D$114+$I45*$J45*'GWP &amp; Emission Factors '!$D$111</f>
        <v>0</v>
      </c>
    </row>
    <row r="46" spans="4:11" x14ac:dyDescent="0.25">
      <c r="D46" s="255" t="str">
        <f>'Project Emission Distribution'!D57</f>
        <v>AN33</v>
      </c>
      <c r="E46" s="822"/>
      <c r="F46" s="822"/>
      <c r="G46" s="822"/>
      <c r="H46" s="822"/>
      <c r="I46" s="822"/>
      <c r="J46" s="822"/>
      <c r="K46" s="813">
        <f>$E46*$F46*'GWP &amp; Emission Factors '!$D$117+$G46*$H46*'GWP &amp; Emission Factors '!$D$114+$I46*$J46*'GWP &amp; Emission Factors '!$D$111</f>
        <v>0</v>
      </c>
    </row>
    <row r="47" spans="4:11" x14ac:dyDescent="0.25">
      <c r="D47" s="255" t="str">
        <f>'Project Emission Distribution'!D58</f>
        <v>AN34</v>
      </c>
      <c r="E47" s="822"/>
      <c r="F47" s="822"/>
      <c r="G47" s="822"/>
      <c r="H47" s="822"/>
      <c r="I47" s="822"/>
      <c r="J47" s="822"/>
      <c r="K47" s="813">
        <f>$E47*$F47*'GWP &amp; Emission Factors '!$D$117+$G47*$H47*'GWP &amp; Emission Factors '!$D$114+$I47*$J47*'GWP &amp; Emission Factors '!$D$111</f>
        <v>0</v>
      </c>
    </row>
    <row r="48" spans="4:11" x14ac:dyDescent="0.25">
      <c r="D48" s="255" t="str">
        <f>'Project Emission Distribution'!D59</f>
        <v>AN35</v>
      </c>
      <c r="E48" s="822"/>
      <c r="F48" s="822"/>
      <c r="G48" s="822"/>
      <c r="H48" s="822"/>
      <c r="I48" s="822"/>
      <c r="J48" s="822"/>
      <c r="K48" s="813">
        <f>$E48*$F48*'GWP &amp; Emission Factors '!$D$117+$G48*$H48*'GWP &amp; Emission Factors '!$D$114+$I48*$J48*'GWP &amp; Emission Factors '!$D$111</f>
        <v>0</v>
      </c>
    </row>
    <row r="49" spans="4:11" x14ac:dyDescent="0.25">
      <c r="D49" s="255" t="str">
        <f>'Project Emission Distribution'!D60</f>
        <v>AN36</v>
      </c>
      <c r="E49" s="822"/>
      <c r="F49" s="822"/>
      <c r="G49" s="822"/>
      <c r="H49" s="822"/>
      <c r="I49" s="822"/>
      <c r="J49" s="822"/>
      <c r="K49" s="813">
        <f>$E49*$F49*'GWP &amp; Emission Factors '!$D$117+$G49*$H49*'GWP &amp; Emission Factors '!$D$114+$I49*$J49*'GWP &amp; Emission Factors '!$D$111</f>
        <v>0</v>
      </c>
    </row>
    <row r="50" spans="4:11" x14ac:dyDescent="0.25">
      <c r="D50" s="255" t="str">
        <f>'Project Emission Distribution'!D61</f>
        <v>AN37</v>
      </c>
      <c r="E50" s="822"/>
      <c r="F50" s="822"/>
      <c r="G50" s="822"/>
      <c r="H50" s="822"/>
      <c r="I50" s="822"/>
      <c r="J50" s="822"/>
      <c r="K50" s="813">
        <f>$E50*$F50*'GWP &amp; Emission Factors '!$D$117+$G50*$H50*'GWP &amp; Emission Factors '!$D$114+$I50*$J50*'GWP &amp; Emission Factors '!$D$111</f>
        <v>0</v>
      </c>
    </row>
    <row r="51" spans="4:11" x14ac:dyDescent="0.25">
      <c r="D51" s="255" t="str">
        <f>'Project Emission Distribution'!D62</f>
        <v>AN38</v>
      </c>
      <c r="E51" s="822"/>
      <c r="F51" s="822"/>
      <c r="G51" s="822"/>
      <c r="H51" s="822"/>
      <c r="I51" s="822"/>
      <c r="J51" s="822"/>
      <c r="K51" s="813">
        <f>$E51*$F51*'GWP &amp; Emission Factors '!$D$117+$G51*$H51*'GWP &amp; Emission Factors '!$D$114+$I51*$J51*'GWP &amp; Emission Factors '!$D$111</f>
        <v>0</v>
      </c>
    </row>
    <row r="52" spans="4:11" x14ac:dyDescent="0.25">
      <c r="D52" s="255" t="str">
        <f>'Project Emission Distribution'!D63</f>
        <v>AN39</v>
      </c>
      <c r="E52" s="822"/>
      <c r="F52" s="822"/>
      <c r="G52" s="822"/>
      <c r="H52" s="822"/>
      <c r="I52" s="822"/>
      <c r="J52" s="822"/>
      <c r="K52" s="813">
        <f>$E52*$F52*'GWP &amp; Emission Factors '!$D$117+$G52*$H52*'GWP &amp; Emission Factors '!$D$114+$I52*$J52*'GWP &amp; Emission Factors '!$D$111</f>
        <v>0</v>
      </c>
    </row>
    <row r="53" spans="4:11" x14ac:dyDescent="0.25">
      <c r="D53" s="255" t="str">
        <f>'Project Emission Distribution'!D64</f>
        <v>AN40</v>
      </c>
      <c r="E53" s="822"/>
      <c r="F53" s="822"/>
      <c r="G53" s="822"/>
      <c r="H53" s="822"/>
      <c r="I53" s="822"/>
      <c r="J53" s="822"/>
      <c r="K53" s="813">
        <f>$E53*$F53*'GWP &amp; Emission Factors '!$D$117+$G53*$H53*'GWP &amp; Emission Factors '!$D$114+$I53*$J53*'GWP &amp; Emission Factors '!$D$111</f>
        <v>0</v>
      </c>
    </row>
    <row r="54" spans="4:11" x14ac:dyDescent="0.25">
      <c r="D54" s="255" t="str">
        <f>'Project Emission Distribution'!D65</f>
        <v>AN41</v>
      </c>
      <c r="E54" s="822"/>
      <c r="F54" s="822"/>
      <c r="G54" s="822"/>
      <c r="H54" s="822"/>
      <c r="I54" s="822"/>
      <c r="J54" s="822"/>
      <c r="K54" s="813">
        <f>$E54*$F54*'GWP &amp; Emission Factors '!$D$117+$G54*$H54*'GWP &amp; Emission Factors '!$D$114+$I54*$J54*'GWP &amp; Emission Factors '!$D$111</f>
        <v>0</v>
      </c>
    </row>
    <row r="55" spans="4:11" x14ac:dyDescent="0.25">
      <c r="D55" s="255" t="str">
        <f>'Project Emission Distribution'!D66</f>
        <v>AN42</v>
      </c>
      <c r="E55" s="822"/>
      <c r="F55" s="822"/>
      <c r="G55" s="822"/>
      <c r="H55" s="822"/>
      <c r="I55" s="822"/>
      <c r="J55" s="822"/>
      <c r="K55" s="813">
        <f>$E55*$F55*'GWP &amp; Emission Factors '!$D$117+$G55*$H55*'GWP &amp; Emission Factors '!$D$114+$I55*$J55*'GWP &amp; Emission Factors '!$D$111</f>
        <v>0</v>
      </c>
    </row>
    <row r="56" spans="4:11" x14ac:dyDescent="0.25">
      <c r="D56" s="255" t="str">
        <f>'Project Emission Distribution'!D67</f>
        <v>AN43</v>
      </c>
      <c r="E56" s="822"/>
      <c r="F56" s="822"/>
      <c r="G56" s="822"/>
      <c r="H56" s="822"/>
      <c r="I56" s="822"/>
      <c r="J56" s="822"/>
      <c r="K56" s="813">
        <f>$E56*$F56*'GWP &amp; Emission Factors '!$D$117+$G56*$H56*'GWP &amp; Emission Factors '!$D$114+$I56*$J56*'GWP &amp; Emission Factors '!$D$111</f>
        <v>0</v>
      </c>
    </row>
    <row r="57" spans="4:11" x14ac:dyDescent="0.25">
      <c r="D57" s="255" t="str">
        <f>'Project Emission Distribution'!D68</f>
        <v>AN44</v>
      </c>
      <c r="E57" s="822"/>
      <c r="F57" s="822"/>
      <c r="G57" s="822"/>
      <c r="H57" s="822"/>
      <c r="I57" s="822"/>
      <c r="J57" s="822"/>
      <c r="K57" s="813">
        <f>$E57*$F57*'GWP &amp; Emission Factors '!$D$117+$G57*$H57*'GWP &amp; Emission Factors '!$D$114+$I57*$J57*'GWP &amp; Emission Factors '!$D$111</f>
        <v>0</v>
      </c>
    </row>
    <row r="58" spans="4:11" x14ac:dyDescent="0.25">
      <c r="D58" s="255" t="str">
        <f>'Project Emission Distribution'!D69</f>
        <v>AN45</v>
      </c>
      <c r="E58" s="822"/>
      <c r="F58" s="822"/>
      <c r="G58" s="822"/>
      <c r="H58" s="822"/>
      <c r="I58" s="822"/>
      <c r="J58" s="822"/>
      <c r="K58" s="813">
        <f>$E58*$F58*'GWP &amp; Emission Factors '!$D$117+$G58*$H58*'GWP &amp; Emission Factors '!$D$114+$I58*$J58*'GWP &amp; Emission Factors '!$D$111</f>
        <v>0</v>
      </c>
    </row>
    <row r="59" spans="4:11" x14ac:dyDescent="0.25">
      <c r="D59" s="255" t="str">
        <f>'Project Emission Distribution'!D70</f>
        <v>AN46</v>
      </c>
      <c r="E59" s="822"/>
      <c r="F59" s="822"/>
      <c r="G59" s="822"/>
      <c r="H59" s="822"/>
      <c r="I59" s="822"/>
      <c r="J59" s="822"/>
      <c r="K59" s="813">
        <f>$E59*$F59*'GWP &amp; Emission Factors '!$D$117+$G59*$H59*'GWP &amp; Emission Factors '!$D$114+$I59*$J59*'GWP &amp; Emission Factors '!$D$111</f>
        <v>0</v>
      </c>
    </row>
    <row r="60" spans="4:11" x14ac:dyDescent="0.25">
      <c r="D60" s="255" t="str">
        <f>'Project Emission Distribution'!D71</f>
        <v>AN47</v>
      </c>
      <c r="E60" s="822"/>
      <c r="F60" s="822"/>
      <c r="G60" s="822"/>
      <c r="H60" s="822"/>
      <c r="I60" s="822"/>
      <c r="J60" s="822"/>
      <c r="K60" s="813">
        <f>$E60*$F60*'GWP &amp; Emission Factors '!$D$117+$G60*$H60*'GWP &amp; Emission Factors '!$D$114+$I60*$J60*'GWP &amp; Emission Factors '!$D$111</f>
        <v>0</v>
      </c>
    </row>
    <row r="61" spans="4:11" x14ac:dyDescent="0.25">
      <c r="D61" s="255" t="str">
        <f>'Project Emission Distribution'!D72</f>
        <v>AN48</v>
      </c>
      <c r="E61" s="822"/>
      <c r="F61" s="822"/>
      <c r="G61" s="822"/>
      <c r="H61" s="822"/>
      <c r="I61" s="822"/>
      <c r="J61" s="822"/>
      <c r="K61" s="813">
        <f>$E61*$F61*'GWP &amp; Emission Factors '!$D$117+$G61*$H61*'GWP &amp; Emission Factors '!$D$114+$I61*$J61*'GWP &amp; Emission Factors '!$D$111</f>
        <v>0</v>
      </c>
    </row>
    <row r="62" spans="4:11" x14ac:dyDescent="0.25">
      <c r="D62" s="255" t="str">
        <f>'Project Emission Distribution'!D73</f>
        <v>AN49</v>
      </c>
      <c r="E62" s="822"/>
      <c r="F62" s="822"/>
      <c r="G62" s="822"/>
      <c r="H62" s="822"/>
      <c r="I62" s="822"/>
      <c r="J62" s="822"/>
      <c r="K62" s="813">
        <f>$E62*$F62*'GWP &amp; Emission Factors '!$D$117+$G62*$H62*'GWP &amp; Emission Factors '!$D$114+$I62*$J62*'GWP &amp; Emission Factors '!$D$111</f>
        <v>0</v>
      </c>
    </row>
    <row r="63" spans="4:11" x14ac:dyDescent="0.25">
      <c r="D63" s="255" t="str">
        <f>'Project Emission Distribution'!D74</f>
        <v>AN50</v>
      </c>
      <c r="E63" s="822"/>
      <c r="F63" s="822"/>
      <c r="G63" s="822"/>
      <c r="H63" s="822"/>
      <c r="I63" s="822"/>
      <c r="J63" s="822"/>
      <c r="K63" s="813">
        <f>$E63*$F63*'GWP &amp; Emission Factors '!$D$117+$G63*$H63*'GWP &amp; Emission Factors '!$D$114+$I63*$J63*'GWP &amp; Emission Factors '!$D$111</f>
        <v>0</v>
      </c>
    </row>
    <row r="64" spans="4:11" x14ac:dyDescent="0.25">
      <c r="D64" s="255" t="str">
        <f>'Project Emission Distribution'!D75</f>
        <v>AN51</v>
      </c>
      <c r="E64" s="822"/>
      <c r="F64" s="822"/>
      <c r="G64" s="822"/>
      <c r="H64" s="822"/>
      <c r="I64" s="822"/>
      <c r="J64" s="822"/>
      <c r="K64" s="813">
        <f>$E64*$F64*'GWP &amp; Emission Factors '!$D$117+$G64*$H64*'GWP &amp; Emission Factors '!$D$114+$I64*$J64*'GWP &amp; Emission Factors '!$D$111</f>
        <v>0</v>
      </c>
    </row>
    <row r="65" spans="4:11" x14ac:dyDescent="0.25">
      <c r="D65" s="255" t="str">
        <f>'Project Emission Distribution'!D76</f>
        <v>AN52</v>
      </c>
      <c r="E65" s="822"/>
      <c r="F65" s="822"/>
      <c r="G65" s="822"/>
      <c r="H65" s="822"/>
      <c r="I65" s="822"/>
      <c r="J65" s="822"/>
      <c r="K65" s="813">
        <f>$E65*$F65*'GWP &amp; Emission Factors '!$D$117+$G65*$H65*'GWP &amp; Emission Factors '!$D$114+$I65*$J65*'GWP &amp; Emission Factors '!$D$111</f>
        <v>0</v>
      </c>
    </row>
    <row r="66" spans="4:11" x14ac:dyDescent="0.25">
      <c r="D66" s="255" t="str">
        <f>'Project Emission Distribution'!D77</f>
        <v>AN53</v>
      </c>
      <c r="E66" s="822"/>
      <c r="F66" s="822"/>
      <c r="G66" s="822"/>
      <c r="H66" s="822"/>
      <c r="I66" s="822"/>
      <c r="J66" s="822"/>
      <c r="K66" s="813">
        <f>$E66*$F66*'GWP &amp; Emission Factors '!$D$117+$G66*$H66*'GWP &amp; Emission Factors '!$D$114+$I66*$J66*'GWP &amp; Emission Factors '!$D$111</f>
        <v>0</v>
      </c>
    </row>
    <row r="67" spans="4:11" x14ac:dyDescent="0.25">
      <c r="D67" s="255" t="str">
        <f>'Project Emission Distribution'!D78</f>
        <v>AN54</v>
      </c>
      <c r="E67" s="822"/>
      <c r="F67" s="822"/>
      <c r="G67" s="822"/>
      <c r="H67" s="822"/>
      <c r="I67" s="822"/>
      <c r="J67" s="822"/>
      <c r="K67" s="813">
        <f>$E67*$F67*'GWP &amp; Emission Factors '!$D$117+$G67*$H67*'GWP &amp; Emission Factors '!$D$114+$I67*$J67*'GWP &amp; Emission Factors '!$D$111</f>
        <v>0</v>
      </c>
    </row>
    <row r="68" spans="4:11" x14ac:dyDescent="0.25">
      <c r="D68" s="255" t="str">
        <f>'Project Emission Distribution'!D79</f>
        <v>AN55</v>
      </c>
      <c r="E68" s="822"/>
      <c r="F68" s="822"/>
      <c r="G68" s="822"/>
      <c r="H68" s="822"/>
      <c r="I68" s="822"/>
      <c r="J68" s="822"/>
      <c r="K68" s="813">
        <f>$E68*$F68*'GWP &amp; Emission Factors '!$D$117+$G68*$H68*'GWP &amp; Emission Factors '!$D$114+$I68*$J68*'GWP &amp; Emission Factors '!$D$111</f>
        <v>0</v>
      </c>
    </row>
    <row r="69" spans="4:11" x14ac:dyDescent="0.25">
      <c r="D69" s="255" t="str">
        <f>'Project Emission Distribution'!D80</f>
        <v>AN56</v>
      </c>
      <c r="E69" s="822"/>
      <c r="F69" s="822"/>
      <c r="G69" s="822"/>
      <c r="H69" s="822"/>
      <c r="I69" s="822"/>
      <c r="J69" s="822"/>
      <c r="K69" s="813">
        <f>$E69*$F69*'GWP &amp; Emission Factors '!$D$117+$G69*$H69*'GWP &amp; Emission Factors '!$D$114+$I69*$J69*'GWP &amp; Emission Factors '!$D$111</f>
        <v>0</v>
      </c>
    </row>
    <row r="70" spans="4:11" x14ac:dyDescent="0.25">
      <c r="D70" s="255" t="str">
        <f>'Project Emission Distribution'!D81</f>
        <v>AN57</v>
      </c>
      <c r="E70" s="822"/>
      <c r="F70" s="822"/>
      <c r="G70" s="822"/>
      <c r="H70" s="822"/>
      <c r="I70" s="822"/>
      <c r="J70" s="822"/>
      <c r="K70" s="813">
        <f>$E70*$F70*'GWP &amp; Emission Factors '!$D$117+$G70*$H70*'GWP &amp; Emission Factors '!$D$114+$I70*$J70*'GWP &amp; Emission Factors '!$D$111</f>
        <v>0</v>
      </c>
    </row>
    <row r="71" spans="4:11" x14ac:dyDescent="0.25">
      <c r="D71" s="255" t="str">
        <f>'Project Emission Distribution'!D82</f>
        <v>AN58</v>
      </c>
      <c r="E71" s="822"/>
      <c r="F71" s="822"/>
      <c r="G71" s="822"/>
      <c r="H71" s="822"/>
      <c r="I71" s="822"/>
      <c r="J71" s="822"/>
      <c r="K71" s="813">
        <f>$E71*$F71*'GWP &amp; Emission Factors '!$D$117+$G71*$H71*'GWP &amp; Emission Factors '!$D$114+$I71*$J71*'GWP &amp; Emission Factors '!$D$111</f>
        <v>0</v>
      </c>
    </row>
    <row r="72" spans="4:11" x14ac:dyDescent="0.25">
      <c r="D72" s="255" t="str">
        <f>'Project Emission Distribution'!D83</f>
        <v>AN59</v>
      </c>
      <c r="E72" s="822"/>
      <c r="F72" s="822"/>
      <c r="G72" s="822"/>
      <c r="H72" s="822"/>
      <c r="I72" s="822"/>
      <c r="J72" s="822"/>
      <c r="K72" s="813">
        <f>$E72*$F72*'GWP &amp; Emission Factors '!$D$117+$G72*$H72*'GWP &amp; Emission Factors '!$D$114+$I72*$J72*'GWP &amp; Emission Factors '!$D$111</f>
        <v>0</v>
      </c>
    </row>
    <row r="73" spans="4:11" x14ac:dyDescent="0.25">
      <c r="D73" s="255" t="str">
        <f>'Project Emission Distribution'!D84</f>
        <v>AN60</v>
      </c>
      <c r="E73" s="822"/>
      <c r="F73" s="822"/>
      <c r="G73" s="822"/>
      <c r="H73" s="822"/>
      <c r="I73" s="822"/>
      <c r="J73" s="822"/>
      <c r="K73" s="813">
        <f>$E73*$F73*'GWP &amp; Emission Factors '!$D$117+$G73*$H73*'GWP &amp; Emission Factors '!$D$114+$I73*$J73*'GWP &amp; Emission Factors '!$D$111</f>
        <v>0</v>
      </c>
    </row>
  </sheetData>
  <mergeCells count="5">
    <mergeCell ref="E12:F12"/>
    <mergeCell ref="G12:H12"/>
    <mergeCell ref="K12:K13"/>
    <mergeCell ref="I12:J12"/>
    <mergeCell ref="E6:H6"/>
  </mergeCells>
  <dataValidations count="2">
    <dataValidation type="decimal" operator="greaterThanOrEqual" allowBlank="1" showInputMessage="1" showErrorMessage="1" error="Enter Whole Number" prompt="Please enter the frieght Weight in Tons" sqref="G14 E14:E73 G15:G73 I15:I73 I14" xr:uid="{1D8E436A-8F92-49FF-98B3-FA8194E8A7D6}">
      <formula1>0</formula1>
    </dataValidation>
    <dataValidation type="whole" operator="greaterThanOrEqual" allowBlank="1" showInputMessage="1" showErrorMessage="1" error="Enter Whole Number" prompt="Please enter distance travelled for the delivery in KM" sqref="H14 F14:F73 H15:H73 J15:J73 J14" xr:uid="{F59D9359-270F-4579-8708-D41B63CBACBD}">
      <formula1>0</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917A3-98CB-47CC-8172-F1D33E0C646E}">
  <dimension ref="A1:X450"/>
  <sheetViews>
    <sheetView topLeftCell="A12" workbookViewId="0">
      <selection activeCell="P16" sqref="P16"/>
    </sheetView>
  </sheetViews>
  <sheetFormatPr defaultRowHeight="15" x14ac:dyDescent="0.25"/>
  <cols>
    <col min="1" max="1" width="2.28515625" style="259" customWidth="1"/>
    <col min="2" max="2" width="2.28515625" style="1" customWidth="1"/>
    <col min="3" max="3" width="6.5703125" style="1" customWidth="1"/>
    <col min="4" max="4" width="8.42578125" style="1" customWidth="1"/>
    <col min="5" max="5" width="12" style="1" customWidth="1"/>
    <col min="6" max="6" width="11.42578125" style="1" customWidth="1"/>
    <col min="7" max="7" width="10.42578125" style="1" customWidth="1"/>
    <col min="8" max="8" width="11.5703125" style="1" customWidth="1"/>
    <col min="9" max="9" width="10.7109375" style="1" customWidth="1"/>
    <col min="10" max="11" width="11.28515625" style="1" customWidth="1"/>
    <col min="12" max="12" width="11.5703125" style="1" customWidth="1"/>
    <col min="13" max="13" width="9.28515625" style="1" customWidth="1"/>
    <col min="14" max="14" width="11.42578125" style="1" customWidth="1"/>
    <col min="15" max="16" width="13" style="1" customWidth="1"/>
    <col min="17" max="17" width="10.5703125" style="1" customWidth="1"/>
    <col min="18" max="18" width="8.85546875" style="1" customWidth="1"/>
    <col min="19" max="19" width="3.7109375" style="1" customWidth="1"/>
    <col min="20" max="21" width="3.140625" style="1" customWidth="1"/>
    <col min="22" max="44" width="9.7109375" style="1" customWidth="1"/>
    <col min="45" max="16384" width="9.140625" style="1"/>
  </cols>
  <sheetData>
    <row r="1" spans="1:24" ht="24.95" customHeight="1" x14ac:dyDescent="0.25">
      <c r="A1" s="382"/>
      <c r="B1" s="375"/>
      <c r="C1" s="375"/>
      <c r="D1" s="375"/>
      <c r="E1" s="375"/>
      <c r="F1" s="375"/>
      <c r="G1" s="375"/>
      <c r="H1" s="375"/>
      <c r="I1" s="376"/>
      <c r="J1" s="376" t="s">
        <v>1602</v>
      </c>
      <c r="K1" s="376"/>
      <c r="L1" s="375"/>
      <c r="M1" s="375"/>
      <c r="N1" s="375"/>
      <c r="O1" s="375"/>
      <c r="P1" s="375"/>
      <c r="Q1" s="375"/>
      <c r="R1" s="375"/>
      <c r="S1" s="375"/>
      <c r="T1" s="375"/>
      <c r="U1" s="375"/>
      <c r="V1" s="375"/>
      <c r="W1" s="375"/>
    </row>
    <row r="4" spans="1:24" x14ac:dyDescent="0.25">
      <c r="E4" s="258"/>
      <c r="F4" s="137"/>
      <c r="G4" s="137"/>
      <c r="H4" s="137"/>
      <c r="I4" s="137"/>
      <c r="K4" s="453"/>
      <c r="L4" s="453"/>
      <c r="M4" s="453"/>
      <c r="N4" s="453"/>
      <c r="O4" s="453"/>
      <c r="P4" s="453"/>
      <c r="Q4" s="453"/>
    </row>
    <row r="5" spans="1:24" ht="15" customHeight="1" x14ac:dyDescent="0.25">
      <c r="E5" s="258"/>
      <c r="F5" s="137"/>
      <c r="G5" s="137"/>
      <c r="H5" s="137"/>
      <c r="I5" s="137"/>
      <c r="J5" s="137"/>
      <c r="K5" s="137"/>
      <c r="L5" s="137"/>
      <c r="M5" s="137"/>
      <c r="N5" s="453"/>
      <c r="O5" s="453"/>
      <c r="P5" s="453"/>
      <c r="Q5" s="453"/>
      <c r="R5" s="453"/>
      <c r="U5" s="463"/>
    </row>
    <row r="6" spans="1:24" ht="15" customHeight="1" x14ac:dyDescent="0.25">
      <c r="E6" s="65"/>
      <c r="F6" s="137"/>
      <c r="G6" s="137"/>
      <c r="H6" s="137"/>
      <c r="I6" s="137"/>
      <c r="J6" s="137"/>
      <c r="K6" s="137"/>
      <c r="L6" s="137"/>
      <c r="M6" s="137"/>
      <c r="N6" s="453"/>
      <c r="O6" s="453"/>
      <c r="P6" s="453"/>
      <c r="Q6" s="453"/>
      <c r="R6" s="453"/>
      <c r="U6" s="464"/>
    </row>
    <row r="7" spans="1:24" ht="12.75" customHeight="1" thickBot="1" x14ac:dyDescent="0.3">
      <c r="E7" s="65"/>
      <c r="F7" s="137"/>
      <c r="G7" s="137"/>
      <c r="H7" s="137"/>
      <c r="I7" s="137"/>
      <c r="J7" s="137"/>
      <c r="K7" s="137"/>
      <c r="L7" s="137"/>
      <c r="M7" s="137"/>
      <c r="N7" s="453"/>
      <c r="O7" s="453"/>
      <c r="P7" s="453"/>
      <c r="Q7" s="453"/>
      <c r="R7" s="453"/>
      <c r="U7" s="464"/>
    </row>
    <row r="8" spans="1:24" ht="14.25" customHeight="1" x14ac:dyDescent="0.25">
      <c r="E8" s="65"/>
      <c r="F8" s="137"/>
      <c r="G8" s="137"/>
      <c r="H8" s="137"/>
      <c r="I8" s="137"/>
      <c r="J8" s="137"/>
      <c r="K8" s="137"/>
      <c r="L8" s="137"/>
      <c r="M8" s="728" t="s">
        <v>290</v>
      </c>
      <c r="N8" s="729"/>
      <c r="O8" s="973" t="s">
        <v>1833</v>
      </c>
      <c r="P8" s="974"/>
      <c r="Q8" s="974"/>
      <c r="R8" s="977"/>
    </row>
    <row r="9" spans="1:24" ht="15" customHeight="1" x14ac:dyDescent="0.25">
      <c r="E9" s="65"/>
      <c r="F9" s="137"/>
      <c r="G9" s="137"/>
      <c r="H9" s="137"/>
      <c r="I9" s="137"/>
      <c r="J9" s="137"/>
      <c r="K9" s="137"/>
      <c r="L9" s="137"/>
      <c r="M9" s="730"/>
      <c r="N9" s="451" t="s">
        <v>435</v>
      </c>
      <c r="O9" s="451" t="s">
        <v>436</v>
      </c>
      <c r="P9" s="451" t="s">
        <v>437</v>
      </c>
      <c r="Q9" s="989" t="s">
        <v>445</v>
      </c>
      <c r="R9" s="978"/>
    </row>
    <row r="10" spans="1:24" x14ac:dyDescent="0.25">
      <c r="D10" s="988"/>
      <c r="E10" s="988"/>
      <c r="F10" s="988"/>
      <c r="G10" s="137"/>
      <c r="H10" s="137"/>
      <c r="I10" s="137"/>
      <c r="J10" s="135"/>
      <c r="K10" s="135"/>
      <c r="L10" s="135"/>
      <c r="M10" s="703" t="s">
        <v>14</v>
      </c>
      <c r="N10" s="731" t="s">
        <v>441</v>
      </c>
      <c r="O10" s="731" t="s">
        <v>441</v>
      </c>
      <c r="P10" s="731" t="s">
        <v>438</v>
      </c>
      <c r="Q10" s="990"/>
      <c r="R10" s="978"/>
    </row>
    <row r="11" spans="1:24" ht="15.75" thickBot="1" x14ac:dyDescent="0.3">
      <c r="D11" s="471"/>
      <c r="E11" s="471"/>
      <c r="F11" s="471"/>
      <c r="G11" s="137"/>
      <c r="H11" s="137"/>
      <c r="I11" s="137"/>
      <c r="J11" s="135"/>
      <c r="K11" s="135"/>
      <c r="L11" s="135"/>
      <c r="M11" s="703" t="s">
        <v>443</v>
      </c>
      <c r="N11" s="459">
        <v>8</v>
      </c>
      <c r="O11" s="657">
        <v>4</v>
      </c>
      <c r="P11" s="657">
        <v>4</v>
      </c>
      <c r="Q11" s="714">
        <v>1</v>
      </c>
      <c r="R11" s="978"/>
      <c r="T11" s="132"/>
    </row>
    <row r="12" spans="1:24" s="132" customFormat="1" ht="27.75" customHeight="1" thickBot="1" x14ac:dyDescent="0.3">
      <c r="A12" s="260"/>
      <c r="C12" s="1"/>
      <c r="D12" s="471"/>
      <c r="E12" s="471"/>
      <c r="F12" s="471"/>
      <c r="G12" s="137"/>
      <c r="H12" s="137"/>
      <c r="I12" s="137"/>
      <c r="J12" s="135"/>
      <c r="K12" s="135"/>
      <c r="L12" s="135"/>
      <c r="M12" s="975" t="s">
        <v>1795</v>
      </c>
      <c r="N12" s="976"/>
      <c r="O12" s="980">
        <f>(N11*SUMIFS($E$87:$E$90,$D$87:$D$90,N$10))*(O11*SUMIFS($E$87:$E$90,$D$87:$D$90,O$10))*(P11*(SUMIFS($E$87:$E$90,$D$87:$D$90,P$10)))*Q11*(SUMIFS($I$87:$I$98,$H$87:$H$98,$O$8))</f>
        <v>17.391449087999995</v>
      </c>
      <c r="P12" s="981"/>
      <c r="Q12" s="713"/>
      <c r="R12" s="979"/>
      <c r="S12" s="1"/>
      <c r="T12" s="1"/>
    </row>
    <row r="13" spans="1:24" ht="24" customHeight="1" x14ac:dyDescent="0.25">
      <c r="D13" s="471"/>
      <c r="E13" s="471"/>
      <c r="F13" s="471"/>
      <c r="G13" s="137"/>
      <c r="H13" s="137"/>
      <c r="I13" s="137"/>
      <c r="J13" s="135"/>
      <c r="K13" s="135"/>
      <c r="L13" s="135"/>
      <c r="M13" s="135"/>
      <c r="N13" s="656"/>
      <c r="O13" s="135"/>
      <c r="P13" s="135"/>
      <c r="Q13" s="132"/>
      <c r="R13" s="132"/>
      <c r="S13" s="132"/>
      <c r="T13" s="135"/>
      <c r="U13" s="26"/>
      <c r="V13" s="26"/>
    </row>
    <row r="14" spans="1:24" s="26" customFormat="1" x14ac:dyDescent="0.25">
      <c r="A14" s="73"/>
      <c r="C14" s="132"/>
      <c r="D14" s="462"/>
      <c r="E14" s="983" t="s">
        <v>127</v>
      </c>
      <c r="F14" s="983"/>
      <c r="G14" s="983"/>
      <c r="H14" s="983"/>
      <c r="I14" s="983"/>
      <c r="J14" s="983"/>
      <c r="K14" s="983"/>
      <c r="L14" s="983"/>
      <c r="M14" s="983"/>
      <c r="N14" s="983"/>
      <c r="O14" s="983"/>
      <c r="P14" s="716"/>
      <c r="Q14" s="985" t="s">
        <v>1831</v>
      </c>
      <c r="R14" s="132"/>
      <c r="S14" s="132"/>
      <c r="T14" s="132"/>
      <c r="U14" s="132"/>
      <c r="V14" s="1"/>
      <c r="W14" s="1"/>
    </row>
    <row r="15" spans="1:24" ht="15" customHeight="1" x14ac:dyDescent="0.25">
      <c r="D15" s="982" t="s">
        <v>447</v>
      </c>
      <c r="E15" s="676" t="s">
        <v>1798</v>
      </c>
      <c r="F15" s="984" t="s">
        <v>1608</v>
      </c>
      <c r="G15" s="984"/>
      <c r="H15" s="984"/>
      <c r="I15" s="984"/>
      <c r="J15" s="984"/>
      <c r="K15" s="984"/>
      <c r="L15" s="984"/>
      <c r="M15" s="984"/>
      <c r="N15" s="984"/>
      <c r="O15" s="984"/>
      <c r="P15" s="717"/>
      <c r="Q15" s="986"/>
    </row>
    <row r="16" spans="1:24" ht="24" x14ac:dyDescent="0.25">
      <c r="C16" s="26"/>
      <c r="D16" s="982"/>
      <c r="E16" s="516" t="s">
        <v>1609</v>
      </c>
      <c r="F16" s="672" t="s">
        <v>291</v>
      </c>
      <c r="G16" s="517" t="s">
        <v>1610</v>
      </c>
      <c r="H16" s="518" t="s">
        <v>431</v>
      </c>
      <c r="I16" s="670" t="s">
        <v>1797</v>
      </c>
      <c r="J16" s="671" t="s">
        <v>1799</v>
      </c>
      <c r="K16" s="674" t="s">
        <v>299</v>
      </c>
      <c r="L16" s="673" t="s">
        <v>300</v>
      </c>
      <c r="M16" s="679" t="s">
        <v>1804</v>
      </c>
      <c r="N16" s="678" t="s">
        <v>1803</v>
      </c>
      <c r="O16" s="696" t="s">
        <v>296</v>
      </c>
      <c r="P16" s="720" t="s">
        <v>1833</v>
      </c>
      <c r="Q16" s="987"/>
      <c r="S16" s="26"/>
      <c r="T16" s="464"/>
      <c r="U16" s="26"/>
      <c r="V16" s="26"/>
      <c r="W16" s="26"/>
      <c r="X16" s="26"/>
    </row>
    <row r="17" spans="4:17" x14ac:dyDescent="0.25">
      <c r="D17" s="953"/>
      <c r="E17" s="445" t="s">
        <v>423</v>
      </c>
      <c r="F17" s="445" t="s">
        <v>423</v>
      </c>
      <c r="G17" s="445" t="s">
        <v>423</v>
      </c>
      <c r="H17" s="445" t="s">
        <v>423</v>
      </c>
      <c r="I17" s="445" t="s">
        <v>423</v>
      </c>
      <c r="J17" s="445" t="s">
        <v>423</v>
      </c>
      <c r="K17" s="445" t="s">
        <v>423</v>
      </c>
      <c r="L17" s="445" t="s">
        <v>423</v>
      </c>
      <c r="M17" s="445" t="s">
        <v>423</v>
      </c>
      <c r="N17" s="445" t="s">
        <v>423</v>
      </c>
      <c r="O17" s="445" t="s">
        <v>423</v>
      </c>
      <c r="P17" s="445" t="s">
        <v>423</v>
      </c>
      <c r="Q17" s="445" t="s">
        <v>452</v>
      </c>
    </row>
    <row r="18" spans="4:17" x14ac:dyDescent="0.25">
      <c r="D18" s="461" t="str">
        <f>'Project Emission Distribution'!D25</f>
        <v>A201</v>
      </c>
      <c r="E18" s="241">
        <v>30</v>
      </c>
      <c r="F18" s="241"/>
      <c r="G18" s="241">
        <v>50</v>
      </c>
      <c r="H18" s="241"/>
      <c r="I18" s="241"/>
      <c r="J18" s="241"/>
      <c r="K18" s="241">
        <v>80</v>
      </c>
      <c r="L18" s="241"/>
      <c r="M18" s="241"/>
      <c r="N18" s="241"/>
      <c r="O18" s="241"/>
      <c r="P18" s="241">
        <v>12</v>
      </c>
      <c r="Q18" s="473">
        <f>(SUMIFS($E$18:$E$77,$D$18:$D$77,$D18)*SUMIFS('GWP &amp; Emission Factors '!$F$154:$F$242,'GWP &amp; Emission Factors '!$E$154:$E$242,$E$16)+SUMIFS($F$18:$F$77,$D$18:$D$77,$D18)*SUMIFS('GWP &amp; Emission Factors '!$F$154:$F$242,'GWP &amp; Emission Factors '!$E$154:$E$242,$F$16)+SUMIFS($G$18:$G$77,$D$18:$D$77,$D18)*SUMIFS('GWP &amp; Emission Factors '!$F$154:$F$242,'GWP &amp; Emission Factors '!$E$154:$E$242,$G$16)+SUMIFS($H$18:$H$77,$D$18:$D$77,$D18)*SUMIFS('GWP &amp; Emission Factors '!$F$154:$F$242,'GWP &amp; Emission Factors '!$E$154:$E$242,$H$16)+SUMIFS($I$18:$I$77,$D$18:$D$77,$D18)*SUMIFS('GWP &amp; Emission Factors '!$F$154:$F$242,'GWP &amp; Emission Factors '!$E$154:$E$242,$I$16)+SUMIFS($J$18:$J$77,$D$18:$D$77,$D18)*SUMIFS('GWP &amp; Emission Factors '!$F$154:$F$242,'GWP &amp; Emission Factors '!$E$154:$E$242,$J$16)+SUMIFS($K$18:$K$77,$D$18:$D$77,$D18)*SUMIFS('GWP &amp; Emission Factors '!$F$154:$F$242,'GWP &amp; Emission Factors '!$E$154:$E$242,$K$16)+SUMIFS($L$18:$L$77,$D$18:$D$77,$D18)*SUMIFS('GWP &amp; Emission Factors '!$F$154:$F$242,'GWP &amp; Emission Factors '!$E$154:$E$242,$L$16)+SUMIFS($M$18:$M$77,$D$18:$D$77,$D18)*SUMIFS('GWP &amp; Emission Factors '!$F$154:$F$242,'GWP &amp; Emission Factors '!$E$154:$E$242,$M$16)+SUMIFS($N$18:$N$77,$D$18:$D$77,$D18)*SUMIFS('GWP &amp; Emission Factors '!$F$154:$F$242,'GWP &amp; Emission Factors '!$E$154:$E$242,$N$16)+SUMIFS($O$18:$O$77,$D$18:$D$77,$D18)*SUMIFS('GWP &amp; Emission Factors '!$F$154:$F$242,'GWP &amp; Emission Factors '!$E$154:$E$242,$O$16)+SUMIFS($P$18:$P$77,$D$18:$D$77,$D18)*SUMIFS('GWP &amp; Emission Factors '!$F$154:$F$242,'GWP &amp; Emission Factors '!$E$154:$E$242,$P$16))/1000</f>
        <v>6.8744035215849597E-2</v>
      </c>
    </row>
    <row r="19" spans="4:17" x14ac:dyDescent="0.25">
      <c r="D19" s="461" t="str">
        <f>'Project Emission Distribution'!D26</f>
        <v>AN02</v>
      </c>
      <c r="E19" s="466"/>
      <c r="F19" s="466"/>
      <c r="G19" s="466"/>
      <c r="H19" s="466"/>
      <c r="I19" s="466"/>
      <c r="J19" s="466"/>
      <c r="K19" s="466"/>
      <c r="L19" s="466"/>
      <c r="M19" s="466"/>
      <c r="N19" s="466"/>
      <c r="O19" s="466"/>
      <c r="P19" s="466"/>
      <c r="Q19" s="473">
        <f>(SUMIFS($E$18:$E$77,$D$18:$D$77,$D19)*SUMIFS('GWP &amp; Emission Factors '!$F$154:$F$242,'GWP &amp; Emission Factors '!$E$154:$E$242,$E$16)+SUMIFS($F$18:$F$77,$D$18:$D$77,$D19)*SUMIFS('GWP &amp; Emission Factors '!$F$154:$F$242,'GWP &amp; Emission Factors '!$E$154:$E$242,$F$16)+SUMIFS($G$18:$G$77,$D$18:$D$77,$D19)*SUMIFS('GWP &amp; Emission Factors '!$F$154:$F$242,'GWP &amp; Emission Factors '!$E$154:$E$242,$G$16)+SUMIFS($H$18:$H$77,$D$18:$D$77,$D19)*SUMIFS('GWP &amp; Emission Factors '!$F$154:$F$242,'GWP &amp; Emission Factors '!$E$154:$E$242,$H$16)+SUMIFS($I$18:$I$77,$D$18:$D$77,$D19)*SUMIFS('GWP &amp; Emission Factors '!$F$154:$F$242,'GWP &amp; Emission Factors '!$E$154:$E$242,$I$16)+SUMIFS($J$18:$J$77,$D$18:$D$77,$D19)*SUMIFS('GWP &amp; Emission Factors '!$F$154:$F$242,'GWP &amp; Emission Factors '!$E$154:$E$242,$J$16)+SUMIFS($K$18:$K$77,$D$18:$D$77,$D19)*SUMIFS('GWP &amp; Emission Factors '!$F$154:$F$242,'GWP &amp; Emission Factors '!$E$154:$E$242,$K$16)+SUMIFS($L$18:$L$77,$D$18:$D$77,$D19)*SUMIFS('GWP &amp; Emission Factors '!$F$154:$F$242,'GWP &amp; Emission Factors '!$E$154:$E$242,$L$16)+SUMIFS($M$18:$M$77,$D$18:$D$77,$D19)*SUMIFS('GWP &amp; Emission Factors '!$F$154:$F$242,'GWP &amp; Emission Factors '!$E$154:$E$242,$M$16)+SUMIFS($N$18:$N$77,$D$18:$D$77,$D19)*SUMIFS('GWP &amp; Emission Factors '!$F$154:$F$242,'GWP &amp; Emission Factors '!$E$154:$E$242,$N$16)+SUMIFS($O$18:$O$77,$D$18:$D$77,$D19)*SUMIFS('GWP &amp; Emission Factors '!$F$154:$F$242,'GWP &amp; Emission Factors '!$E$154:$E$242,$O$16)+SUMIFS($P$18:$P$77,$D$18:$D$77,$D19)*SUMIFS('GWP &amp; Emission Factors '!$F$154:$F$242,'GWP &amp; Emission Factors '!$E$154:$E$242,$P$16))/1000</f>
        <v>0</v>
      </c>
    </row>
    <row r="20" spans="4:17" x14ac:dyDescent="0.25">
      <c r="D20" s="461" t="str">
        <f>'Project Emission Distribution'!D27</f>
        <v>AN03</v>
      </c>
      <c r="E20" s="241"/>
      <c r="F20" s="241"/>
      <c r="G20" s="241"/>
      <c r="H20" s="241"/>
      <c r="I20" s="241"/>
      <c r="J20" s="241"/>
      <c r="K20" s="241"/>
      <c r="L20" s="241"/>
      <c r="M20" s="241"/>
      <c r="N20" s="241"/>
      <c r="O20" s="241"/>
      <c r="P20" s="241"/>
      <c r="Q20" s="473">
        <f>(SUMIFS($E$18:$E$77,$D$18:$D$77,$D20)*SUMIFS('GWP &amp; Emission Factors '!$F$154:$F$242,'GWP &amp; Emission Factors '!$E$154:$E$242,$E$16)+SUMIFS($F$18:$F$77,$D$18:$D$77,$D20)*SUMIFS('GWP &amp; Emission Factors '!$F$154:$F$242,'GWP &amp; Emission Factors '!$E$154:$E$242,$F$16)+SUMIFS($G$18:$G$77,$D$18:$D$77,$D20)*SUMIFS('GWP &amp; Emission Factors '!$F$154:$F$242,'GWP &amp; Emission Factors '!$E$154:$E$242,$G$16)+SUMIFS($H$18:$H$77,$D$18:$D$77,$D20)*SUMIFS('GWP &amp; Emission Factors '!$F$154:$F$242,'GWP &amp; Emission Factors '!$E$154:$E$242,$H$16)+SUMIFS($I$18:$I$77,$D$18:$D$77,$D20)*SUMIFS('GWP &amp; Emission Factors '!$F$154:$F$242,'GWP &amp; Emission Factors '!$E$154:$E$242,$I$16)+SUMIFS($J$18:$J$77,$D$18:$D$77,$D20)*SUMIFS('GWP &amp; Emission Factors '!$F$154:$F$242,'GWP &amp; Emission Factors '!$E$154:$E$242,$J$16)+SUMIFS($K$18:$K$77,$D$18:$D$77,$D20)*SUMIFS('GWP &amp; Emission Factors '!$F$154:$F$242,'GWP &amp; Emission Factors '!$E$154:$E$242,$K$16)+SUMIFS($L$18:$L$77,$D$18:$D$77,$D20)*SUMIFS('GWP &amp; Emission Factors '!$F$154:$F$242,'GWP &amp; Emission Factors '!$E$154:$E$242,$L$16)+SUMIFS($M$18:$M$77,$D$18:$D$77,$D20)*SUMIFS('GWP &amp; Emission Factors '!$F$154:$F$242,'GWP &amp; Emission Factors '!$E$154:$E$242,$M$16)+SUMIFS($N$18:$N$77,$D$18:$D$77,$D20)*SUMIFS('GWP &amp; Emission Factors '!$F$154:$F$242,'GWP &amp; Emission Factors '!$E$154:$E$242,$N$16)+SUMIFS($O$18:$O$77,$D$18:$D$77,$D20)*SUMIFS('GWP &amp; Emission Factors '!$F$154:$F$242,'GWP &amp; Emission Factors '!$E$154:$E$242,$O$16)+SUMIFS($P$18:$P$77,$D$18:$D$77,$D20)*SUMIFS('GWP &amp; Emission Factors '!$F$154:$F$242,'GWP &amp; Emission Factors '!$E$154:$E$242,$P$16))/1000</f>
        <v>0</v>
      </c>
    </row>
    <row r="21" spans="4:17" x14ac:dyDescent="0.25">
      <c r="D21" s="461" t="str">
        <f>'Project Emission Distribution'!D28</f>
        <v>AN04</v>
      </c>
      <c r="E21" s="466"/>
      <c r="F21" s="466"/>
      <c r="G21" s="466"/>
      <c r="H21" s="466"/>
      <c r="I21" s="466"/>
      <c r="J21" s="466"/>
      <c r="K21" s="466"/>
      <c r="L21" s="466"/>
      <c r="M21" s="466"/>
      <c r="N21" s="466"/>
      <c r="O21" s="466"/>
      <c r="P21" s="466"/>
      <c r="Q21" s="473">
        <f>(SUMIFS($E$18:$E$77,$D$18:$D$77,$D21)*SUMIFS('GWP &amp; Emission Factors '!$F$154:$F$242,'GWP &amp; Emission Factors '!$E$154:$E$242,$E$16)+SUMIFS($F$18:$F$77,$D$18:$D$77,$D21)*SUMIFS('GWP &amp; Emission Factors '!$F$154:$F$242,'GWP &amp; Emission Factors '!$E$154:$E$242,$F$16)+SUMIFS($G$18:$G$77,$D$18:$D$77,$D21)*SUMIFS('GWP &amp; Emission Factors '!$F$154:$F$242,'GWP &amp; Emission Factors '!$E$154:$E$242,$G$16)+SUMIFS($H$18:$H$77,$D$18:$D$77,$D21)*SUMIFS('GWP &amp; Emission Factors '!$F$154:$F$242,'GWP &amp; Emission Factors '!$E$154:$E$242,$H$16)+SUMIFS($I$18:$I$77,$D$18:$D$77,$D21)*SUMIFS('GWP &amp; Emission Factors '!$F$154:$F$242,'GWP &amp; Emission Factors '!$E$154:$E$242,$I$16)+SUMIFS($J$18:$J$77,$D$18:$D$77,$D21)*SUMIFS('GWP &amp; Emission Factors '!$F$154:$F$242,'GWP &amp; Emission Factors '!$E$154:$E$242,$J$16)+SUMIFS($K$18:$K$77,$D$18:$D$77,$D21)*SUMIFS('GWP &amp; Emission Factors '!$F$154:$F$242,'GWP &amp; Emission Factors '!$E$154:$E$242,$K$16)+SUMIFS($L$18:$L$77,$D$18:$D$77,$D21)*SUMIFS('GWP &amp; Emission Factors '!$F$154:$F$242,'GWP &amp; Emission Factors '!$E$154:$E$242,$L$16)+SUMIFS($M$18:$M$77,$D$18:$D$77,$D21)*SUMIFS('GWP &amp; Emission Factors '!$F$154:$F$242,'GWP &amp; Emission Factors '!$E$154:$E$242,$M$16)+SUMIFS($N$18:$N$77,$D$18:$D$77,$D21)*SUMIFS('GWP &amp; Emission Factors '!$F$154:$F$242,'GWP &amp; Emission Factors '!$E$154:$E$242,$N$16)+SUMIFS($O$18:$O$77,$D$18:$D$77,$D21)*SUMIFS('GWP &amp; Emission Factors '!$F$154:$F$242,'GWP &amp; Emission Factors '!$E$154:$E$242,$O$16)+SUMIFS($P$18:$P$77,$D$18:$D$77,$D21)*SUMIFS('GWP &amp; Emission Factors '!$F$154:$F$242,'GWP &amp; Emission Factors '!$E$154:$E$242,$P$16))/1000</f>
        <v>0</v>
      </c>
    </row>
    <row r="22" spans="4:17" x14ac:dyDescent="0.25">
      <c r="D22" s="461" t="str">
        <f>'Project Emission Distribution'!D29</f>
        <v>AN05</v>
      </c>
      <c r="E22" s="241"/>
      <c r="F22" s="241"/>
      <c r="G22" s="241"/>
      <c r="H22" s="241"/>
      <c r="I22" s="241"/>
      <c r="J22" s="241"/>
      <c r="K22" s="241"/>
      <c r="L22" s="241"/>
      <c r="M22" s="241"/>
      <c r="N22" s="241"/>
      <c r="O22" s="241"/>
      <c r="P22" s="241"/>
      <c r="Q22" s="473">
        <f>(SUMIFS($E$18:$E$77,$D$18:$D$77,$D22)*SUMIFS('GWP &amp; Emission Factors '!$F$154:$F$242,'GWP &amp; Emission Factors '!$E$154:$E$242,$E$16)+SUMIFS($F$18:$F$77,$D$18:$D$77,$D22)*SUMIFS('GWP &amp; Emission Factors '!$F$154:$F$242,'GWP &amp; Emission Factors '!$E$154:$E$242,$F$16)+SUMIFS($G$18:$G$77,$D$18:$D$77,$D22)*SUMIFS('GWP &amp; Emission Factors '!$F$154:$F$242,'GWP &amp; Emission Factors '!$E$154:$E$242,$G$16)+SUMIFS($H$18:$H$77,$D$18:$D$77,$D22)*SUMIFS('GWP &amp; Emission Factors '!$F$154:$F$242,'GWP &amp; Emission Factors '!$E$154:$E$242,$H$16)+SUMIFS($I$18:$I$77,$D$18:$D$77,$D22)*SUMIFS('GWP &amp; Emission Factors '!$F$154:$F$242,'GWP &amp; Emission Factors '!$E$154:$E$242,$I$16)+SUMIFS($J$18:$J$77,$D$18:$D$77,$D22)*SUMIFS('GWP &amp; Emission Factors '!$F$154:$F$242,'GWP &amp; Emission Factors '!$E$154:$E$242,$J$16)+SUMIFS($K$18:$K$77,$D$18:$D$77,$D22)*SUMIFS('GWP &amp; Emission Factors '!$F$154:$F$242,'GWP &amp; Emission Factors '!$E$154:$E$242,$K$16)+SUMIFS($L$18:$L$77,$D$18:$D$77,$D22)*SUMIFS('GWP &amp; Emission Factors '!$F$154:$F$242,'GWP &amp; Emission Factors '!$E$154:$E$242,$L$16)+SUMIFS($M$18:$M$77,$D$18:$D$77,$D22)*SUMIFS('GWP &amp; Emission Factors '!$F$154:$F$242,'GWP &amp; Emission Factors '!$E$154:$E$242,$M$16)+SUMIFS($N$18:$N$77,$D$18:$D$77,$D22)*SUMIFS('GWP &amp; Emission Factors '!$F$154:$F$242,'GWP &amp; Emission Factors '!$E$154:$E$242,$N$16)+SUMIFS($O$18:$O$77,$D$18:$D$77,$D22)*SUMIFS('GWP &amp; Emission Factors '!$F$154:$F$242,'GWP &amp; Emission Factors '!$E$154:$E$242,$O$16)+SUMIFS($P$18:$P$77,$D$18:$D$77,$D22)*SUMIFS('GWP &amp; Emission Factors '!$F$154:$F$242,'GWP &amp; Emission Factors '!$E$154:$E$242,$P$16))/1000</f>
        <v>0</v>
      </c>
    </row>
    <row r="23" spans="4:17" x14ac:dyDescent="0.25">
      <c r="D23" s="461" t="str">
        <f>'Project Emission Distribution'!D30</f>
        <v>AN06</v>
      </c>
      <c r="E23" s="466"/>
      <c r="F23" s="466"/>
      <c r="G23" s="466"/>
      <c r="H23" s="466"/>
      <c r="I23" s="466"/>
      <c r="J23" s="466"/>
      <c r="K23" s="466"/>
      <c r="L23" s="466"/>
      <c r="M23" s="466"/>
      <c r="N23" s="466"/>
      <c r="O23" s="466"/>
      <c r="P23" s="466"/>
      <c r="Q23" s="473">
        <f>(SUMIFS($E$18:$E$77,$D$18:$D$77,$D23)*SUMIFS('GWP &amp; Emission Factors '!$F$154:$F$242,'GWP &amp; Emission Factors '!$E$154:$E$242,$E$16)+SUMIFS($F$18:$F$77,$D$18:$D$77,$D23)*SUMIFS('GWP &amp; Emission Factors '!$F$154:$F$242,'GWP &amp; Emission Factors '!$E$154:$E$242,$F$16)+SUMIFS($G$18:$G$77,$D$18:$D$77,$D23)*SUMIFS('GWP &amp; Emission Factors '!$F$154:$F$242,'GWP &amp; Emission Factors '!$E$154:$E$242,$G$16)+SUMIFS($H$18:$H$77,$D$18:$D$77,$D23)*SUMIFS('GWP &amp; Emission Factors '!$F$154:$F$242,'GWP &amp; Emission Factors '!$E$154:$E$242,$H$16)+SUMIFS($I$18:$I$77,$D$18:$D$77,$D23)*SUMIFS('GWP &amp; Emission Factors '!$F$154:$F$242,'GWP &amp; Emission Factors '!$E$154:$E$242,$I$16)+SUMIFS($J$18:$J$77,$D$18:$D$77,$D23)*SUMIFS('GWP &amp; Emission Factors '!$F$154:$F$242,'GWP &amp; Emission Factors '!$E$154:$E$242,$J$16)+SUMIFS($K$18:$K$77,$D$18:$D$77,$D23)*SUMIFS('GWP &amp; Emission Factors '!$F$154:$F$242,'GWP &amp; Emission Factors '!$E$154:$E$242,$K$16)+SUMIFS($L$18:$L$77,$D$18:$D$77,$D23)*SUMIFS('GWP &amp; Emission Factors '!$F$154:$F$242,'GWP &amp; Emission Factors '!$E$154:$E$242,$L$16)+SUMIFS($M$18:$M$77,$D$18:$D$77,$D23)*SUMIFS('GWP &amp; Emission Factors '!$F$154:$F$242,'GWP &amp; Emission Factors '!$E$154:$E$242,$M$16)+SUMIFS($N$18:$N$77,$D$18:$D$77,$D23)*SUMIFS('GWP &amp; Emission Factors '!$F$154:$F$242,'GWP &amp; Emission Factors '!$E$154:$E$242,$N$16)+SUMIFS($O$18:$O$77,$D$18:$D$77,$D23)*SUMIFS('GWP &amp; Emission Factors '!$F$154:$F$242,'GWP &amp; Emission Factors '!$E$154:$E$242,$O$16)+SUMIFS($P$18:$P$77,$D$18:$D$77,$D23)*SUMIFS('GWP &amp; Emission Factors '!$F$154:$F$242,'GWP &amp; Emission Factors '!$E$154:$E$242,$P$16))/1000</f>
        <v>0</v>
      </c>
    </row>
    <row r="24" spans="4:17" x14ac:dyDescent="0.25">
      <c r="D24" s="461" t="str">
        <f>'Project Emission Distribution'!D31</f>
        <v>AN07</v>
      </c>
      <c r="E24" s="241"/>
      <c r="F24" s="241"/>
      <c r="G24" s="241"/>
      <c r="H24" s="241"/>
      <c r="I24" s="241"/>
      <c r="J24" s="241"/>
      <c r="K24" s="241"/>
      <c r="L24" s="241"/>
      <c r="M24" s="241"/>
      <c r="N24" s="241"/>
      <c r="O24" s="241"/>
      <c r="P24" s="241"/>
      <c r="Q24" s="473">
        <f>(SUMIFS($E$18:$E$77,$D$18:$D$77,$D24)*SUMIFS('GWP &amp; Emission Factors '!$F$154:$F$242,'GWP &amp; Emission Factors '!$E$154:$E$242,$E$16)+SUMIFS($F$18:$F$77,$D$18:$D$77,$D24)*SUMIFS('GWP &amp; Emission Factors '!$F$154:$F$242,'GWP &amp; Emission Factors '!$E$154:$E$242,$F$16)+SUMIFS($G$18:$G$77,$D$18:$D$77,$D24)*SUMIFS('GWP &amp; Emission Factors '!$F$154:$F$242,'GWP &amp; Emission Factors '!$E$154:$E$242,$G$16)+SUMIFS($H$18:$H$77,$D$18:$D$77,$D24)*SUMIFS('GWP &amp; Emission Factors '!$F$154:$F$242,'GWP &amp; Emission Factors '!$E$154:$E$242,$H$16)+SUMIFS($I$18:$I$77,$D$18:$D$77,$D24)*SUMIFS('GWP &amp; Emission Factors '!$F$154:$F$242,'GWP &amp; Emission Factors '!$E$154:$E$242,$I$16)+SUMIFS($J$18:$J$77,$D$18:$D$77,$D24)*SUMIFS('GWP &amp; Emission Factors '!$F$154:$F$242,'GWP &amp; Emission Factors '!$E$154:$E$242,$J$16)+SUMIFS($K$18:$K$77,$D$18:$D$77,$D24)*SUMIFS('GWP &amp; Emission Factors '!$F$154:$F$242,'GWP &amp; Emission Factors '!$E$154:$E$242,$K$16)+SUMIFS($L$18:$L$77,$D$18:$D$77,$D24)*SUMIFS('GWP &amp; Emission Factors '!$F$154:$F$242,'GWP &amp; Emission Factors '!$E$154:$E$242,$L$16)+SUMIFS($M$18:$M$77,$D$18:$D$77,$D24)*SUMIFS('GWP &amp; Emission Factors '!$F$154:$F$242,'GWP &amp; Emission Factors '!$E$154:$E$242,$M$16)+SUMIFS($N$18:$N$77,$D$18:$D$77,$D24)*SUMIFS('GWP &amp; Emission Factors '!$F$154:$F$242,'GWP &amp; Emission Factors '!$E$154:$E$242,$N$16)+SUMIFS($O$18:$O$77,$D$18:$D$77,$D24)*SUMIFS('GWP &amp; Emission Factors '!$F$154:$F$242,'GWP &amp; Emission Factors '!$E$154:$E$242,$O$16)+SUMIFS($P$18:$P$77,$D$18:$D$77,$D24)*SUMIFS('GWP &amp; Emission Factors '!$F$154:$F$242,'GWP &amp; Emission Factors '!$E$154:$E$242,$P$16))/1000</f>
        <v>0</v>
      </c>
    </row>
    <row r="25" spans="4:17" x14ac:dyDescent="0.25">
      <c r="D25" s="461" t="str">
        <f>'Project Emission Distribution'!D32</f>
        <v>AN08</v>
      </c>
      <c r="E25" s="466"/>
      <c r="F25" s="466"/>
      <c r="G25" s="466"/>
      <c r="H25" s="466"/>
      <c r="I25" s="466"/>
      <c r="J25" s="466"/>
      <c r="K25" s="466"/>
      <c r="L25" s="466"/>
      <c r="M25" s="466"/>
      <c r="N25" s="466"/>
      <c r="O25" s="466"/>
      <c r="P25" s="466"/>
      <c r="Q25" s="473">
        <f>(SUMIFS($E$18:$E$77,$D$18:$D$77,$D25)*SUMIFS('GWP &amp; Emission Factors '!$F$154:$F$242,'GWP &amp; Emission Factors '!$E$154:$E$242,$E$16)+SUMIFS($F$18:$F$77,$D$18:$D$77,$D25)*SUMIFS('GWP &amp; Emission Factors '!$F$154:$F$242,'GWP &amp; Emission Factors '!$E$154:$E$242,$F$16)+SUMIFS($G$18:$G$77,$D$18:$D$77,$D25)*SUMIFS('GWP &amp; Emission Factors '!$F$154:$F$242,'GWP &amp; Emission Factors '!$E$154:$E$242,$G$16)+SUMIFS($H$18:$H$77,$D$18:$D$77,$D25)*SUMIFS('GWP &amp; Emission Factors '!$F$154:$F$242,'GWP &amp; Emission Factors '!$E$154:$E$242,$H$16)+SUMIFS($I$18:$I$77,$D$18:$D$77,$D25)*SUMIFS('GWP &amp; Emission Factors '!$F$154:$F$242,'GWP &amp; Emission Factors '!$E$154:$E$242,$I$16)+SUMIFS($J$18:$J$77,$D$18:$D$77,$D25)*SUMIFS('GWP &amp; Emission Factors '!$F$154:$F$242,'GWP &amp; Emission Factors '!$E$154:$E$242,$J$16)+SUMIFS($K$18:$K$77,$D$18:$D$77,$D25)*SUMIFS('GWP &amp; Emission Factors '!$F$154:$F$242,'GWP &amp; Emission Factors '!$E$154:$E$242,$K$16)+SUMIFS($L$18:$L$77,$D$18:$D$77,$D25)*SUMIFS('GWP &amp; Emission Factors '!$F$154:$F$242,'GWP &amp; Emission Factors '!$E$154:$E$242,$L$16)+SUMIFS($M$18:$M$77,$D$18:$D$77,$D25)*SUMIFS('GWP &amp; Emission Factors '!$F$154:$F$242,'GWP &amp; Emission Factors '!$E$154:$E$242,$M$16)+SUMIFS($N$18:$N$77,$D$18:$D$77,$D25)*SUMIFS('GWP &amp; Emission Factors '!$F$154:$F$242,'GWP &amp; Emission Factors '!$E$154:$E$242,$N$16)+SUMIFS($O$18:$O$77,$D$18:$D$77,$D25)*SUMIFS('GWP &amp; Emission Factors '!$F$154:$F$242,'GWP &amp; Emission Factors '!$E$154:$E$242,$O$16)+SUMIFS($P$18:$P$77,$D$18:$D$77,$D25)*SUMIFS('GWP &amp; Emission Factors '!$F$154:$F$242,'GWP &amp; Emission Factors '!$E$154:$E$242,$P$16))/1000</f>
        <v>0</v>
      </c>
    </row>
    <row r="26" spans="4:17" x14ac:dyDescent="0.25">
      <c r="D26" s="461" t="str">
        <f>'Project Emission Distribution'!D33</f>
        <v>AN09</v>
      </c>
      <c r="E26" s="241"/>
      <c r="F26" s="241"/>
      <c r="G26" s="241"/>
      <c r="H26" s="241"/>
      <c r="I26" s="241"/>
      <c r="J26" s="241"/>
      <c r="K26" s="241"/>
      <c r="L26" s="241"/>
      <c r="M26" s="241"/>
      <c r="N26" s="241"/>
      <c r="O26" s="241"/>
      <c r="P26" s="241"/>
      <c r="Q26" s="473">
        <f>(SUMIFS($E$18:$E$77,$D$18:$D$77,$D26)*SUMIFS('GWP &amp; Emission Factors '!$F$154:$F$242,'GWP &amp; Emission Factors '!$E$154:$E$242,$E$16)+SUMIFS($F$18:$F$77,$D$18:$D$77,$D26)*SUMIFS('GWP &amp; Emission Factors '!$F$154:$F$242,'GWP &amp; Emission Factors '!$E$154:$E$242,$F$16)+SUMIFS($G$18:$G$77,$D$18:$D$77,$D26)*SUMIFS('GWP &amp; Emission Factors '!$F$154:$F$242,'GWP &amp; Emission Factors '!$E$154:$E$242,$G$16)+SUMIFS($H$18:$H$77,$D$18:$D$77,$D26)*SUMIFS('GWP &amp; Emission Factors '!$F$154:$F$242,'GWP &amp; Emission Factors '!$E$154:$E$242,$H$16)+SUMIFS($I$18:$I$77,$D$18:$D$77,$D26)*SUMIFS('GWP &amp; Emission Factors '!$F$154:$F$242,'GWP &amp; Emission Factors '!$E$154:$E$242,$I$16)+SUMIFS($J$18:$J$77,$D$18:$D$77,$D26)*SUMIFS('GWP &amp; Emission Factors '!$F$154:$F$242,'GWP &amp; Emission Factors '!$E$154:$E$242,$J$16)+SUMIFS($K$18:$K$77,$D$18:$D$77,$D26)*SUMIFS('GWP &amp; Emission Factors '!$F$154:$F$242,'GWP &amp; Emission Factors '!$E$154:$E$242,$K$16)+SUMIFS($L$18:$L$77,$D$18:$D$77,$D26)*SUMIFS('GWP &amp; Emission Factors '!$F$154:$F$242,'GWP &amp; Emission Factors '!$E$154:$E$242,$L$16)+SUMIFS($M$18:$M$77,$D$18:$D$77,$D26)*SUMIFS('GWP &amp; Emission Factors '!$F$154:$F$242,'GWP &amp; Emission Factors '!$E$154:$E$242,$M$16)+SUMIFS($N$18:$N$77,$D$18:$D$77,$D26)*SUMIFS('GWP &amp; Emission Factors '!$F$154:$F$242,'GWP &amp; Emission Factors '!$E$154:$E$242,$N$16)+SUMIFS($O$18:$O$77,$D$18:$D$77,$D26)*SUMIFS('GWP &amp; Emission Factors '!$F$154:$F$242,'GWP &amp; Emission Factors '!$E$154:$E$242,$O$16)+SUMIFS($P$18:$P$77,$D$18:$D$77,$D26)*SUMIFS('GWP &amp; Emission Factors '!$F$154:$F$242,'GWP &amp; Emission Factors '!$E$154:$E$242,$P$16))/1000</f>
        <v>0</v>
      </c>
    </row>
    <row r="27" spans="4:17" x14ac:dyDescent="0.25">
      <c r="D27" s="461" t="str">
        <f>'Project Emission Distribution'!D34</f>
        <v>AN10</v>
      </c>
      <c r="E27" s="466"/>
      <c r="F27" s="466"/>
      <c r="G27" s="466"/>
      <c r="H27" s="466"/>
      <c r="I27" s="466"/>
      <c r="J27" s="466"/>
      <c r="K27" s="466"/>
      <c r="L27" s="466"/>
      <c r="M27" s="466"/>
      <c r="N27" s="466"/>
      <c r="O27" s="466"/>
      <c r="P27" s="466"/>
      <c r="Q27" s="473">
        <f>(SUMIFS($E$18:$E$77,$D$18:$D$77,$D27)*SUMIFS('GWP &amp; Emission Factors '!$F$154:$F$242,'GWP &amp; Emission Factors '!$E$154:$E$242,$E$16)+SUMIFS($F$18:$F$77,$D$18:$D$77,$D27)*SUMIFS('GWP &amp; Emission Factors '!$F$154:$F$242,'GWP &amp; Emission Factors '!$E$154:$E$242,$F$16)+SUMIFS($G$18:$G$77,$D$18:$D$77,$D27)*SUMIFS('GWP &amp; Emission Factors '!$F$154:$F$242,'GWP &amp; Emission Factors '!$E$154:$E$242,$G$16)+SUMIFS($H$18:$H$77,$D$18:$D$77,$D27)*SUMIFS('GWP &amp; Emission Factors '!$F$154:$F$242,'GWP &amp; Emission Factors '!$E$154:$E$242,$H$16)+SUMIFS($I$18:$I$77,$D$18:$D$77,$D27)*SUMIFS('GWP &amp; Emission Factors '!$F$154:$F$242,'GWP &amp; Emission Factors '!$E$154:$E$242,$I$16)+SUMIFS($J$18:$J$77,$D$18:$D$77,$D27)*SUMIFS('GWP &amp; Emission Factors '!$F$154:$F$242,'GWP &amp; Emission Factors '!$E$154:$E$242,$J$16)+SUMIFS($K$18:$K$77,$D$18:$D$77,$D27)*SUMIFS('GWP &amp; Emission Factors '!$F$154:$F$242,'GWP &amp; Emission Factors '!$E$154:$E$242,$K$16)+SUMIFS($L$18:$L$77,$D$18:$D$77,$D27)*SUMIFS('GWP &amp; Emission Factors '!$F$154:$F$242,'GWP &amp; Emission Factors '!$E$154:$E$242,$L$16)+SUMIFS($M$18:$M$77,$D$18:$D$77,$D27)*SUMIFS('GWP &amp; Emission Factors '!$F$154:$F$242,'GWP &amp; Emission Factors '!$E$154:$E$242,$M$16)+SUMIFS($N$18:$N$77,$D$18:$D$77,$D27)*SUMIFS('GWP &amp; Emission Factors '!$F$154:$F$242,'GWP &amp; Emission Factors '!$E$154:$E$242,$N$16)+SUMIFS($O$18:$O$77,$D$18:$D$77,$D27)*SUMIFS('GWP &amp; Emission Factors '!$F$154:$F$242,'GWP &amp; Emission Factors '!$E$154:$E$242,$O$16)+SUMIFS($P$18:$P$77,$D$18:$D$77,$D27)*SUMIFS('GWP &amp; Emission Factors '!$F$154:$F$242,'GWP &amp; Emission Factors '!$E$154:$E$242,$P$16))/1000</f>
        <v>0</v>
      </c>
    </row>
    <row r="28" spans="4:17" x14ac:dyDescent="0.25">
      <c r="D28" s="461" t="str">
        <f>'Project Emission Distribution'!D35</f>
        <v>AN11</v>
      </c>
      <c r="E28" s="241"/>
      <c r="F28" s="241"/>
      <c r="G28" s="241"/>
      <c r="H28" s="241"/>
      <c r="I28" s="241"/>
      <c r="J28" s="241"/>
      <c r="K28" s="241"/>
      <c r="L28" s="241"/>
      <c r="M28" s="241"/>
      <c r="N28" s="241"/>
      <c r="O28" s="241"/>
      <c r="P28" s="241"/>
      <c r="Q28" s="473">
        <f>(SUMIFS($E$18:$E$77,$D$18:$D$77,$D28)*SUMIFS('GWP &amp; Emission Factors '!$F$154:$F$242,'GWP &amp; Emission Factors '!$E$154:$E$242,$E$16)+SUMIFS($F$18:$F$77,$D$18:$D$77,$D28)*SUMIFS('GWP &amp; Emission Factors '!$F$154:$F$242,'GWP &amp; Emission Factors '!$E$154:$E$242,$F$16)+SUMIFS($G$18:$G$77,$D$18:$D$77,$D28)*SUMIFS('GWP &amp; Emission Factors '!$F$154:$F$242,'GWP &amp; Emission Factors '!$E$154:$E$242,$G$16)+SUMIFS($H$18:$H$77,$D$18:$D$77,$D28)*SUMIFS('GWP &amp; Emission Factors '!$F$154:$F$242,'GWP &amp; Emission Factors '!$E$154:$E$242,$H$16)+SUMIFS($I$18:$I$77,$D$18:$D$77,$D28)*SUMIFS('GWP &amp; Emission Factors '!$F$154:$F$242,'GWP &amp; Emission Factors '!$E$154:$E$242,$I$16)+SUMIFS($J$18:$J$77,$D$18:$D$77,$D28)*SUMIFS('GWP &amp; Emission Factors '!$F$154:$F$242,'GWP &amp; Emission Factors '!$E$154:$E$242,$J$16)+SUMIFS($K$18:$K$77,$D$18:$D$77,$D28)*SUMIFS('GWP &amp; Emission Factors '!$F$154:$F$242,'GWP &amp; Emission Factors '!$E$154:$E$242,$K$16)+SUMIFS($L$18:$L$77,$D$18:$D$77,$D28)*SUMIFS('GWP &amp; Emission Factors '!$F$154:$F$242,'GWP &amp; Emission Factors '!$E$154:$E$242,$L$16)+SUMIFS($M$18:$M$77,$D$18:$D$77,$D28)*SUMIFS('GWP &amp; Emission Factors '!$F$154:$F$242,'GWP &amp; Emission Factors '!$E$154:$E$242,$M$16)+SUMIFS($N$18:$N$77,$D$18:$D$77,$D28)*SUMIFS('GWP &amp; Emission Factors '!$F$154:$F$242,'GWP &amp; Emission Factors '!$E$154:$E$242,$N$16)+SUMIFS($O$18:$O$77,$D$18:$D$77,$D28)*SUMIFS('GWP &amp; Emission Factors '!$F$154:$F$242,'GWP &amp; Emission Factors '!$E$154:$E$242,$O$16)+SUMIFS($P$18:$P$77,$D$18:$D$77,$D28)*SUMIFS('GWP &amp; Emission Factors '!$F$154:$F$242,'GWP &amp; Emission Factors '!$E$154:$E$242,$P$16))/1000</f>
        <v>0</v>
      </c>
    </row>
    <row r="29" spans="4:17" x14ac:dyDescent="0.25">
      <c r="D29" s="461" t="str">
        <f>'Project Emission Distribution'!D36</f>
        <v>AN12</v>
      </c>
      <c r="E29" s="466"/>
      <c r="F29" s="466"/>
      <c r="G29" s="466"/>
      <c r="H29" s="466"/>
      <c r="I29" s="466"/>
      <c r="J29" s="466"/>
      <c r="K29" s="466"/>
      <c r="L29" s="466"/>
      <c r="M29" s="466"/>
      <c r="N29" s="466"/>
      <c r="O29" s="466"/>
      <c r="P29" s="466"/>
      <c r="Q29" s="473">
        <f>(SUMIFS($E$18:$E$77,$D$18:$D$77,$D29)*SUMIFS('GWP &amp; Emission Factors '!$F$154:$F$242,'GWP &amp; Emission Factors '!$E$154:$E$242,$E$16)+SUMIFS($F$18:$F$77,$D$18:$D$77,$D29)*SUMIFS('GWP &amp; Emission Factors '!$F$154:$F$242,'GWP &amp; Emission Factors '!$E$154:$E$242,$F$16)+SUMIFS($G$18:$G$77,$D$18:$D$77,$D29)*SUMIFS('GWP &amp; Emission Factors '!$F$154:$F$242,'GWP &amp; Emission Factors '!$E$154:$E$242,$G$16)+SUMIFS($H$18:$H$77,$D$18:$D$77,$D29)*SUMIFS('GWP &amp; Emission Factors '!$F$154:$F$242,'GWP &amp; Emission Factors '!$E$154:$E$242,$H$16)+SUMIFS($I$18:$I$77,$D$18:$D$77,$D29)*SUMIFS('GWP &amp; Emission Factors '!$F$154:$F$242,'GWP &amp; Emission Factors '!$E$154:$E$242,$I$16)+SUMIFS($J$18:$J$77,$D$18:$D$77,$D29)*SUMIFS('GWP &amp; Emission Factors '!$F$154:$F$242,'GWP &amp; Emission Factors '!$E$154:$E$242,$J$16)+SUMIFS($K$18:$K$77,$D$18:$D$77,$D29)*SUMIFS('GWP &amp; Emission Factors '!$F$154:$F$242,'GWP &amp; Emission Factors '!$E$154:$E$242,$K$16)+SUMIFS($L$18:$L$77,$D$18:$D$77,$D29)*SUMIFS('GWP &amp; Emission Factors '!$F$154:$F$242,'GWP &amp; Emission Factors '!$E$154:$E$242,$L$16)+SUMIFS($M$18:$M$77,$D$18:$D$77,$D29)*SUMIFS('GWP &amp; Emission Factors '!$F$154:$F$242,'GWP &amp; Emission Factors '!$E$154:$E$242,$M$16)+SUMIFS($N$18:$N$77,$D$18:$D$77,$D29)*SUMIFS('GWP &amp; Emission Factors '!$F$154:$F$242,'GWP &amp; Emission Factors '!$E$154:$E$242,$N$16)+SUMIFS($O$18:$O$77,$D$18:$D$77,$D29)*SUMIFS('GWP &amp; Emission Factors '!$F$154:$F$242,'GWP &amp; Emission Factors '!$E$154:$E$242,$O$16)+SUMIFS($P$18:$P$77,$D$18:$D$77,$D29)*SUMIFS('GWP &amp; Emission Factors '!$F$154:$F$242,'GWP &amp; Emission Factors '!$E$154:$E$242,$P$16))/1000</f>
        <v>0</v>
      </c>
    </row>
    <row r="30" spans="4:17" x14ac:dyDescent="0.25">
      <c r="D30" s="461" t="str">
        <f>'Project Emission Distribution'!D37</f>
        <v>AN13</v>
      </c>
      <c r="E30" s="241"/>
      <c r="F30" s="241"/>
      <c r="G30" s="241"/>
      <c r="H30" s="241"/>
      <c r="I30" s="241"/>
      <c r="J30" s="241"/>
      <c r="K30" s="241"/>
      <c r="L30" s="241"/>
      <c r="M30" s="241"/>
      <c r="N30" s="241"/>
      <c r="O30" s="241"/>
      <c r="P30" s="241"/>
      <c r="Q30" s="473">
        <f>(SUMIFS($E$18:$E$77,$D$18:$D$77,$D30)*SUMIFS('GWP &amp; Emission Factors '!$F$154:$F$242,'GWP &amp; Emission Factors '!$E$154:$E$242,$E$16)+SUMIFS($F$18:$F$77,$D$18:$D$77,$D30)*SUMIFS('GWP &amp; Emission Factors '!$F$154:$F$242,'GWP &amp; Emission Factors '!$E$154:$E$242,$F$16)+SUMIFS($G$18:$G$77,$D$18:$D$77,$D30)*SUMIFS('GWP &amp; Emission Factors '!$F$154:$F$242,'GWP &amp; Emission Factors '!$E$154:$E$242,$G$16)+SUMIFS($H$18:$H$77,$D$18:$D$77,$D30)*SUMIFS('GWP &amp; Emission Factors '!$F$154:$F$242,'GWP &amp; Emission Factors '!$E$154:$E$242,$H$16)+SUMIFS($I$18:$I$77,$D$18:$D$77,$D30)*SUMIFS('GWP &amp; Emission Factors '!$F$154:$F$242,'GWP &amp; Emission Factors '!$E$154:$E$242,$I$16)+SUMIFS($J$18:$J$77,$D$18:$D$77,$D30)*SUMIFS('GWP &amp; Emission Factors '!$F$154:$F$242,'GWP &amp; Emission Factors '!$E$154:$E$242,$J$16)+SUMIFS($K$18:$K$77,$D$18:$D$77,$D30)*SUMIFS('GWP &amp; Emission Factors '!$F$154:$F$242,'GWP &amp; Emission Factors '!$E$154:$E$242,$K$16)+SUMIFS($L$18:$L$77,$D$18:$D$77,$D30)*SUMIFS('GWP &amp; Emission Factors '!$F$154:$F$242,'GWP &amp; Emission Factors '!$E$154:$E$242,$L$16)+SUMIFS($M$18:$M$77,$D$18:$D$77,$D30)*SUMIFS('GWP &amp; Emission Factors '!$F$154:$F$242,'GWP &amp; Emission Factors '!$E$154:$E$242,$M$16)+SUMIFS($N$18:$N$77,$D$18:$D$77,$D30)*SUMIFS('GWP &amp; Emission Factors '!$F$154:$F$242,'GWP &amp; Emission Factors '!$E$154:$E$242,$N$16)+SUMIFS($O$18:$O$77,$D$18:$D$77,$D30)*SUMIFS('GWP &amp; Emission Factors '!$F$154:$F$242,'GWP &amp; Emission Factors '!$E$154:$E$242,$O$16)+SUMIFS($P$18:$P$77,$D$18:$D$77,$D30)*SUMIFS('GWP &amp; Emission Factors '!$F$154:$F$242,'GWP &amp; Emission Factors '!$E$154:$E$242,$P$16))/1000</f>
        <v>0</v>
      </c>
    </row>
    <row r="31" spans="4:17" x14ac:dyDescent="0.25">
      <c r="D31" s="461" t="str">
        <f>'Project Emission Distribution'!D38</f>
        <v>AN14</v>
      </c>
      <c r="E31" s="466"/>
      <c r="F31" s="466"/>
      <c r="G31" s="466"/>
      <c r="H31" s="466"/>
      <c r="I31" s="466"/>
      <c r="J31" s="466"/>
      <c r="K31" s="466"/>
      <c r="L31" s="466"/>
      <c r="M31" s="466"/>
      <c r="N31" s="466"/>
      <c r="O31" s="466"/>
      <c r="P31" s="466"/>
      <c r="Q31" s="473">
        <f>(SUMIFS($E$18:$E$77,$D$18:$D$77,$D31)*SUMIFS('GWP &amp; Emission Factors '!$F$154:$F$242,'GWP &amp; Emission Factors '!$E$154:$E$242,$E$16)+SUMIFS($F$18:$F$77,$D$18:$D$77,$D31)*SUMIFS('GWP &amp; Emission Factors '!$F$154:$F$242,'GWP &amp; Emission Factors '!$E$154:$E$242,$F$16)+SUMIFS($G$18:$G$77,$D$18:$D$77,$D31)*SUMIFS('GWP &amp; Emission Factors '!$F$154:$F$242,'GWP &amp; Emission Factors '!$E$154:$E$242,$G$16)+SUMIFS($H$18:$H$77,$D$18:$D$77,$D31)*SUMIFS('GWP &amp; Emission Factors '!$F$154:$F$242,'GWP &amp; Emission Factors '!$E$154:$E$242,$H$16)+SUMIFS($I$18:$I$77,$D$18:$D$77,$D31)*SUMIFS('GWP &amp; Emission Factors '!$F$154:$F$242,'GWP &amp; Emission Factors '!$E$154:$E$242,$I$16)+SUMIFS($J$18:$J$77,$D$18:$D$77,$D31)*SUMIFS('GWP &amp; Emission Factors '!$F$154:$F$242,'GWP &amp; Emission Factors '!$E$154:$E$242,$J$16)+SUMIFS($K$18:$K$77,$D$18:$D$77,$D31)*SUMIFS('GWP &amp; Emission Factors '!$F$154:$F$242,'GWP &amp; Emission Factors '!$E$154:$E$242,$K$16)+SUMIFS($L$18:$L$77,$D$18:$D$77,$D31)*SUMIFS('GWP &amp; Emission Factors '!$F$154:$F$242,'GWP &amp; Emission Factors '!$E$154:$E$242,$L$16)+SUMIFS($M$18:$M$77,$D$18:$D$77,$D31)*SUMIFS('GWP &amp; Emission Factors '!$F$154:$F$242,'GWP &amp; Emission Factors '!$E$154:$E$242,$M$16)+SUMIFS($N$18:$N$77,$D$18:$D$77,$D31)*SUMIFS('GWP &amp; Emission Factors '!$F$154:$F$242,'GWP &amp; Emission Factors '!$E$154:$E$242,$N$16)+SUMIFS($O$18:$O$77,$D$18:$D$77,$D31)*SUMIFS('GWP &amp; Emission Factors '!$F$154:$F$242,'GWP &amp; Emission Factors '!$E$154:$E$242,$O$16)+SUMIFS($P$18:$P$77,$D$18:$D$77,$D31)*SUMIFS('GWP &amp; Emission Factors '!$F$154:$F$242,'GWP &amp; Emission Factors '!$E$154:$E$242,$P$16))/1000</f>
        <v>0</v>
      </c>
    </row>
    <row r="32" spans="4:17" x14ac:dyDescent="0.25">
      <c r="D32" s="461" t="str">
        <f>'Project Emission Distribution'!D39</f>
        <v>AN15</v>
      </c>
      <c r="E32" s="241"/>
      <c r="F32" s="241"/>
      <c r="G32" s="241"/>
      <c r="H32" s="241"/>
      <c r="I32" s="241"/>
      <c r="J32" s="241"/>
      <c r="K32" s="241"/>
      <c r="L32" s="241"/>
      <c r="M32" s="241"/>
      <c r="N32" s="241"/>
      <c r="O32" s="241"/>
      <c r="P32" s="241"/>
      <c r="Q32" s="473">
        <f>(SUMIFS($E$18:$E$77,$D$18:$D$77,$D32)*SUMIFS('GWP &amp; Emission Factors '!$F$154:$F$242,'GWP &amp; Emission Factors '!$E$154:$E$242,$E$16)+SUMIFS($F$18:$F$77,$D$18:$D$77,$D32)*SUMIFS('GWP &amp; Emission Factors '!$F$154:$F$242,'GWP &amp; Emission Factors '!$E$154:$E$242,$F$16)+SUMIFS($G$18:$G$77,$D$18:$D$77,$D32)*SUMIFS('GWP &amp; Emission Factors '!$F$154:$F$242,'GWP &amp; Emission Factors '!$E$154:$E$242,$G$16)+SUMIFS($H$18:$H$77,$D$18:$D$77,$D32)*SUMIFS('GWP &amp; Emission Factors '!$F$154:$F$242,'GWP &amp; Emission Factors '!$E$154:$E$242,$H$16)+SUMIFS($I$18:$I$77,$D$18:$D$77,$D32)*SUMIFS('GWP &amp; Emission Factors '!$F$154:$F$242,'GWP &amp; Emission Factors '!$E$154:$E$242,$I$16)+SUMIFS($J$18:$J$77,$D$18:$D$77,$D32)*SUMIFS('GWP &amp; Emission Factors '!$F$154:$F$242,'GWP &amp; Emission Factors '!$E$154:$E$242,$J$16)+SUMIFS($K$18:$K$77,$D$18:$D$77,$D32)*SUMIFS('GWP &amp; Emission Factors '!$F$154:$F$242,'GWP &amp; Emission Factors '!$E$154:$E$242,$K$16)+SUMIFS($L$18:$L$77,$D$18:$D$77,$D32)*SUMIFS('GWP &amp; Emission Factors '!$F$154:$F$242,'GWP &amp; Emission Factors '!$E$154:$E$242,$L$16)+SUMIFS($M$18:$M$77,$D$18:$D$77,$D32)*SUMIFS('GWP &amp; Emission Factors '!$F$154:$F$242,'GWP &amp; Emission Factors '!$E$154:$E$242,$M$16)+SUMIFS($N$18:$N$77,$D$18:$D$77,$D32)*SUMIFS('GWP &amp; Emission Factors '!$F$154:$F$242,'GWP &amp; Emission Factors '!$E$154:$E$242,$N$16)+SUMIFS($O$18:$O$77,$D$18:$D$77,$D32)*SUMIFS('GWP &amp; Emission Factors '!$F$154:$F$242,'GWP &amp; Emission Factors '!$E$154:$E$242,$O$16)+SUMIFS($P$18:$P$77,$D$18:$D$77,$D32)*SUMIFS('GWP &amp; Emission Factors '!$F$154:$F$242,'GWP &amp; Emission Factors '!$E$154:$E$242,$P$16))/1000</f>
        <v>0</v>
      </c>
    </row>
    <row r="33" spans="4:17" x14ac:dyDescent="0.25">
      <c r="D33" s="461" t="str">
        <f>'Project Emission Distribution'!D40</f>
        <v>AN16</v>
      </c>
      <c r="E33" s="466"/>
      <c r="F33" s="466"/>
      <c r="G33" s="466"/>
      <c r="H33" s="466"/>
      <c r="I33" s="466"/>
      <c r="J33" s="466"/>
      <c r="K33" s="466"/>
      <c r="L33" s="466"/>
      <c r="M33" s="466"/>
      <c r="N33" s="466"/>
      <c r="O33" s="466"/>
      <c r="P33" s="466"/>
      <c r="Q33" s="473">
        <f>(SUMIFS($E$18:$E$77,$D$18:$D$77,$D33)*SUMIFS('GWP &amp; Emission Factors '!$F$154:$F$242,'GWP &amp; Emission Factors '!$E$154:$E$242,$E$16)+SUMIFS($F$18:$F$77,$D$18:$D$77,$D33)*SUMIFS('GWP &amp; Emission Factors '!$F$154:$F$242,'GWP &amp; Emission Factors '!$E$154:$E$242,$F$16)+SUMIFS($G$18:$G$77,$D$18:$D$77,$D33)*SUMIFS('GWP &amp; Emission Factors '!$F$154:$F$242,'GWP &amp; Emission Factors '!$E$154:$E$242,$G$16)+SUMIFS($H$18:$H$77,$D$18:$D$77,$D33)*SUMIFS('GWP &amp; Emission Factors '!$F$154:$F$242,'GWP &amp; Emission Factors '!$E$154:$E$242,$H$16)+SUMIFS($I$18:$I$77,$D$18:$D$77,$D33)*SUMIFS('GWP &amp; Emission Factors '!$F$154:$F$242,'GWP &amp; Emission Factors '!$E$154:$E$242,$I$16)+SUMIFS($J$18:$J$77,$D$18:$D$77,$D33)*SUMIFS('GWP &amp; Emission Factors '!$F$154:$F$242,'GWP &amp; Emission Factors '!$E$154:$E$242,$J$16)+SUMIFS($K$18:$K$77,$D$18:$D$77,$D33)*SUMIFS('GWP &amp; Emission Factors '!$F$154:$F$242,'GWP &amp; Emission Factors '!$E$154:$E$242,$K$16)+SUMIFS($L$18:$L$77,$D$18:$D$77,$D33)*SUMIFS('GWP &amp; Emission Factors '!$F$154:$F$242,'GWP &amp; Emission Factors '!$E$154:$E$242,$L$16)+SUMIFS($M$18:$M$77,$D$18:$D$77,$D33)*SUMIFS('GWP &amp; Emission Factors '!$F$154:$F$242,'GWP &amp; Emission Factors '!$E$154:$E$242,$M$16)+SUMIFS($N$18:$N$77,$D$18:$D$77,$D33)*SUMIFS('GWP &amp; Emission Factors '!$F$154:$F$242,'GWP &amp; Emission Factors '!$E$154:$E$242,$N$16)+SUMIFS($O$18:$O$77,$D$18:$D$77,$D33)*SUMIFS('GWP &amp; Emission Factors '!$F$154:$F$242,'GWP &amp; Emission Factors '!$E$154:$E$242,$O$16)+SUMIFS($P$18:$P$77,$D$18:$D$77,$D33)*SUMIFS('GWP &amp; Emission Factors '!$F$154:$F$242,'GWP &amp; Emission Factors '!$E$154:$E$242,$P$16))/1000</f>
        <v>0</v>
      </c>
    </row>
    <row r="34" spans="4:17" x14ac:dyDescent="0.25">
      <c r="D34" s="461" t="str">
        <f>'Project Emission Distribution'!D41</f>
        <v>AN17</v>
      </c>
      <c r="E34" s="241"/>
      <c r="F34" s="241"/>
      <c r="G34" s="241"/>
      <c r="H34" s="241"/>
      <c r="I34" s="241"/>
      <c r="J34" s="241"/>
      <c r="K34" s="241"/>
      <c r="L34" s="241"/>
      <c r="M34" s="241"/>
      <c r="N34" s="241"/>
      <c r="O34" s="241"/>
      <c r="P34" s="241"/>
      <c r="Q34" s="473">
        <f>(SUMIFS($E$18:$E$77,$D$18:$D$77,$D34)*SUMIFS('GWP &amp; Emission Factors '!$F$154:$F$242,'GWP &amp; Emission Factors '!$E$154:$E$242,$E$16)+SUMIFS($F$18:$F$77,$D$18:$D$77,$D34)*SUMIFS('GWP &amp; Emission Factors '!$F$154:$F$242,'GWP &amp; Emission Factors '!$E$154:$E$242,$F$16)+SUMIFS($G$18:$G$77,$D$18:$D$77,$D34)*SUMIFS('GWP &amp; Emission Factors '!$F$154:$F$242,'GWP &amp; Emission Factors '!$E$154:$E$242,$G$16)+SUMIFS($H$18:$H$77,$D$18:$D$77,$D34)*SUMIFS('GWP &amp; Emission Factors '!$F$154:$F$242,'GWP &amp; Emission Factors '!$E$154:$E$242,$H$16)+SUMIFS($I$18:$I$77,$D$18:$D$77,$D34)*SUMIFS('GWP &amp; Emission Factors '!$F$154:$F$242,'GWP &amp; Emission Factors '!$E$154:$E$242,$I$16)+SUMIFS($J$18:$J$77,$D$18:$D$77,$D34)*SUMIFS('GWP &amp; Emission Factors '!$F$154:$F$242,'GWP &amp; Emission Factors '!$E$154:$E$242,$J$16)+SUMIFS($K$18:$K$77,$D$18:$D$77,$D34)*SUMIFS('GWP &amp; Emission Factors '!$F$154:$F$242,'GWP &amp; Emission Factors '!$E$154:$E$242,$K$16)+SUMIFS($L$18:$L$77,$D$18:$D$77,$D34)*SUMIFS('GWP &amp; Emission Factors '!$F$154:$F$242,'GWP &amp; Emission Factors '!$E$154:$E$242,$L$16)+SUMIFS($M$18:$M$77,$D$18:$D$77,$D34)*SUMIFS('GWP &amp; Emission Factors '!$F$154:$F$242,'GWP &amp; Emission Factors '!$E$154:$E$242,$M$16)+SUMIFS($N$18:$N$77,$D$18:$D$77,$D34)*SUMIFS('GWP &amp; Emission Factors '!$F$154:$F$242,'GWP &amp; Emission Factors '!$E$154:$E$242,$N$16)+SUMIFS($O$18:$O$77,$D$18:$D$77,$D34)*SUMIFS('GWP &amp; Emission Factors '!$F$154:$F$242,'GWP &amp; Emission Factors '!$E$154:$E$242,$O$16)+SUMIFS($P$18:$P$77,$D$18:$D$77,$D34)*SUMIFS('GWP &amp; Emission Factors '!$F$154:$F$242,'GWP &amp; Emission Factors '!$E$154:$E$242,$P$16))/1000</f>
        <v>0</v>
      </c>
    </row>
    <row r="35" spans="4:17" x14ac:dyDescent="0.25">
      <c r="D35" s="461" t="str">
        <f>'Project Emission Distribution'!D42</f>
        <v>AN18</v>
      </c>
      <c r="E35" s="466"/>
      <c r="F35" s="466"/>
      <c r="G35" s="466"/>
      <c r="H35" s="466"/>
      <c r="I35" s="466"/>
      <c r="J35" s="466"/>
      <c r="K35" s="466"/>
      <c r="L35" s="466"/>
      <c r="M35" s="466"/>
      <c r="N35" s="466"/>
      <c r="O35" s="466"/>
      <c r="P35" s="466"/>
      <c r="Q35" s="473">
        <f>(SUMIFS($E$18:$E$77,$D$18:$D$77,$D35)*SUMIFS('GWP &amp; Emission Factors '!$F$154:$F$242,'GWP &amp; Emission Factors '!$E$154:$E$242,$E$16)+SUMIFS($F$18:$F$77,$D$18:$D$77,$D35)*SUMIFS('GWP &amp; Emission Factors '!$F$154:$F$242,'GWP &amp; Emission Factors '!$E$154:$E$242,$F$16)+SUMIFS($G$18:$G$77,$D$18:$D$77,$D35)*SUMIFS('GWP &amp; Emission Factors '!$F$154:$F$242,'GWP &amp; Emission Factors '!$E$154:$E$242,$G$16)+SUMIFS($H$18:$H$77,$D$18:$D$77,$D35)*SUMIFS('GWP &amp; Emission Factors '!$F$154:$F$242,'GWP &amp; Emission Factors '!$E$154:$E$242,$H$16)+SUMIFS($I$18:$I$77,$D$18:$D$77,$D35)*SUMIFS('GWP &amp; Emission Factors '!$F$154:$F$242,'GWP &amp; Emission Factors '!$E$154:$E$242,$I$16)+SUMIFS($J$18:$J$77,$D$18:$D$77,$D35)*SUMIFS('GWP &amp; Emission Factors '!$F$154:$F$242,'GWP &amp; Emission Factors '!$E$154:$E$242,$J$16)+SUMIFS($K$18:$K$77,$D$18:$D$77,$D35)*SUMIFS('GWP &amp; Emission Factors '!$F$154:$F$242,'GWP &amp; Emission Factors '!$E$154:$E$242,$K$16)+SUMIFS($L$18:$L$77,$D$18:$D$77,$D35)*SUMIFS('GWP &amp; Emission Factors '!$F$154:$F$242,'GWP &amp; Emission Factors '!$E$154:$E$242,$L$16)+SUMIFS($M$18:$M$77,$D$18:$D$77,$D35)*SUMIFS('GWP &amp; Emission Factors '!$F$154:$F$242,'GWP &amp; Emission Factors '!$E$154:$E$242,$M$16)+SUMIFS($N$18:$N$77,$D$18:$D$77,$D35)*SUMIFS('GWP &amp; Emission Factors '!$F$154:$F$242,'GWP &amp; Emission Factors '!$E$154:$E$242,$N$16)+SUMIFS($O$18:$O$77,$D$18:$D$77,$D35)*SUMIFS('GWP &amp; Emission Factors '!$F$154:$F$242,'GWP &amp; Emission Factors '!$E$154:$E$242,$O$16)+SUMIFS($P$18:$P$77,$D$18:$D$77,$D35)*SUMIFS('GWP &amp; Emission Factors '!$F$154:$F$242,'GWP &amp; Emission Factors '!$E$154:$E$242,$P$16))/1000</f>
        <v>0</v>
      </c>
    </row>
    <row r="36" spans="4:17" x14ac:dyDescent="0.25">
      <c r="D36" s="461" t="str">
        <f>'Project Emission Distribution'!D43</f>
        <v>AN19</v>
      </c>
      <c r="E36" s="241"/>
      <c r="F36" s="241"/>
      <c r="G36" s="241"/>
      <c r="H36" s="241"/>
      <c r="I36" s="241"/>
      <c r="J36" s="241"/>
      <c r="K36" s="241"/>
      <c r="L36" s="241"/>
      <c r="M36" s="241"/>
      <c r="N36" s="241"/>
      <c r="O36" s="241"/>
      <c r="P36" s="241"/>
      <c r="Q36" s="473">
        <f>(SUMIFS($E$18:$E$77,$D$18:$D$77,$D36)*SUMIFS('GWP &amp; Emission Factors '!$F$154:$F$242,'GWP &amp; Emission Factors '!$E$154:$E$242,$E$16)+SUMIFS($F$18:$F$77,$D$18:$D$77,$D36)*SUMIFS('GWP &amp; Emission Factors '!$F$154:$F$242,'GWP &amp; Emission Factors '!$E$154:$E$242,$F$16)+SUMIFS($G$18:$G$77,$D$18:$D$77,$D36)*SUMIFS('GWP &amp; Emission Factors '!$F$154:$F$242,'GWP &amp; Emission Factors '!$E$154:$E$242,$G$16)+SUMIFS($H$18:$H$77,$D$18:$D$77,$D36)*SUMIFS('GWP &amp; Emission Factors '!$F$154:$F$242,'GWP &amp; Emission Factors '!$E$154:$E$242,$H$16)+SUMIFS($I$18:$I$77,$D$18:$D$77,$D36)*SUMIFS('GWP &amp; Emission Factors '!$F$154:$F$242,'GWP &amp; Emission Factors '!$E$154:$E$242,$I$16)+SUMIFS($J$18:$J$77,$D$18:$D$77,$D36)*SUMIFS('GWP &amp; Emission Factors '!$F$154:$F$242,'GWP &amp; Emission Factors '!$E$154:$E$242,$J$16)+SUMIFS($K$18:$K$77,$D$18:$D$77,$D36)*SUMIFS('GWP &amp; Emission Factors '!$F$154:$F$242,'GWP &amp; Emission Factors '!$E$154:$E$242,$K$16)+SUMIFS($L$18:$L$77,$D$18:$D$77,$D36)*SUMIFS('GWP &amp; Emission Factors '!$F$154:$F$242,'GWP &amp; Emission Factors '!$E$154:$E$242,$L$16)+SUMIFS($M$18:$M$77,$D$18:$D$77,$D36)*SUMIFS('GWP &amp; Emission Factors '!$F$154:$F$242,'GWP &amp; Emission Factors '!$E$154:$E$242,$M$16)+SUMIFS($N$18:$N$77,$D$18:$D$77,$D36)*SUMIFS('GWP &amp; Emission Factors '!$F$154:$F$242,'GWP &amp; Emission Factors '!$E$154:$E$242,$N$16)+SUMIFS($O$18:$O$77,$D$18:$D$77,$D36)*SUMIFS('GWP &amp; Emission Factors '!$F$154:$F$242,'GWP &amp; Emission Factors '!$E$154:$E$242,$O$16)+SUMIFS($P$18:$P$77,$D$18:$D$77,$D36)*SUMIFS('GWP &amp; Emission Factors '!$F$154:$F$242,'GWP &amp; Emission Factors '!$E$154:$E$242,$P$16))/1000</f>
        <v>0</v>
      </c>
    </row>
    <row r="37" spans="4:17" x14ac:dyDescent="0.25">
      <c r="D37" s="461" t="str">
        <f>'Project Emission Distribution'!D44</f>
        <v>AN20</v>
      </c>
      <c r="E37" s="466"/>
      <c r="F37" s="466"/>
      <c r="G37" s="466"/>
      <c r="H37" s="466"/>
      <c r="I37" s="466"/>
      <c r="J37" s="466"/>
      <c r="K37" s="466"/>
      <c r="L37" s="466"/>
      <c r="M37" s="466"/>
      <c r="N37" s="466"/>
      <c r="O37" s="466"/>
      <c r="P37" s="466"/>
      <c r="Q37" s="473">
        <f>(SUMIFS($E$18:$E$77,$D$18:$D$77,$D37)*SUMIFS('GWP &amp; Emission Factors '!$F$154:$F$242,'GWP &amp; Emission Factors '!$E$154:$E$242,$E$16)+SUMIFS($F$18:$F$77,$D$18:$D$77,$D37)*SUMIFS('GWP &amp; Emission Factors '!$F$154:$F$242,'GWP &amp; Emission Factors '!$E$154:$E$242,$F$16)+SUMIFS($G$18:$G$77,$D$18:$D$77,$D37)*SUMIFS('GWP &amp; Emission Factors '!$F$154:$F$242,'GWP &amp; Emission Factors '!$E$154:$E$242,$G$16)+SUMIFS($H$18:$H$77,$D$18:$D$77,$D37)*SUMIFS('GWP &amp; Emission Factors '!$F$154:$F$242,'GWP &amp; Emission Factors '!$E$154:$E$242,$H$16)+SUMIFS($I$18:$I$77,$D$18:$D$77,$D37)*SUMIFS('GWP &amp; Emission Factors '!$F$154:$F$242,'GWP &amp; Emission Factors '!$E$154:$E$242,$I$16)+SUMIFS($J$18:$J$77,$D$18:$D$77,$D37)*SUMIFS('GWP &amp; Emission Factors '!$F$154:$F$242,'GWP &amp; Emission Factors '!$E$154:$E$242,$J$16)+SUMIFS($K$18:$K$77,$D$18:$D$77,$D37)*SUMIFS('GWP &amp; Emission Factors '!$F$154:$F$242,'GWP &amp; Emission Factors '!$E$154:$E$242,$K$16)+SUMIFS($L$18:$L$77,$D$18:$D$77,$D37)*SUMIFS('GWP &amp; Emission Factors '!$F$154:$F$242,'GWP &amp; Emission Factors '!$E$154:$E$242,$L$16)+SUMIFS($M$18:$M$77,$D$18:$D$77,$D37)*SUMIFS('GWP &amp; Emission Factors '!$F$154:$F$242,'GWP &amp; Emission Factors '!$E$154:$E$242,$M$16)+SUMIFS($N$18:$N$77,$D$18:$D$77,$D37)*SUMIFS('GWP &amp; Emission Factors '!$F$154:$F$242,'GWP &amp; Emission Factors '!$E$154:$E$242,$N$16)+SUMIFS($O$18:$O$77,$D$18:$D$77,$D37)*SUMIFS('GWP &amp; Emission Factors '!$F$154:$F$242,'GWP &amp; Emission Factors '!$E$154:$E$242,$O$16)+SUMIFS($P$18:$P$77,$D$18:$D$77,$D37)*SUMIFS('GWP &amp; Emission Factors '!$F$154:$F$242,'GWP &amp; Emission Factors '!$E$154:$E$242,$P$16))/1000</f>
        <v>0</v>
      </c>
    </row>
    <row r="38" spans="4:17" x14ac:dyDescent="0.25">
      <c r="D38" s="461" t="str">
        <f>'Project Emission Distribution'!D45</f>
        <v>AN21</v>
      </c>
      <c r="E38" s="241"/>
      <c r="F38" s="241"/>
      <c r="G38" s="241"/>
      <c r="H38" s="241"/>
      <c r="I38" s="241"/>
      <c r="J38" s="241"/>
      <c r="K38" s="241"/>
      <c r="L38" s="241"/>
      <c r="M38" s="241"/>
      <c r="N38" s="241"/>
      <c r="O38" s="241"/>
      <c r="P38" s="241"/>
      <c r="Q38" s="473">
        <f>(SUMIFS($E$18:$E$77,$D$18:$D$77,$D38)*SUMIFS('GWP &amp; Emission Factors '!$F$154:$F$242,'GWP &amp; Emission Factors '!$E$154:$E$242,$E$16)+SUMIFS($F$18:$F$77,$D$18:$D$77,$D38)*SUMIFS('GWP &amp; Emission Factors '!$F$154:$F$242,'GWP &amp; Emission Factors '!$E$154:$E$242,$F$16)+SUMIFS($G$18:$G$77,$D$18:$D$77,$D38)*SUMIFS('GWP &amp; Emission Factors '!$F$154:$F$242,'GWP &amp; Emission Factors '!$E$154:$E$242,$G$16)+SUMIFS($H$18:$H$77,$D$18:$D$77,$D38)*SUMIFS('GWP &amp; Emission Factors '!$F$154:$F$242,'GWP &amp; Emission Factors '!$E$154:$E$242,$H$16)+SUMIFS($I$18:$I$77,$D$18:$D$77,$D38)*SUMIFS('GWP &amp; Emission Factors '!$F$154:$F$242,'GWP &amp; Emission Factors '!$E$154:$E$242,$I$16)+SUMIFS($J$18:$J$77,$D$18:$D$77,$D38)*SUMIFS('GWP &amp; Emission Factors '!$F$154:$F$242,'GWP &amp; Emission Factors '!$E$154:$E$242,$J$16)+SUMIFS($K$18:$K$77,$D$18:$D$77,$D38)*SUMIFS('GWP &amp; Emission Factors '!$F$154:$F$242,'GWP &amp; Emission Factors '!$E$154:$E$242,$K$16)+SUMIFS($L$18:$L$77,$D$18:$D$77,$D38)*SUMIFS('GWP &amp; Emission Factors '!$F$154:$F$242,'GWP &amp; Emission Factors '!$E$154:$E$242,$L$16)+SUMIFS($M$18:$M$77,$D$18:$D$77,$D38)*SUMIFS('GWP &amp; Emission Factors '!$F$154:$F$242,'GWP &amp; Emission Factors '!$E$154:$E$242,$M$16)+SUMIFS($N$18:$N$77,$D$18:$D$77,$D38)*SUMIFS('GWP &amp; Emission Factors '!$F$154:$F$242,'GWP &amp; Emission Factors '!$E$154:$E$242,$N$16)+SUMIFS($O$18:$O$77,$D$18:$D$77,$D38)*SUMIFS('GWP &amp; Emission Factors '!$F$154:$F$242,'GWP &amp; Emission Factors '!$E$154:$E$242,$O$16)+SUMIFS($P$18:$P$77,$D$18:$D$77,$D38)*SUMIFS('GWP &amp; Emission Factors '!$F$154:$F$242,'GWP &amp; Emission Factors '!$E$154:$E$242,$P$16))/1000</f>
        <v>0</v>
      </c>
    </row>
    <row r="39" spans="4:17" x14ac:dyDescent="0.25">
      <c r="D39" s="461" t="str">
        <f>'Project Emission Distribution'!D46</f>
        <v>AN22</v>
      </c>
      <c r="E39" s="466"/>
      <c r="F39" s="466"/>
      <c r="G39" s="466"/>
      <c r="H39" s="466"/>
      <c r="I39" s="466"/>
      <c r="J39" s="466"/>
      <c r="K39" s="466"/>
      <c r="L39" s="466"/>
      <c r="M39" s="466"/>
      <c r="N39" s="466"/>
      <c r="O39" s="466"/>
      <c r="P39" s="466"/>
      <c r="Q39" s="473">
        <f>(SUMIFS($E$18:$E$77,$D$18:$D$77,$D39)*SUMIFS('GWP &amp; Emission Factors '!$F$154:$F$242,'GWP &amp; Emission Factors '!$E$154:$E$242,$E$16)+SUMIFS($F$18:$F$77,$D$18:$D$77,$D39)*SUMIFS('GWP &amp; Emission Factors '!$F$154:$F$242,'GWP &amp; Emission Factors '!$E$154:$E$242,$F$16)+SUMIFS($G$18:$G$77,$D$18:$D$77,$D39)*SUMIFS('GWP &amp; Emission Factors '!$F$154:$F$242,'GWP &amp; Emission Factors '!$E$154:$E$242,$G$16)+SUMIFS($H$18:$H$77,$D$18:$D$77,$D39)*SUMIFS('GWP &amp; Emission Factors '!$F$154:$F$242,'GWP &amp; Emission Factors '!$E$154:$E$242,$H$16)+SUMIFS($I$18:$I$77,$D$18:$D$77,$D39)*SUMIFS('GWP &amp; Emission Factors '!$F$154:$F$242,'GWP &amp; Emission Factors '!$E$154:$E$242,$I$16)+SUMIFS($J$18:$J$77,$D$18:$D$77,$D39)*SUMIFS('GWP &amp; Emission Factors '!$F$154:$F$242,'GWP &amp; Emission Factors '!$E$154:$E$242,$J$16)+SUMIFS($K$18:$K$77,$D$18:$D$77,$D39)*SUMIFS('GWP &amp; Emission Factors '!$F$154:$F$242,'GWP &amp; Emission Factors '!$E$154:$E$242,$K$16)+SUMIFS($L$18:$L$77,$D$18:$D$77,$D39)*SUMIFS('GWP &amp; Emission Factors '!$F$154:$F$242,'GWP &amp; Emission Factors '!$E$154:$E$242,$L$16)+SUMIFS($M$18:$M$77,$D$18:$D$77,$D39)*SUMIFS('GWP &amp; Emission Factors '!$F$154:$F$242,'GWP &amp; Emission Factors '!$E$154:$E$242,$M$16)+SUMIFS($N$18:$N$77,$D$18:$D$77,$D39)*SUMIFS('GWP &amp; Emission Factors '!$F$154:$F$242,'GWP &amp; Emission Factors '!$E$154:$E$242,$N$16)+SUMIFS($O$18:$O$77,$D$18:$D$77,$D39)*SUMIFS('GWP &amp; Emission Factors '!$F$154:$F$242,'GWP &amp; Emission Factors '!$E$154:$E$242,$O$16)+SUMIFS($P$18:$P$77,$D$18:$D$77,$D39)*SUMIFS('GWP &amp; Emission Factors '!$F$154:$F$242,'GWP &amp; Emission Factors '!$E$154:$E$242,$P$16))/1000</f>
        <v>0</v>
      </c>
    </row>
    <row r="40" spans="4:17" x14ac:dyDescent="0.25">
      <c r="D40" s="461" t="str">
        <f>'Project Emission Distribution'!D47</f>
        <v>AN23</v>
      </c>
      <c r="E40" s="241"/>
      <c r="F40" s="241"/>
      <c r="G40" s="241"/>
      <c r="H40" s="241"/>
      <c r="I40" s="241"/>
      <c r="J40" s="241"/>
      <c r="K40" s="241"/>
      <c r="L40" s="241"/>
      <c r="M40" s="241"/>
      <c r="N40" s="241"/>
      <c r="O40" s="241"/>
      <c r="P40" s="241"/>
      <c r="Q40" s="473">
        <f>(SUMIFS($E$18:$E$77,$D$18:$D$77,$D40)*SUMIFS('GWP &amp; Emission Factors '!$F$154:$F$242,'GWP &amp; Emission Factors '!$E$154:$E$242,$E$16)+SUMIFS($F$18:$F$77,$D$18:$D$77,$D40)*SUMIFS('GWP &amp; Emission Factors '!$F$154:$F$242,'GWP &amp; Emission Factors '!$E$154:$E$242,$F$16)+SUMIFS($G$18:$G$77,$D$18:$D$77,$D40)*SUMIFS('GWP &amp; Emission Factors '!$F$154:$F$242,'GWP &amp; Emission Factors '!$E$154:$E$242,$G$16)+SUMIFS($H$18:$H$77,$D$18:$D$77,$D40)*SUMIFS('GWP &amp; Emission Factors '!$F$154:$F$242,'GWP &amp; Emission Factors '!$E$154:$E$242,$H$16)+SUMIFS($I$18:$I$77,$D$18:$D$77,$D40)*SUMIFS('GWP &amp; Emission Factors '!$F$154:$F$242,'GWP &amp; Emission Factors '!$E$154:$E$242,$I$16)+SUMIFS($J$18:$J$77,$D$18:$D$77,$D40)*SUMIFS('GWP &amp; Emission Factors '!$F$154:$F$242,'GWP &amp; Emission Factors '!$E$154:$E$242,$J$16)+SUMIFS($K$18:$K$77,$D$18:$D$77,$D40)*SUMIFS('GWP &amp; Emission Factors '!$F$154:$F$242,'GWP &amp; Emission Factors '!$E$154:$E$242,$K$16)+SUMIFS($L$18:$L$77,$D$18:$D$77,$D40)*SUMIFS('GWP &amp; Emission Factors '!$F$154:$F$242,'GWP &amp; Emission Factors '!$E$154:$E$242,$L$16)+SUMIFS($M$18:$M$77,$D$18:$D$77,$D40)*SUMIFS('GWP &amp; Emission Factors '!$F$154:$F$242,'GWP &amp; Emission Factors '!$E$154:$E$242,$M$16)+SUMIFS($N$18:$N$77,$D$18:$D$77,$D40)*SUMIFS('GWP &amp; Emission Factors '!$F$154:$F$242,'GWP &amp; Emission Factors '!$E$154:$E$242,$N$16)+SUMIFS($O$18:$O$77,$D$18:$D$77,$D40)*SUMIFS('GWP &amp; Emission Factors '!$F$154:$F$242,'GWP &amp; Emission Factors '!$E$154:$E$242,$O$16)+SUMIFS($P$18:$P$77,$D$18:$D$77,$D40)*SUMIFS('GWP &amp; Emission Factors '!$F$154:$F$242,'GWP &amp; Emission Factors '!$E$154:$E$242,$P$16))/1000</f>
        <v>0</v>
      </c>
    </row>
    <row r="41" spans="4:17" x14ac:dyDescent="0.25">
      <c r="D41" s="461" t="str">
        <f>'Project Emission Distribution'!D48</f>
        <v>AN24</v>
      </c>
      <c r="E41" s="466"/>
      <c r="F41" s="466"/>
      <c r="G41" s="466"/>
      <c r="H41" s="466"/>
      <c r="I41" s="466"/>
      <c r="J41" s="466"/>
      <c r="K41" s="466"/>
      <c r="L41" s="466"/>
      <c r="M41" s="466"/>
      <c r="N41" s="466"/>
      <c r="O41" s="466"/>
      <c r="P41" s="466"/>
      <c r="Q41" s="473">
        <f>(SUMIFS($E$18:$E$77,$D$18:$D$77,$D41)*SUMIFS('GWP &amp; Emission Factors '!$F$154:$F$242,'GWP &amp; Emission Factors '!$E$154:$E$242,$E$16)+SUMIFS($F$18:$F$77,$D$18:$D$77,$D41)*SUMIFS('GWP &amp; Emission Factors '!$F$154:$F$242,'GWP &amp; Emission Factors '!$E$154:$E$242,$F$16)+SUMIFS($G$18:$G$77,$D$18:$D$77,$D41)*SUMIFS('GWP &amp; Emission Factors '!$F$154:$F$242,'GWP &amp; Emission Factors '!$E$154:$E$242,$G$16)+SUMIFS($H$18:$H$77,$D$18:$D$77,$D41)*SUMIFS('GWP &amp; Emission Factors '!$F$154:$F$242,'GWP &amp; Emission Factors '!$E$154:$E$242,$H$16)+SUMIFS($I$18:$I$77,$D$18:$D$77,$D41)*SUMIFS('GWP &amp; Emission Factors '!$F$154:$F$242,'GWP &amp; Emission Factors '!$E$154:$E$242,$I$16)+SUMIFS($J$18:$J$77,$D$18:$D$77,$D41)*SUMIFS('GWP &amp; Emission Factors '!$F$154:$F$242,'GWP &amp; Emission Factors '!$E$154:$E$242,$J$16)+SUMIFS($K$18:$K$77,$D$18:$D$77,$D41)*SUMIFS('GWP &amp; Emission Factors '!$F$154:$F$242,'GWP &amp; Emission Factors '!$E$154:$E$242,$K$16)+SUMIFS($L$18:$L$77,$D$18:$D$77,$D41)*SUMIFS('GWP &amp; Emission Factors '!$F$154:$F$242,'GWP &amp; Emission Factors '!$E$154:$E$242,$L$16)+SUMIFS($M$18:$M$77,$D$18:$D$77,$D41)*SUMIFS('GWP &amp; Emission Factors '!$F$154:$F$242,'GWP &amp; Emission Factors '!$E$154:$E$242,$M$16)+SUMIFS($N$18:$N$77,$D$18:$D$77,$D41)*SUMIFS('GWP &amp; Emission Factors '!$F$154:$F$242,'GWP &amp; Emission Factors '!$E$154:$E$242,$N$16)+SUMIFS($O$18:$O$77,$D$18:$D$77,$D41)*SUMIFS('GWP &amp; Emission Factors '!$F$154:$F$242,'GWP &amp; Emission Factors '!$E$154:$E$242,$O$16)+SUMIFS($P$18:$P$77,$D$18:$D$77,$D41)*SUMIFS('GWP &amp; Emission Factors '!$F$154:$F$242,'GWP &amp; Emission Factors '!$E$154:$E$242,$P$16))/1000</f>
        <v>0</v>
      </c>
    </row>
    <row r="42" spans="4:17" x14ac:dyDescent="0.25">
      <c r="D42" s="461" t="str">
        <f>'Project Emission Distribution'!D49</f>
        <v>AN25</v>
      </c>
      <c r="E42" s="241"/>
      <c r="F42" s="241"/>
      <c r="G42" s="241"/>
      <c r="H42" s="241"/>
      <c r="I42" s="241"/>
      <c r="J42" s="241"/>
      <c r="K42" s="241"/>
      <c r="L42" s="241"/>
      <c r="M42" s="241"/>
      <c r="N42" s="241"/>
      <c r="O42" s="241"/>
      <c r="P42" s="241"/>
      <c r="Q42" s="473">
        <f>(SUMIFS($E$18:$E$77,$D$18:$D$77,$D42)*SUMIFS('GWP &amp; Emission Factors '!$F$154:$F$242,'GWP &amp; Emission Factors '!$E$154:$E$242,$E$16)+SUMIFS($F$18:$F$77,$D$18:$D$77,$D42)*SUMIFS('GWP &amp; Emission Factors '!$F$154:$F$242,'GWP &amp; Emission Factors '!$E$154:$E$242,$F$16)+SUMIFS($G$18:$G$77,$D$18:$D$77,$D42)*SUMIFS('GWP &amp; Emission Factors '!$F$154:$F$242,'GWP &amp; Emission Factors '!$E$154:$E$242,$G$16)+SUMIFS($H$18:$H$77,$D$18:$D$77,$D42)*SUMIFS('GWP &amp; Emission Factors '!$F$154:$F$242,'GWP &amp; Emission Factors '!$E$154:$E$242,$H$16)+SUMIFS($I$18:$I$77,$D$18:$D$77,$D42)*SUMIFS('GWP &amp; Emission Factors '!$F$154:$F$242,'GWP &amp; Emission Factors '!$E$154:$E$242,$I$16)+SUMIFS($J$18:$J$77,$D$18:$D$77,$D42)*SUMIFS('GWP &amp; Emission Factors '!$F$154:$F$242,'GWP &amp; Emission Factors '!$E$154:$E$242,$J$16)+SUMIFS($K$18:$K$77,$D$18:$D$77,$D42)*SUMIFS('GWP &amp; Emission Factors '!$F$154:$F$242,'GWP &amp; Emission Factors '!$E$154:$E$242,$K$16)+SUMIFS($L$18:$L$77,$D$18:$D$77,$D42)*SUMIFS('GWP &amp; Emission Factors '!$F$154:$F$242,'GWP &amp; Emission Factors '!$E$154:$E$242,$L$16)+SUMIFS($M$18:$M$77,$D$18:$D$77,$D42)*SUMIFS('GWP &amp; Emission Factors '!$F$154:$F$242,'GWP &amp; Emission Factors '!$E$154:$E$242,$M$16)+SUMIFS($N$18:$N$77,$D$18:$D$77,$D42)*SUMIFS('GWP &amp; Emission Factors '!$F$154:$F$242,'GWP &amp; Emission Factors '!$E$154:$E$242,$N$16)+SUMIFS($O$18:$O$77,$D$18:$D$77,$D42)*SUMIFS('GWP &amp; Emission Factors '!$F$154:$F$242,'GWP &amp; Emission Factors '!$E$154:$E$242,$O$16)+SUMIFS($P$18:$P$77,$D$18:$D$77,$D42)*SUMIFS('GWP &amp; Emission Factors '!$F$154:$F$242,'GWP &amp; Emission Factors '!$E$154:$E$242,$P$16))/1000</f>
        <v>0</v>
      </c>
    </row>
    <row r="43" spans="4:17" x14ac:dyDescent="0.25">
      <c r="D43" s="461" t="str">
        <f>'Project Emission Distribution'!D50</f>
        <v>AN26</v>
      </c>
      <c r="E43" s="466"/>
      <c r="F43" s="466"/>
      <c r="G43" s="466"/>
      <c r="H43" s="466"/>
      <c r="I43" s="466"/>
      <c r="J43" s="466"/>
      <c r="K43" s="466"/>
      <c r="L43" s="466"/>
      <c r="M43" s="466"/>
      <c r="N43" s="466"/>
      <c r="O43" s="466"/>
      <c r="P43" s="466"/>
      <c r="Q43" s="473">
        <f>(SUMIFS($E$18:$E$77,$D$18:$D$77,$D43)*SUMIFS('GWP &amp; Emission Factors '!$F$154:$F$242,'GWP &amp; Emission Factors '!$E$154:$E$242,$E$16)+SUMIFS($F$18:$F$77,$D$18:$D$77,$D43)*SUMIFS('GWP &amp; Emission Factors '!$F$154:$F$242,'GWP &amp; Emission Factors '!$E$154:$E$242,$F$16)+SUMIFS($G$18:$G$77,$D$18:$D$77,$D43)*SUMIFS('GWP &amp; Emission Factors '!$F$154:$F$242,'GWP &amp; Emission Factors '!$E$154:$E$242,$G$16)+SUMIFS($H$18:$H$77,$D$18:$D$77,$D43)*SUMIFS('GWP &amp; Emission Factors '!$F$154:$F$242,'GWP &amp; Emission Factors '!$E$154:$E$242,$H$16)+SUMIFS($I$18:$I$77,$D$18:$D$77,$D43)*SUMIFS('GWP &amp; Emission Factors '!$F$154:$F$242,'GWP &amp; Emission Factors '!$E$154:$E$242,$I$16)+SUMIFS($J$18:$J$77,$D$18:$D$77,$D43)*SUMIFS('GWP &amp; Emission Factors '!$F$154:$F$242,'GWP &amp; Emission Factors '!$E$154:$E$242,$J$16)+SUMIFS($K$18:$K$77,$D$18:$D$77,$D43)*SUMIFS('GWP &amp; Emission Factors '!$F$154:$F$242,'GWP &amp; Emission Factors '!$E$154:$E$242,$K$16)+SUMIFS($L$18:$L$77,$D$18:$D$77,$D43)*SUMIFS('GWP &amp; Emission Factors '!$F$154:$F$242,'GWP &amp; Emission Factors '!$E$154:$E$242,$L$16)+SUMIFS($M$18:$M$77,$D$18:$D$77,$D43)*SUMIFS('GWP &amp; Emission Factors '!$F$154:$F$242,'GWP &amp; Emission Factors '!$E$154:$E$242,$M$16)+SUMIFS($N$18:$N$77,$D$18:$D$77,$D43)*SUMIFS('GWP &amp; Emission Factors '!$F$154:$F$242,'GWP &amp; Emission Factors '!$E$154:$E$242,$N$16)+SUMIFS($O$18:$O$77,$D$18:$D$77,$D43)*SUMIFS('GWP &amp; Emission Factors '!$F$154:$F$242,'GWP &amp; Emission Factors '!$E$154:$E$242,$O$16)+SUMIFS($P$18:$P$77,$D$18:$D$77,$D43)*SUMIFS('GWP &amp; Emission Factors '!$F$154:$F$242,'GWP &amp; Emission Factors '!$E$154:$E$242,$P$16))/1000</f>
        <v>0</v>
      </c>
    </row>
    <row r="44" spans="4:17" x14ac:dyDescent="0.25">
      <c r="D44" s="461" t="str">
        <f>'Project Emission Distribution'!D51</f>
        <v>AN27</v>
      </c>
      <c r="E44" s="241"/>
      <c r="F44" s="241"/>
      <c r="G44" s="241"/>
      <c r="H44" s="241"/>
      <c r="I44" s="241"/>
      <c r="J44" s="241"/>
      <c r="K44" s="241"/>
      <c r="L44" s="241"/>
      <c r="M44" s="241"/>
      <c r="N44" s="241"/>
      <c r="O44" s="241"/>
      <c r="P44" s="241"/>
      <c r="Q44" s="473">
        <f>(SUMIFS($E$18:$E$77,$D$18:$D$77,$D44)*SUMIFS('GWP &amp; Emission Factors '!$F$154:$F$242,'GWP &amp; Emission Factors '!$E$154:$E$242,$E$16)+SUMIFS($F$18:$F$77,$D$18:$D$77,$D44)*SUMIFS('GWP &amp; Emission Factors '!$F$154:$F$242,'GWP &amp; Emission Factors '!$E$154:$E$242,$F$16)+SUMIFS($G$18:$G$77,$D$18:$D$77,$D44)*SUMIFS('GWP &amp; Emission Factors '!$F$154:$F$242,'GWP &amp; Emission Factors '!$E$154:$E$242,$G$16)+SUMIFS($H$18:$H$77,$D$18:$D$77,$D44)*SUMIFS('GWP &amp; Emission Factors '!$F$154:$F$242,'GWP &amp; Emission Factors '!$E$154:$E$242,$H$16)+SUMIFS($I$18:$I$77,$D$18:$D$77,$D44)*SUMIFS('GWP &amp; Emission Factors '!$F$154:$F$242,'GWP &amp; Emission Factors '!$E$154:$E$242,$I$16)+SUMIFS($J$18:$J$77,$D$18:$D$77,$D44)*SUMIFS('GWP &amp; Emission Factors '!$F$154:$F$242,'GWP &amp; Emission Factors '!$E$154:$E$242,$J$16)+SUMIFS($K$18:$K$77,$D$18:$D$77,$D44)*SUMIFS('GWP &amp; Emission Factors '!$F$154:$F$242,'GWP &amp; Emission Factors '!$E$154:$E$242,$K$16)+SUMIFS($L$18:$L$77,$D$18:$D$77,$D44)*SUMIFS('GWP &amp; Emission Factors '!$F$154:$F$242,'GWP &amp; Emission Factors '!$E$154:$E$242,$L$16)+SUMIFS($M$18:$M$77,$D$18:$D$77,$D44)*SUMIFS('GWP &amp; Emission Factors '!$F$154:$F$242,'GWP &amp; Emission Factors '!$E$154:$E$242,$M$16)+SUMIFS($N$18:$N$77,$D$18:$D$77,$D44)*SUMIFS('GWP &amp; Emission Factors '!$F$154:$F$242,'GWP &amp; Emission Factors '!$E$154:$E$242,$N$16)+SUMIFS($O$18:$O$77,$D$18:$D$77,$D44)*SUMIFS('GWP &amp; Emission Factors '!$F$154:$F$242,'GWP &amp; Emission Factors '!$E$154:$E$242,$O$16)+SUMIFS($P$18:$P$77,$D$18:$D$77,$D44)*SUMIFS('GWP &amp; Emission Factors '!$F$154:$F$242,'GWP &amp; Emission Factors '!$E$154:$E$242,$P$16))/1000</f>
        <v>0</v>
      </c>
    </row>
    <row r="45" spans="4:17" x14ac:dyDescent="0.25">
      <c r="D45" s="461" t="str">
        <f>'Project Emission Distribution'!D52</f>
        <v>AN28</v>
      </c>
      <c r="E45" s="466"/>
      <c r="F45" s="466"/>
      <c r="G45" s="466"/>
      <c r="H45" s="466"/>
      <c r="I45" s="466"/>
      <c r="J45" s="466"/>
      <c r="K45" s="466"/>
      <c r="L45" s="466"/>
      <c r="M45" s="466"/>
      <c r="N45" s="466"/>
      <c r="O45" s="466"/>
      <c r="P45" s="466"/>
      <c r="Q45" s="473">
        <f>(SUMIFS($E$18:$E$77,$D$18:$D$77,$D45)*SUMIFS('GWP &amp; Emission Factors '!$F$154:$F$242,'GWP &amp; Emission Factors '!$E$154:$E$242,$E$16)+SUMIFS($F$18:$F$77,$D$18:$D$77,$D45)*SUMIFS('GWP &amp; Emission Factors '!$F$154:$F$242,'GWP &amp; Emission Factors '!$E$154:$E$242,$F$16)+SUMIFS($G$18:$G$77,$D$18:$D$77,$D45)*SUMIFS('GWP &amp; Emission Factors '!$F$154:$F$242,'GWP &amp; Emission Factors '!$E$154:$E$242,$G$16)+SUMIFS($H$18:$H$77,$D$18:$D$77,$D45)*SUMIFS('GWP &amp; Emission Factors '!$F$154:$F$242,'GWP &amp; Emission Factors '!$E$154:$E$242,$H$16)+SUMIFS($I$18:$I$77,$D$18:$D$77,$D45)*SUMIFS('GWP &amp; Emission Factors '!$F$154:$F$242,'GWP &amp; Emission Factors '!$E$154:$E$242,$I$16)+SUMIFS($J$18:$J$77,$D$18:$D$77,$D45)*SUMIFS('GWP &amp; Emission Factors '!$F$154:$F$242,'GWP &amp; Emission Factors '!$E$154:$E$242,$J$16)+SUMIFS($K$18:$K$77,$D$18:$D$77,$D45)*SUMIFS('GWP &amp; Emission Factors '!$F$154:$F$242,'GWP &amp; Emission Factors '!$E$154:$E$242,$K$16)+SUMIFS($L$18:$L$77,$D$18:$D$77,$D45)*SUMIFS('GWP &amp; Emission Factors '!$F$154:$F$242,'GWP &amp; Emission Factors '!$E$154:$E$242,$L$16)+SUMIFS($M$18:$M$77,$D$18:$D$77,$D45)*SUMIFS('GWP &amp; Emission Factors '!$F$154:$F$242,'GWP &amp; Emission Factors '!$E$154:$E$242,$M$16)+SUMIFS($N$18:$N$77,$D$18:$D$77,$D45)*SUMIFS('GWP &amp; Emission Factors '!$F$154:$F$242,'GWP &amp; Emission Factors '!$E$154:$E$242,$N$16)+SUMIFS($O$18:$O$77,$D$18:$D$77,$D45)*SUMIFS('GWP &amp; Emission Factors '!$F$154:$F$242,'GWP &amp; Emission Factors '!$E$154:$E$242,$O$16)+SUMIFS($P$18:$P$77,$D$18:$D$77,$D45)*SUMIFS('GWP &amp; Emission Factors '!$F$154:$F$242,'GWP &amp; Emission Factors '!$E$154:$E$242,$P$16))/1000</f>
        <v>0</v>
      </c>
    </row>
    <row r="46" spans="4:17" x14ac:dyDescent="0.25">
      <c r="D46" s="461" t="str">
        <f>'Project Emission Distribution'!D53</f>
        <v>AN29</v>
      </c>
      <c r="E46" s="241"/>
      <c r="F46" s="241"/>
      <c r="G46" s="241"/>
      <c r="H46" s="241"/>
      <c r="I46" s="241"/>
      <c r="J46" s="241"/>
      <c r="K46" s="241"/>
      <c r="L46" s="241"/>
      <c r="M46" s="241"/>
      <c r="N46" s="241"/>
      <c r="O46" s="241"/>
      <c r="P46" s="241"/>
      <c r="Q46" s="473">
        <f>(SUMIFS($E$18:$E$77,$D$18:$D$77,$D46)*SUMIFS('GWP &amp; Emission Factors '!$F$154:$F$242,'GWP &amp; Emission Factors '!$E$154:$E$242,$E$16)+SUMIFS($F$18:$F$77,$D$18:$D$77,$D46)*SUMIFS('GWP &amp; Emission Factors '!$F$154:$F$242,'GWP &amp; Emission Factors '!$E$154:$E$242,$F$16)+SUMIFS($G$18:$G$77,$D$18:$D$77,$D46)*SUMIFS('GWP &amp; Emission Factors '!$F$154:$F$242,'GWP &amp; Emission Factors '!$E$154:$E$242,$G$16)+SUMIFS($H$18:$H$77,$D$18:$D$77,$D46)*SUMIFS('GWP &amp; Emission Factors '!$F$154:$F$242,'GWP &amp; Emission Factors '!$E$154:$E$242,$H$16)+SUMIFS($I$18:$I$77,$D$18:$D$77,$D46)*SUMIFS('GWP &amp; Emission Factors '!$F$154:$F$242,'GWP &amp; Emission Factors '!$E$154:$E$242,$I$16)+SUMIFS($J$18:$J$77,$D$18:$D$77,$D46)*SUMIFS('GWP &amp; Emission Factors '!$F$154:$F$242,'GWP &amp; Emission Factors '!$E$154:$E$242,$J$16)+SUMIFS($K$18:$K$77,$D$18:$D$77,$D46)*SUMIFS('GWP &amp; Emission Factors '!$F$154:$F$242,'GWP &amp; Emission Factors '!$E$154:$E$242,$K$16)+SUMIFS($L$18:$L$77,$D$18:$D$77,$D46)*SUMIFS('GWP &amp; Emission Factors '!$F$154:$F$242,'GWP &amp; Emission Factors '!$E$154:$E$242,$L$16)+SUMIFS($M$18:$M$77,$D$18:$D$77,$D46)*SUMIFS('GWP &amp; Emission Factors '!$F$154:$F$242,'GWP &amp; Emission Factors '!$E$154:$E$242,$M$16)+SUMIFS($N$18:$N$77,$D$18:$D$77,$D46)*SUMIFS('GWP &amp; Emission Factors '!$F$154:$F$242,'GWP &amp; Emission Factors '!$E$154:$E$242,$N$16)+SUMIFS($O$18:$O$77,$D$18:$D$77,$D46)*SUMIFS('GWP &amp; Emission Factors '!$F$154:$F$242,'GWP &amp; Emission Factors '!$E$154:$E$242,$O$16)+SUMIFS($P$18:$P$77,$D$18:$D$77,$D46)*SUMIFS('GWP &amp; Emission Factors '!$F$154:$F$242,'GWP &amp; Emission Factors '!$E$154:$E$242,$P$16))/1000</f>
        <v>0</v>
      </c>
    </row>
    <row r="47" spans="4:17" x14ac:dyDescent="0.25">
      <c r="D47" s="461" t="str">
        <f>'Project Emission Distribution'!D54</f>
        <v>AN30</v>
      </c>
      <c r="E47" s="466"/>
      <c r="F47" s="466"/>
      <c r="G47" s="466"/>
      <c r="H47" s="466"/>
      <c r="I47" s="466"/>
      <c r="J47" s="466"/>
      <c r="K47" s="466"/>
      <c r="L47" s="466"/>
      <c r="M47" s="466"/>
      <c r="N47" s="466"/>
      <c r="O47" s="466"/>
      <c r="P47" s="466"/>
      <c r="Q47" s="473">
        <f>(SUMIFS($E$18:$E$77,$D$18:$D$77,$D47)*SUMIFS('GWP &amp; Emission Factors '!$F$154:$F$242,'GWP &amp; Emission Factors '!$E$154:$E$242,$E$16)+SUMIFS($F$18:$F$77,$D$18:$D$77,$D47)*SUMIFS('GWP &amp; Emission Factors '!$F$154:$F$242,'GWP &amp; Emission Factors '!$E$154:$E$242,$F$16)+SUMIFS($G$18:$G$77,$D$18:$D$77,$D47)*SUMIFS('GWP &amp; Emission Factors '!$F$154:$F$242,'GWP &amp; Emission Factors '!$E$154:$E$242,$G$16)+SUMIFS($H$18:$H$77,$D$18:$D$77,$D47)*SUMIFS('GWP &amp; Emission Factors '!$F$154:$F$242,'GWP &amp; Emission Factors '!$E$154:$E$242,$H$16)+SUMIFS($I$18:$I$77,$D$18:$D$77,$D47)*SUMIFS('GWP &amp; Emission Factors '!$F$154:$F$242,'GWP &amp; Emission Factors '!$E$154:$E$242,$I$16)+SUMIFS($J$18:$J$77,$D$18:$D$77,$D47)*SUMIFS('GWP &amp; Emission Factors '!$F$154:$F$242,'GWP &amp; Emission Factors '!$E$154:$E$242,$J$16)+SUMIFS($K$18:$K$77,$D$18:$D$77,$D47)*SUMIFS('GWP &amp; Emission Factors '!$F$154:$F$242,'GWP &amp; Emission Factors '!$E$154:$E$242,$K$16)+SUMIFS($L$18:$L$77,$D$18:$D$77,$D47)*SUMIFS('GWP &amp; Emission Factors '!$F$154:$F$242,'GWP &amp; Emission Factors '!$E$154:$E$242,$L$16)+SUMIFS($M$18:$M$77,$D$18:$D$77,$D47)*SUMIFS('GWP &amp; Emission Factors '!$F$154:$F$242,'GWP &amp; Emission Factors '!$E$154:$E$242,$M$16)+SUMIFS($N$18:$N$77,$D$18:$D$77,$D47)*SUMIFS('GWP &amp; Emission Factors '!$F$154:$F$242,'GWP &amp; Emission Factors '!$E$154:$E$242,$N$16)+SUMIFS($O$18:$O$77,$D$18:$D$77,$D47)*SUMIFS('GWP &amp; Emission Factors '!$F$154:$F$242,'GWP &amp; Emission Factors '!$E$154:$E$242,$O$16)+SUMIFS($P$18:$P$77,$D$18:$D$77,$D47)*SUMIFS('GWP &amp; Emission Factors '!$F$154:$F$242,'GWP &amp; Emission Factors '!$E$154:$E$242,$P$16))/1000</f>
        <v>0</v>
      </c>
    </row>
    <row r="48" spans="4:17" x14ac:dyDescent="0.25">
      <c r="D48" s="461" t="str">
        <f>'Project Emission Distribution'!D55</f>
        <v>AN31</v>
      </c>
      <c r="E48" s="241"/>
      <c r="F48" s="241"/>
      <c r="G48" s="241"/>
      <c r="H48" s="241"/>
      <c r="I48" s="241"/>
      <c r="J48" s="241"/>
      <c r="K48" s="241"/>
      <c r="L48" s="241"/>
      <c r="M48" s="241"/>
      <c r="N48" s="241"/>
      <c r="O48" s="241"/>
      <c r="P48" s="241"/>
      <c r="Q48" s="473">
        <f>(SUMIFS($E$18:$E$77,$D$18:$D$77,$D48)*SUMIFS('GWP &amp; Emission Factors '!$F$154:$F$242,'GWP &amp; Emission Factors '!$E$154:$E$242,$E$16)+SUMIFS($F$18:$F$77,$D$18:$D$77,$D48)*SUMIFS('GWP &amp; Emission Factors '!$F$154:$F$242,'GWP &amp; Emission Factors '!$E$154:$E$242,$F$16)+SUMIFS($G$18:$G$77,$D$18:$D$77,$D48)*SUMIFS('GWP &amp; Emission Factors '!$F$154:$F$242,'GWP &amp; Emission Factors '!$E$154:$E$242,$G$16)+SUMIFS($H$18:$H$77,$D$18:$D$77,$D48)*SUMIFS('GWP &amp; Emission Factors '!$F$154:$F$242,'GWP &amp; Emission Factors '!$E$154:$E$242,$H$16)+SUMIFS($I$18:$I$77,$D$18:$D$77,$D48)*SUMIFS('GWP &amp; Emission Factors '!$F$154:$F$242,'GWP &amp; Emission Factors '!$E$154:$E$242,$I$16)+SUMIFS($J$18:$J$77,$D$18:$D$77,$D48)*SUMIFS('GWP &amp; Emission Factors '!$F$154:$F$242,'GWP &amp; Emission Factors '!$E$154:$E$242,$J$16)+SUMIFS($K$18:$K$77,$D$18:$D$77,$D48)*SUMIFS('GWP &amp; Emission Factors '!$F$154:$F$242,'GWP &amp; Emission Factors '!$E$154:$E$242,$K$16)+SUMIFS($L$18:$L$77,$D$18:$D$77,$D48)*SUMIFS('GWP &amp; Emission Factors '!$F$154:$F$242,'GWP &amp; Emission Factors '!$E$154:$E$242,$L$16)+SUMIFS($M$18:$M$77,$D$18:$D$77,$D48)*SUMIFS('GWP &amp; Emission Factors '!$F$154:$F$242,'GWP &amp; Emission Factors '!$E$154:$E$242,$M$16)+SUMIFS($N$18:$N$77,$D$18:$D$77,$D48)*SUMIFS('GWP &amp; Emission Factors '!$F$154:$F$242,'GWP &amp; Emission Factors '!$E$154:$E$242,$N$16)+SUMIFS($O$18:$O$77,$D$18:$D$77,$D48)*SUMIFS('GWP &amp; Emission Factors '!$F$154:$F$242,'GWP &amp; Emission Factors '!$E$154:$E$242,$O$16)+SUMIFS($P$18:$P$77,$D$18:$D$77,$D48)*SUMIFS('GWP &amp; Emission Factors '!$F$154:$F$242,'GWP &amp; Emission Factors '!$E$154:$E$242,$P$16))/1000</f>
        <v>0</v>
      </c>
    </row>
    <row r="49" spans="4:17" x14ac:dyDescent="0.25">
      <c r="D49" s="461" t="str">
        <f>'Project Emission Distribution'!D56</f>
        <v>AN32</v>
      </c>
      <c r="E49" s="466"/>
      <c r="F49" s="466"/>
      <c r="G49" s="466"/>
      <c r="H49" s="466"/>
      <c r="I49" s="466"/>
      <c r="J49" s="466"/>
      <c r="K49" s="466"/>
      <c r="L49" s="466"/>
      <c r="M49" s="466"/>
      <c r="N49" s="466"/>
      <c r="O49" s="466"/>
      <c r="P49" s="466"/>
      <c r="Q49" s="473">
        <f>(SUMIFS($E$18:$E$77,$D$18:$D$77,$D49)*SUMIFS('GWP &amp; Emission Factors '!$F$154:$F$242,'GWP &amp; Emission Factors '!$E$154:$E$242,$E$16)+SUMIFS($F$18:$F$77,$D$18:$D$77,$D49)*SUMIFS('GWP &amp; Emission Factors '!$F$154:$F$242,'GWP &amp; Emission Factors '!$E$154:$E$242,$F$16)+SUMIFS($G$18:$G$77,$D$18:$D$77,$D49)*SUMIFS('GWP &amp; Emission Factors '!$F$154:$F$242,'GWP &amp; Emission Factors '!$E$154:$E$242,$G$16)+SUMIFS($H$18:$H$77,$D$18:$D$77,$D49)*SUMIFS('GWP &amp; Emission Factors '!$F$154:$F$242,'GWP &amp; Emission Factors '!$E$154:$E$242,$H$16)+SUMIFS($I$18:$I$77,$D$18:$D$77,$D49)*SUMIFS('GWP &amp; Emission Factors '!$F$154:$F$242,'GWP &amp; Emission Factors '!$E$154:$E$242,$I$16)+SUMIFS($J$18:$J$77,$D$18:$D$77,$D49)*SUMIFS('GWP &amp; Emission Factors '!$F$154:$F$242,'GWP &amp; Emission Factors '!$E$154:$E$242,$J$16)+SUMIFS($K$18:$K$77,$D$18:$D$77,$D49)*SUMIFS('GWP &amp; Emission Factors '!$F$154:$F$242,'GWP &amp; Emission Factors '!$E$154:$E$242,$K$16)+SUMIFS($L$18:$L$77,$D$18:$D$77,$D49)*SUMIFS('GWP &amp; Emission Factors '!$F$154:$F$242,'GWP &amp; Emission Factors '!$E$154:$E$242,$L$16)+SUMIFS($M$18:$M$77,$D$18:$D$77,$D49)*SUMIFS('GWP &amp; Emission Factors '!$F$154:$F$242,'GWP &amp; Emission Factors '!$E$154:$E$242,$M$16)+SUMIFS($N$18:$N$77,$D$18:$D$77,$D49)*SUMIFS('GWP &amp; Emission Factors '!$F$154:$F$242,'GWP &amp; Emission Factors '!$E$154:$E$242,$N$16)+SUMIFS($O$18:$O$77,$D$18:$D$77,$D49)*SUMIFS('GWP &amp; Emission Factors '!$F$154:$F$242,'GWP &amp; Emission Factors '!$E$154:$E$242,$O$16)+SUMIFS($P$18:$P$77,$D$18:$D$77,$D49)*SUMIFS('GWP &amp; Emission Factors '!$F$154:$F$242,'GWP &amp; Emission Factors '!$E$154:$E$242,$P$16))/1000</f>
        <v>0</v>
      </c>
    </row>
    <row r="50" spans="4:17" x14ac:dyDescent="0.25">
      <c r="D50" s="461" t="str">
        <f>'Project Emission Distribution'!D57</f>
        <v>AN33</v>
      </c>
      <c r="E50" s="241"/>
      <c r="F50" s="241"/>
      <c r="G50" s="241"/>
      <c r="H50" s="241"/>
      <c r="I50" s="241"/>
      <c r="J50" s="241"/>
      <c r="K50" s="241"/>
      <c r="L50" s="241"/>
      <c r="M50" s="241"/>
      <c r="N50" s="241"/>
      <c r="O50" s="241"/>
      <c r="P50" s="241"/>
      <c r="Q50" s="473">
        <f>(SUMIFS($E$18:$E$77,$D$18:$D$77,$D50)*SUMIFS('GWP &amp; Emission Factors '!$F$154:$F$242,'GWP &amp; Emission Factors '!$E$154:$E$242,$E$16)+SUMIFS($F$18:$F$77,$D$18:$D$77,$D50)*SUMIFS('GWP &amp; Emission Factors '!$F$154:$F$242,'GWP &amp; Emission Factors '!$E$154:$E$242,$F$16)+SUMIFS($G$18:$G$77,$D$18:$D$77,$D50)*SUMIFS('GWP &amp; Emission Factors '!$F$154:$F$242,'GWP &amp; Emission Factors '!$E$154:$E$242,$G$16)+SUMIFS($H$18:$H$77,$D$18:$D$77,$D50)*SUMIFS('GWP &amp; Emission Factors '!$F$154:$F$242,'GWP &amp; Emission Factors '!$E$154:$E$242,$H$16)+SUMIFS($I$18:$I$77,$D$18:$D$77,$D50)*SUMIFS('GWP &amp; Emission Factors '!$F$154:$F$242,'GWP &amp; Emission Factors '!$E$154:$E$242,$I$16)+SUMIFS($J$18:$J$77,$D$18:$D$77,$D50)*SUMIFS('GWP &amp; Emission Factors '!$F$154:$F$242,'GWP &amp; Emission Factors '!$E$154:$E$242,$J$16)+SUMIFS($K$18:$K$77,$D$18:$D$77,$D50)*SUMIFS('GWP &amp; Emission Factors '!$F$154:$F$242,'GWP &amp; Emission Factors '!$E$154:$E$242,$K$16)+SUMIFS($L$18:$L$77,$D$18:$D$77,$D50)*SUMIFS('GWP &amp; Emission Factors '!$F$154:$F$242,'GWP &amp; Emission Factors '!$E$154:$E$242,$L$16)+SUMIFS($M$18:$M$77,$D$18:$D$77,$D50)*SUMIFS('GWP &amp; Emission Factors '!$F$154:$F$242,'GWP &amp; Emission Factors '!$E$154:$E$242,$M$16)+SUMIFS($N$18:$N$77,$D$18:$D$77,$D50)*SUMIFS('GWP &amp; Emission Factors '!$F$154:$F$242,'GWP &amp; Emission Factors '!$E$154:$E$242,$N$16)+SUMIFS($O$18:$O$77,$D$18:$D$77,$D50)*SUMIFS('GWP &amp; Emission Factors '!$F$154:$F$242,'GWP &amp; Emission Factors '!$E$154:$E$242,$O$16)+SUMIFS($P$18:$P$77,$D$18:$D$77,$D50)*SUMIFS('GWP &amp; Emission Factors '!$F$154:$F$242,'GWP &amp; Emission Factors '!$E$154:$E$242,$P$16))/1000</f>
        <v>0</v>
      </c>
    </row>
    <row r="51" spans="4:17" x14ac:dyDescent="0.25">
      <c r="D51" s="461" t="str">
        <f>'Project Emission Distribution'!D58</f>
        <v>AN34</v>
      </c>
      <c r="E51" s="466"/>
      <c r="F51" s="466"/>
      <c r="G51" s="466"/>
      <c r="H51" s="466"/>
      <c r="I51" s="466"/>
      <c r="J51" s="466"/>
      <c r="K51" s="466"/>
      <c r="L51" s="466"/>
      <c r="M51" s="466"/>
      <c r="N51" s="466"/>
      <c r="O51" s="466"/>
      <c r="P51" s="466"/>
      <c r="Q51" s="473">
        <f>(SUMIFS($E$18:$E$77,$D$18:$D$77,$D51)*SUMIFS('GWP &amp; Emission Factors '!$F$154:$F$242,'GWP &amp; Emission Factors '!$E$154:$E$242,$E$16)+SUMIFS($F$18:$F$77,$D$18:$D$77,$D51)*SUMIFS('GWP &amp; Emission Factors '!$F$154:$F$242,'GWP &amp; Emission Factors '!$E$154:$E$242,$F$16)+SUMIFS($G$18:$G$77,$D$18:$D$77,$D51)*SUMIFS('GWP &amp; Emission Factors '!$F$154:$F$242,'GWP &amp; Emission Factors '!$E$154:$E$242,$G$16)+SUMIFS($H$18:$H$77,$D$18:$D$77,$D51)*SUMIFS('GWP &amp; Emission Factors '!$F$154:$F$242,'GWP &amp; Emission Factors '!$E$154:$E$242,$H$16)+SUMIFS($I$18:$I$77,$D$18:$D$77,$D51)*SUMIFS('GWP &amp; Emission Factors '!$F$154:$F$242,'GWP &amp; Emission Factors '!$E$154:$E$242,$I$16)+SUMIFS($J$18:$J$77,$D$18:$D$77,$D51)*SUMIFS('GWP &amp; Emission Factors '!$F$154:$F$242,'GWP &amp; Emission Factors '!$E$154:$E$242,$J$16)+SUMIFS($K$18:$K$77,$D$18:$D$77,$D51)*SUMIFS('GWP &amp; Emission Factors '!$F$154:$F$242,'GWP &amp; Emission Factors '!$E$154:$E$242,$K$16)+SUMIFS($L$18:$L$77,$D$18:$D$77,$D51)*SUMIFS('GWP &amp; Emission Factors '!$F$154:$F$242,'GWP &amp; Emission Factors '!$E$154:$E$242,$L$16)+SUMIFS($M$18:$M$77,$D$18:$D$77,$D51)*SUMIFS('GWP &amp; Emission Factors '!$F$154:$F$242,'GWP &amp; Emission Factors '!$E$154:$E$242,$M$16)+SUMIFS($N$18:$N$77,$D$18:$D$77,$D51)*SUMIFS('GWP &amp; Emission Factors '!$F$154:$F$242,'GWP &amp; Emission Factors '!$E$154:$E$242,$N$16)+SUMIFS($O$18:$O$77,$D$18:$D$77,$D51)*SUMIFS('GWP &amp; Emission Factors '!$F$154:$F$242,'GWP &amp; Emission Factors '!$E$154:$E$242,$O$16)+SUMIFS($P$18:$P$77,$D$18:$D$77,$D51)*SUMIFS('GWP &amp; Emission Factors '!$F$154:$F$242,'GWP &amp; Emission Factors '!$E$154:$E$242,$P$16))/1000</f>
        <v>0</v>
      </c>
    </row>
    <row r="52" spans="4:17" x14ac:dyDescent="0.25">
      <c r="D52" s="461" t="str">
        <f>'Project Emission Distribution'!D59</f>
        <v>AN35</v>
      </c>
      <c r="E52" s="241"/>
      <c r="F52" s="241"/>
      <c r="G52" s="241"/>
      <c r="H52" s="241"/>
      <c r="I52" s="241"/>
      <c r="J52" s="241"/>
      <c r="K52" s="241"/>
      <c r="L52" s="241"/>
      <c r="M52" s="241"/>
      <c r="N52" s="241"/>
      <c r="O52" s="241"/>
      <c r="P52" s="241"/>
      <c r="Q52" s="473">
        <f>(SUMIFS($E$18:$E$77,$D$18:$D$77,$D52)*SUMIFS('GWP &amp; Emission Factors '!$F$154:$F$242,'GWP &amp; Emission Factors '!$E$154:$E$242,$E$16)+SUMIFS($F$18:$F$77,$D$18:$D$77,$D52)*SUMIFS('GWP &amp; Emission Factors '!$F$154:$F$242,'GWP &amp; Emission Factors '!$E$154:$E$242,$F$16)+SUMIFS($G$18:$G$77,$D$18:$D$77,$D52)*SUMIFS('GWP &amp; Emission Factors '!$F$154:$F$242,'GWP &amp; Emission Factors '!$E$154:$E$242,$G$16)+SUMIFS($H$18:$H$77,$D$18:$D$77,$D52)*SUMIFS('GWP &amp; Emission Factors '!$F$154:$F$242,'GWP &amp; Emission Factors '!$E$154:$E$242,$H$16)+SUMIFS($I$18:$I$77,$D$18:$D$77,$D52)*SUMIFS('GWP &amp; Emission Factors '!$F$154:$F$242,'GWP &amp; Emission Factors '!$E$154:$E$242,$I$16)+SUMIFS($J$18:$J$77,$D$18:$D$77,$D52)*SUMIFS('GWP &amp; Emission Factors '!$F$154:$F$242,'GWP &amp; Emission Factors '!$E$154:$E$242,$J$16)+SUMIFS($K$18:$K$77,$D$18:$D$77,$D52)*SUMIFS('GWP &amp; Emission Factors '!$F$154:$F$242,'GWP &amp; Emission Factors '!$E$154:$E$242,$K$16)+SUMIFS($L$18:$L$77,$D$18:$D$77,$D52)*SUMIFS('GWP &amp; Emission Factors '!$F$154:$F$242,'GWP &amp; Emission Factors '!$E$154:$E$242,$L$16)+SUMIFS($M$18:$M$77,$D$18:$D$77,$D52)*SUMIFS('GWP &amp; Emission Factors '!$F$154:$F$242,'GWP &amp; Emission Factors '!$E$154:$E$242,$M$16)+SUMIFS($N$18:$N$77,$D$18:$D$77,$D52)*SUMIFS('GWP &amp; Emission Factors '!$F$154:$F$242,'GWP &amp; Emission Factors '!$E$154:$E$242,$N$16)+SUMIFS($O$18:$O$77,$D$18:$D$77,$D52)*SUMIFS('GWP &amp; Emission Factors '!$F$154:$F$242,'GWP &amp; Emission Factors '!$E$154:$E$242,$O$16)+SUMIFS($P$18:$P$77,$D$18:$D$77,$D52)*SUMIFS('GWP &amp; Emission Factors '!$F$154:$F$242,'GWP &amp; Emission Factors '!$E$154:$E$242,$P$16))/1000</f>
        <v>0</v>
      </c>
    </row>
    <row r="53" spans="4:17" x14ac:dyDescent="0.25">
      <c r="D53" s="461" t="str">
        <f>'Project Emission Distribution'!D60</f>
        <v>AN36</v>
      </c>
      <c r="E53" s="466"/>
      <c r="F53" s="466"/>
      <c r="G53" s="466"/>
      <c r="H53" s="466"/>
      <c r="I53" s="466"/>
      <c r="J53" s="466"/>
      <c r="K53" s="466"/>
      <c r="L53" s="466"/>
      <c r="M53" s="466"/>
      <c r="N53" s="466"/>
      <c r="O53" s="466"/>
      <c r="P53" s="466"/>
      <c r="Q53" s="473">
        <f>(SUMIFS($E$18:$E$77,$D$18:$D$77,$D53)*SUMIFS('GWP &amp; Emission Factors '!$F$154:$F$242,'GWP &amp; Emission Factors '!$E$154:$E$242,$E$16)+SUMIFS($F$18:$F$77,$D$18:$D$77,$D53)*SUMIFS('GWP &amp; Emission Factors '!$F$154:$F$242,'GWP &amp; Emission Factors '!$E$154:$E$242,$F$16)+SUMIFS($G$18:$G$77,$D$18:$D$77,$D53)*SUMIFS('GWP &amp; Emission Factors '!$F$154:$F$242,'GWP &amp; Emission Factors '!$E$154:$E$242,$G$16)+SUMIFS($H$18:$H$77,$D$18:$D$77,$D53)*SUMIFS('GWP &amp; Emission Factors '!$F$154:$F$242,'GWP &amp; Emission Factors '!$E$154:$E$242,$H$16)+SUMIFS($I$18:$I$77,$D$18:$D$77,$D53)*SUMIFS('GWP &amp; Emission Factors '!$F$154:$F$242,'GWP &amp; Emission Factors '!$E$154:$E$242,$I$16)+SUMIFS($J$18:$J$77,$D$18:$D$77,$D53)*SUMIFS('GWP &amp; Emission Factors '!$F$154:$F$242,'GWP &amp; Emission Factors '!$E$154:$E$242,$J$16)+SUMIFS($K$18:$K$77,$D$18:$D$77,$D53)*SUMIFS('GWP &amp; Emission Factors '!$F$154:$F$242,'GWP &amp; Emission Factors '!$E$154:$E$242,$K$16)+SUMIFS($L$18:$L$77,$D$18:$D$77,$D53)*SUMIFS('GWP &amp; Emission Factors '!$F$154:$F$242,'GWP &amp; Emission Factors '!$E$154:$E$242,$L$16)+SUMIFS($M$18:$M$77,$D$18:$D$77,$D53)*SUMIFS('GWP &amp; Emission Factors '!$F$154:$F$242,'GWP &amp; Emission Factors '!$E$154:$E$242,$M$16)+SUMIFS($N$18:$N$77,$D$18:$D$77,$D53)*SUMIFS('GWP &amp; Emission Factors '!$F$154:$F$242,'GWP &amp; Emission Factors '!$E$154:$E$242,$N$16)+SUMIFS($O$18:$O$77,$D$18:$D$77,$D53)*SUMIFS('GWP &amp; Emission Factors '!$F$154:$F$242,'GWP &amp; Emission Factors '!$E$154:$E$242,$O$16)+SUMIFS($P$18:$P$77,$D$18:$D$77,$D53)*SUMIFS('GWP &amp; Emission Factors '!$F$154:$F$242,'GWP &amp; Emission Factors '!$E$154:$E$242,$P$16))/1000</f>
        <v>0</v>
      </c>
    </row>
    <row r="54" spans="4:17" x14ac:dyDescent="0.25">
      <c r="D54" s="461" t="str">
        <f>'Project Emission Distribution'!D61</f>
        <v>AN37</v>
      </c>
      <c r="E54" s="241"/>
      <c r="F54" s="241"/>
      <c r="G54" s="241"/>
      <c r="H54" s="241"/>
      <c r="I54" s="241"/>
      <c r="J54" s="241"/>
      <c r="K54" s="241"/>
      <c r="L54" s="241"/>
      <c r="M54" s="241"/>
      <c r="N54" s="241"/>
      <c r="O54" s="241"/>
      <c r="P54" s="241"/>
      <c r="Q54" s="473">
        <f>(SUMIFS($E$18:$E$77,$D$18:$D$77,$D54)*SUMIFS('GWP &amp; Emission Factors '!$F$154:$F$242,'GWP &amp; Emission Factors '!$E$154:$E$242,$E$16)+SUMIFS($F$18:$F$77,$D$18:$D$77,$D54)*SUMIFS('GWP &amp; Emission Factors '!$F$154:$F$242,'GWP &amp; Emission Factors '!$E$154:$E$242,$F$16)+SUMIFS($G$18:$G$77,$D$18:$D$77,$D54)*SUMIFS('GWP &amp; Emission Factors '!$F$154:$F$242,'GWP &amp; Emission Factors '!$E$154:$E$242,$G$16)+SUMIFS($H$18:$H$77,$D$18:$D$77,$D54)*SUMIFS('GWP &amp; Emission Factors '!$F$154:$F$242,'GWP &amp; Emission Factors '!$E$154:$E$242,$H$16)+SUMIFS($I$18:$I$77,$D$18:$D$77,$D54)*SUMIFS('GWP &amp; Emission Factors '!$F$154:$F$242,'GWP &amp; Emission Factors '!$E$154:$E$242,$I$16)+SUMIFS($J$18:$J$77,$D$18:$D$77,$D54)*SUMIFS('GWP &amp; Emission Factors '!$F$154:$F$242,'GWP &amp; Emission Factors '!$E$154:$E$242,$J$16)+SUMIFS($K$18:$K$77,$D$18:$D$77,$D54)*SUMIFS('GWP &amp; Emission Factors '!$F$154:$F$242,'GWP &amp; Emission Factors '!$E$154:$E$242,$K$16)+SUMIFS($L$18:$L$77,$D$18:$D$77,$D54)*SUMIFS('GWP &amp; Emission Factors '!$F$154:$F$242,'GWP &amp; Emission Factors '!$E$154:$E$242,$L$16)+SUMIFS($M$18:$M$77,$D$18:$D$77,$D54)*SUMIFS('GWP &amp; Emission Factors '!$F$154:$F$242,'GWP &amp; Emission Factors '!$E$154:$E$242,$M$16)+SUMIFS($N$18:$N$77,$D$18:$D$77,$D54)*SUMIFS('GWP &amp; Emission Factors '!$F$154:$F$242,'GWP &amp; Emission Factors '!$E$154:$E$242,$N$16)+SUMIFS($O$18:$O$77,$D$18:$D$77,$D54)*SUMIFS('GWP &amp; Emission Factors '!$F$154:$F$242,'GWP &amp; Emission Factors '!$E$154:$E$242,$O$16)+SUMIFS($P$18:$P$77,$D$18:$D$77,$D54)*SUMIFS('GWP &amp; Emission Factors '!$F$154:$F$242,'GWP &amp; Emission Factors '!$E$154:$E$242,$P$16))/1000</f>
        <v>0</v>
      </c>
    </row>
    <row r="55" spans="4:17" x14ac:dyDescent="0.25">
      <c r="D55" s="461" t="str">
        <f>'Project Emission Distribution'!D62</f>
        <v>AN38</v>
      </c>
      <c r="E55" s="466"/>
      <c r="F55" s="466"/>
      <c r="G55" s="466"/>
      <c r="H55" s="466"/>
      <c r="I55" s="466"/>
      <c r="J55" s="466"/>
      <c r="K55" s="466"/>
      <c r="L55" s="466"/>
      <c r="M55" s="466"/>
      <c r="N55" s="466"/>
      <c r="O55" s="466"/>
      <c r="P55" s="466"/>
      <c r="Q55" s="473">
        <f>(SUMIFS($E$18:$E$77,$D$18:$D$77,$D55)*SUMIFS('GWP &amp; Emission Factors '!$F$154:$F$242,'GWP &amp; Emission Factors '!$E$154:$E$242,$E$16)+SUMIFS($F$18:$F$77,$D$18:$D$77,$D55)*SUMIFS('GWP &amp; Emission Factors '!$F$154:$F$242,'GWP &amp; Emission Factors '!$E$154:$E$242,$F$16)+SUMIFS($G$18:$G$77,$D$18:$D$77,$D55)*SUMIFS('GWP &amp; Emission Factors '!$F$154:$F$242,'GWP &amp; Emission Factors '!$E$154:$E$242,$G$16)+SUMIFS($H$18:$H$77,$D$18:$D$77,$D55)*SUMIFS('GWP &amp; Emission Factors '!$F$154:$F$242,'GWP &amp; Emission Factors '!$E$154:$E$242,$H$16)+SUMIFS($I$18:$I$77,$D$18:$D$77,$D55)*SUMIFS('GWP &amp; Emission Factors '!$F$154:$F$242,'GWP &amp; Emission Factors '!$E$154:$E$242,$I$16)+SUMIFS($J$18:$J$77,$D$18:$D$77,$D55)*SUMIFS('GWP &amp; Emission Factors '!$F$154:$F$242,'GWP &amp; Emission Factors '!$E$154:$E$242,$J$16)+SUMIFS($K$18:$K$77,$D$18:$D$77,$D55)*SUMIFS('GWP &amp; Emission Factors '!$F$154:$F$242,'GWP &amp; Emission Factors '!$E$154:$E$242,$K$16)+SUMIFS($L$18:$L$77,$D$18:$D$77,$D55)*SUMIFS('GWP &amp; Emission Factors '!$F$154:$F$242,'GWP &amp; Emission Factors '!$E$154:$E$242,$L$16)+SUMIFS($M$18:$M$77,$D$18:$D$77,$D55)*SUMIFS('GWP &amp; Emission Factors '!$F$154:$F$242,'GWP &amp; Emission Factors '!$E$154:$E$242,$M$16)+SUMIFS($N$18:$N$77,$D$18:$D$77,$D55)*SUMIFS('GWP &amp; Emission Factors '!$F$154:$F$242,'GWP &amp; Emission Factors '!$E$154:$E$242,$N$16)+SUMIFS($O$18:$O$77,$D$18:$D$77,$D55)*SUMIFS('GWP &amp; Emission Factors '!$F$154:$F$242,'GWP &amp; Emission Factors '!$E$154:$E$242,$O$16)+SUMIFS($P$18:$P$77,$D$18:$D$77,$D55)*SUMIFS('GWP &amp; Emission Factors '!$F$154:$F$242,'GWP &amp; Emission Factors '!$E$154:$E$242,$P$16))/1000</f>
        <v>0</v>
      </c>
    </row>
    <row r="56" spans="4:17" x14ac:dyDescent="0.25">
      <c r="D56" s="461" t="str">
        <f>'Project Emission Distribution'!D63</f>
        <v>AN39</v>
      </c>
      <c r="E56" s="241"/>
      <c r="F56" s="241"/>
      <c r="G56" s="241"/>
      <c r="H56" s="241"/>
      <c r="I56" s="241"/>
      <c r="J56" s="241"/>
      <c r="K56" s="241"/>
      <c r="L56" s="241"/>
      <c r="M56" s="241"/>
      <c r="N56" s="241"/>
      <c r="O56" s="241"/>
      <c r="P56" s="241"/>
      <c r="Q56" s="473">
        <f>(SUMIFS($E$18:$E$77,$D$18:$D$77,$D56)*SUMIFS('GWP &amp; Emission Factors '!$F$154:$F$242,'GWP &amp; Emission Factors '!$E$154:$E$242,$E$16)+SUMIFS($F$18:$F$77,$D$18:$D$77,$D56)*SUMIFS('GWP &amp; Emission Factors '!$F$154:$F$242,'GWP &amp; Emission Factors '!$E$154:$E$242,$F$16)+SUMIFS($G$18:$G$77,$D$18:$D$77,$D56)*SUMIFS('GWP &amp; Emission Factors '!$F$154:$F$242,'GWP &amp; Emission Factors '!$E$154:$E$242,$G$16)+SUMIFS($H$18:$H$77,$D$18:$D$77,$D56)*SUMIFS('GWP &amp; Emission Factors '!$F$154:$F$242,'GWP &amp; Emission Factors '!$E$154:$E$242,$H$16)+SUMIFS($I$18:$I$77,$D$18:$D$77,$D56)*SUMIFS('GWP &amp; Emission Factors '!$F$154:$F$242,'GWP &amp; Emission Factors '!$E$154:$E$242,$I$16)+SUMIFS($J$18:$J$77,$D$18:$D$77,$D56)*SUMIFS('GWP &amp; Emission Factors '!$F$154:$F$242,'GWP &amp; Emission Factors '!$E$154:$E$242,$J$16)+SUMIFS($K$18:$K$77,$D$18:$D$77,$D56)*SUMIFS('GWP &amp; Emission Factors '!$F$154:$F$242,'GWP &amp; Emission Factors '!$E$154:$E$242,$K$16)+SUMIFS($L$18:$L$77,$D$18:$D$77,$D56)*SUMIFS('GWP &amp; Emission Factors '!$F$154:$F$242,'GWP &amp; Emission Factors '!$E$154:$E$242,$L$16)+SUMIFS($M$18:$M$77,$D$18:$D$77,$D56)*SUMIFS('GWP &amp; Emission Factors '!$F$154:$F$242,'GWP &amp; Emission Factors '!$E$154:$E$242,$M$16)+SUMIFS($N$18:$N$77,$D$18:$D$77,$D56)*SUMIFS('GWP &amp; Emission Factors '!$F$154:$F$242,'GWP &amp; Emission Factors '!$E$154:$E$242,$N$16)+SUMIFS($O$18:$O$77,$D$18:$D$77,$D56)*SUMIFS('GWP &amp; Emission Factors '!$F$154:$F$242,'GWP &amp; Emission Factors '!$E$154:$E$242,$O$16)+SUMIFS($P$18:$P$77,$D$18:$D$77,$D56)*SUMIFS('GWP &amp; Emission Factors '!$F$154:$F$242,'GWP &amp; Emission Factors '!$E$154:$E$242,$P$16))/1000</f>
        <v>0</v>
      </c>
    </row>
    <row r="57" spans="4:17" x14ac:dyDescent="0.25">
      <c r="D57" s="461" t="str">
        <f>'Project Emission Distribution'!D64</f>
        <v>AN40</v>
      </c>
      <c r="E57" s="466"/>
      <c r="F57" s="466"/>
      <c r="G57" s="466"/>
      <c r="H57" s="466"/>
      <c r="I57" s="466"/>
      <c r="J57" s="466"/>
      <c r="K57" s="466"/>
      <c r="L57" s="466"/>
      <c r="M57" s="466"/>
      <c r="N57" s="466"/>
      <c r="O57" s="466"/>
      <c r="P57" s="466"/>
      <c r="Q57" s="473">
        <f>(SUMIFS($E$18:$E$77,$D$18:$D$77,$D57)*SUMIFS('GWP &amp; Emission Factors '!$F$154:$F$242,'GWP &amp; Emission Factors '!$E$154:$E$242,$E$16)+SUMIFS($F$18:$F$77,$D$18:$D$77,$D57)*SUMIFS('GWP &amp; Emission Factors '!$F$154:$F$242,'GWP &amp; Emission Factors '!$E$154:$E$242,$F$16)+SUMIFS($G$18:$G$77,$D$18:$D$77,$D57)*SUMIFS('GWP &amp; Emission Factors '!$F$154:$F$242,'GWP &amp; Emission Factors '!$E$154:$E$242,$G$16)+SUMIFS($H$18:$H$77,$D$18:$D$77,$D57)*SUMIFS('GWP &amp; Emission Factors '!$F$154:$F$242,'GWP &amp; Emission Factors '!$E$154:$E$242,$H$16)+SUMIFS($I$18:$I$77,$D$18:$D$77,$D57)*SUMIFS('GWP &amp; Emission Factors '!$F$154:$F$242,'GWP &amp; Emission Factors '!$E$154:$E$242,$I$16)+SUMIFS($J$18:$J$77,$D$18:$D$77,$D57)*SUMIFS('GWP &amp; Emission Factors '!$F$154:$F$242,'GWP &amp; Emission Factors '!$E$154:$E$242,$J$16)+SUMIFS($K$18:$K$77,$D$18:$D$77,$D57)*SUMIFS('GWP &amp; Emission Factors '!$F$154:$F$242,'GWP &amp; Emission Factors '!$E$154:$E$242,$K$16)+SUMIFS($L$18:$L$77,$D$18:$D$77,$D57)*SUMIFS('GWP &amp; Emission Factors '!$F$154:$F$242,'GWP &amp; Emission Factors '!$E$154:$E$242,$L$16)+SUMIFS($M$18:$M$77,$D$18:$D$77,$D57)*SUMIFS('GWP &amp; Emission Factors '!$F$154:$F$242,'GWP &amp; Emission Factors '!$E$154:$E$242,$M$16)+SUMIFS($N$18:$N$77,$D$18:$D$77,$D57)*SUMIFS('GWP &amp; Emission Factors '!$F$154:$F$242,'GWP &amp; Emission Factors '!$E$154:$E$242,$N$16)+SUMIFS($O$18:$O$77,$D$18:$D$77,$D57)*SUMIFS('GWP &amp; Emission Factors '!$F$154:$F$242,'GWP &amp; Emission Factors '!$E$154:$E$242,$O$16)+SUMIFS($P$18:$P$77,$D$18:$D$77,$D57)*SUMIFS('GWP &amp; Emission Factors '!$F$154:$F$242,'GWP &amp; Emission Factors '!$E$154:$E$242,$P$16))/1000</f>
        <v>0</v>
      </c>
    </row>
    <row r="58" spans="4:17" x14ac:dyDescent="0.25">
      <c r="D58" s="461" t="str">
        <f>'Project Emission Distribution'!D65</f>
        <v>AN41</v>
      </c>
      <c r="E58" s="241"/>
      <c r="F58" s="241"/>
      <c r="G58" s="241"/>
      <c r="H58" s="241"/>
      <c r="I58" s="241"/>
      <c r="J58" s="241"/>
      <c r="K58" s="241"/>
      <c r="L58" s="241"/>
      <c r="M58" s="241"/>
      <c r="N58" s="241"/>
      <c r="O58" s="241"/>
      <c r="P58" s="241"/>
      <c r="Q58" s="473">
        <f>(SUMIFS($E$18:$E$77,$D$18:$D$77,$D58)*SUMIFS('GWP &amp; Emission Factors '!$F$154:$F$242,'GWP &amp; Emission Factors '!$E$154:$E$242,$E$16)+SUMIFS($F$18:$F$77,$D$18:$D$77,$D58)*SUMIFS('GWP &amp; Emission Factors '!$F$154:$F$242,'GWP &amp; Emission Factors '!$E$154:$E$242,$F$16)+SUMIFS($G$18:$G$77,$D$18:$D$77,$D58)*SUMIFS('GWP &amp; Emission Factors '!$F$154:$F$242,'GWP &amp; Emission Factors '!$E$154:$E$242,$G$16)+SUMIFS($H$18:$H$77,$D$18:$D$77,$D58)*SUMIFS('GWP &amp; Emission Factors '!$F$154:$F$242,'GWP &amp; Emission Factors '!$E$154:$E$242,$H$16)+SUMIFS($I$18:$I$77,$D$18:$D$77,$D58)*SUMIFS('GWP &amp; Emission Factors '!$F$154:$F$242,'GWP &amp; Emission Factors '!$E$154:$E$242,$I$16)+SUMIFS($J$18:$J$77,$D$18:$D$77,$D58)*SUMIFS('GWP &amp; Emission Factors '!$F$154:$F$242,'GWP &amp; Emission Factors '!$E$154:$E$242,$J$16)+SUMIFS($K$18:$K$77,$D$18:$D$77,$D58)*SUMIFS('GWP &amp; Emission Factors '!$F$154:$F$242,'GWP &amp; Emission Factors '!$E$154:$E$242,$K$16)+SUMIFS($L$18:$L$77,$D$18:$D$77,$D58)*SUMIFS('GWP &amp; Emission Factors '!$F$154:$F$242,'GWP &amp; Emission Factors '!$E$154:$E$242,$L$16)+SUMIFS($M$18:$M$77,$D$18:$D$77,$D58)*SUMIFS('GWP &amp; Emission Factors '!$F$154:$F$242,'GWP &amp; Emission Factors '!$E$154:$E$242,$M$16)+SUMIFS($N$18:$N$77,$D$18:$D$77,$D58)*SUMIFS('GWP &amp; Emission Factors '!$F$154:$F$242,'GWP &amp; Emission Factors '!$E$154:$E$242,$N$16)+SUMIFS($O$18:$O$77,$D$18:$D$77,$D58)*SUMIFS('GWP &amp; Emission Factors '!$F$154:$F$242,'GWP &amp; Emission Factors '!$E$154:$E$242,$O$16)+SUMIFS($P$18:$P$77,$D$18:$D$77,$D58)*SUMIFS('GWP &amp; Emission Factors '!$F$154:$F$242,'GWP &amp; Emission Factors '!$E$154:$E$242,$P$16))/1000</f>
        <v>0</v>
      </c>
    </row>
    <row r="59" spans="4:17" x14ac:dyDescent="0.25">
      <c r="D59" s="461" t="str">
        <f>'Project Emission Distribution'!D66</f>
        <v>AN42</v>
      </c>
      <c r="E59" s="466"/>
      <c r="F59" s="466"/>
      <c r="G59" s="466"/>
      <c r="H59" s="466"/>
      <c r="I59" s="466"/>
      <c r="J59" s="466"/>
      <c r="K59" s="466"/>
      <c r="L59" s="466"/>
      <c r="M59" s="466"/>
      <c r="N59" s="466"/>
      <c r="O59" s="466"/>
      <c r="P59" s="466"/>
      <c r="Q59" s="473">
        <f>(SUMIFS($E$18:$E$77,$D$18:$D$77,$D59)*SUMIFS('GWP &amp; Emission Factors '!$F$154:$F$242,'GWP &amp; Emission Factors '!$E$154:$E$242,$E$16)+SUMIFS($F$18:$F$77,$D$18:$D$77,$D59)*SUMIFS('GWP &amp; Emission Factors '!$F$154:$F$242,'GWP &amp; Emission Factors '!$E$154:$E$242,$F$16)+SUMIFS($G$18:$G$77,$D$18:$D$77,$D59)*SUMIFS('GWP &amp; Emission Factors '!$F$154:$F$242,'GWP &amp; Emission Factors '!$E$154:$E$242,$G$16)+SUMIFS($H$18:$H$77,$D$18:$D$77,$D59)*SUMIFS('GWP &amp; Emission Factors '!$F$154:$F$242,'GWP &amp; Emission Factors '!$E$154:$E$242,$H$16)+SUMIFS($I$18:$I$77,$D$18:$D$77,$D59)*SUMIFS('GWP &amp; Emission Factors '!$F$154:$F$242,'GWP &amp; Emission Factors '!$E$154:$E$242,$I$16)+SUMIFS($J$18:$J$77,$D$18:$D$77,$D59)*SUMIFS('GWP &amp; Emission Factors '!$F$154:$F$242,'GWP &amp; Emission Factors '!$E$154:$E$242,$J$16)+SUMIFS($K$18:$K$77,$D$18:$D$77,$D59)*SUMIFS('GWP &amp; Emission Factors '!$F$154:$F$242,'GWP &amp; Emission Factors '!$E$154:$E$242,$K$16)+SUMIFS($L$18:$L$77,$D$18:$D$77,$D59)*SUMIFS('GWP &amp; Emission Factors '!$F$154:$F$242,'GWP &amp; Emission Factors '!$E$154:$E$242,$L$16)+SUMIFS($M$18:$M$77,$D$18:$D$77,$D59)*SUMIFS('GWP &amp; Emission Factors '!$F$154:$F$242,'GWP &amp; Emission Factors '!$E$154:$E$242,$M$16)+SUMIFS($N$18:$N$77,$D$18:$D$77,$D59)*SUMIFS('GWP &amp; Emission Factors '!$F$154:$F$242,'GWP &amp; Emission Factors '!$E$154:$E$242,$N$16)+SUMIFS($O$18:$O$77,$D$18:$D$77,$D59)*SUMIFS('GWP &amp; Emission Factors '!$F$154:$F$242,'GWP &amp; Emission Factors '!$E$154:$E$242,$O$16)+SUMIFS($P$18:$P$77,$D$18:$D$77,$D59)*SUMIFS('GWP &amp; Emission Factors '!$F$154:$F$242,'GWP &amp; Emission Factors '!$E$154:$E$242,$P$16))/1000</f>
        <v>0</v>
      </c>
    </row>
    <row r="60" spans="4:17" x14ac:dyDescent="0.25">
      <c r="D60" s="461" t="str">
        <f>'Project Emission Distribution'!D67</f>
        <v>AN43</v>
      </c>
      <c r="E60" s="241"/>
      <c r="F60" s="241"/>
      <c r="G60" s="241"/>
      <c r="H60" s="241"/>
      <c r="I60" s="241"/>
      <c r="J60" s="241"/>
      <c r="K60" s="241"/>
      <c r="L60" s="241"/>
      <c r="M60" s="241"/>
      <c r="N60" s="241"/>
      <c r="O60" s="241"/>
      <c r="P60" s="241"/>
      <c r="Q60" s="473">
        <f>(SUMIFS($E$18:$E$77,$D$18:$D$77,$D60)*SUMIFS('GWP &amp; Emission Factors '!$F$154:$F$242,'GWP &amp; Emission Factors '!$E$154:$E$242,$E$16)+SUMIFS($F$18:$F$77,$D$18:$D$77,$D60)*SUMIFS('GWP &amp; Emission Factors '!$F$154:$F$242,'GWP &amp; Emission Factors '!$E$154:$E$242,$F$16)+SUMIFS($G$18:$G$77,$D$18:$D$77,$D60)*SUMIFS('GWP &amp; Emission Factors '!$F$154:$F$242,'GWP &amp; Emission Factors '!$E$154:$E$242,$G$16)+SUMIFS($H$18:$H$77,$D$18:$D$77,$D60)*SUMIFS('GWP &amp; Emission Factors '!$F$154:$F$242,'GWP &amp; Emission Factors '!$E$154:$E$242,$H$16)+SUMIFS($I$18:$I$77,$D$18:$D$77,$D60)*SUMIFS('GWP &amp; Emission Factors '!$F$154:$F$242,'GWP &amp; Emission Factors '!$E$154:$E$242,$I$16)+SUMIFS($J$18:$J$77,$D$18:$D$77,$D60)*SUMIFS('GWP &amp; Emission Factors '!$F$154:$F$242,'GWP &amp; Emission Factors '!$E$154:$E$242,$J$16)+SUMIFS($K$18:$K$77,$D$18:$D$77,$D60)*SUMIFS('GWP &amp; Emission Factors '!$F$154:$F$242,'GWP &amp; Emission Factors '!$E$154:$E$242,$K$16)+SUMIFS($L$18:$L$77,$D$18:$D$77,$D60)*SUMIFS('GWP &amp; Emission Factors '!$F$154:$F$242,'GWP &amp; Emission Factors '!$E$154:$E$242,$L$16)+SUMIFS($M$18:$M$77,$D$18:$D$77,$D60)*SUMIFS('GWP &amp; Emission Factors '!$F$154:$F$242,'GWP &amp; Emission Factors '!$E$154:$E$242,$M$16)+SUMIFS($N$18:$N$77,$D$18:$D$77,$D60)*SUMIFS('GWP &amp; Emission Factors '!$F$154:$F$242,'GWP &amp; Emission Factors '!$E$154:$E$242,$N$16)+SUMIFS($O$18:$O$77,$D$18:$D$77,$D60)*SUMIFS('GWP &amp; Emission Factors '!$F$154:$F$242,'GWP &amp; Emission Factors '!$E$154:$E$242,$O$16)+SUMIFS($P$18:$P$77,$D$18:$D$77,$D60)*SUMIFS('GWP &amp; Emission Factors '!$F$154:$F$242,'GWP &amp; Emission Factors '!$E$154:$E$242,$P$16))/1000</f>
        <v>0</v>
      </c>
    </row>
    <row r="61" spans="4:17" x14ac:dyDescent="0.25">
      <c r="D61" s="461" t="str">
        <f>'Project Emission Distribution'!D68</f>
        <v>AN44</v>
      </c>
      <c r="E61" s="466"/>
      <c r="F61" s="466"/>
      <c r="G61" s="466"/>
      <c r="H61" s="466"/>
      <c r="I61" s="466"/>
      <c r="J61" s="466"/>
      <c r="K61" s="466"/>
      <c r="L61" s="466"/>
      <c r="M61" s="466"/>
      <c r="N61" s="466"/>
      <c r="O61" s="466"/>
      <c r="P61" s="466"/>
      <c r="Q61" s="473">
        <f>(SUMIFS($E$18:$E$77,$D$18:$D$77,$D61)*SUMIFS('GWP &amp; Emission Factors '!$F$154:$F$242,'GWP &amp; Emission Factors '!$E$154:$E$242,$E$16)+SUMIFS($F$18:$F$77,$D$18:$D$77,$D61)*SUMIFS('GWP &amp; Emission Factors '!$F$154:$F$242,'GWP &amp; Emission Factors '!$E$154:$E$242,$F$16)+SUMIFS($G$18:$G$77,$D$18:$D$77,$D61)*SUMIFS('GWP &amp; Emission Factors '!$F$154:$F$242,'GWP &amp; Emission Factors '!$E$154:$E$242,$G$16)+SUMIFS($H$18:$H$77,$D$18:$D$77,$D61)*SUMIFS('GWP &amp; Emission Factors '!$F$154:$F$242,'GWP &amp; Emission Factors '!$E$154:$E$242,$H$16)+SUMIFS($I$18:$I$77,$D$18:$D$77,$D61)*SUMIFS('GWP &amp; Emission Factors '!$F$154:$F$242,'GWP &amp; Emission Factors '!$E$154:$E$242,$I$16)+SUMIFS($J$18:$J$77,$D$18:$D$77,$D61)*SUMIFS('GWP &amp; Emission Factors '!$F$154:$F$242,'GWP &amp; Emission Factors '!$E$154:$E$242,$J$16)+SUMIFS($K$18:$K$77,$D$18:$D$77,$D61)*SUMIFS('GWP &amp; Emission Factors '!$F$154:$F$242,'GWP &amp; Emission Factors '!$E$154:$E$242,$K$16)+SUMIFS($L$18:$L$77,$D$18:$D$77,$D61)*SUMIFS('GWP &amp; Emission Factors '!$F$154:$F$242,'GWP &amp; Emission Factors '!$E$154:$E$242,$L$16)+SUMIFS($M$18:$M$77,$D$18:$D$77,$D61)*SUMIFS('GWP &amp; Emission Factors '!$F$154:$F$242,'GWP &amp; Emission Factors '!$E$154:$E$242,$M$16)+SUMIFS($N$18:$N$77,$D$18:$D$77,$D61)*SUMIFS('GWP &amp; Emission Factors '!$F$154:$F$242,'GWP &amp; Emission Factors '!$E$154:$E$242,$N$16)+SUMIFS($O$18:$O$77,$D$18:$D$77,$D61)*SUMIFS('GWP &amp; Emission Factors '!$F$154:$F$242,'GWP &amp; Emission Factors '!$E$154:$E$242,$O$16)+SUMIFS($P$18:$P$77,$D$18:$D$77,$D61)*SUMIFS('GWP &amp; Emission Factors '!$F$154:$F$242,'GWP &amp; Emission Factors '!$E$154:$E$242,$P$16))/1000</f>
        <v>0</v>
      </c>
    </row>
    <row r="62" spans="4:17" x14ac:dyDescent="0.25">
      <c r="D62" s="461" t="str">
        <f>'Project Emission Distribution'!D69</f>
        <v>AN45</v>
      </c>
      <c r="E62" s="241"/>
      <c r="F62" s="241"/>
      <c r="G62" s="241"/>
      <c r="H62" s="241"/>
      <c r="I62" s="241"/>
      <c r="J62" s="241"/>
      <c r="K62" s="241"/>
      <c r="L62" s="241"/>
      <c r="M62" s="241"/>
      <c r="N62" s="241"/>
      <c r="O62" s="241"/>
      <c r="P62" s="241"/>
      <c r="Q62" s="473">
        <f>(SUMIFS($E$18:$E$77,$D$18:$D$77,$D62)*SUMIFS('GWP &amp; Emission Factors '!$F$154:$F$242,'GWP &amp; Emission Factors '!$E$154:$E$242,$E$16)+SUMIFS($F$18:$F$77,$D$18:$D$77,$D62)*SUMIFS('GWP &amp; Emission Factors '!$F$154:$F$242,'GWP &amp; Emission Factors '!$E$154:$E$242,$F$16)+SUMIFS($G$18:$G$77,$D$18:$D$77,$D62)*SUMIFS('GWP &amp; Emission Factors '!$F$154:$F$242,'GWP &amp; Emission Factors '!$E$154:$E$242,$G$16)+SUMIFS($H$18:$H$77,$D$18:$D$77,$D62)*SUMIFS('GWP &amp; Emission Factors '!$F$154:$F$242,'GWP &amp; Emission Factors '!$E$154:$E$242,$H$16)+SUMIFS($I$18:$I$77,$D$18:$D$77,$D62)*SUMIFS('GWP &amp; Emission Factors '!$F$154:$F$242,'GWP &amp; Emission Factors '!$E$154:$E$242,$I$16)+SUMIFS($J$18:$J$77,$D$18:$D$77,$D62)*SUMIFS('GWP &amp; Emission Factors '!$F$154:$F$242,'GWP &amp; Emission Factors '!$E$154:$E$242,$J$16)+SUMIFS($K$18:$K$77,$D$18:$D$77,$D62)*SUMIFS('GWP &amp; Emission Factors '!$F$154:$F$242,'GWP &amp; Emission Factors '!$E$154:$E$242,$K$16)+SUMIFS($L$18:$L$77,$D$18:$D$77,$D62)*SUMIFS('GWP &amp; Emission Factors '!$F$154:$F$242,'GWP &amp; Emission Factors '!$E$154:$E$242,$L$16)+SUMIFS($M$18:$M$77,$D$18:$D$77,$D62)*SUMIFS('GWP &amp; Emission Factors '!$F$154:$F$242,'GWP &amp; Emission Factors '!$E$154:$E$242,$M$16)+SUMIFS($N$18:$N$77,$D$18:$D$77,$D62)*SUMIFS('GWP &amp; Emission Factors '!$F$154:$F$242,'GWP &amp; Emission Factors '!$E$154:$E$242,$N$16)+SUMIFS($O$18:$O$77,$D$18:$D$77,$D62)*SUMIFS('GWP &amp; Emission Factors '!$F$154:$F$242,'GWP &amp; Emission Factors '!$E$154:$E$242,$O$16)+SUMIFS($P$18:$P$77,$D$18:$D$77,$D62)*SUMIFS('GWP &amp; Emission Factors '!$F$154:$F$242,'GWP &amp; Emission Factors '!$E$154:$E$242,$P$16))/1000</f>
        <v>0</v>
      </c>
    </row>
    <row r="63" spans="4:17" x14ac:dyDescent="0.25">
      <c r="D63" s="461" t="str">
        <f>'Project Emission Distribution'!D70</f>
        <v>AN46</v>
      </c>
      <c r="E63" s="466"/>
      <c r="F63" s="466"/>
      <c r="G63" s="466"/>
      <c r="H63" s="466"/>
      <c r="I63" s="466"/>
      <c r="J63" s="466"/>
      <c r="K63" s="466"/>
      <c r="L63" s="466"/>
      <c r="M63" s="466"/>
      <c r="N63" s="466"/>
      <c r="O63" s="466"/>
      <c r="P63" s="466"/>
      <c r="Q63" s="473">
        <f>(SUMIFS($E$18:$E$77,$D$18:$D$77,$D63)*SUMIFS('GWP &amp; Emission Factors '!$F$154:$F$242,'GWP &amp; Emission Factors '!$E$154:$E$242,$E$16)+SUMIFS($F$18:$F$77,$D$18:$D$77,$D63)*SUMIFS('GWP &amp; Emission Factors '!$F$154:$F$242,'GWP &amp; Emission Factors '!$E$154:$E$242,$F$16)+SUMIFS($G$18:$G$77,$D$18:$D$77,$D63)*SUMIFS('GWP &amp; Emission Factors '!$F$154:$F$242,'GWP &amp; Emission Factors '!$E$154:$E$242,$G$16)+SUMIFS($H$18:$H$77,$D$18:$D$77,$D63)*SUMIFS('GWP &amp; Emission Factors '!$F$154:$F$242,'GWP &amp; Emission Factors '!$E$154:$E$242,$H$16)+SUMIFS($I$18:$I$77,$D$18:$D$77,$D63)*SUMIFS('GWP &amp; Emission Factors '!$F$154:$F$242,'GWP &amp; Emission Factors '!$E$154:$E$242,$I$16)+SUMIFS($J$18:$J$77,$D$18:$D$77,$D63)*SUMIFS('GWP &amp; Emission Factors '!$F$154:$F$242,'GWP &amp; Emission Factors '!$E$154:$E$242,$J$16)+SUMIFS($K$18:$K$77,$D$18:$D$77,$D63)*SUMIFS('GWP &amp; Emission Factors '!$F$154:$F$242,'GWP &amp; Emission Factors '!$E$154:$E$242,$K$16)+SUMIFS($L$18:$L$77,$D$18:$D$77,$D63)*SUMIFS('GWP &amp; Emission Factors '!$F$154:$F$242,'GWP &amp; Emission Factors '!$E$154:$E$242,$L$16)+SUMIFS($M$18:$M$77,$D$18:$D$77,$D63)*SUMIFS('GWP &amp; Emission Factors '!$F$154:$F$242,'GWP &amp; Emission Factors '!$E$154:$E$242,$M$16)+SUMIFS($N$18:$N$77,$D$18:$D$77,$D63)*SUMIFS('GWP &amp; Emission Factors '!$F$154:$F$242,'GWP &amp; Emission Factors '!$E$154:$E$242,$N$16)+SUMIFS($O$18:$O$77,$D$18:$D$77,$D63)*SUMIFS('GWP &amp; Emission Factors '!$F$154:$F$242,'GWP &amp; Emission Factors '!$E$154:$E$242,$O$16)+SUMIFS($P$18:$P$77,$D$18:$D$77,$D63)*SUMIFS('GWP &amp; Emission Factors '!$F$154:$F$242,'GWP &amp; Emission Factors '!$E$154:$E$242,$P$16))/1000</f>
        <v>0</v>
      </c>
    </row>
    <row r="64" spans="4:17" x14ac:dyDescent="0.25">
      <c r="D64" s="461" t="str">
        <f>'Project Emission Distribution'!D71</f>
        <v>AN47</v>
      </c>
      <c r="E64" s="241"/>
      <c r="F64" s="241"/>
      <c r="G64" s="241"/>
      <c r="H64" s="241"/>
      <c r="I64" s="241"/>
      <c r="J64" s="241"/>
      <c r="K64" s="241"/>
      <c r="L64" s="241"/>
      <c r="M64" s="241"/>
      <c r="N64" s="241"/>
      <c r="O64" s="241"/>
      <c r="P64" s="241"/>
      <c r="Q64" s="473">
        <f>(SUMIFS($E$18:$E$77,$D$18:$D$77,$D64)*SUMIFS('GWP &amp; Emission Factors '!$F$154:$F$242,'GWP &amp; Emission Factors '!$E$154:$E$242,$E$16)+SUMIFS($F$18:$F$77,$D$18:$D$77,$D64)*SUMIFS('GWP &amp; Emission Factors '!$F$154:$F$242,'GWP &amp; Emission Factors '!$E$154:$E$242,$F$16)+SUMIFS($G$18:$G$77,$D$18:$D$77,$D64)*SUMIFS('GWP &amp; Emission Factors '!$F$154:$F$242,'GWP &amp; Emission Factors '!$E$154:$E$242,$G$16)+SUMIFS($H$18:$H$77,$D$18:$D$77,$D64)*SUMIFS('GWP &amp; Emission Factors '!$F$154:$F$242,'GWP &amp; Emission Factors '!$E$154:$E$242,$H$16)+SUMIFS($I$18:$I$77,$D$18:$D$77,$D64)*SUMIFS('GWP &amp; Emission Factors '!$F$154:$F$242,'GWP &amp; Emission Factors '!$E$154:$E$242,$I$16)+SUMIFS($J$18:$J$77,$D$18:$D$77,$D64)*SUMIFS('GWP &amp; Emission Factors '!$F$154:$F$242,'GWP &amp; Emission Factors '!$E$154:$E$242,$J$16)+SUMIFS($K$18:$K$77,$D$18:$D$77,$D64)*SUMIFS('GWP &amp; Emission Factors '!$F$154:$F$242,'GWP &amp; Emission Factors '!$E$154:$E$242,$K$16)+SUMIFS($L$18:$L$77,$D$18:$D$77,$D64)*SUMIFS('GWP &amp; Emission Factors '!$F$154:$F$242,'GWP &amp; Emission Factors '!$E$154:$E$242,$L$16)+SUMIFS($M$18:$M$77,$D$18:$D$77,$D64)*SUMIFS('GWP &amp; Emission Factors '!$F$154:$F$242,'GWP &amp; Emission Factors '!$E$154:$E$242,$M$16)+SUMIFS($N$18:$N$77,$D$18:$D$77,$D64)*SUMIFS('GWP &amp; Emission Factors '!$F$154:$F$242,'GWP &amp; Emission Factors '!$E$154:$E$242,$N$16)+SUMIFS($O$18:$O$77,$D$18:$D$77,$D64)*SUMIFS('GWP &amp; Emission Factors '!$F$154:$F$242,'GWP &amp; Emission Factors '!$E$154:$E$242,$O$16)+SUMIFS($P$18:$P$77,$D$18:$D$77,$D64)*SUMIFS('GWP &amp; Emission Factors '!$F$154:$F$242,'GWP &amp; Emission Factors '!$E$154:$E$242,$P$16))/1000</f>
        <v>0</v>
      </c>
    </row>
    <row r="65" spans="4:17" x14ac:dyDescent="0.25">
      <c r="D65" s="461" t="str">
        <f>'Project Emission Distribution'!D72</f>
        <v>AN48</v>
      </c>
      <c r="E65" s="466"/>
      <c r="F65" s="466"/>
      <c r="G65" s="466"/>
      <c r="H65" s="466"/>
      <c r="I65" s="466"/>
      <c r="J65" s="466"/>
      <c r="K65" s="466"/>
      <c r="L65" s="466"/>
      <c r="M65" s="466"/>
      <c r="N65" s="466"/>
      <c r="O65" s="466"/>
      <c r="P65" s="466"/>
      <c r="Q65" s="473">
        <f>(SUMIFS($E$18:$E$77,$D$18:$D$77,$D65)*SUMIFS('GWP &amp; Emission Factors '!$F$154:$F$242,'GWP &amp; Emission Factors '!$E$154:$E$242,$E$16)+SUMIFS($F$18:$F$77,$D$18:$D$77,$D65)*SUMIFS('GWP &amp; Emission Factors '!$F$154:$F$242,'GWP &amp; Emission Factors '!$E$154:$E$242,$F$16)+SUMIFS($G$18:$G$77,$D$18:$D$77,$D65)*SUMIFS('GWP &amp; Emission Factors '!$F$154:$F$242,'GWP &amp; Emission Factors '!$E$154:$E$242,$G$16)+SUMIFS($H$18:$H$77,$D$18:$D$77,$D65)*SUMIFS('GWP &amp; Emission Factors '!$F$154:$F$242,'GWP &amp; Emission Factors '!$E$154:$E$242,$H$16)+SUMIFS($I$18:$I$77,$D$18:$D$77,$D65)*SUMIFS('GWP &amp; Emission Factors '!$F$154:$F$242,'GWP &amp; Emission Factors '!$E$154:$E$242,$I$16)+SUMIFS($J$18:$J$77,$D$18:$D$77,$D65)*SUMIFS('GWP &amp; Emission Factors '!$F$154:$F$242,'GWP &amp; Emission Factors '!$E$154:$E$242,$J$16)+SUMIFS($K$18:$K$77,$D$18:$D$77,$D65)*SUMIFS('GWP &amp; Emission Factors '!$F$154:$F$242,'GWP &amp; Emission Factors '!$E$154:$E$242,$K$16)+SUMIFS($L$18:$L$77,$D$18:$D$77,$D65)*SUMIFS('GWP &amp; Emission Factors '!$F$154:$F$242,'GWP &amp; Emission Factors '!$E$154:$E$242,$L$16)+SUMIFS($M$18:$M$77,$D$18:$D$77,$D65)*SUMIFS('GWP &amp; Emission Factors '!$F$154:$F$242,'GWP &amp; Emission Factors '!$E$154:$E$242,$M$16)+SUMIFS($N$18:$N$77,$D$18:$D$77,$D65)*SUMIFS('GWP &amp; Emission Factors '!$F$154:$F$242,'GWP &amp; Emission Factors '!$E$154:$E$242,$N$16)+SUMIFS($O$18:$O$77,$D$18:$D$77,$D65)*SUMIFS('GWP &amp; Emission Factors '!$F$154:$F$242,'GWP &amp; Emission Factors '!$E$154:$E$242,$O$16)+SUMIFS($P$18:$P$77,$D$18:$D$77,$D65)*SUMIFS('GWP &amp; Emission Factors '!$F$154:$F$242,'GWP &amp; Emission Factors '!$E$154:$E$242,$P$16))/1000</f>
        <v>0</v>
      </c>
    </row>
    <row r="66" spans="4:17" x14ac:dyDescent="0.25">
      <c r="D66" s="461" t="str">
        <f>'Project Emission Distribution'!D73</f>
        <v>AN49</v>
      </c>
      <c r="E66" s="241"/>
      <c r="F66" s="241"/>
      <c r="G66" s="241"/>
      <c r="H66" s="241"/>
      <c r="I66" s="241"/>
      <c r="J66" s="241"/>
      <c r="K66" s="241"/>
      <c r="L66" s="241"/>
      <c r="M66" s="241"/>
      <c r="N66" s="241"/>
      <c r="O66" s="241"/>
      <c r="P66" s="241"/>
      <c r="Q66" s="473">
        <f>(SUMIFS($E$18:$E$77,$D$18:$D$77,$D66)*SUMIFS('GWP &amp; Emission Factors '!$F$154:$F$242,'GWP &amp; Emission Factors '!$E$154:$E$242,$E$16)+SUMIFS($F$18:$F$77,$D$18:$D$77,$D66)*SUMIFS('GWP &amp; Emission Factors '!$F$154:$F$242,'GWP &amp; Emission Factors '!$E$154:$E$242,$F$16)+SUMIFS($G$18:$G$77,$D$18:$D$77,$D66)*SUMIFS('GWP &amp; Emission Factors '!$F$154:$F$242,'GWP &amp; Emission Factors '!$E$154:$E$242,$G$16)+SUMIFS($H$18:$H$77,$D$18:$D$77,$D66)*SUMIFS('GWP &amp; Emission Factors '!$F$154:$F$242,'GWP &amp; Emission Factors '!$E$154:$E$242,$H$16)+SUMIFS($I$18:$I$77,$D$18:$D$77,$D66)*SUMIFS('GWP &amp; Emission Factors '!$F$154:$F$242,'GWP &amp; Emission Factors '!$E$154:$E$242,$I$16)+SUMIFS($J$18:$J$77,$D$18:$D$77,$D66)*SUMIFS('GWP &amp; Emission Factors '!$F$154:$F$242,'GWP &amp; Emission Factors '!$E$154:$E$242,$J$16)+SUMIFS($K$18:$K$77,$D$18:$D$77,$D66)*SUMIFS('GWP &amp; Emission Factors '!$F$154:$F$242,'GWP &amp; Emission Factors '!$E$154:$E$242,$K$16)+SUMIFS($L$18:$L$77,$D$18:$D$77,$D66)*SUMIFS('GWP &amp; Emission Factors '!$F$154:$F$242,'GWP &amp; Emission Factors '!$E$154:$E$242,$L$16)+SUMIFS($M$18:$M$77,$D$18:$D$77,$D66)*SUMIFS('GWP &amp; Emission Factors '!$F$154:$F$242,'GWP &amp; Emission Factors '!$E$154:$E$242,$M$16)+SUMIFS($N$18:$N$77,$D$18:$D$77,$D66)*SUMIFS('GWP &amp; Emission Factors '!$F$154:$F$242,'GWP &amp; Emission Factors '!$E$154:$E$242,$N$16)+SUMIFS($O$18:$O$77,$D$18:$D$77,$D66)*SUMIFS('GWP &amp; Emission Factors '!$F$154:$F$242,'GWP &amp; Emission Factors '!$E$154:$E$242,$O$16)+SUMIFS($P$18:$P$77,$D$18:$D$77,$D66)*SUMIFS('GWP &amp; Emission Factors '!$F$154:$F$242,'GWP &amp; Emission Factors '!$E$154:$E$242,$P$16))/1000</f>
        <v>0</v>
      </c>
    </row>
    <row r="67" spans="4:17" x14ac:dyDescent="0.25">
      <c r="D67" s="461" t="str">
        <f>'Project Emission Distribution'!D74</f>
        <v>AN50</v>
      </c>
      <c r="E67" s="466"/>
      <c r="F67" s="466"/>
      <c r="G67" s="466"/>
      <c r="H67" s="466"/>
      <c r="I67" s="466"/>
      <c r="J67" s="466"/>
      <c r="K67" s="466"/>
      <c r="L67" s="466"/>
      <c r="M67" s="466"/>
      <c r="N67" s="466"/>
      <c r="O67" s="466"/>
      <c r="P67" s="466"/>
      <c r="Q67" s="473">
        <f>(SUMIFS($E$18:$E$77,$D$18:$D$77,$D67)*SUMIFS('GWP &amp; Emission Factors '!$F$154:$F$242,'GWP &amp; Emission Factors '!$E$154:$E$242,$E$16)+SUMIFS($F$18:$F$77,$D$18:$D$77,$D67)*SUMIFS('GWP &amp; Emission Factors '!$F$154:$F$242,'GWP &amp; Emission Factors '!$E$154:$E$242,$F$16)+SUMIFS($G$18:$G$77,$D$18:$D$77,$D67)*SUMIFS('GWP &amp; Emission Factors '!$F$154:$F$242,'GWP &amp; Emission Factors '!$E$154:$E$242,$G$16)+SUMIFS($H$18:$H$77,$D$18:$D$77,$D67)*SUMIFS('GWP &amp; Emission Factors '!$F$154:$F$242,'GWP &amp; Emission Factors '!$E$154:$E$242,$H$16)+SUMIFS($I$18:$I$77,$D$18:$D$77,$D67)*SUMIFS('GWP &amp; Emission Factors '!$F$154:$F$242,'GWP &amp; Emission Factors '!$E$154:$E$242,$I$16)+SUMIFS($J$18:$J$77,$D$18:$D$77,$D67)*SUMIFS('GWP &amp; Emission Factors '!$F$154:$F$242,'GWP &amp; Emission Factors '!$E$154:$E$242,$J$16)+SUMIFS($K$18:$K$77,$D$18:$D$77,$D67)*SUMIFS('GWP &amp; Emission Factors '!$F$154:$F$242,'GWP &amp; Emission Factors '!$E$154:$E$242,$K$16)+SUMIFS($L$18:$L$77,$D$18:$D$77,$D67)*SUMIFS('GWP &amp; Emission Factors '!$F$154:$F$242,'GWP &amp; Emission Factors '!$E$154:$E$242,$L$16)+SUMIFS($M$18:$M$77,$D$18:$D$77,$D67)*SUMIFS('GWP &amp; Emission Factors '!$F$154:$F$242,'GWP &amp; Emission Factors '!$E$154:$E$242,$M$16)+SUMIFS($N$18:$N$77,$D$18:$D$77,$D67)*SUMIFS('GWP &amp; Emission Factors '!$F$154:$F$242,'GWP &amp; Emission Factors '!$E$154:$E$242,$N$16)+SUMIFS($O$18:$O$77,$D$18:$D$77,$D67)*SUMIFS('GWP &amp; Emission Factors '!$F$154:$F$242,'GWP &amp; Emission Factors '!$E$154:$E$242,$O$16)+SUMIFS($P$18:$P$77,$D$18:$D$77,$D67)*SUMIFS('GWP &amp; Emission Factors '!$F$154:$F$242,'GWP &amp; Emission Factors '!$E$154:$E$242,$P$16))/1000</f>
        <v>0</v>
      </c>
    </row>
    <row r="68" spans="4:17" x14ac:dyDescent="0.25">
      <c r="D68" s="461" t="str">
        <f>'Project Emission Distribution'!D75</f>
        <v>AN51</v>
      </c>
      <c r="E68" s="241"/>
      <c r="F68" s="241"/>
      <c r="G68" s="241"/>
      <c r="H68" s="241"/>
      <c r="I68" s="241"/>
      <c r="J68" s="241"/>
      <c r="K68" s="241"/>
      <c r="L68" s="241"/>
      <c r="M68" s="241"/>
      <c r="N68" s="241"/>
      <c r="O68" s="241"/>
      <c r="P68" s="241"/>
      <c r="Q68" s="473">
        <f>(SUMIFS($E$18:$E$77,$D$18:$D$77,$D68)*SUMIFS('GWP &amp; Emission Factors '!$F$154:$F$242,'GWP &amp; Emission Factors '!$E$154:$E$242,$E$16)+SUMIFS($F$18:$F$77,$D$18:$D$77,$D68)*SUMIFS('GWP &amp; Emission Factors '!$F$154:$F$242,'GWP &amp; Emission Factors '!$E$154:$E$242,$F$16)+SUMIFS($G$18:$G$77,$D$18:$D$77,$D68)*SUMIFS('GWP &amp; Emission Factors '!$F$154:$F$242,'GWP &amp; Emission Factors '!$E$154:$E$242,$G$16)+SUMIFS($H$18:$H$77,$D$18:$D$77,$D68)*SUMIFS('GWP &amp; Emission Factors '!$F$154:$F$242,'GWP &amp; Emission Factors '!$E$154:$E$242,$H$16)+SUMIFS($I$18:$I$77,$D$18:$D$77,$D68)*SUMIFS('GWP &amp; Emission Factors '!$F$154:$F$242,'GWP &amp; Emission Factors '!$E$154:$E$242,$I$16)+SUMIFS($J$18:$J$77,$D$18:$D$77,$D68)*SUMIFS('GWP &amp; Emission Factors '!$F$154:$F$242,'GWP &amp; Emission Factors '!$E$154:$E$242,$J$16)+SUMIFS($K$18:$K$77,$D$18:$D$77,$D68)*SUMIFS('GWP &amp; Emission Factors '!$F$154:$F$242,'GWP &amp; Emission Factors '!$E$154:$E$242,$K$16)+SUMIFS($L$18:$L$77,$D$18:$D$77,$D68)*SUMIFS('GWP &amp; Emission Factors '!$F$154:$F$242,'GWP &amp; Emission Factors '!$E$154:$E$242,$L$16)+SUMIFS($M$18:$M$77,$D$18:$D$77,$D68)*SUMIFS('GWP &amp; Emission Factors '!$F$154:$F$242,'GWP &amp; Emission Factors '!$E$154:$E$242,$M$16)+SUMIFS($N$18:$N$77,$D$18:$D$77,$D68)*SUMIFS('GWP &amp; Emission Factors '!$F$154:$F$242,'GWP &amp; Emission Factors '!$E$154:$E$242,$N$16)+SUMIFS($O$18:$O$77,$D$18:$D$77,$D68)*SUMIFS('GWP &amp; Emission Factors '!$F$154:$F$242,'GWP &amp; Emission Factors '!$E$154:$E$242,$O$16)+SUMIFS($P$18:$P$77,$D$18:$D$77,$D68)*SUMIFS('GWP &amp; Emission Factors '!$F$154:$F$242,'GWP &amp; Emission Factors '!$E$154:$E$242,$P$16))/1000</f>
        <v>0</v>
      </c>
    </row>
    <row r="69" spans="4:17" x14ac:dyDescent="0.25">
      <c r="D69" s="461" t="str">
        <f>'Project Emission Distribution'!D76</f>
        <v>AN52</v>
      </c>
      <c r="E69" s="466"/>
      <c r="F69" s="466"/>
      <c r="G69" s="466"/>
      <c r="H69" s="466"/>
      <c r="I69" s="466"/>
      <c r="J69" s="466"/>
      <c r="K69" s="466"/>
      <c r="L69" s="466"/>
      <c r="M69" s="466"/>
      <c r="N69" s="466"/>
      <c r="O69" s="466"/>
      <c r="P69" s="466"/>
      <c r="Q69" s="473">
        <f>(SUMIFS($E$18:$E$77,$D$18:$D$77,$D69)*SUMIFS('GWP &amp; Emission Factors '!$F$154:$F$242,'GWP &amp; Emission Factors '!$E$154:$E$242,$E$16)+SUMIFS($F$18:$F$77,$D$18:$D$77,$D69)*SUMIFS('GWP &amp; Emission Factors '!$F$154:$F$242,'GWP &amp; Emission Factors '!$E$154:$E$242,$F$16)+SUMIFS($G$18:$G$77,$D$18:$D$77,$D69)*SUMIFS('GWP &amp; Emission Factors '!$F$154:$F$242,'GWP &amp; Emission Factors '!$E$154:$E$242,$G$16)+SUMIFS($H$18:$H$77,$D$18:$D$77,$D69)*SUMIFS('GWP &amp; Emission Factors '!$F$154:$F$242,'GWP &amp; Emission Factors '!$E$154:$E$242,$H$16)+SUMIFS($I$18:$I$77,$D$18:$D$77,$D69)*SUMIFS('GWP &amp; Emission Factors '!$F$154:$F$242,'GWP &amp; Emission Factors '!$E$154:$E$242,$I$16)+SUMIFS($J$18:$J$77,$D$18:$D$77,$D69)*SUMIFS('GWP &amp; Emission Factors '!$F$154:$F$242,'GWP &amp; Emission Factors '!$E$154:$E$242,$J$16)+SUMIFS($K$18:$K$77,$D$18:$D$77,$D69)*SUMIFS('GWP &amp; Emission Factors '!$F$154:$F$242,'GWP &amp; Emission Factors '!$E$154:$E$242,$K$16)+SUMIFS($L$18:$L$77,$D$18:$D$77,$D69)*SUMIFS('GWP &amp; Emission Factors '!$F$154:$F$242,'GWP &amp; Emission Factors '!$E$154:$E$242,$L$16)+SUMIFS($M$18:$M$77,$D$18:$D$77,$D69)*SUMIFS('GWP &amp; Emission Factors '!$F$154:$F$242,'GWP &amp; Emission Factors '!$E$154:$E$242,$M$16)+SUMIFS($N$18:$N$77,$D$18:$D$77,$D69)*SUMIFS('GWP &amp; Emission Factors '!$F$154:$F$242,'GWP &amp; Emission Factors '!$E$154:$E$242,$N$16)+SUMIFS($O$18:$O$77,$D$18:$D$77,$D69)*SUMIFS('GWP &amp; Emission Factors '!$F$154:$F$242,'GWP &amp; Emission Factors '!$E$154:$E$242,$O$16)+SUMIFS($P$18:$P$77,$D$18:$D$77,$D69)*SUMIFS('GWP &amp; Emission Factors '!$F$154:$F$242,'GWP &amp; Emission Factors '!$E$154:$E$242,$P$16))/1000</f>
        <v>0</v>
      </c>
    </row>
    <row r="70" spans="4:17" x14ac:dyDescent="0.25">
      <c r="D70" s="461" t="str">
        <f>'Project Emission Distribution'!D77</f>
        <v>AN53</v>
      </c>
      <c r="E70" s="241"/>
      <c r="F70" s="241"/>
      <c r="G70" s="241"/>
      <c r="H70" s="241"/>
      <c r="I70" s="241"/>
      <c r="J70" s="241"/>
      <c r="K70" s="241"/>
      <c r="L70" s="241"/>
      <c r="M70" s="241"/>
      <c r="N70" s="241"/>
      <c r="O70" s="241"/>
      <c r="P70" s="241"/>
      <c r="Q70" s="473">
        <f>(SUMIFS($E$18:$E$77,$D$18:$D$77,$D70)*SUMIFS('GWP &amp; Emission Factors '!$F$154:$F$242,'GWP &amp; Emission Factors '!$E$154:$E$242,$E$16)+SUMIFS($F$18:$F$77,$D$18:$D$77,$D70)*SUMIFS('GWP &amp; Emission Factors '!$F$154:$F$242,'GWP &amp; Emission Factors '!$E$154:$E$242,$F$16)+SUMIFS($G$18:$G$77,$D$18:$D$77,$D70)*SUMIFS('GWP &amp; Emission Factors '!$F$154:$F$242,'GWP &amp; Emission Factors '!$E$154:$E$242,$G$16)+SUMIFS($H$18:$H$77,$D$18:$D$77,$D70)*SUMIFS('GWP &amp; Emission Factors '!$F$154:$F$242,'GWP &amp; Emission Factors '!$E$154:$E$242,$H$16)+SUMIFS($I$18:$I$77,$D$18:$D$77,$D70)*SUMIFS('GWP &amp; Emission Factors '!$F$154:$F$242,'GWP &amp; Emission Factors '!$E$154:$E$242,$I$16)+SUMIFS($J$18:$J$77,$D$18:$D$77,$D70)*SUMIFS('GWP &amp; Emission Factors '!$F$154:$F$242,'GWP &amp; Emission Factors '!$E$154:$E$242,$J$16)+SUMIFS($K$18:$K$77,$D$18:$D$77,$D70)*SUMIFS('GWP &amp; Emission Factors '!$F$154:$F$242,'GWP &amp; Emission Factors '!$E$154:$E$242,$K$16)+SUMIFS($L$18:$L$77,$D$18:$D$77,$D70)*SUMIFS('GWP &amp; Emission Factors '!$F$154:$F$242,'GWP &amp; Emission Factors '!$E$154:$E$242,$L$16)+SUMIFS($M$18:$M$77,$D$18:$D$77,$D70)*SUMIFS('GWP &amp; Emission Factors '!$F$154:$F$242,'GWP &amp; Emission Factors '!$E$154:$E$242,$M$16)+SUMIFS($N$18:$N$77,$D$18:$D$77,$D70)*SUMIFS('GWP &amp; Emission Factors '!$F$154:$F$242,'GWP &amp; Emission Factors '!$E$154:$E$242,$N$16)+SUMIFS($O$18:$O$77,$D$18:$D$77,$D70)*SUMIFS('GWP &amp; Emission Factors '!$F$154:$F$242,'GWP &amp; Emission Factors '!$E$154:$E$242,$O$16)+SUMIFS($P$18:$P$77,$D$18:$D$77,$D70)*SUMIFS('GWP &amp; Emission Factors '!$F$154:$F$242,'GWP &amp; Emission Factors '!$E$154:$E$242,$P$16))/1000</f>
        <v>0</v>
      </c>
    </row>
    <row r="71" spans="4:17" x14ac:dyDescent="0.25">
      <c r="D71" s="461" t="str">
        <f>'Project Emission Distribution'!D78</f>
        <v>AN54</v>
      </c>
      <c r="E71" s="466"/>
      <c r="F71" s="466"/>
      <c r="G71" s="466"/>
      <c r="H71" s="466"/>
      <c r="I71" s="466"/>
      <c r="J71" s="466"/>
      <c r="K71" s="466"/>
      <c r="L71" s="466"/>
      <c r="M71" s="466"/>
      <c r="N71" s="466"/>
      <c r="O71" s="466"/>
      <c r="P71" s="466"/>
      <c r="Q71" s="473">
        <f>(SUMIFS($E$18:$E$77,$D$18:$D$77,$D71)*SUMIFS('GWP &amp; Emission Factors '!$F$154:$F$242,'GWP &amp; Emission Factors '!$E$154:$E$242,$E$16)+SUMIFS($F$18:$F$77,$D$18:$D$77,$D71)*SUMIFS('GWP &amp; Emission Factors '!$F$154:$F$242,'GWP &amp; Emission Factors '!$E$154:$E$242,$F$16)+SUMIFS($G$18:$G$77,$D$18:$D$77,$D71)*SUMIFS('GWP &amp; Emission Factors '!$F$154:$F$242,'GWP &amp; Emission Factors '!$E$154:$E$242,$G$16)+SUMIFS($H$18:$H$77,$D$18:$D$77,$D71)*SUMIFS('GWP &amp; Emission Factors '!$F$154:$F$242,'GWP &amp; Emission Factors '!$E$154:$E$242,$H$16)+SUMIFS($I$18:$I$77,$D$18:$D$77,$D71)*SUMIFS('GWP &amp; Emission Factors '!$F$154:$F$242,'GWP &amp; Emission Factors '!$E$154:$E$242,$I$16)+SUMIFS($J$18:$J$77,$D$18:$D$77,$D71)*SUMIFS('GWP &amp; Emission Factors '!$F$154:$F$242,'GWP &amp; Emission Factors '!$E$154:$E$242,$J$16)+SUMIFS($K$18:$K$77,$D$18:$D$77,$D71)*SUMIFS('GWP &amp; Emission Factors '!$F$154:$F$242,'GWP &amp; Emission Factors '!$E$154:$E$242,$K$16)+SUMIFS($L$18:$L$77,$D$18:$D$77,$D71)*SUMIFS('GWP &amp; Emission Factors '!$F$154:$F$242,'GWP &amp; Emission Factors '!$E$154:$E$242,$L$16)+SUMIFS($M$18:$M$77,$D$18:$D$77,$D71)*SUMIFS('GWP &amp; Emission Factors '!$F$154:$F$242,'GWP &amp; Emission Factors '!$E$154:$E$242,$M$16)+SUMIFS($N$18:$N$77,$D$18:$D$77,$D71)*SUMIFS('GWP &amp; Emission Factors '!$F$154:$F$242,'GWP &amp; Emission Factors '!$E$154:$E$242,$N$16)+SUMIFS($O$18:$O$77,$D$18:$D$77,$D71)*SUMIFS('GWP &amp; Emission Factors '!$F$154:$F$242,'GWP &amp; Emission Factors '!$E$154:$E$242,$O$16)+SUMIFS($P$18:$P$77,$D$18:$D$77,$D71)*SUMIFS('GWP &amp; Emission Factors '!$F$154:$F$242,'GWP &amp; Emission Factors '!$E$154:$E$242,$P$16))/1000</f>
        <v>0</v>
      </c>
    </row>
    <row r="72" spans="4:17" x14ac:dyDescent="0.25">
      <c r="D72" s="461" t="str">
        <f>'Project Emission Distribution'!D79</f>
        <v>AN55</v>
      </c>
      <c r="E72" s="241"/>
      <c r="F72" s="241"/>
      <c r="G72" s="241"/>
      <c r="H72" s="241"/>
      <c r="I72" s="241"/>
      <c r="J72" s="241"/>
      <c r="K72" s="241"/>
      <c r="L72" s="241"/>
      <c r="M72" s="241"/>
      <c r="N72" s="241"/>
      <c r="O72" s="241"/>
      <c r="P72" s="241"/>
      <c r="Q72" s="473">
        <f>(SUMIFS($E$18:$E$77,$D$18:$D$77,$D72)*SUMIFS('GWP &amp; Emission Factors '!$F$154:$F$242,'GWP &amp; Emission Factors '!$E$154:$E$242,$E$16)+SUMIFS($F$18:$F$77,$D$18:$D$77,$D72)*SUMIFS('GWP &amp; Emission Factors '!$F$154:$F$242,'GWP &amp; Emission Factors '!$E$154:$E$242,$F$16)+SUMIFS($G$18:$G$77,$D$18:$D$77,$D72)*SUMIFS('GWP &amp; Emission Factors '!$F$154:$F$242,'GWP &amp; Emission Factors '!$E$154:$E$242,$G$16)+SUMIFS($H$18:$H$77,$D$18:$D$77,$D72)*SUMIFS('GWP &amp; Emission Factors '!$F$154:$F$242,'GWP &amp; Emission Factors '!$E$154:$E$242,$H$16)+SUMIFS($I$18:$I$77,$D$18:$D$77,$D72)*SUMIFS('GWP &amp; Emission Factors '!$F$154:$F$242,'GWP &amp; Emission Factors '!$E$154:$E$242,$I$16)+SUMIFS($J$18:$J$77,$D$18:$D$77,$D72)*SUMIFS('GWP &amp; Emission Factors '!$F$154:$F$242,'GWP &amp; Emission Factors '!$E$154:$E$242,$J$16)+SUMIFS($K$18:$K$77,$D$18:$D$77,$D72)*SUMIFS('GWP &amp; Emission Factors '!$F$154:$F$242,'GWP &amp; Emission Factors '!$E$154:$E$242,$K$16)+SUMIFS($L$18:$L$77,$D$18:$D$77,$D72)*SUMIFS('GWP &amp; Emission Factors '!$F$154:$F$242,'GWP &amp; Emission Factors '!$E$154:$E$242,$L$16)+SUMIFS($M$18:$M$77,$D$18:$D$77,$D72)*SUMIFS('GWP &amp; Emission Factors '!$F$154:$F$242,'GWP &amp; Emission Factors '!$E$154:$E$242,$M$16)+SUMIFS($N$18:$N$77,$D$18:$D$77,$D72)*SUMIFS('GWP &amp; Emission Factors '!$F$154:$F$242,'GWP &amp; Emission Factors '!$E$154:$E$242,$N$16)+SUMIFS($O$18:$O$77,$D$18:$D$77,$D72)*SUMIFS('GWP &amp; Emission Factors '!$F$154:$F$242,'GWP &amp; Emission Factors '!$E$154:$E$242,$O$16)+SUMIFS($P$18:$P$77,$D$18:$D$77,$D72)*SUMIFS('GWP &amp; Emission Factors '!$F$154:$F$242,'GWP &amp; Emission Factors '!$E$154:$E$242,$P$16))/1000</f>
        <v>0</v>
      </c>
    </row>
    <row r="73" spans="4:17" x14ac:dyDescent="0.25">
      <c r="D73" s="461" t="str">
        <f>'Project Emission Distribution'!D80</f>
        <v>AN56</v>
      </c>
      <c r="E73" s="466"/>
      <c r="F73" s="466"/>
      <c r="G73" s="466"/>
      <c r="H73" s="466"/>
      <c r="I73" s="466"/>
      <c r="J73" s="466"/>
      <c r="K73" s="466"/>
      <c r="L73" s="466"/>
      <c r="M73" s="466"/>
      <c r="N73" s="466"/>
      <c r="O73" s="466"/>
      <c r="P73" s="466"/>
      <c r="Q73" s="473">
        <f>(SUMIFS($E$18:$E$77,$D$18:$D$77,$D73)*SUMIFS('GWP &amp; Emission Factors '!$F$154:$F$242,'GWP &amp; Emission Factors '!$E$154:$E$242,$E$16)+SUMIFS($F$18:$F$77,$D$18:$D$77,$D73)*SUMIFS('GWP &amp; Emission Factors '!$F$154:$F$242,'GWP &amp; Emission Factors '!$E$154:$E$242,$F$16)+SUMIFS($G$18:$G$77,$D$18:$D$77,$D73)*SUMIFS('GWP &amp; Emission Factors '!$F$154:$F$242,'GWP &amp; Emission Factors '!$E$154:$E$242,$G$16)+SUMIFS($H$18:$H$77,$D$18:$D$77,$D73)*SUMIFS('GWP &amp; Emission Factors '!$F$154:$F$242,'GWP &amp; Emission Factors '!$E$154:$E$242,$H$16)+SUMIFS($I$18:$I$77,$D$18:$D$77,$D73)*SUMIFS('GWP &amp; Emission Factors '!$F$154:$F$242,'GWP &amp; Emission Factors '!$E$154:$E$242,$I$16)+SUMIFS($J$18:$J$77,$D$18:$D$77,$D73)*SUMIFS('GWP &amp; Emission Factors '!$F$154:$F$242,'GWP &amp; Emission Factors '!$E$154:$E$242,$J$16)+SUMIFS($K$18:$K$77,$D$18:$D$77,$D73)*SUMIFS('GWP &amp; Emission Factors '!$F$154:$F$242,'GWP &amp; Emission Factors '!$E$154:$E$242,$K$16)+SUMIFS($L$18:$L$77,$D$18:$D$77,$D73)*SUMIFS('GWP &amp; Emission Factors '!$F$154:$F$242,'GWP &amp; Emission Factors '!$E$154:$E$242,$L$16)+SUMIFS($M$18:$M$77,$D$18:$D$77,$D73)*SUMIFS('GWP &amp; Emission Factors '!$F$154:$F$242,'GWP &amp; Emission Factors '!$E$154:$E$242,$M$16)+SUMIFS($N$18:$N$77,$D$18:$D$77,$D73)*SUMIFS('GWP &amp; Emission Factors '!$F$154:$F$242,'GWP &amp; Emission Factors '!$E$154:$E$242,$N$16)+SUMIFS($O$18:$O$77,$D$18:$D$77,$D73)*SUMIFS('GWP &amp; Emission Factors '!$F$154:$F$242,'GWP &amp; Emission Factors '!$E$154:$E$242,$O$16)+SUMIFS($P$18:$P$77,$D$18:$D$77,$D73)*SUMIFS('GWP &amp; Emission Factors '!$F$154:$F$242,'GWP &amp; Emission Factors '!$E$154:$E$242,$P$16))/1000</f>
        <v>0</v>
      </c>
    </row>
    <row r="74" spans="4:17" x14ac:dyDescent="0.25">
      <c r="D74" s="461" t="str">
        <f>'Project Emission Distribution'!D81</f>
        <v>AN57</v>
      </c>
      <c r="E74" s="241"/>
      <c r="F74" s="241"/>
      <c r="G74" s="241"/>
      <c r="H74" s="241"/>
      <c r="I74" s="241"/>
      <c r="J74" s="241"/>
      <c r="K74" s="241"/>
      <c r="L74" s="241"/>
      <c r="M74" s="241"/>
      <c r="N74" s="241"/>
      <c r="O74" s="241"/>
      <c r="P74" s="241"/>
      <c r="Q74" s="473">
        <f>(SUMIFS($E$18:$E$77,$D$18:$D$77,$D74)*SUMIFS('GWP &amp; Emission Factors '!$F$154:$F$242,'GWP &amp; Emission Factors '!$E$154:$E$242,$E$16)+SUMIFS($F$18:$F$77,$D$18:$D$77,$D74)*SUMIFS('GWP &amp; Emission Factors '!$F$154:$F$242,'GWP &amp; Emission Factors '!$E$154:$E$242,$F$16)+SUMIFS($G$18:$G$77,$D$18:$D$77,$D74)*SUMIFS('GWP &amp; Emission Factors '!$F$154:$F$242,'GWP &amp; Emission Factors '!$E$154:$E$242,$G$16)+SUMIFS($H$18:$H$77,$D$18:$D$77,$D74)*SUMIFS('GWP &amp; Emission Factors '!$F$154:$F$242,'GWP &amp; Emission Factors '!$E$154:$E$242,$H$16)+SUMIFS($I$18:$I$77,$D$18:$D$77,$D74)*SUMIFS('GWP &amp; Emission Factors '!$F$154:$F$242,'GWP &amp; Emission Factors '!$E$154:$E$242,$I$16)+SUMIFS($J$18:$J$77,$D$18:$D$77,$D74)*SUMIFS('GWP &amp; Emission Factors '!$F$154:$F$242,'GWP &amp; Emission Factors '!$E$154:$E$242,$J$16)+SUMIFS($K$18:$K$77,$D$18:$D$77,$D74)*SUMIFS('GWP &amp; Emission Factors '!$F$154:$F$242,'GWP &amp; Emission Factors '!$E$154:$E$242,$K$16)+SUMIFS($L$18:$L$77,$D$18:$D$77,$D74)*SUMIFS('GWP &amp; Emission Factors '!$F$154:$F$242,'GWP &amp; Emission Factors '!$E$154:$E$242,$L$16)+SUMIFS($M$18:$M$77,$D$18:$D$77,$D74)*SUMIFS('GWP &amp; Emission Factors '!$F$154:$F$242,'GWP &amp; Emission Factors '!$E$154:$E$242,$M$16)+SUMIFS($N$18:$N$77,$D$18:$D$77,$D74)*SUMIFS('GWP &amp; Emission Factors '!$F$154:$F$242,'GWP &amp; Emission Factors '!$E$154:$E$242,$N$16)+SUMIFS($O$18:$O$77,$D$18:$D$77,$D74)*SUMIFS('GWP &amp; Emission Factors '!$F$154:$F$242,'GWP &amp; Emission Factors '!$E$154:$E$242,$O$16)+SUMIFS($P$18:$P$77,$D$18:$D$77,$D74)*SUMIFS('GWP &amp; Emission Factors '!$F$154:$F$242,'GWP &amp; Emission Factors '!$E$154:$E$242,$P$16))/1000</f>
        <v>0</v>
      </c>
    </row>
    <row r="75" spans="4:17" x14ac:dyDescent="0.25">
      <c r="D75" s="461" t="str">
        <f>'Project Emission Distribution'!D82</f>
        <v>AN58</v>
      </c>
      <c r="E75" s="466"/>
      <c r="F75" s="466"/>
      <c r="G75" s="466"/>
      <c r="H75" s="466"/>
      <c r="I75" s="466"/>
      <c r="J75" s="466"/>
      <c r="K75" s="466"/>
      <c r="L75" s="466"/>
      <c r="M75" s="466"/>
      <c r="N75" s="466"/>
      <c r="O75" s="466"/>
      <c r="P75" s="466"/>
      <c r="Q75" s="473">
        <f>(SUMIFS($E$18:$E$77,$D$18:$D$77,$D75)*SUMIFS('GWP &amp; Emission Factors '!$F$154:$F$242,'GWP &amp; Emission Factors '!$E$154:$E$242,$E$16)+SUMIFS($F$18:$F$77,$D$18:$D$77,$D75)*SUMIFS('GWP &amp; Emission Factors '!$F$154:$F$242,'GWP &amp; Emission Factors '!$E$154:$E$242,$F$16)+SUMIFS($G$18:$G$77,$D$18:$D$77,$D75)*SUMIFS('GWP &amp; Emission Factors '!$F$154:$F$242,'GWP &amp; Emission Factors '!$E$154:$E$242,$G$16)+SUMIFS($H$18:$H$77,$D$18:$D$77,$D75)*SUMIFS('GWP &amp; Emission Factors '!$F$154:$F$242,'GWP &amp; Emission Factors '!$E$154:$E$242,$H$16)+SUMIFS($I$18:$I$77,$D$18:$D$77,$D75)*SUMIFS('GWP &amp; Emission Factors '!$F$154:$F$242,'GWP &amp; Emission Factors '!$E$154:$E$242,$I$16)+SUMIFS($J$18:$J$77,$D$18:$D$77,$D75)*SUMIFS('GWP &amp; Emission Factors '!$F$154:$F$242,'GWP &amp; Emission Factors '!$E$154:$E$242,$J$16)+SUMIFS($K$18:$K$77,$D$18:$D$77,$D75)*SUMIFS('GWP &amp; Emission Factors '!$F$154:$F$242,'GWP &amp; Emission Factors '!$E$154:$E$242,$K$16)+SUMIFS($L$18:$L$77,$D$18:$D$77,$D75)*SUMIFS('GWP &amp; Emission Factors '!$F$154:$F$242,'GWP &amp; Emission Factors '!$E$154:$E$242,$L$16)+SUMIFS($M$18:$M$77,$D$18:$D$77,$D75)*SUMIFS('GWP &amp; Emission Factors '!$F$154:$F$242,'GWP &amp; Emission Factors '!$E$154:$E$242,$M$16)+SUMIFS($N$18:$N$77,$D$18:$D$77,$D75)*SUMIFS('GWP &amp; Emission Factors '!$F$154:$F$242,'GWP &amp; Emission Factors '!$E$154:$E$242,$N$16)+SUMIFS($O$18:$O$77,$D$18:$D$77,$D75)*SUMIFS('GWP &amp; Emission Factors '!$F$154:$F$242,'GWP &amp; Emission Factors '!$E$154:$E$242,$O$16)+SUMIFS($P$18:$P$77,$D$18:$D$77,$D75)*SUMIFS('GWP &amp; Emission Factors '!$F$154:$F$242,'GWP &amp; Emission Factors '!$E$154:$E$242,$P$16))/1000</f>
        <v>0</v>
      </c>
    </row>
    <row r="76" spans="4:17" x14ac:dyDescent="0.25">
      <c r="D76" s="461" t="str">
        <f>'Project Emission Distribution'!D83</f>
        <v>AN59</v>
      </c>
      <c r="E76" s="241"/>
      <c r="F76" s="241"/>
      <c r="G76" s="241"/>
      <c r="H76" s="241"/>
      <c r="I76" s="241"/>
      <c r="J76" s="241"/>
      <c r="K76" s="241"/>
      <c r="L76" s="241"/>
      <c r="M76" s="241"/>
      <c r="N76" s="241"/>
      <c r="O76" s="241"/>
      <c r="P76" s="241"/>
      <c r="Q76" s="473">
        <f>(SUMIFS($E$18:$E$77,$D$18:$D$77,$D76)*SUMIFS('GWP &amp; Emission Factors '!$F$154:$F$242,'GWP &amp; Emission Factors '!$E$154:$E$242,$E$16)+SUMIFS($F$18:$F$77,$D$18:$D$77,$D76)*SUMIFS('GWP &amp; Emission Factors '!$F$154:$F$242,'GWP &amp; Emission Factors '!$E$154:$E$242,$F$16)+SUMIFS($G$18:$G$77,$D$18:$D$77,$D76)*SUMIFS('GWP &amp; Emission Factors '!$F$154:$F$242,'GWP &amp; Emission Factors '!$E$154:$E$242,$G$16)+SUMIFS($H$18:$H$77,$D$18:$D$77,$D76)*SUMIFS('GWP &amp; Emission Factors '!$F$154:$F$242,'GWP &amp; Emission Factors '!$E$154:$E$242,$H$16)+SUMIFS($I$18:$I$77,$D$18:$D$77,$D76)*SUMIFS('GWP &amp; Emission Factors '!$F$154:$F$242,'GWP &amp; Emission Factors '!$E$154:$E$242,$I$16)+SUMIFS($J$18:$J$77,$D$18:$D$77,$D76)*SUMIFS('GWP &amp; Emission Factors '!$F$154:$F$242,'GWP &amp; Emission Factors '!$E$154:$E$242,$J$16)+SUMIFS($K$18:$K$77,$D$18:$D$77,$D76)*SUMIFS('GWP &amp; Emission Factors '!$F$154:$F$242,'GWP &amp; Emission Factors '!$E$154:$E$242,$K$16)+SUMIFS($L$18:$L$77,$D$18:$D$77,$D76)*SUMIFS('GWP &amp; Emission Factors '!$F$154:$F$242,'GWP &amp; Emission Factors '!$E$154:$E$242,$L$16)+SUMIFS($M$18:$M$77,$D$18:$D$77,$D76)*SUMIFS('GWP &amp; Emission Factors '!$F$154:$F$242,'GWP &amp; Emission Factors '!$E$154:$E$242,$M$16)+SUMIFS($N$18:$N$77,$D$18:$D$77,$D76)*SUMIFS('GWP &amp; Emission Factors '!$F$154:$F$242,'GWP &amp; Emission Factors '!$E$154:$E$242,$N$16)+SUMIFS($O$18:$O$77,$D$18:$D$77,$D76)*SUMIFS('GWP &amp; Emission Factors '!$F$154:$F$242,'GWP &amp; Emission Factors '!$E$154:$E$242,$O$16)+SUMIFS($P$18:$P$77,$D$18:$D$77,$D76)*SUMIFS('GWP &amp; Emission Factors '!$F$154:$F$242,'GWP &amp; Emission Factors '!$E$154:$E$242,$P$16))/1000</f>
        <v>0</v>
      </c>
    </row>
    <row r="77" spans="4:17" x14ac:dyDescent="0.25">
      <c r="D77" s="461" t="str">
        <f>'Project Emission Distribution'!D84</f>
        <v>AN60</v>
      </c>
      <c r="E77" s="466"/>
      <c r="F77" s="466"/>
      <c r="G77" s="466"/>
      <c r="H77" s="466"/>
      <c r="I77" s="466"/>
      <c r="J77" s="466"/>
      <c r="K77" s="466"/>
      <c r="L77" s="466"/>
      <c r="M77" s="466"/>
      <c r="N77" s="466"/>
      <c r="O77" s="466"/>
      <c r="P77" s="466"/>
      <c r="Q77" s="473">
        <f>(SUMIFS($E$18:$E$77,$D$18:$D$77,$D77)*SUMIFS('GWP &amp; Emission Factors '!$F$154:$F$242,'GWP &amp; Emission Factors '!$E$154:$E$242,$E$16)+SUMIFS($F$18:$F$77,$D$18:$D$77,$D77)*SUMIFS('GWP &amp; Emission Factors '!$F$154:$F$242,'GWP &amp; Emission Factors '!$E$154:$E$242,$F$16)+SUMIFS($G$18:$G$77,$D$18:$D$77,$D77)*SUMIFS('GWP &amp; Emission Factors '!$F$154:$F$242,'GWP &amp; Emission Factors '!$E$154:$E$242,$G$16)+SUMIFS($H$18:$H$77,$D$18:$D$77,$D77)*SUMIFS('GWP &amp; Emission Factors '!$F$154:$F$242,'GWP &amp; Emission Factors '!$E$154:$E$242,$H$16)+SUMIFS($I$18:$I$77,$D$18:$D$77,$D77)*SUMIFS('GWP &amp; Emission Factors '!$F$154:$F$242,'GWP &amp; Emission Factors '!$E$154:$E$242,$I$16)+SUMIFS($J$18:$J$77,$D$18:$D$77,$D77)*SUMIFS('GWP &amp; Emission Factors '!$F$154:$F$242,'GWP &amp; Emission Factors '!$E$154:$E$242,$J$16)+SUMIFS($K$18:$K$77,$D$18:$D$77,$D77)*SUMIFS('GWP &amp; Emission Factors '!$F$154:$F$242,'GWP &amp; Emission Factors '!$E$154:$E$242,$K$16)+SUMIFS($L$18:$L$77,$D$18:$D$77,$D77)*SUMIFS('GWP &amp; Emission Factors '!$F$154:$F$242,'GWP &amp; Emission Factors '!$E$154:$E$242,$L$16)+SUMIFS($M$18:$M$77,$D$18:$D$77,$D77)*SUMIFS('GWP &amp; Emission Factors '!$F$154:$F$242,'GWP &amp; Emission Factors '!$E$154:$E$242,$M$16)+SUMIFS($N$18:$N$77,$D$18:$D$77,$D77)*SUMIFS('GWP &amp; Emission Factors '!$F$154:$F$242,'GWP &amp; Emission Factors '!$E$154:$E$242,$N$16)+SUMIFS($O$18:$O$77,$D$18:$D$77,$D77)*SUMIFS('GWP &amp; Emission Factors '!$F$154:$F$242,'GWP &amp; Emission Factors '!$E$154:$E$242,$O$16)+SUMIFS($P$18:$P$77,$D$18:$D$77,$D77)*SUMIFS('GWP &amp; Emission Factors '!$F$154:$F$242,'GWP &amp; Emission Factors '!$E$154:$E$242,$P$16))/1000</f>
        <v>0</v>
      </c>
    </row>
    <row r="78" spans="4:17" x14ac:dyDescent="0.25">
      <c r="D78" s="733"/>
      <c r="E78" s="257">
        <f>SUM(E18:E77)</f>
        <v>30</v>
      </c>
      <c r="F78" s="257">
        <f t="shared" ref="F78:Q78" si="0">SUM(F18:F77)</f>
        <v>0</v>
      </c>
      <c r="G78" s="257">
        <f t="shared" si="0"/>
        <v>50</v>
      </c>
      <c r="H78" s="257">
        <f t="shared" si="0"/>
        <v>0</v>
      </c>
      <c r="I78" s="257">
        <f t="shared" si="0"/>
        <v>0</v>
      </c>
      <c r="J78" s="257">
        <f t="shared" si="0"/>
        <v>0</v>
      </c>
      <c r="K78" s="257">
        <f t="shared" si="0"/>
        <v>80</v>
      </c>
      <c r="L78" s="257">
        <f t="shared" si="0"/>
        <v>0</v>
      </c>
      <c r="M78" s="257">
        <f t="shared" si="0"/>
        <v>0</v>
      </c>
      <c r="N78" s="257">
        <f t="shared" si="0"/>
        <v>0</v>
      </c>
      <c r="O78" s="257">
        <f t="shared" si="0"/>
        <v>0</v>
      </c>
      <c r="P78" s="257">
        <f t="shared" si="0"/>
        <v>12</v>
      </c>
      <c r="Q78" s="257">
        <f t="shared" si="0"/>
        <v>6.8744035215849597E-2</v>
      </c>
    </row>
    <row r="80" spans="4:17" x14ac:dyDescent="0.25">
      <c r="D80" s="111"/>
      <c r="N80" s="392"/>
    </row>
    <row r="81" spans="4:14" x14ac:dyDescent="0.25">
      <c r="D81" s="111"/>
      <c r="N81" s="392"/>
    </row>
    <row r="82" spans="4:14" ht="15.75" customHeight="1" x14ac:dyDescent="0.25">
      <c r="D82" s="111"/>
      <c r="E82" s="111"/>
      <c r="N82" s="392"/>
    </row>
    <row r="83" spans="4:14" x14ac:dyDescent="0.25">
      <c r="D83" s="111"/>
      <c r="E83" s="111"/>
      <c r="N83" s="392"/>
    </row>
    <row r="84" spans="4:14" hidden="1" x14ac:dyDescent="0.25">
      <c r="D84" s="111"/>
      <c r="E84" s="111"/>
      <c r="N84" s="392"/>
    </row>
    <row r="85" spans="4:14" hidden="1" x14ac:dyDescent="0.25">
      <c r="D85" s="111"/>
      <c r="E85" s="111"/>
      <c r="N85" s="392"/>
    </row>
    <row r="86" spans="4:14" hidden="1" x14ac:dyDescent="0.25">
      <c r="D86" s="51"/>
      <c r="E86" s="51" t="s">
        <v>439</v>
      </c>
      <c r="H86" s="698" t="s">
        <v>290</v>
      </c>
      <c r="I86" s="699" t="s">
        <v>1628</v>
      </c>
      <c r="M86" s="392"/>
    </row>
    <row r="87" spans="4:14" ht="24" hidden="1" x14ac:dyDescent="0.25">
      <c r="D87" s="44" t="s">
        <v>438</v>
      </c>
      <c r="E87" s="686">
        <f>1/1000</f>
        <v>1E-3</v>
      </c>
      <c r="H87" s="524" t="s">
        <v>1609</v>
      </c>
      <c r="I87" s="51">
        <f>'GWP &amp; Emission Factors '!X156</f>
        <v>626.66666666666663</v>
      </c>
      <c r="K87" s="464"/>
    </row>
    <row r="88" spans="4:14" ht="24" hidden="1" x14ac:dyDescent="0.25">
      <c r="D88" s="44" t="s">
        <v>442</v>
      </c>
      <c r="E88" s="686">
        <v>1</v>
      </c>
      <c r="H88" s="683" t="s">
        <v>291</v>
      </c>
      <c r="I88" s="51">
        <f>'GWP &amp; Emission Factors '!X155</f>
        <v>769</v>
      </c>
      <c r="K88" s="464"/>
    </row>
    <row r="89" spans="4:14" ht="24" hidden="1" x14ac:dyDescent="0.25">
      <c r="D89" s="687" t="s">
        <v>441</v>
      </c>
      <c r="E89" s="686">
        <f>12*25.4/1000</f>
        <v>0.30479999999999996</v>
      </c>
      <c r="H89" s="522" t="s">
        <v>1610</v>
      </c>
      <c r="I89" s="51">
        <f>'GWP &amp; Emission Factors '!X157</f>
        <v>769</v>
      </c>
      <c r="K89" s="464"/>
    </row>
    <row r="90" spans="4:14" ht="24" hidden="1" x14ac:dyDescent="0.25">
      <c r="D90" s="44" t="s">
        <v>440</v>
      </c>
      <c r="E90" s="686">
        <f>25.4*1/1000</f>
        <v>2.5399999999999999E-2</v>
      </c>
      <c r="H90" s="521" t="s">
        <v>431</v>
      </c>
      <c r="I90" s="51">
        <f>'GWP &amp; Emission Factors '!X158</f>
        <v>769</v>
      </c>
      <c r="K90" s="464"/>
    </row>
    <row r="91" spans="4:14" hidden="1" x14ac:dyDescent="0.25">
      <c r="D91" s="111"/>
      <c r="E91" s="111"/>
      <c r="H91" s="684" t="s">
        <v>299</v>
      </c>
      <c r="I91" s="51">
        <f>'GWP &amp; Emission Factors '!X159</f>
        <v>620</v>
      </c>
      <c r="K91" s="697"/>
    </row>
    <row r="92" spans="4:14" ht="15.75" hidden="1" customHeight="1" x14ac:dyDescent="0.25">
      <c r="D92" s="111"/>
      <c r="E92" s="111"/>
      <c r="H92" s="685" t="s">
        <v>300</v>
      </c>
      <c r="I92" s="51">
        <f>'GWP &amp; Emission Factors '!X160</f>
        <v>620</v>
      </c>
      <c r="K92" s="697"/>
    </row>
    <row r="93" spans="4:14" ht="24" hidden="1" x14ac:dyDescent="0.25">
      <c r="D93" s="111"/>
      <c r="E93" s="111"/>
      <c r="H93" s="677" t="s">
        <v>1797</v>
      </c>
      <c r="I93" s="51">
        <f>'GWP &amp; Emission Factors '!X161</f>
        <v>779</v>
      </c>
      <c r="K93" s="464"/>
    </row>
    <row r="94" spans="4:14" ht="24" hidden="1" x14ac:dyDescent="0.25">
      <c r="D94" s="111"/>
      <c r="E94" s="111"/>
      <c r="H94" s="682" t="s">
        <v>1799</v>
      </c>
      <c r="I94" s="51">
        <f>'GWP &amp; Emission Factors '!X162</f>
        <v>781</v>
      </c>
      <c r="K94" s="464"/>
      <c r="M94" s="392"/>
    </row>
    <row r="95" spans="4:14" ht="24" hidden="1" x14ac:dyDescent="0.25">
      <c r="D95" s="111"/>
      <c r="E95" s="111"/>
      <c r="H95" s="680" t="s">
        <v>1804</v>
      </c>
      <c r="I95" s="51">
        <f>'GWP &amp; Emission Factors '!X163</f>
        <v>570</v>
      </c>
      <c r="K95" s="464"/>
      <c r="M95" s="392"/>
    </row>
    <row r="96" spans="4:14" ht="24" hidden="1" x14ac:dyDescent="0.25">
      <c r="D96" s="111"/>
      <c r="E96" s="111"/>
      <c r="H96" s="681" t="s">
        <v>1803</v>
      </c>
      <c r="I96" s="51">
        <f>'GWP &amp; Emission Factors '!X164</f>
        <v>570</v>
      </c>
      <c r="K96" s="464"/>
      <c r="M96" s="392"/>
    </row>
    <row r="97" spans="4:14" hidden="1" x14ac:dyDescent="0.25">
      <c r="D97" s="111"/>
      <c r="E97" s="111"/>
      <c r="H97" s="700" t="s">
        <v>296</v>
      </c>
      <c r="I97" s="51">
        <v>1450</v>
      </c>
      <c r="K97" s="464"/>
      <c r="M97" s="392"/>
    </row>
    <row r="98" spans="4:14" hidden="1" x14ac:dyDescent="0.25">
      <c r="D98" s="111"/>
      <c r="E98" s="111"/>
      <c r="H98" s="721" t="s">
        <v>1833</v>
      </c>
      <c r="I98" s="51">
        <v>1462.5</v>
      </c>
      <c r="L98" s="392"/>
    </row>
    <row r="99" spans="4:14" hidden="1" x14ac:dyDescent="0.25">
      <c r="D99" s="111"/>
      <c r="E99" s="111"/>
      <c r="L99" s="392"/>
    </row>
    <row r="100" spans="4:14" hidden="1" x14ac:dyDescent="0.25">
      <c r="D100" s="111"/>
      <c r="E100" s="111"/>
      <c r="N100" s="392"/>
    </row>
    <row r="101" spans="4:14" hidden="1" x14ac:dyDescent="0.25">
      <c r="D101" s="111"/>
      <c r="E101" s="111"/>
      <c r="N101" s="392"/>
    </row>
    <row r="102" spans="4:14" hidden="1" x14ac:dyDescent="0.25">
      <c r="D102" s="111"/>
      <c r="E102" s="111"/>
      <c r="N102" s="392"/>
    </row>
    <row r="103" spans="4:14" hidden="1" x14ac:dyDescent="0.25">
      <c r="D103" s="111"/>
      <c r="E103" s="111"/>
      <c r="N103" s="392"/>
    </row>
    <row r="104" spans="4:14" hidden="1" x14ac:dyDescent="0.25">
      <c r="D104" s="111"/>
      <c r="E104" s="111"/>
      <c r="N104" s="392"/>
    </row>
    <row r="105" spans="4:14" hidden="1" x14ac:dyDescent="0.25">
      <c r="D105" s="111"/>
      <c r="E105" s="111"/>
      <c r="N105" s="392"/>
    </row>
    <row r="106" spans="4:14" hidden="1" x14ac:dyDescent="0.25">
      <c r="D106" s="111"/>
      <c r="E106" s="111"/>
      <c r="N106" s="392"/>
    </row>
    <row r="107" spans="4:14" hidden="1" x14ac:dyDescent="0.25">
      <c r="D107" s="111"/>
      <c r="E107" s="111"/>
      <c r="N107" s="392"/>
    </row>
    <row r="108" spans="4:14" hidden="1" x14ac:dyDescent="0.25">
      <c r="D108" s="111"/>
      <c r="E108" s="111"/>
      <c r="N108" s="392"/>
    </row>
    <row r="109" spans="4:14" hidden="1" x14ac:dyDescent="0.25">
      <c r="D109" s="111"/>
      <c r="E109" s="111"/>
      <c r="N109" s="392"/>
    </row>
    <row r="110" spans="4:14" hidden="1" x14ac:dyDescent="0.25">
      <c r="D110" s="111"/>
      <c r="E110" s="111"/>
      <c r="N110" s="392"/>
    </row>
    <row r="111" spans="4:14" hidden="1" x14ac:dyDescent="0.25">
      <c r="D111" s="111"/>
      <c r="E111" s="111"/>
      <c r="N111" s="392"/>
    </row>
    <row r="112" spans="4:14" x14ac:dyDescent="0.25">
      <c r="D112" s="111"/>
      <c r="E112" s="111"/>
      <c r="N112" s="392"/>
    </row>
    <row r="113" spans="4:14" x14ac:dyDescent="0.25">
      <c r="D113" s="111"/>
      <c r="E113" s="111"/>
      <c r="N113" s="392"/>
    </row>
    <row r="114" spans="4:14" x14ac:dyDescent="0.25">
      <c r="D114" s="111"/>
      <c r="E114" s="111"/>
      <c r="N114" s="392"/>
    </row>
    <row r="115" spans="4:14" x14ac:dyDescent="0.25">
      <c r="D115" s="111"/>
      <c r="E115" s="111"/>
      <c r="N115" s="392"/>
    </row>
    <row r="116" spans="4:14" x14ac:dyDescent="0.25">
      <c r="D116" s="111"/>
      <c r="E116" s="111"/>
      <c r="N116" s="392"/>
    </row>
    <row r="117" spans="4:14" x14ac:dyDescent="0.25">
      <c r="D117" s="111"/>
      <c r="E117" s="111"/>
      <c r="N117" s="392"/>
    </row>
    <row r="118" spans="4:14" x14ac:dyDescent="0.25">
      <c r="D118" s="111"/>
      <c r="E118" s="111"/>
      <c r="N118" s="392"/>
    </row>
    <row r="119" spans="4:14" x14ac:dyDescent="0.25">
      <c r="D119" s="111"/>
      <c r="E119" s="111"/>
      <c r="N119" s="392"/>
    </row>
    <row r="120" spans="4:14" x14ac:dyDescent="0.25">
      <c r="D120" s="111"/>
      <c r="E120" s="111"/>
      <c r="N120" s="392"/>
    </row>
    <row r="121" spans="4:14" x14ac:dyDescent="0.25">
      <c r="D121" s="111"/>
      <c r="E121" s="111"/>
      <c r="N121" s="392"/>
    </row>
    <row r="122" spans="4:14" x14ac:dyDescent="0.25">
      <c r="D122" s="111"/>
      <c r="E122" s="111"/>
      <c r="N122" s="392"/>
    </row>
    <row r="123" spans="4:14" x14ac:dyDescent="0.25">
      <c r="D123" s="111"/>
      <c r="E123" s="111"/>
      <c r="N123" s="392"/>
    </row>
    <row r="124" spans="4:14" x14ac:dyDescent="0.25">
      <c r="D124" s="111"/>
      <c r="E124" s="111"/>
      <c r="N124" s="392"/>
    </row>
    <row r="125" spans="4:14" x14ac:dyDescent="0.25">
      <c r="D125" s="111"/>
      <c r="E125" s="111"/>
      <c r="N125" s="392"/>
    </row>
    <row r="126" spans="4:14" x14ac:dyDescent="0.25">
      <c r="D126" s="111"/>
      <c r="E126" s="111"/>
      <c r="N126" s="392"/>
    </row>
    <row r="127" spans="4:14" x14ac:dyDescent="0.25">
      <c r="D127" s="111"/>
      <c r="E127" s="111"/>
      <c r="N127" s="392"/>
    </row>
    <row r="128" spans="4:14" x14ac:dyDescent="0.25">
      <c r="D128" s="111"/>
      <c r="E128" s="111"/>
      <c r="N128" s="392"/>
    </row>
    <row r="129" spans="4:14" x14ac:dyDescent="0.25">
      <c r="D129" s="111"/>
      <c r="E129" s="111"/>
      <c r="N129" s="392"/>
    </row>
    <row r="130" spans="4:14" x14ac:dyDescent="0.25">
      <c r="D130" s="111"/>
      <c r="E130" s="111"/>
      <c r="N130" s="392"/>
    </row>
    <row r="131" spans="4:14" x14ac:dyDescent="0.25">
      <c r="D131" s="111"/>
      <c r="E131" s="111"/>
      <c r="N131" s="392"/>
    </row>
    <row r="132" spans="4:14" x14ac:dyDescent="0.25">
      <c r="D132" s="111"/>
      <c r="E132" s="111"/>
      <c r="N132" s="392"/>
    </row>
    <row r="133" spans="4:14" x14ac:dyDescent="0.25">
      <c r="D133" s="111"/>
      <c r="E133" s="111"/>
      <c r="N133" s="392"/>
    </row>
    <row r="134" spans="4:14" x14ac:dyDescent="0.25">
      <c r="D134" s="111"/>
      <c r="E134" s="111"/>
      <c r="N134" s="392"/>
    </row>
    <row r="135" spans="4:14" x14ac:dyDescent="0.25">
      <c r="D135" s="111"/>
      <c r="E135" s="111"/>
      <c r="N135" s="392"/>
    </row>
    <row r="136" spans="4:14" x14ac:dyDescent="0.25">
      <c r="D136" s="111"/>
      <c r="E136" s="111"/>
      <c r="N136" s="392"/>
    </row>
    <row r="137" spans="4:14" x14ac:dyDescent="0.25">
      <c r="D137" s="111"/>
      <c r="E137" s="111"/>
      <c r="N137" s="392"/>
    </row>
    <row r="138" spans="4:14" x14ac:dyDescent="0.25">
      <c r="D138" s="111"/>
      <c r="E138" s="111"/>
      <c r="N138" s="392"/>
    </row>
    <row r="139" spans="4:14" x14ac:dyDescent="0.25">
      <c r="D139" s="111"/>
      <c r="E139" s="111"/>
      <c r="N139" s="392"/>
    </row>
    <row r="140" spans="4:14" x14ac:dyDescent="0.25">
      <c r="D140" s="111"/>
      <c r="E140" s="111"/>
      <c r="N140" s="392"/>
    </row>
    <row r="141" spans="4:14" x14ac:dyDescent="0.25">
      <c r="D141" s="111"/>
      <c r="E141" s="111"/>
      <c r="N141" s="392"/>
    </row>
    <row r="142" spans="4:14" x14ac:dyDescent="0.25">
      <c r="D142" s="111"/>
      <c r="E142" s="111"/>
      <c r="N142" s="392"/>
    </row>
    <row r="143" spans="4:14" x14ac:dyDescent="0.25">
      <c r="D143" s="111"/>
      <c r="E143" s="111"/>
      <c r="N143" s="392"/>
    </row>
    <row r="144" spans="4:14" x14ac:dyDescent="0.25">
      <c r="D144" s="111"/>
      <c r="E144" s="111"/>
      <c r="N144" s="392"/>
    </row>
    <row r="145" spans="4:14" x14ac:dyDescent="0.25">
      <c r="D145" s="111"/>
      <c r="E145" s="111"/>
      <c r="N145" s="392"/>
    </row>
    <row r="146" spans="4:14" x14ac:dyDescent="0.25">
      <c r="D146" s="111"/>
      <c r="E146" s="111"/>
      <c r="N146" s="392"/>
    </row>
    <row r="147" spans="4:14" x14ac:dyDescent="0.25">
      <c r="D147" s="111"/>
      <c r="E147" s="111"/>
      <c r="N147" s="392"/>
    </row>
    <row r="148" spans="4:14" x14ac:dyDescent="0.25">
      <c r="D148" s="111"/>
      <c r="E148" s="111"/>
      <c r="N148" s="392"/>
    </row>
    <row r="149" spans="4:14" x14ac:dyDescent="0.25">
      <c r="D149" s="111"/>
      <c r="E149" s="111"/>
      <c r="N149" s="392"/>
    </row>
    <row r="150" spans="4:14" x14ac:dyDescent="0.25">
      <c r="D150" s="111"/>
      <c r="E150" s="111"/>
      <c r="N150" s="392"/>
    </row>
    <row r="151" spans="4:14" x14ac:dyDescent="0.25">
      <c r="D151" s="111"/>
      <c r="E151" s="111"/>
      <c r="N151" s="392"/>
    </row>
    <row r="152" spans="4:14" x14ac:dyDescent="0.25">
      <c r="D152" s="111"/>
      <c r="E152" s="111"/>
      <c r="N152" s="392"/>
    </row>
    <row r="153" spans="4:14" x14ac:dyDescent="0.25">
      <c r="D153" s="111"/>
      <c r="E153" s="111"/>
      <c r="N153" s="392"/>
    </row>
    <row r="154" spans="4:14" x14ac:dyDescent="0.25">
      <c r="D154" s="111"/>
      <c r="E154" s="111"/>
      <c r="N154" s="392"/>
    </row>
    <row r="155" spans="4:14" x14ac:dyDescent="0.25">
      <c r="D155" s="111"/>
      <c r="E155" s="111"/>
      <c r="N155" s="392"/>
    </row>
    <row r="156" spans="4:14" x14ac:dyDescent="0.25">
      <c r="D156" s="111"/>
      <c r="E156" s="111"/>
      <c r="N156" s="392"/>
    </row>
    <row r="157" spans="4:14" x14ac:dyDescent="0.25">
      <c r="D157" s="111"/>
      <c r="E157" s="111"/>
      <c r="N157" s="392"/>
    </row>
    <row r="158" spans="4:14" x14ac:dyDescent="0.25">
      <c r="D158" s="111"/>
      <c r="E158" s="111"/>
      <c r="N158" s="392"/>
    </row>
    <row r="159" spans="4:14" x14ac:dyDescent="0.25">
      <c r="D159" s="111"/>
      <c r="E159" s="111"/>
      <c r="N159" s="392"/>
    </row>
    <row r="160" spans="4:14" x14ac:dyDescent="0.25">
      <c r="D160" s="111"/>
      <c r="E160" s="111"/>
      <c r="N160" s="392"/>
    </row>
    <row r="161" spans="4:14" x14ac:dyDescent="0.25">
      <c r="D161" s="111"/>
      <c r="E161" s="111"/>
      <c r="N161" s="392"/>
    </row>
    <row r="162" spans="4:14" x14ac:dyDescent="0.25">
      <c r="D162" s="111"/>
      <c r="E162" s="111"/>
      <c r="N162" s="392"/>
    </row>
    <row r="163" spans="4:14" x14ac:dyDescent="0.25">
      <c r="D163" s="111"/>
      <c r="E163" s="111"/>
      <c r="N163" s="392"/>
    </row>
    <row r="164" spans="4:14" x14ac:dyDescent="0.25">
      <c r="D164" s="111"/>
      <c r="E164" s="111"/>
      <c r="N164" s="392"/>
    </row>
    <row r="165" spans="4:14" x14ac:dyDescent="0.25">
      <c r="D165" s="111"/>
      <c r="E165" s="111"/>
      <c r="N165" s="392"/>
    </row>
    <row r="166" spans="4:14" x14ac:dyDescent="0.25">
      <c r="D166" s="111"/>
      <c r="E166" s="111"/>
      <c r="N166" s="392"/>
    </row>
    <row r="167" spans="4:14" x14ac:dyDescent="0.25">
      <c r="D167" s="111"/>
      <c r="E167" s="111"/>
      <c r="N167" s="392"/>
    </row>
    <row r="168" spans="4:14" x14ac:dyDescent="0.25">
      <c r="D168" s="111"/>
      <c r="E168" s="111"/>
      <c r="N168" s="392"/>
    </row>
    <row r="169" spans="4:14" x14ac:dyDescent="0.25">
      <c r="D169" s="111"/>
      <c r="E169" s="111"/>
      <c r="N169" s="392"/>
    </row>
    <row r="170" spans="4:14" x14ac:dyDescent="0.25">
      <c r="D170" s="111"/>
      <c r="E170" s="111"/>
      <c r="N170" s="392"/>
    </row>
    <row r="171" spans="4:14" x14ac:dyDescent="0.25">
      <c r="D171" s="111"/>
      <c r="E171" s="111"/>
      <c r="N171" s="392"/>
    </row>
    <row r="172" spans="4:14" x14ac:dyDescent="0.25">
      <c r="D172" s="111"/>
      <c r="E172" s="111"/>
      <c r="N172" s="392"/>
    </row>
    <row r="173" spans="4:14" x14ac:dyDescent="0.25">
      <c r="D173" s="111"/>
      <c r="E173" s="111"/>
      <c r="N173" s="392"/>
    </row>
    <row r="174" spans="4:14" x14ac:dyDescent="0.25">
      <c r="D174" s="111"/>
      <c r="E174" s="111"/>
      <c r="N174" s="392"/>
    </row>
    <row r="175" spans="4:14" x14ac:dyDescent="0.25">
      <c r="D175" s="111"/>
      <c r="E175" s="111"/>
      <c r="N175" s="392"/>
    </row>
    <row r="176" spans="4:14" x14ac:dyDescent="0.25">
      <c r="D176" s="111"/>
      <c r="E176" s="111"/>
      <c r="N176" s="392"/>
    </row>
    <row r="177" spans="4:14" x14ac:dyDescent="0.25">
      <c r="D177" s="111"/>
      <c r="E177" s="111"/>
      <c r="N177" s="392"/>
    </row>
    <row r="178" spans="4:14" x14ac:dyDescent="0.25">
      <c r="D178" s="111"/>
      <c r="E178" s="111"/>
      <c r="N178" s="392"/>
    </row>
    <row r="179" spans="4:14" x14ac:dyDescent="0.25">
      <c r="D179" s="111"/>
      <c r="E179" s="111"/>
      <c r="N179" s="392"/>
    </row>
    <row r="180" spans="4:14" x14ac:dyDescent="0.25">
      <c r="D180" s="111"/>
      <c r="E180" s="111"/>
      <c r="N180" s="392"/>
    </row>
    <row r="181" spans="4:14" x14ac:dyDescent="0.25">
      <c r="D181" s="111"/>
      <c r="E181" s="111"/>
      <c r="N181" s="392"/>
    </row>
    <row r="182" spans="4:14" x14ac:dyDescent="0.25">
      <c r="D182" s="111"/>
      <c r="E182" s="111"/>
      <c r="N182" s="392"/>
    </row>
    <row r="183" spans="4:14" x14ac:dyDescent="0.25">
      <c r="D183" s="111"/>
      <c r="E183" s="111"/>
      <c r="N183" s="392"/>
    </row>
    <row r="184" spans="4:14" x14ac:dyDescent="0.25">
      <c r="D184" s="111"/>
      <c r="E184" s="111"/>
      <c r="N184" s="392"/>
    </row>
    <row r="185" spans="4:14" x14ac:dyDescent="0.25">
      <c r="D185" s="111"/>
      <c r="E185" s="111"/>
      <c r="N185" s="392"/>
    </row>
    <row r="186" spans="4:14" x14ac:dyDescent="0.25">
      <c r="D186" s="111"/>
      <c r="E186" s="111"/>
      <c r="N186" s="392"/>
    </row>
    <row r="187" spans="4:14" x14ac:dyDescent="0.25">
      <c r="D187" s="111"/>
      <c r="E187" s="111"/>
      <c r="N187" s="392"/>
    </row>
    <row r="188" spans="4:14" x14ac:dyDescent="0.25">
      <c r="D188" s="111"/>
      <c r="E188" s="111"/>
      <c r="N188" s="392"/>
    </row>
    <row r="189" spans="4:14" x14ac:dyDescent="0.25">
      <c r="D189" s="111"/>
      <c r="E189" s="111"/>
      <c r="N189" s="392"/>
    </row>
    <row r="190" spans="4:14" x14ac:dyDescent="0.25">
      <c r="D190" s="111"/>
      <c r="E190" s="111"/>
      <c r="N190" s="392"/>
    </row>
    <row r="191" spans="4:14" x14ac:dyDescent="0.25">
      <c r="D191" s="111"/>
      <c r="E191" s="111"/>
      <c r="N191" s="392"/>
    </row>
    <row r="192" spans="4:14" x14ac:dyDescent="0.25">
      <c r="D192" s="111"/>
      <c r="E192" s="111"/>
      <c r="N192" s="392"/>
    </row>
    <row r="193" spans="4:14" x14ac:dyDescent="0.25">
      <c r="D193" s="111"/>
      <c r="E193" s="111"/>
      <c r="N193" s="392"/>
    </row>
    <row r="194" spans="4:14" x14ac:dyDescent="0.25">
      <c r="D194" s="111"/>
      <c r="E194" s="111"/>
      <c r="N194" s="392"/>
    </row>
    <row r="195" spans="4:14" x14ac:dyDescent="0.25">
      <c r="D195" s="111"/>
      <c r="E195" s="111"/>
      <c r="N195" s="392"/>
    </row>
    <row r="196" spans="4:14" x14ac:dyDescent="0.25">
      <c r="D196" s="111"/>
      <c r="E196" s="111"/>
      <c r="N196" s="392"/>
    </row>
    <row r="197" spans="4:14" x14ac:dyDescent="0.25">
      <c r="D197" s="111"/>
      <c r="E197" s="111"/>
      <c r="N197" s="392"/>
    </row>
    <row r="198" spans="4:14" x14ac:dyDescent="0.25">
      <c r="D198" s="111"/>
      <c r="E198" s="111"/>
      <c r="N198" s="392"/>
    </row>
    <row r="199" spans="4:14" x14ac:dyDescent="0.25">
      <c r="D199" s="111"/>
      <c r="E199" s="111"/>
      <c r="N199" s="392"/>
    </row>
    <row r="200" spans="4:14" x14ac:dyDescent="0.25">
      <c r="D200" s="111"/>
      <c r="E200" s="111"/>
      <c r="N200" s="392"/>
    </row>
    <row r="201" spans="4:14" x14ac:dyDescent="0.25">
      <c r="D201" s="111"/>
      <c r="E201" s="111"/>
      <c r="N201" s="392"/>
    </row>
    <row r="202" spans="4:14" x14ac:dyDescent="0.25">
      <c r="D202" s="111"/>
      <c r="E202" s="111"/>
      <c r="N202" s="392"/>
    </row>
    <row r="203" spans="4:14" x14ac:dyDescent="0.25">
      <c r="D203" s="111"/>
      <c r="E203" s="111"/>
      <c r="N203" s="392"/>
    </row>
    <row r="204" spans="4:14" x14ac:dyDescent="0.25">
      <c r="D204" s="111"/>
      <c r="E204" s="111"/>
      <c r="N204" s="392"/>
    </row>
    <row r="205" spans="4:14" x14ac:dyDescent="0.25">
      <c r="D205" s="111"/>
      <c r="E205" s="111"/>
      <c r="N205" s="392"/>
    </row>
    <row r="206" spans="4:14" x14ac:dyDescent="0.25">
      <c r="D206" s="111"/>
      <c r="E206" s="111"/>
      <c r="N206" s="392"/>
    </row>
    <row r="207" spans="4:14" x14ac:dyDescent="0.25">
      <c r="D207" s="111"/>
      <c r="E207" s="111"/>
      <c r="N207" s="392"/>
    </row>
    <row r="208" spans="4:14" x14ac:dyDescent="0.25">
      <c r="D208" s="111"/>
      <c r="E208" s="111"/>
      <c r="N208" s="392"/>
    </row>
    <row r="209" spans="4:14" x14ac:dyDescent="0.25">
      <c r="D209" s="111"/>
      <c r="E209" s="111"/>
      <c r="N209" s="392"/>
    </row>
    <row r="210" spans="4:14" x14ac:dyDescent="0.25">
      <c r="D210" s="111"/>
      <c r="E210" s="111"/>
      <c r="N210" s="392"/>
    </row>
    <row r="211" spans="4:14" x14ac:dyDescent="0.25">
      <c r="D211" s="111"/>
      <c r="E211" s="111"/>
      <c r="N211" s="392"/>
    </row>
    <row r="212" spans="4:14" x14ac:dyDescent="0.25">
      <c r="D212" s="111"/>
      <c r="E212" s="111"/>
      <c r="N212" s="392"/>
    </row>
    <row r="213" spans="4:14" x14ac:dyDescent="0.25">
      <c r="D213" s="111"/>
      <c r="E213" s="111"/>
      <c r="N213" s="392"/>
    </row>
    <row r="214" spans="4:14" x14ac:dyDescent="0.25">
      <c r="D214" s="111"/>
      <c r="E214" s="111"/>
      <c r="N214" s="392"/>
    </row>
    <row r="215" spans="4:14" x14ac:dyDescent="0.25">
      <c r="D215" s="111"/>
      <c r="E215" s="111"/>
      <c r="N215" s="392"/>
    </row>
    <row r="216" spans="4:14" x14ac:dyDescent="0.25">
      <c r="D216" s="111"/>
      <c r="E216" s="111"/>
      <c r="N216" s="392"/>
    </row>
    <row r="217" spans="4:14" x14ac:dyDescent="0.25">
      <c r="D217" s="111"/>
      <c r="E217" s="111"/>
      <c r="N217" s="392"/>
    </row>
    <row r="218" spans="4:14" x14ac:dyDescent="0.25">
      <c r="D218" s="111"/>
      <c r="E218" s="111"/>
      <c r="N218" s="392"/>
    </row>
    <row r="219" spans="4:14" x14ac:dyDescent="0.25">
      <c r="D219" s="111"/>
      <c r="E219" s="111"/>
      <c r="N219" s="392"/>
    </row>
    <row r="220" spans="4:14" x14ac:dyDescent="0.25">
      <c r="D220" s="111"/>
      <c r="E220" s="111"/>
      <c r="N220" s="392"/>
    </row>
    <row r="221" spans="4:14" x14ac:dyDescent="0.25">
      <c r="D221" s="111"/>
      <c r="E221" s="111"/>
      <c r="N221" s="392"/>
    </row>
    <row r="222" spans="4:14" x14ac:dyDescent="0.25">
      <c r="D222" s="111"/>
      <c r="E222" s="111"/>
      <c r="N222" s="392"/>
    </row>
    <row r="223" spans="4:14" x14ac:dyDescent="0.25">
      <c r="D223" s="111"/>
      <c r="E223" s="111"/>
      <c r="N223" s="392"/>
    </row>
    <row r="224" spans="4:14" x14ac:dyDescent="0.25">
      <c r="D224" s="111"/>
      <c r="E224" s="111"/>
      <c r="N224" s="392"/>
    </row>
    <row r="225" spans="4:14" x14ac:dyDescent="0.25">
      <c r="D225" s="111"/>
      <c r="E225" s="111"/>
      <c r="N225" s="392"/>
    </row>
    <row r="226" spans="4:14" x14ac:dyDescent="0.25">
      <c r="D226" s="111"/>
      <c r="E226" s="111"/>
      <c r="N226" s="392"/>
    </row>
    <row r="227" spans="4:14" x14ac:dyDescent="0.25">
      <c r="D227" s="111"/>
      <c r="E227" s="111"/>
      <c r="N227" s="392"/>
    </row>
    <row r="228" spans="4:14" x14ac:dyDescent="0.25">
      <c r="D228" s="111"/>
      <c r="E228" s="111"/>
      <c r="N228" s="392"/>
    </row>
    <row r="229" spans="4:14" x14ac:dyDescent="0.25">
      <c r="D229" s="111"/>
      <c r="E229" s="111"/>
      <c r="N229" s="392"/>
    </row>
    <row r="230" spans="4:14" x14ac:dyDescent="0.25">
      <c r="D230" s="111"/>
      <c r="E230" s="111"/>
      <c r="N230" s="392"/>
    </row>
    <row r="231" spans="4:14" x14ac:dyDescent="0.25">
      <c r="D231" s="111"/>
      <c r="E231" s="111"/>
      <c r="N231" s="392"/>
    </row>
    <row r="232" spans="4:14" x14ac:dyDescent="0.25">
      <c r="D232" s="111"/>
      <c r="E232" s="111"/>
      <c r="N232" s="392"/>
    </row>
    <row r="233" spans="4:14" x14ac:dyDescent="0.25">
      <c r="D233" s="111"/>
      <c r="E233" s="111"/>
      <c r="N233" s="392"/>
    </row>
    <row r="234" spans="4:14" x14ac:dyDescent="0.25">
      <c r="D234" s="111"/>
      <c r="E234" s="111"/>
      <c r="N234" s="392"/>
    </row>
    <row r="235" spans="4:14" x14ac:dyDescent="0.25">
      <c r="D235" s="111"/>
      <c r="E235" s="111"/>
      <c r="N235" s="392"/>
    </row>
    <row r="236" spans="4:14" x14ac:dyDescent="0.25">
      <c r="D236" s="111"/>
      <c r="E236" s="111"/>
      <c r="N236" s="392"/>
    </row>
    <row r="237" spans="4:14" x14ac:dyDescent="0.25">
      <c r="D237" s="111"/>
      <c r="E237" s="111"/>
      <c r="N237" s="392"/>
    </row>
    <row r="238" spans="4:14" x14ac:dyDescent="0.25">
      <c r="D238" s="111"/>
      <c r="E238" s="111"/>
      <c r="N238" s="392"/>
    </row>
    <row r="239" spans="4:14" x14ac:dyDescent="0.25">
      <c r="D239" s="111"/>
      <c r="E239" s="111"/>
      <c r="N239" s="392"/>
    </row>
    <row r="240" spans="4:14" x14ac:dyDescent="0.25">
      <c r="D240" s="111"/>
      <c r="E240" s="111"/>
      <c r="N240" s="392"/>
    </row>
    <row r="241" spans="4:14" x14ac:dyDescent="0.25">
      <c r="D241" s="111"/>
      <c r="E241" s="111"/>
      <c r="N241" s="392"/>
    </row>
    <row r="242" spans="4:14" x14ac:dyDescent="0.25">
      <c r="D242" s="111"/>
      <c r="E242" s="111"/>
      <c r="N242" s="392"/>
    </row>
    <row r="243" spans="4:14" x14ac:dyDescent="0.25">
      <c r="D243" s="111"/>
      <c r="E243" s="111"/>
      <c r="N243" s="392"/>
    </row>
    <row r="244" spans="4:14" x14ac:dyDescent="0.25">
      <c r="D244" s="111"/>
      <c r="E244" s="111"/>
      <c r="N244" s="392"/>
    </row>
    <row r="245" spans="4:14" x14ac:dyDescent="0.25">
      <c r="D245" s="111"/>
      <c r="E245" s="111"/>
      <c r="N245" s="392"/>
    </row>
    <row r="246" spans="4:14" x14ac:dyDescent="0.25">
      <c r="D246" s="111"/>
      <c r="E246" s="111"/>
      <c r="N246" s="392"/>
    </row>
    <row r="247" spans="4:14" x14ac:dyDescent="0.25">
      <c r="D247" s="111"/>
      <c r="E247" s="111"/>
      <c r="N247" s="392"/>
    </row>
    <row r="248" spans="4:14" x14ac:dyDescent="0.25">
      <c r="D248" s="111"/>
      <c r="E248" s="111"/>
      <c r="N248" s="392"/>
    </row>
    <row r="249" spans="4:14" x14ac:dyDescent="0.25">
      <c r="D249" s="111"/>
      <c r="E249" s="111"/>
      <c r="N249" s="392"/>
    </row>
    <row r="250" spans="4:14" x14ac:dyDescent="0.25">
      <c r="D250" s="111"/>
      <c r="E250" s="111"/>
      <c r="N250" s="392"/>
    </row>
    <row r="251" spans="4:14" x14ac:dyDescent="0.25">
      <c r="D251" s="111"/>
      <c r="E251" s="111"/>
      <c r="N251" s="392"/>
    </row>
    <row r="252" spans="4:14" x14ac:dyDescent="0.25">
      <c r="D252" s="111"/>
      <c r="E252" s="111"/>
      <c r="N252" s="392"/>
    </row>
    <row r="253" spans="4:14" x14ac:dyDescent="0.25">
      <c r="D253" s="111"/>
      <c r="E253" s="111"/>
      <c r="N253" s="392"/>
    </row>
    <row r="254" spans="4:14" x14ac:dyDescent="0.25">
      <c r="D254" s="111"/>
      <c r="E254" s="111"/>
      <c r="N254" s="392"/>
    </row>
    <row r="255" spans="4:14" x14ac:dyDescent="0.25">
      <c r="D255" s="111"/>
      <c r="E255" s="111"/>
      <c r="N255" s="392"/>
    </row>
    <row r="256" spans="4:14" x14ac:dyDescent="0.25">
      <c r="D256" s="111"/>
      <c r="E256" s="111"/>
      <c r="N256" s="392"/>
    </row>
    <row r="257" spans="4:14" x14ac:dyDescent="0.25">
      <c r="D257" s="111"/>
      <c r="E257" s="111"/>
      <c r="N257" s="392"/>
    </row>
    <row r="258" spans="4:14" x14ac:dyDescent="0.25">
      <c r="D258" s="111"/>
      <c r="E258" s="111"/>
      <c r="N258" s="392"/>
    </row>
    <row r="259" spans="4:14" x14ac:dyDescent="0.25">
      <c r="D259" s="111"/>
      <c r="E259" s="111"/>
      <c r="N259" s="392"/>
    </row>
    <row r="260" spans="4:14" x14ac:dyDescent="0.25">
      <c r="D260" s="111"/>
      <c r="E260" s="111"/>
      <c r="N260" s="392"/>
    </row>
    <row r="261" spans="4:14" x14ac:dyDescent="0.25">
      <c r="D261" s="111"/>
      <c r="E261" s="111"/>
      <c r="N261" s="392"/>
    </row>
    <row r="262" spans="4:14" x14ac:dyDescent="0.25">
      <c r="D262" s="111"/>
      <c r="E262" s="111"/>
      <c r="N262" s="392"/>
    </row>
    <row r="263" spans="4:14" x14ac:dyDescent="0.25">
      <c r="D263" s="111"/>
      <c r="E263" s="111"/>
      <c r="N263" s="392"/>
    </row>
    <row r="264" spans="4:14" x14ac:dyDescent="0.25">
      <c r="D264" s="111"/>
      <c r="E264" s="111"/>
      <c r="N264" s="392"/>
    </row>
    <row r="265" spans="4:14" x14ac:dyDescent="0.25">
      <c r="D265" s="111"/>
      <c r="E265" s="111"/>
      <c r="N265" s="392"/>
    </row>
    <row r="266" spans="4:14" x14ac:dyDescent="0.25">
      <c r="D266" s="111"/>
      <c r="E266" s="111"/>
      <c r="N266" s="392"/>
    </row>
    <row r="267" spans="4:14" x14ac:dyDescent="0.25">
      <c r="D267" s="111"/>
      <c r="E267" s="111"/>
      <c r="N267" s="392"/>
    </row>
    <row r="268" spans="4:14" x14ac:dyDescent="0.25">
      <c r="D268" s="111"/>
      <c r="E268" s="111"/>
      <c r="N268" s="392"/>
    </row>
    <row r="269" spans="4:14" x14ac:dyDescent="0.25">
      <c r="D269" s="111"/>
      <c r="E269" s="111"/>
      <c r="N269" s="392"/>
    </row>
    <row r="270" spans="4:14" x14ac:dyDescent="0.25">
      <c r="D270" s="111"/>
      <c r="E270" s="111"/>
      <c r="N270" s="392"/>
    </row>
    <row r="271" spans="4:14" x14ac:dyDescent="0.25">
      <c r="D271" s="111"/>
      <c r="E271" s="111"/>
      <c r="N271" s="392"/>
    </row>
    <row r="272" spans="4:14" x14ac:dyDescent="0.25">
      <c r="D272" s="111"/>
      <c r="E272" s="111"/>
      <c r="N272" s="392"/>
    </row>
    <row r="273" spans="4:14" x14ac:dyDescent="0.25">
      <c r="D273" s="111"/>
      <c r="E273" s="111"/>
      <c r="N273" s="392"/>
    </row>
    <row r="274" spans="4:14" x14ac:dyDescent="0.25">
      <c r="D274" s="111"/>
      <c r="E274" s="111"/>
      <c r="N274" s="392"/>
    </row>
    <row r="275" spans="4:14" x14ac:dyDescent="0.25">
      <c r="D275" s="111"/>
      <c r="E275" s="111"/>
      <c r="N275" s="392"/>
    </row>
    <row r="276" spans="4:14" x14ac:dyDescent="0.25">
      <c r="D276" s="111"/>
      <c r="E276" s="111"/>
      <c r="N276" s="392"/>
    </row>
    <row r="277" spans="4:14" x14ac:dyDescent="0.25">
      <c r="D277" s="111"/>
      <c r="E277" s="111"/>
      <c r="N277" s="392"/>
    </row>
    <row r="278" spans="4:14" x14ac:dyDescent="0.25">
      <c r="D278" s="111"/>
      <c r="E278" s="111"/>
      <c r="N278" s="392"/>
    </row>
    <row r="279" spans="4:14" x14ac:dyDescent="0.25">
      <c r="D279" s="111"/>
      <c r="E279" s="111"/>
      <c r="N279" s="392"/>
    </row>
    <row r="280" spans="4:14" x14ac:dyDescent="0.25">
      <c r="D280" s="111"/>
      <c r="E280" s="111"/>
      <c r="N280" s="392"/>
    </row>
    <row r="281" spans="4:14" x14ac:dyDescent="0.25">
      <c r="D281" s="111"/>
      <c r="E281" s="111"/>
      <c r="N281" s="392"/>
    </row>
    <row r="282" spans="4:14" x14ac:dyDescent="0.25">
      <c r="D282" s="111"/>
      <c r="E282" s="111"/>
      <c r="N282" s="392"/>
    </row>
    <row r="283" spans="4:14" x14ac:dyDescent="0.25">
      <c r="D283" s="111"/>
      <c r="E283" s="111"/>
      <c r="N283" s="392"/>
    </row>
    <row r="284" spans="4:14" x14ac:dyDescent="0.25">
      <c r="D284" s="111"/>
      <c r="E284" s="111"/>
      <c r="N284" s="392"/>
    </row>
    <row r="285" spans="4:14" x14ac:dyDescent="0.25">
      <c r="D285" s="111"/>
      <c r="E285" s="111"/>
      <c r="N285" s="392"/>
    </row>
    <row r="286" spans="4:14" x14ac:dyDescent="0.25">
      <c r="D286" s="111"/>
      <c r="E286" s="111"/>
      <c r="N286" s="392"/>
    </row>
    <row r="287" spans="4:14" x14ac:dyDescent="0.25">
      <c r="D287" s="111"/>
      <c r="E287" s="111"/>
      <c r="N287" s="392"/>
    </row>
    <row r="288" spans="4:14" x14ac:dyDescent="0.25">
      <c r="D288" s="111"/>
      <c r="E288" s="111"/>
      <c r="N288" s="392"/>
    </row>
    <row r="289" spans="4:14" x14ac:dyDescent="0.25">
      <c r="D289" s="111"/>
      <c r="E289" s="111"/>
      <c r="N289" s="392"/>
    </row>
    <row r="290" spans="4:14" x14ac:dyDescent="0.25">
      <c r="D290" s="111"/>
      <c r="E290" s="111"/>
      <c r="N290" s="392"/>
    </row>
    <row r="291" spans="4:14" x14ac:dyDescent="0.25">
      <c r="D291" s="111"/>
      <c r="E291" s="111"/>
      <c r="N291" s="392"/>
    </row>
    <row r="292" spans="4:14" x14ac:dyDescent="0.25">
      <c r="D292" s="111"/>
      <c r="E292" s="111"/>
      <c r="N292" s="392"/>
    </row>
    <row r="293" spans="4:14" x14ac:dyDescent="0.25">
      <c r="D293" s="111"/>
      <c r="E293" s="111"/>
      <c r="N293" s="392"/>
    </row>
    <row r="294" spans="4:14" x14ac:dyDescent="0.25">
      <c r="D294" s="111"/>
      <c r="E294" s="111"/>
      <c r="N294" s="392"/>
    </row>
    <row r="295" spans="4:14" x14ac:dyDescent="0.25">
      <c r="D295" s="111"/>
      <c r="E295" s="111"/>
      <c r="N295" s="392"/>
    </row>
    <row r="296" spans="4:14" x14ac:dyDescent="0.25">
      <c r="D296" s="111"/>
      <c r="E296" s="111"/>
      <c r="N296" s="392"/>
    </row>
    <row r="297" spans="4:14" x14ac:dyDescent="0.25">
      <c r="D297" s="111"/>
      <c r="E297" s="111"/>
      <c r="N297" s="392"/>
    </row>
    <row r="298" spans="4:14" x14ac:dyDescent="0.25">
      <c r="D298" s="111"/>
      <c r="E298" s="111"/>
      <c r="N298" s="392"/>
    </row>
    <row r="299" spans="4:14" x14ac:dyDescent="0.25">
      <c r="D299" s="111"/>
      <c r="E299" s="111"/>
      <c r="N299" s="392"/>
    </row>
    <row r="300" spans="4:14" x14ac:dyDescent="0.25">
      <c r="D300" s="111"/>
      <c r="E300" s="111"/>
      <c r="N300" s="392"/>
    </row>
    <row r="301" spans="4:14" x14ac:dyDescent="0.25">
      <c r="D301" s="111"/>
      <c r="E301" s="111"/>
      <c r="N301" s="392"/>
    </row>
    <row r="302" spans="4:14" x14ac:dyDescent="0.25">
      <c r="D302" s="111"/>
      <c r="E302" s="111"/>
      <c r="N302" s="392"/>
    </row>
    <row r="303" spans="4:14" x14ac:dyDescent="0.25">
      <c r="D303" s="111"/>
      <c r="E303" s="111"/>
      <c r="N303" s="392"/>
    </row>
    <row r="304" spans="4:14" x14ac:dyDescent="0.25">
      <c r="D304" s="111"/>
      <c r="E304" s="111"/>
      <c r="N304" s="392"/>
    </row>
    <row r="305" spans="4:14" x14ac:dyDescent="0.25">
      <c r="D305" s="111"/>
      <c r="E305" s="111"/>
      <c r="N305" s="392"/>
    </row>
    <row r="306" spans="4:14" x14ac:dyDescent="0.25">
      <c r="D306" s="111"/>
      <c r="E306" s="111"/>
      <c r="N306" s="392"/>
    </row>
    <row r="307" spans="4:14" x14ac:dyDescent="0.25">
      <c r="D307" s="111"/>
      <c r="E307" s="111"/>
      <c r="N307" s="392"/>
    </row>
    <row r="308" spans="4:14" x14ac:dyDescent="0.25">
      <c r="D308" s="111"/>
      <c r="E308" s="111"/>
      <c r="N308" s="392"/>
    </row>
    <row r="309" spans="4:14" x14ac:dyDescent="0.25">
      <c r="D309" s="111"/>
      <c r="E309" s="111"/>
      <c r="N309" s="392"/>
    </row>
    <row r="310" spans="4:14" x14ac:dyDescent="0.25">
      <c r="D310" s="111"/>
      <c r="E310" s="111"/>
      <c r="N310" s="392"/>
    </row>
    <row r="311" spans="4:14" x14ac:dyDescent="0.25">
      <c r="D311" s="111"/>
      <c r="E311" s="111"/>
      <c r="N311" s="392"/>
    </row>
    <row r="312" spans="4:14" x14ac:dyDescent="0.25">
      <c r="D312" s="111"/>
      <c r="E312" s="111"/>
      <c r="N312" s="392"/>
    </row>
    <row r="313" spans="4:14" x14ac:dyDescent="0.25">
      <c r="D313" s="111"/>
      <c r="E313" s="111"/>
      <c r="N313" s="392"/>
    </row>
    <row r="314" spans="4:14" x14ac:dyDescent="0.25">
      <c r="D314" s="111"/>
      <c r="E314" s="111"/>
      <c r="N314" s="392"/>
    </row>
    <row r="315" spans="4:14" x14ac:dyDescent="0.25">
      <c r="D315" s="111"/>
      <c r="E315" s="111"/>
      <c r="N315" s="392"/>
    </row>
    <row r="316" spans="4:14" x14ac:dyDescent="0.25">
      <c r="D316" s="111"/>
      <c r="E316" s="111"/>
      <c r="N316" s="392"/>
    </row>
    <row r="317" spans="4:14" x14ac:dyDescent="0.25">
      <c r="D317" s="111"/>
      <c r="E317" s="111"/>
      <c r="N317" s="392"/>
    </row>
    <row r="318" spans="4:14" x14ac:dyDescent="0.25">
      <c r="D318" s="111"/>
      <c r="E318" s="111"/>
      <c r="N318" s="392"/>
    </row>
    <row r="319" spans="4:14" x14ac:dyDescent="0.25">
      <c r="D319" s="111"/>
      <c r="E319" s="111"/>
      <c r="N319" s="392"/>
    </row>
    <row r="320" spans="4:14" x14ac:dyDescent="0.25">
      <c r="D320" s="111"/>
      <c r="E320" s="111"/>
      <c r="N320" s="392"/>
    </row>
    <row r="321" spans="4:14" x14ac:dyDescent="0.25">
      <c r="D321" s="111"/>
      <c r="E321" s="111"/>
      <c r="N321" s="392"/>
    </row>
    <row r="322" spans="4:14" x14ac:dyDescent="0.25">
      <c r="D322" s="111"/>
      <c r="E322" s="111"/>
      <c r="N322" s="392"/>
    </row>
    <row r="323" spans="4:14" x14ac:dyDescent="0.25">
      <c r="D323" s="111"/>
      <c r="E323" s="111"/>
      <c r="N323" s="392"/>
    </row>
    <row r="324" spans="4:14" x14ac:dyDescent="0.25">
      <c r="D324" s="111"/>
      <c r="E324" s="111"/>
      <c r="N324" s="392"/>
    </row>
    <row r="325" spans="4:14" x14ac:dyDescent="0.25">
      <c r="D325" s="111"/>
      <c r="E325" s="111"/>
      <c r="N325" s="392"/>
    </row>
    <row r="326" spans="4:14" x14ac:dyDescent="0.25">
      <c r="D326" s="111"/>
      <c r="E326" s="111"/>
      <c r="N326" s="392"/>
    </row>
    <row r="327" spans="4:14" x14ac:dyDescent="0.25">
      <c r="D327" s="111"/>
      <c r="E327" s="111"/>
      <c r="N327" s="392"/>
    </row>
    <row r="328" spans="4:14" x14ac:dyDescent="0.25">
      <c r="D328" s="111"/>
      <c r="E328" s="111"/>
      <c r="N328" s="392"/>
    </row>
    <row r="329" spans="4:14" x14ac:dyDescent="0.25">
      <c r="D329" s="111"/>
      <c r="E329" s="111"/>
      <c r="N329" s="392"/>
    </row>
    <row r="330" spans="4:14" x14ac:dyDescent="0.25">
      <c r="D330" s="111"/>
      <c r="E330" s="111"/>
      <c r="N330" s="392"/>
    </row>
    <row r="331" spans="4:14" x14ac:dyDescent="0.25">
      <c r="D331" s="111"/>
      <c r="E331" s="111"/>
      <c r="N331" s="392"/>
    </row>
    <row r="332" spans="4:14" x14ac:dyDescent="0.25">
      <c r="D332" s="111"/>
      <c r="E332" s="111"/>
      <c r="N332" s="392"/>
    </row>
    <row r="333" spans="4:14" x14ac:dyDescent="0.25">
      <c r="D333" s="111"/>
      <c r="E333" s="111"/>
      <c r="N333" s="392"/>
    </row>
    <row r="334" spans="4:14" x14ac:dyDescent="0.25">
      <c r="D334" s="111"/>
      <c r="E334" s="111"/>
      <c r="N334" s="392"/>
    </row>
    <row r="335" spans="4:14" x14ac:dyDescent="0.25">
      <c r="D335" s="111"/>
      <c r="E335" s="111"/>
      <c r="N335" s="392"/>
    </row>
    <row r="336" spans="4:14" x14ac:dyDescent="0.25">
      <c r="D336" s="111"/>
      <c r="E336" s="111"/>
      <c r="N336" s="392"/>
    </row>
    <row r="337" spans="4:14" x14ac:dyDescent="0.25">
      <c r="D337" s="111"/>
      <c r="E337" s="111"/>
      <c r="N337" s="392"/>
    </row>
    <row r="338" spans="4:14" x14ac:dyDescent="0.25">
      <c r="D338" s="111"/>
      <c r="E338" s="111"/>
      <c r="N338" s="392"/>
    </row>
    <row r="339" spans="4:14" x14ac:dyDescent="0.25">
      <c r="D339" s="111"/>
      <c r="E339" s="111"/>
      <c r="N339" s="392"/>
    </row>
    <row r="340" spans="4:14" x14ac:dyDescent="0.25">
      <c r="D340" s="111"/>
      <c r="E340" s="111"/>
      <c r="N340" s="392"/>
    </row>
    <row r="341" spans="4:14" x14ac:dyDescent="0.25">
      <c r="D341" s="111"/>
      <c r="E341" s="111"/>
      <c r="N341" s="392"/>
    </row>
    <row r="342" spans="4:14" x14ac:dyDescent="0.25">
      <c r="D342" s="111"/>
      <c r="E342" s="111"/>
      <c r="N342" s="392"/>
    </row>
    <row r="343" spans="4:14" x14ac:dyDescent="0.25">
      <c r="D343" s="111"/>
      <c r="E343" s="111"/>
      <c r="N343" s="392"/>
    </row>
    <row r="344" spans="4:14" x14ac:dyDescent="0.25">
      <c r="D344" s="111"/>
      <c r="E344" s="111"/>
      <c r="N344" s="392"/>
    </row>
    <row r="345" spans="4:14" x14ac:dyDescent="0.25">
      <c r="D345" s="111"/>
      <c r="E345" s="111"/>
      <c r="N345" s="392"/>
    </row>
    <row r="346" spans="4:14" x14ac:dyDescent="0.25">
      <c r="D346" s="111"/>
      <c r="E346" s="111"/>
      <c r="N346" s="392"/>
    </row>
    <row r="347" spans="4:14" x14ac:dyDescent="0.25">
      <c r="D347" s="111"/>
      <c r="E347" s="111"/>
      <c r="N347" s="392"/>
    </row>
    <row r="348" spans="4:14" x14ac:dyDescent="0.25">
      <c r="D348" s="111"/>
      <c r="E348" s="111"/>
      <c r="N348" s="392"/>
    </row>
    <row r="349" spans="4:14" x14ac:dyDescent="0.25">
      <c r="D349" s="111"/>
      <c r="E349" s="111"/>
      <c r="N349" s="392"/>
    </row>
    <row r="350" spans="4:14" x14ac:dyDescent="0.25">
      <c r="D350" s="111"/>
      <c r="E350" s="111"/>
      <c r="N350" s="392"/>
    </row>
    <row r="351" spans="4:14" x14ac:dyDescent="0.25">
      <c r="D351" s="111"/>
      <c r="E351" s="111"/>
      <c r="N351" s="392"/>
    </row>
    <row r="352" spans="4:14" x14ac:dyDescent="0.25">
      <c r="D352" s="111"/>
      <c r="E352" s="111"/>
      <c r="N352" s="392"/>
    </row>
    <row r="353" spans="4:14" x14ac:dyDescent="0.25">
      <c r="D353" s="111"/>
      <c r="E353" s="111"/>
      <c r="N353" s="392"/>
    </row>
    <row r="354" spans="4:14" x14ac:dyDescent="0.25">
      <c r="D354" s="111"/>
      <c r="E354" s="111"/>
      <c r="N354" s="392"/>
    </row>
    <row r="355" spans="4:14" x14ac:dyDescent="0.25">
      <c r="D355" s="111"/>
      <c r="E355" s="111"/>
      <c r="N355" s="392"/>
    </row>
    <row r="356" spans="4:14" x14ac:dyDescent="0.25">
      <c r="D356" s="111"/>
      <c r="E356" s="111"/>
      <c r="N356" s="392"/>
    </row>
    <row r="357" spans="4:14" x14ac:dyDescent="0.25">
      <c r="D357" s="111"/>
      <c r="E357" s="111"/>
      <c r="N357" s="392"/>
    </row>
    <row r="358" spans="4:14" x14ac:dyDescent="0.25">
      <c r="D358" s="111"/>
      <c r="E358" s="111"/>
      <c r="N358" s="392"/>
    </row>
    <row r="359" spans="4:14" x14ac:dyDescent="0.25">
      <c r="D359" s="111"/>
      <c r="E359" s="111"/>
      <c r="N359" s="392"/>
    </row>
    <row r="360" spans="4:14" x14ac:dyDescent="0.25">
      <c r="D360" s="111"/>
      <c r="E360" s="111"/>
      <c r="N360" s="392"/>
    </row>
    <row r="361" spans="4:14" x14ac:dyDescent="0.25">
      <c r="D361" s="111"/>
      <c r="E361" s="111"/>
      <c r="N361" s="392"/>
    </row>
    <row r="362" spans="4:14" x14ac:dyDescent="0.25">
      <c r="D362" s="111"/>
      <c r="E362" s="111"/>
      <c r="N362" s="392"/>
    </row>
    <row r="363" spans="4:14" x14ac:dyDescent="0.25">
      <c r="D363" s="111"/>
      <c r="E363" s="111"/>
      <c r="N363" s="392"/>
    </row>
    <row r="364" spans="4:14" x14ac:dyDescent="0.25">
      <c r="D364" s="111"/>
      <c r="E364" s="111"/>
      <c r="N364" s="392"/>
    </row>
    <row r="365" spans="4:14" x14ac:dyDescent="0.25">
      <c r="D365" s="111"/>
      <c r="E365" s="111"/>
      <c r="N365" s="392"/>
    </row>
    <row r="366" spans="4:14" x14ac:dyDescent="0.25">
      <c r="D366" s="111"/>
      <c r="E366" s="111"/>
      <c r="N366" s="392"/>
    </row>
    <row r="367" spans="4:14" x14ac:dyDescent="0.25">
      <c r="D367" s="111"/>
      <c r="E367" s="111"/>
      <c r="N367" s="392"/>
    </row>
    <row r="368" spans="4:14" x14ac:dyDescent="0.25">
      <c r="D368" s="111"/>
      <c r="E368" s="111"/>
      <c r="N368" s="392"/>
    </row>
    <row r="369" spans="4:14" x14ac:dyDescent="0.25">
      <c r="D369" s="111"/>
      <c r="E369" s="111"/>
      <c r="N369" s="392"/>
    </row>
    <row r="370" spans="4:14" x14ac:dyDescent="0.25">
      <c r="D370" s="111"/>
      <c r="E370" s="111"/>
      <c r="N370" s="392"/>
    </row>
    <row r="371" spans="4:14" x14ac:dyDescent="0.25">
      <c r="D371" s="111"/>
      <c r="E371" s="111"/>
      <c r="N371" s="392"/>
    </row>
    <row r="372" spans="4:14" x14ac:dyDescent="0.25">
      <c r="D372" s="111"/>
      <c r="E372" s="111"/>
      <c r="N372" s="392"/>
    </row>
    <row r="373" spans="4:14" x14ac:dyDescent="0.25">
      <c r="D373" s="111"/>
      <c r="E373" s="111"/>
      <c r="N373" s="392"/>
    </row>
    <row r="374" spans="4:14" x14ac:dyDescent="0.25">
      <c r="D374" s="111"/>
      <c r="E374" s="111"/>
      <c r="N374" s="392"/>
    </row>
    <row r="375" spans="4:14" x14ac:dyDescent="0.25">
      <c r="D375" s="111"/>
      <c r="E375" s="111"/>
      <c r="N375" s="392"/>
    </row>
    <row r="376" spans="4:14" x14ac:dyDescent="0.25">
      <c r="D376" s="111"/>
      <c r="E376" s="111"/>
      <c r="N376" s="392"/>
    </row>
    <row r="377" spans="4:14" x14ac:dyDescent="0.25">
      <c r="D377" s="111"/>
      <c r="E377" s="111"/>
      <c r="N377" s="392"/>
    </row>
    <row r="378" spans="4:14" x14ac:dyDescent="0.25">
      <c r="D378" s="111"/>
      <c r="E378" s="111"/>
      <c r="N378" s="392"/>
    </row>
    <row r="379" spans="4:14" x14ac:dyDescent="0.25">
      <c r="D379" s="111"/>
      <c r="E379" s="111"/>
      <c r="N379" s="392"/>
    </row>
    <row r="380" spans="4:14" x14ac:dyDescent="0.25">
      <c r="D380" s="111"/>
      <c r="E380" s="111"/>
      <c r="N380" s="392"/>
    </row>
    <row r="381" spans="4:14" x14ac:dyDescent="0.25">
      <c r="D381" s="111"/>
      <c r="E381" s="111"/>
      <c r="N381" s="392"/>
    </row>
    <row r="382" spans="4:14" x14ac:dyDescent="0.25">
      <c r="D382" s="111"/>
      <c r="E382" s="111"/>
      <c r="N382" s="392"/>
    </row>
    <row r="383" spans="4:14" x14ac:dyDescent="0.25">
      <c r="D383" s="111"/>
      <c r="E383" s="111"/>
      <c r="N383" s="392"/>
    </row>
    <row r="384" spans="4:14" x14ac:dyDescent="0.25">
      <c r="D384" s="111"/>
      <c r="E384" s="111"/>
      <c r="N384" s="392"/>
    </row>
    <row r="385" spans="4:14" x14ac:dyDescent="0.25">
      <c r="D385" s="111"/>
      <c r="E385" s="111"/>
      <c r="N385" s="392"/>
    </row>
    <row r="386" spans="4:14" x14ac:dyDescent="0.25">
      <c r="D386" s="111"/>
      <c r="E386" s="111"/>
      <c r="N386" s="392"/>
    </row>
    <row r="387" spans="4:14" x14ac:dyDescent="0.25">
      <c r="D387" s="111"/>
      <c r="E387" s="111"/>
      <c r="N387" s="392"/>
    </row>
    <row r="388" spans="4:14" x14ac:dyDescent="0.25">
      <c r="D388" s="111"/>
      <c r="E388" s="111"/>
      <c r="N388" s="392"/>
    </row>
    <row r="389" spans="4:14" x14ac:dyDescent="0.25">
      <c r="D389" s="111"/>
      <c r="E389" s="111"/>
      <c r="N389" s="392"/>
    </row>
    <row r="390" spans="4:14" x14ac:dyDescent="0.25">
      <c r="D390" s="111"/>
      <c r="E390" s="111"/>
      <c r="N390" s="392"/>
    </row>
    <row r="391" spans="4:14" x14ac:dyDescent="0.25">
      <c r="D391" s="111"/>
      <c r="E391" s="111"/>
      <c r="N391" s="392"/>
    </row>
    <row r="392" spans="4:14" x14ac:dyDescent="0.25">
      <c r="D392" s="111"/>
      <c r="E392" s="111"/>
      <c r="N392" s="392"/>
    </row>
    <row r="393" spans="4:14" x14ac:dyDescent="0.25">
      <c r="D393" s="111"/>
      <c r="E393" s="111"/>
      <c r="N393" s="392"/>
    </row>
    <row r="394" spans="4:14" x14ac:dyDescent="0.25">
      <c r="D394" s="111"/>
      <c r="E394" s="111"/>
      <c r="N394" s="392"/>
    </row>
    <row r="395" spans="4:14" x14ac:dyDescent="0.25">
      <c r="D395" s="111"/>
      <c r="E395" s="111"/>
      <c r="N395" s="392"/>
    </row>
    <row r="396" spans="4:14" x14ac:dyDescent="0.25">
      <c r="D396" s="111"/>
      <c r="E396" s="111"/>
      <c r="N396" s="392"/>
    </row>
    <row r="397" spans="4:14" x14ac:dyDescent="0.25">
      <c r="D397" s="111"/>
      <c r="E397" s="111"/>
      <c r="N397" s="392"/>
    </row>
    <row r="398" spans="4:14" x14ac:dyDescent="0.25">
      <c r="D398" s="111"/>
      <c r="E398" s="111"/>
      <c r="N398" s="392"/>
    </row>
    <row r="399" spans="4:14" x14ac:dyDescent="0.25">
      <c r="D399" s="111"/>
      <c r="E399" s="111"/>
      <c r="N399" s="392"/>
    </row>
    <row r="400" spans="4:14" x14ac:dyDescent="0.25">
      <c r="D400" s="111"/>
      <c r="E400" s="111"/>
      <c r="N400" s="392"/>
    </row>
    <row r="401" spans="4:14" x14ac:dyDescent="0.25">
      <c r="D401" s="111"/>
      <c r="E401" s="111"/>
      <c r="N401" s="392"/>
    </row>
    <row r="402" spans="4:14" x14ac:dyDescent="0.25">
      <c r="D402" s="111"/>
      <c r="E402" s="111"/>
      <c r="N402" s="392"/>
    </row>
    <row r="403" spans="4:14" x14ac:dyDescent="0.25">
      <c r="D403" s="111"/>
      <c r="E403" s="111"/>
      <c r="N403" s="392"/>
    </row>
    <row r="404" spans="4:14" x14ac:dyDescent="0.25">
      <c r="D404" s="111"/>
      <c r="E404" s="111"/>
      <c r="N404" s="392"/>
    </row>
    <row r="405" spans="4:14" x14ac:dyDescent="0.25">
      <c r="D405" s="111"/>
      <c r="E405" s="111"/>
      <c r="N405" s="392"/>
    </row>
    <row r="406" spans="4:14" x14ac:dyDescent="0.25">
      <c r="D406" s="111"/>
      <c r="E406" s="111"/>
      <c r="N406" s="392"/>
    </row>
    <row r="407" spans="4:14" x14ac:dyDescent="0.25">
      <c r="D407" s="111"/>
      <c r="E407" s="111"/>
      <c r="N407" s="392"/>
    </row>
    <row r="408" spans="4:14" x14ac:dyDescent="0.25">
      <c r="D408" s="111"/>
      <c r="E408" s="111"/>
      <c r="N408" s="392"/>
    </row>
    <row r="409" spans="4:14" x14ac:dyDescent="0.25">
      <c r="D409" s="111"/>
      <c r="E409" s="111"/>
      <c r="N409" s="392"/>
    </row>
    <row r="410" spans="4:14" x14ac:dyDescent="0.25">
      <c r="D410" s="111"/>
      <c r="E410" s="111"/>
      <c r="N410" s="392"/>
    </row>
    <row r="411" spans="4:14" x14ac:dyDescent="0.25">
      <c r="D411" s="111"/>
      <c r="E411" s="111"/>
      <c r="N411" s="392"/>
    </row>
    <row r="412" spans="4:14" x14ac:dyDescent="0.25">
      <c r="D412" s="111"/>
      <c r="E412" s="111"/>
      <c r="N412" s="392"/>
    </row>
    <row r="413" spans="4:14" x14ac:dyDescent="0.25">
      <c r="D413" s="111"/>
      <c r="E413" s="111"/>
      <c r="N413" s="392"/>
    </row>
    <row r="414" spans="4:14" x14ac:dyDescent="0.25">
      <c r="D414" s="111"/>
      <c r="E414" s="111"/>
      <c r="N414" s="392"/>
    </row>
    <row r="415" spans="4:14" x14ac:dyDescent="0.25">
      <c r="D415" s="111"/>
      <c r="E415" s="111"/>
      <c r="N415" s="392"/>
    </row>
    <row r="416" spans="4:14" x14ac:dyDescent="0.25">
      <c r="D416" s="111"/>
      <c r="E416" s="111"/>
      <c r="N416" s="392"/>
    </row>
    <row r="417" spans="4:14" x14ac:dyDescent="0.25">
      <c r="D417" s="111"/>
      <c r="E417" s="111"/>
      <c r="N417" s="392"/>
    </row>
    <row r="418" spans="4:14" x14ac:dyDescent="0.25">
      <c r="D418" s="111"/>
      <c r="E418" s="111"/>
      <c r="N418" s="392"/>
    </row>
    <row r="419" spans="4:14" x14ac:dyDescent="0.25">
      <c r="D419" s="111"/>
      <c r="E419" s="111"/>
      <c r="N419" s="392"/>
    </row>
    <row r="420" spans="4:14" x14ac:dyDescent="0.25">
      <c r="D420" s="111"/>
      <c r="E420" s="111"/>
      <c r="N420" s="392"/>
    </row>
    <row r="421" spans="4:14" x14ac:dyDescent="0.25">
      <c r="D421" s="111"/>
      <c r="E421" s="111"/>
      <c r="N421" s="392"/>
    </row>
    <row r="422" spans="4:14" x14ac:dyDescent="0.25">
      <c r="D422" s="111"/>
      <c r="E422" s="111"/>
      <c r="N422" s="392"/>
    </row>
    <row r="423" spans="4:14" x14ac:dyDescent="0.25">
      <c r="D423" s="111"/>
      <c r="E423" s="111"/>
      <c r="N423" s="392"/>
    </row>
    <row r="424" spans="4:14" x14ac:dyDescent="0.25">
      <c r="D424" s="111"/>
      <c r="E424" s="111"/>
      <c r="N424" s="392"/>
    </row>
    <row r="425" spans="4:14" x14ac:dyDescent="0.25">
      <c r="D425" s="111"/>
      <c r="E425" s="111"/>
      <c r="N425" s="392"/>
    </row>
    <row r="426" spans="4:14" x14ac:dyDescent="0.25">
      <c r="D426" s="111"/>
      <c r="E426" s="111"/>
      <c r="N426" s="392"/>
    </row>
    <row r="427" spans="4:14" x14ac:dyDescent="0.25">
      <c r="D427" s="111"/>
      <c r="E427" s="111"/>
      <c r="N427" s="392"/>
    </row>
    <row r="428" spans="4:14" x14ac:dyDescent="0.25">
      <c r="D428" s="111"/>
      <c r="E428" s="111"/>
      <c r="N428" s="392"/>
    </row>
    <row r="429" spans="4:14" x14ac:dyDescent="0.25">
      <c r="D429" s="111"/>
      <c r="E429" s="111"/>
      <c r="N429" s="392"/>
    </row>
    <row r="430" spans="4:14" x14ac:dyDescent="0.25">
      <c r="D430" s="111"/>
      <c r="E430" s="111"/>
      <c r="N430" s="392"/>
    </row>
    <row r="431" spans="4:14" x14ac:dyDescent="0.25">
      <c r="D431" s="111"/>
      <c r="E431" s="111"/>
      <c r="N431" s="392"/>
    </row>
    <row r="432" spans="4:14" x14ac:dyDescent="0.25">
      <c r="D432" s="111"/>
      <c r="E432" s="111"/>
      <c r="N432" s="392"/>
    </row>
    <row r="433" spans="4:14" x14ac:dyDescent="0.25">
      <c r="D433" s="111"/>
      <c r="E433" s="111"/>
      <c r="N433" s="392"/>
    </row>
    <row r="434" spans="4:14" x14ac:dyDescent="0.25">
      <c r="D434" s="111"/>
      <c r="E434" s="111"/>
      <c r="N434" s="392"/>
    </row>
    <row r="435" spans="4:14" x14ac:dyDescent="0.25">
      <c r="D435" s="111"/>
      <c r="E435" s="111"/>
      <c r="N435" s="392"/>
    </row>
    <row r="436" spans="4:14" x14ac:dyDescent="0.25">
      <c r="D436" s="111"/>
      <c r="E436" s="111"/>
      <c r="N436" s="392"/>
    </row>
    <row r="437" spans="4:14" x14ac:dyDescent="0.25">
      <c r="D437" s="111"/>
      <c r="E437" s="111"/>
      <c r="N437" s="392"/>
    </row>
    <row r="438" spans="4:14" x14ac:dyDescent="0.25">
      <c r="D438" s="111"/>
      <c r="E438" s="111"/>
      <c r="N438" s="392"/>
    </row>
    <row r="439" spans="4:14" x14ac:dyDescent="0.25">
      <c r="D439" s="111"/>
      <c r="E439" s="111"/>
      <c r="N439" s="392"/>
    </row>
    <row r="440" spans="4:14" x14ac:dyDescent="0.25">
      <c r="D440" s="111"/>
      <c r="E440" s="111"/>
      <c r="N440" s="392"/>
    </row>
    <row r="441" spans="4:14" x14ac:dyDescent="0.25">
      <c r="D441" s="111"/>
      <c r="E441" s="111"/>
      <c r="N441" s="392"/>
    </row>
    <row r="442" spans="4:14" x14ac:dyDescent="0.25">
      <c r="D442" s="111"/>
      <c r="E442" s="111"/>
      <c r="N442" s="392"/>
    </row>
    <row r="443" spans="4:14" x14ac:dyDescent="0.25">
      <c r="D443" s="111"/>
      <c r="E443" s="111"/>
      <c r="N443" s="392"/>
    </row>
    <row r="444" spans="4:14" x14ac:dyDescent="0.25">
      <c r="D444" s="111"/>
      <c r="E444" s="111"/>
      <c r="N444" s="392"/>
    </row>
    <row r="445" spans="4:14" x14ac:dyDescent="0.25">
      <c r="D445" s="111"/>
      <c r="E445" s="111"/>
      <c r="N445" s="392"/>
    </row>
    <row r="446" spans="4:14" x14ac:dyDescent="0.25">
      <c r="D446" s="111"/>
      <c r="E446" s="111"/>
      <c r="N446" s="392"/>
    </row>
    <row r="447" spans="4:14" x14ac:dyDescent="0.25">
      <c r="D447" s="111"/>
      <c r="E447" s="111"/>
      <c r="N447" s="392"/>
    </row>
    <row r="448" spans="4:14" x14ac:dyDescent="0.25">
      <c r="D448" s="111"/>
      <c r="E448" s="111"/>
      <c r="N448" s="392"/>
    </row>
    <row r="449" spans="4:14" x14ac:dyDescent="0.25">
      <c r="D449" s="111"/>
      <c r="E449" s="111"/>
      <c r="N449" s="392"/>
    </row>
    <row r="450" spans="4:14" x14ac:dyDescent="0.25">
      <c r="D450" s="111"/>
      <c r="E450" s="111"/>
      <c r="N450" s="392"/>
    </row>
  </sheetData>
  <mergeCells count="10">
    <mergeCell ref="O8:Q8"/>
    <mergeCell ref="M12:N12"/>
    <mergeCell ref="R8:R12"/>
    <mergeCell ref="O12:P12"/>
    <mergeCell ref="D15:D17"/>
    <mergeCell ref="E14:O14"/>
    <mergeCell ref="F15:O15"/>
    <mergeCell ref="Q14:Q16"/>
    <mergeCell ref="D10:F10"/>
    <mergeCell ref="Q9:Q10"/>
  </mergeCells>
  <dataValidations count="7">
    <dataValidation type="whole" operator="greaterThan" allowBlank="1" showInputMessage="1" showErrorMessage="1" prompt="Enter whole number greater than 0" sqref="P11" xr:uid="{05400535-E8F0-4073-8A4D-15CBB2377643}">
      <formula1>0</formula1>
    </dataValidation>
    <dataValidation type="whole" operator="greaterThan" allowBlank="1" showInputMessage="1" showErrorMessage="1" prompt="Please Enter Whole Number" sqref="Q11" xr:uid="{36F204D2-15BF-4FE6-950A-BD3544CBAF5A}">
      <formula1>0</formula1>
    </dataValidation>
    <dataValidation operator="greaterThanOrEqual" allowBlank="1" error="Please enter Numbers more than 0." prompt="Please enter Material Consumption Quantity in Kg" sqref="Q18:Q77" xr:uid="{73CD0865-8D6B-480C-B51D-20DE9980F41A}"/>
    <dataValidation type="decimal" operator="greaterThanOrEqual" allowBlank="1" showInputMessage="1" showErrorMessage="1" error="Please enter Numbers more than 0." prompt="Please enter Material Consumption Quantity in Kg" sqref="E18:P77" xr:uid="{A24D733F-579C-4CFF-A0B7-D69677CEBFEF}">
      <formula1>0</formula1>
    </dataValidation>
    <dataValidation type="list" allowBlank="1" showInputMessage="1" showErrorMessage="1" sqref="O8" xr:uid="{29AEA1B3-3E6A-4DB5-8B12-6B99FC96838A}">
      <formula1>$H$87:$H$98</formula1>
    </dataValidation>
    <dataValidation type="whole" operator="greaterThan" allowBlank="1" showInputMessage="1" showErrorMessage="1" prompt="Enter Values more than 0" sqref="N11:O11" xr:uid="{F4A96503-677A-4E9D-A3FE-A89E3CBA719A}">
      <formula1>0</formula1>
    </dataValidation>
    <dataValidation type="list" allowBlank="1" showInputMessage="1" showErrorMessage="1" sqref="N10:P10" xr:uid="{5B5ADA62-8D1F-43B5-B750-9B5F43DE1B46}">
      <formula1>$D$87:$D$90</formula1>
    </dataValidation>
  </dataValidation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DBF8C-278A-4424-BF3A-7306914EA241}">
  <dimension ref="A1:V442"/>
  <sheetViews>
    <sheetView workbookViewId="0">
      <selection activeCell="M14" sqref="M14"/>
    </sheetView>
  </sheetViews>
  <sheetFormatPr defaultRowHeight="15" x14ac:dyDescent="0.25"/>
  <cols>
    <col min="1" max="1" width="2.28515625" style="259" customWidth="1"/>
    <col min="2" max="2" width="2.28515625" style="1" customWidth="1"/>
    <col min="3" max="3" width="6.5703125" style="1" customWidth="1"/>
    <col min="4" max="4" width="8.42578125" style="1" customWidth="1"/>
    <col min="5" max="5" width="12" style="1" customWidth="1"/>
    <col min="6" max="6" width="11.42578125" style="1" customWidth="1"/>
    <col min="7" max="7" width="10.42578125" style="1" customWidth="1"/>
    <col min="8" max="8" width="11.5703125" style="1" customWidth="1"/>
    <col min="9" max="9" width="10.7109375" style="1" customWidth="1"/>
    <col min="10" max="11" width="11.28515625" style="1" customWidth="1"/>
    <col min="12" max="12" width="11.5703125" style="1" customWidth="1"/>
    <col min="13" max="13" width="11.85546875" style="1" customWidth="1"/>
    <col min="14" max="14" width="11.42578125" style="1" customWidth="1"/>
    <col min="15" max="15" width="13" style="1" customWidth="1"/>
    <col min="16" max="16" width="10.5703125" style="1" customWidth="1"/>
    <col min="17" max="17" width="8.85546875" style="1" customWidth="1"/>
    <col min="18" max="18" width="11.28515625" style="1" customWidth="1"/>
    <col min="19" max="19" width="4.5703125" style="1" customWidth="1"/>
    <col min="20" max="20" width="3" style="1" customWidth="1"/>
    <col min="21" max="43" width="9.7109375" style="1" customWidth="1"/>
    <col min="44" max="16384" width="9.140625" style="1"/>
  </cols>
  <sheetData>
    <row r="1" spans="1:22" ht="24.95" customHeight="1" x14ac:dyDescent="0.25">
      <c r="A1" s="382"/>
      <c r="B1" s="375"/>
      <c r="C1" s="375"/>
      <c r="D1" s="375"/>
      <c r="E1" s="375"/>
      <c r="F1" s="375"/>
      <c r="G1" s="375"/>
      <c r="H1" s="375"/>
      <c r="I1" s="376"/>
      <c r="J1" s="376" t="s">
        <v>1601</v>
      </c>
      <c r="K1" s="376"/>
      <c r="L1" s="375"/>
      <c r="M1" s="375"/>
      <c r="N1" s="375"/>
      <c r="O1" s="375"/>
      <c r="P1" s="375"/>
      <c r="Q1" s="375"/>
      <c r="R1" s="375"/>
      <c r="S1" s="375"/>
      <c r="T1" s="375"/>
      <c r="U1" s="375"/>
      <c r="V1" s="375"/>
    </row>
    <row r="4" spans="1:22" x14ac:dyDescent="0.25">
      <c r="E4" s="258"/>
      <c r="F4" s="137"/>
      <c r="G4" s="137"/>
      <c r="H4" s="137"/>
      <c r="I4" s="137"/>
    </row>
    <row r="5" spans="1:22" x14ac:dyDescent="0.25">
      <c r="E5" s="258"/>
      <c r="F5" s="137"/>
      <c r="G5" s="137"/>
      <c r="H5" s="137"/>
      <c r="I5" s="137"/>
    </row>
    <row r="6" spans="1:22" ht="15" customHeight="1" thickBot="1" x14ac:dyDescent="0.3">
      <c r="E6" s="65"/>
      <c r="F6" s="137"/>
      <c r="G6" s="137"/>
      <c r="H6" s="137"/>
      <c r="I6" s="137"/>
    </row>
    <row r="7" spans="1:22" ht="30" customHeight="1" x14ac:dyDescent="0.25">
      <c r="E7" s="65"/>
      <c r="F7" s="137"/>
      <c r="G7" s="137"/>
      <c r="H7" s="137"/>
      <c r="I7" s="137"/>
      <c r="M7" s="702"/>
      <c r="N7" s="732" t="s">
        <v>435</v>
      </c>
      <c r="O7" s="732" t="s">
        <v>436</v>
      </c>
      <c r="P7" s="732" t="s">
        <v>437</v>
      </c>
      <c r="Q7" s="998" t="s">
        <v>445</v>
      </c>
      <c r="R7" s="996" t="s">
        <v>1827</v>
      </c>
    </row>
    <row r="8" spans="1:22" ht="15.75" thickBot="1" x14ac:dyDescent="0.3">
      <c r="E8" s="65"/>
      <c r="F8" s="137"/>
      <c r="G8" s="137"/>
      <c r="H8" s="137"/>
      <c r="I8" s="137"/>
      <c r="M8" s="703" t="s">
        <v>14</v>
      </c>
      <c r="N8" s="731" t="s">
        <v>441</v>
      </c>
      <c r="O8" s="731" t="s">
        <v>441</v>
      </c>
      <c r="P8" s="731" t="s">
        <v>438</v>
      </c>
      <c r="Q8" s="999"/>
      <c r="R8" s="997"/>
    </row>
    <row r="9" spans="1:22" ht="16.5" thickBot="1" x14ac:dyDescent="0.3">
      <c r="D9" s="988"/>
      <c r="E9" s="988"/>
      <c r="F9" s="988"/>
      <c r="G9" s="137"/>
      <c r="H9" s="137"/>
      <c r="I9" s="137"/>
      <c r="J9" s="135"/>
      <c r="K9" s="135"/>
      <c r="M9" s="705" t="s">
        <v>443</v>
      </c>
      <c r="N9" s="657">
        <v>8</v>
      </c>
      <c r="O9" s="657">
        <v>4</v>
      </c>
      <c r="P9" s="657">
        <v>1</v>
      </c>
      <c r="Q9" s="704">
        <v>1</v>
      </c>
      <c r="R9" s="709">
        <f>((SUMIFS($E$86:$E$89,$D$86:$D$89,$N$8)*$N$9)*(SUMIFS($E$86:$E$89,$D$86:$D$89,$O$8)*$O$9)*(SUMIFS($E$86:$E$89,$D$86:$D$89,$P$8))*P9)*Q9*(SUMIFS($I$86:$I$95,$H$86:$H$95,$O$10))</f>
        <v>3.5080187903999991</v>
      </c>
      <c r="S9" s="701"/>
      <c r="T9" s="701"/>
    </row>
    <row r="10" spans="1:22" ht="15.75" thickBot="1" x14ac:dyDescent="0.3">
      <c r="D10" s="471"/>
      <c r="E10" s="471"/>
      <c r="F10" s="471"/>
      <c r="G10" s="137"/>
      <c r="H10" s="137"/>
      <c r="I10" s="137"/>
      <c r="J10" s="135"/>
      <c r="K10" s="135"/>
      <c r="M10" s="1000" t="s">
        <v>1830</v>
      </c>
      <c r="N10" s="1001"/>
      <c r="O10" s="1002" t="s">
        <v>1823</v>
      </c>
      <c r="P10" s="1003"/>
      <c r="Q10" s="1004"/>
      <c r="R10" s="715"/>
      <c r="S10" s="701"/>
      <c r="T10" s="701"/>
    </row>
    <row r="11" spans="1:22" x14ac:dyDescent="0.25">
      <c r="D11" s="471"/>
      <c r="E11" s="455"/>
      <c r="F11" s="455"/>
      <c r="G11" s="137"/>
      <c r="H11" s="137"/>
      <c r="I11" s="137"/>
      <c r="J11" s="135"/>
      <c r="K11" s="135"/>
      <c r="L11" s="135"/>
      <c r="M11" s="135"/>
      <c r="N11" s="135"/>
      <c r="O11" s="135"/>
      <c r="P11" s="135"/>
      <c r="Q11" s="135"/>
    </row>
    <row r="12" spans="1:22" s="132" customFormat="1" ht="16.5" customHeight="1" x14ac:dyDescent="0.25">
      <c r="A12" s="260"/>
      <c r="D12" s="462"/>
      <c r="E12" s="965" t="s">
        <v>127</v>
      </c>
      <c r="F12" s="966"/>
      <c r="G12" s="966"/>
      <c r="H12" s="966"/>
      <c r="I12" s="966"/>
      <c r="J12" s="966"/>
      <c r="K12" s="966"/>
      <c r="L12" s="966"/>
      <c r="M12" s="966"/>
      <c r="N12" s="966"/>
      <c r="O12" s="967"/>
      <c r="P12" s="26"/>
    </row>
    <row r="13" spans="1:22" x14ac:dyDescent="0.25">
      <c r="D13" s="982" t="s">
        <v>447</v>
      </c>
      <c r="E13" s="991" t="s">
        <v>303</v>
      </c>
      <c r="F13" s="992"/>
      <c r="G13" s="992"/>
      <c r="H13" s="992"/>
      <c r="I13" s="992"/>
      <c r="J13" s="992"/>
      <c r="K13" s="993"/>
      <c r="L13" s="994" t="s">
        <v>36</v>
      </c>
      <c r="M13" s="995"/>
      <c r="N13" s="472" t="s">
        <v>303</v>
      </c>
      <c r="O13" s="468" t="s">
        <v>36</v>
      </c>
    </row>
    <row r="14" spans="1:22" s="26" customFormat="1" ht="24" x14ac:dyDescent="0.25">
      <c r="A14" s="73"/>
      <c r="D14" s="953"/>
      <c r="E14" s="511" t="s">
        <v>304</v>
      </c>
      <c r="F14" s="470" t="s">
        <v>305</v>
      </c>
      <c r="G14" s="510" t="s">
        <v>306</v>
      </c>
      <c r="H14" s="508" t="s">
        <v>35</v>
      </c>
      <c r="I14" s="509" t="s">
        <v>307</v>
      </c>
      <c r="J14" s="569" t="s">
        <v>309</v>
      </c>
      <c r="K14" s="570" t="s">
        <v>308</v>
      </c>
      <c r="L14" s="692" t="s">
        <v>316</v>
      </c>
      <c r="M14" s="691" t="s">
        <v>1811</v>
      </c>
      <c r="N14" s="469" t="s">
        <v>170</v>
      </c>
      <c r="O14" s="469" t="s">
        <v>170</v>
      </c>
    </row>
    <row r="15" spans="1:22" x14ac:dyDescent="0.25">
      <c r="D15" s="454"/>
      <c r="E15" s="445" t="s">
        <v>423</v>
      </c>
      <c r="F15" s="445" t="s">
        <v>423</v>
      </c>
      <c r="G15" s="445" t="s">
        <v>423</v>
      </c>
      <c r="H15" s="445" t="s">
        <v>423</v>
      </c>
      <c r="I15" s="445" t="s">
        <v>423</v>
      </c>
      <c r="J15" s="445" t="s">
        <v>423</v>
      </c>
      <c r="K15" s="445" t="s">
        <v>423</v>
      </c>
      <c r="L15" s="445" t="s">
        <v>423</v>
      </c>
      <c r="M15" s="445" t="s">
        <v>423</v>
      </c>
      <c r="N15" s="445" t="s">
        <v>452</v>
      </c>
      <c r="O15" s="445" t="s">
        <v>452</v>
      </c>
    </row>
    <row r="16" spans="1:22" x14ac:dyDescent="0.25">
      <c r="D16" s="461" t="str">
        <f>'Project Emission Distribution'!D25</f>
        <v>A201</v>
      </c>
      <c r="E16" s="241"/>
      <c r="F16" s="241"/>
      <c r="G16" s="241"/>
      <c r="H16" s="241"/>
      <c r="I16" s="241"/>
      <c r="J16" s="241"/>
      <c r="K16" s="241"/>
      <c r="L16" s="241"/>
      <c r="M16" s="241"/>
      <c r="N16" s="572">
        <f>(SUMIFS($E$16:$E$75,$D$16:$D$75,$D16)*SUMIFS('GWP &amp; Emission Factors '!$F$154:$F$242,'GWP &amp; Emission Factors '!$E$154:$E$242,$E$14)+SUMIFS($F$16:$F$75,$D$16:$D$75,$D16)*SUMIFS('GWP &amp; Emission Factors '!$F$154:$F$242,'GWP &amp; Emission Factors '!$E$154:$E$242,$F$14)+SUMIFS($G$16:$G$75,$D$16:$D$75,$D16)*SUMIFS('GWP &amp; Emission Factors '!$F$154:$F$242,'GWP &amp; Emission Factors '!$E$154:$E$242,$G$14)+SUMIFS($H$16:$H$75,$D$16:$D$75,$D16)*SUMIFS('GWP &amp; Emission Factors '!$F$154:$F$242,'GWP &amp; Emission Factors '!$E$154:$E$242,$H$14)+SUMIFS($I$16:$I$75,$D$16:$D$75,$D16)*SUMIFS('GWP &amp; Emission Factors '!$F$154:$F$242,'GWP &amp; Emission Factors '!$E$154:$E$242,$I$14)+SUMIFS($J$16:$J$75,$D$16:$D$75,$D16)*SUMIFS('GWP &amp; Emission Factors '!$F$154:$F$242,'GWP &amp; Emission Factors '!$E$154:$E$242,$J$14)+SUMIFS($K$16:$K$75,$D$16:$D$75,$D16)*SUMIFS('GWP &amp; Emission Factors '!$F$154:$F$242,'GWP &amp; Emission Factors '!$E$154:$E$242,$K$14))/1000</f>
        <v>0</v>
      </c>
      <c r="O16" s="572">
        <f>(SUMIFS($L$16:$L$75,$D$16:$D$75,$D16)*SUMIFS('GWP &amp; Emission Factors '!$F$154:$F$242,'GWP &amp; Emission Factors '!$E$154:$E$242,$L$14)+SUMIFS($M$16:$M$75,$D$16:$D$75,$D16)*SUMIFS('GWP &amp; Emission Factors '!$F$154:$F$242,'GWP &amp; Emission Factors '!$E$154:$E$242,$M$14))/1000</f>
        <v>0</v>
      </c>
    </row>
    <row r="17" spans="4:15" x14ac:dyDescent="0.25">
      <c r="D17" s="461" t="str">
        <f>'Project Emission Distribution'!D26</f>
        <v>AN02</v>
      </c>
      <c r="E17" s="466"/>
      <c r="F17" s="466"/>
      <c r="G17" s="466"/>
      <c r="H17" s="466"/>
      <c r="I17" s="466"/>
      <c r="J17" s="466"/>
      <c r="K17" s="466"/>
      <c r="L17" s="466"/>
      <c r="M17" s="466"/>
      <c r="N17" s="572">
        <f>(SUMIFS($E$16:$E$75,$D$16:$D$75,$D17)*SUMIFS('GWP &amp; Emission Factors '!$F$154:$F$242,'GWP &amp; Emission Factors '!$E$154:$E$242,$E$14)+SUMIFS($F$16:$F$75,$D$16:$D$75,$D17)*SUMIFS('GWP &amp; Emission Factors '!$F$154:$F$242,'GWP &amp; Emission Factors '!$E$154:$E$242,$F$14)+SUMIFS($G$16:$G$75,$D$16:$D$75,$D17)*SUMIFS('GWP &amp; Emission Factors '!$F$154:$F$242,'GWP &amp; Emission Factors '!$E$154:$E$242,$G$14)+SUMIFS($H$16:$H$75,$D$16:$D$75,$D17)*SUMIFS('GWP &amp; Emission Factors '!$F$154:$F$242,'GWP &amp; Emission Factors '!$E$154:$E$242,$H$14)+SUMIFS($I$16:$I$75,$D$16:$D$75,$D17)*SUMIFS('GWP &amp; Emission Factors '!$F$154:$F$242,'GWP &amp; Emission Factors '!$E$154:$E$242,$I$14)+SUMIFS($J$16:$J$75,$D$16:$D$75,$D17)*SUMIFS('GWP &amp; Emission Factors '!$F$154:$F$242,'GWP &amp; Emission Factors '!$E$154:$E$242,$J$14)+SUMIFS($K$16:$K$75,$D$16:$D$75,$D17)*SUMIFS('GWP &amp; Emission Factors '!$F$154:$F$242,'GWP &amp; Emission Factors '!$E$154:$E$242,$K$14))/1000</f>
        <v>0</v>
      </c>
      <c r="O17" s="572">
        <f>(SUMIFS($L$16:$L$75,$D$16:$D$75,$D17)*SUMIFS('GWP &amp; Emission Factors '!$F$154:$F$242,'GWP &amp; Emission Factors '!$E$154:$E$242,$L$14)+SUMIFS($M$16:$M$75,$D$16:$D$75,$D17)*SUMIFS('GWP &amp; Emission Factors '!$F$154:$F$242,'GWP &amp; Emission Factors '!$E$154:$E$242,$M$14))/1000</f>
        <v>0</v>
      </c>
    </row>
    <row r="18" spans="4:15" x14ac:dyDescent="0.25">
      <c r="D18" s="461" t="str">
        <f>'Project Emission Distribution'!D27</f>
        <v>AN03</v>
      </c>
      <c r="E18" s="241"/>
      <c r="F18" s="241"/>
      <c r="G18" s="241"/>
      <c r="H18" s="241"/>
      <c r="I18" s="241"/>
      <c r="J18" s="241"/>
      <c r="K18" s="241"/>
      <c r="L18" s="241"/>
      <c r="M18" s="241"/>
      <c r="N18" s="572">
        <f>(SUMIFS($E$16:$E$75,$D$16:$D$75,$D18)*SUMIFS('GWP &amp; Emission Factors '!$F$154:$F$242,'GWP &amp; Emission Factors '!$E$154:$E$242,$E$14)+SUMIFS($F$16:$F$75,$D$16:$D$75,$D18)*SUMIFS('GWP &amp; Emission Factors '!$F$154:$F$242,'GWP &amp; Emission Factors '!$E$154:$E$242,$F$14)+SUMIFS($G$16:$G$75,$D$16:$D$75,$D18)*SUMIFS('GWP &amp; Emission Factors '!$F$154:$F$242,'GWP &amp; Emission Factors '!$E$154:$E$242,$G$14)+SUMIFS($H$16:$H$75,$D$16:$D$75,$D18)*SUMIFS('GWP &amp; Emission Factors '!$F$154:$F$242,'GWP &amp; Emission Factors '!$E$154:$E$242,$H$14)+SUMIFS($I$16:$I$75,$D$16:$D$75,$D18)*SUMIFS('GWP &amp; Emission Factors '!$F$154:$F$242,'GWP &amp; Emission Factors '!$E$154:$E$242,$I$14)+SUMIFS($J$16:$J$75,$D$16:$D$75,$D18)*SUMIFS('GWP &amp; Emission Factors '!$F$154:$F$242,'GWP &amp; Emission Factors '!$E$154:$E$242,$J$14)+SUMIFS($K$16:$K$75,$D$16:$D$75,$D18)*SUMIFS('GWP &amp; Emission Factors '!$F$154:$F$242,'GWP &amp; Emission Factors '!$E$154:$E$242,$K$14))/1000</f>
        <v>0</v>
      </c>
      <c r="O18" s="572">
        <f>(SUMIFS($L$16:$L$75,$D$16:$D$75,$D18)*SUMIFS('GWP &amp; Emission Factors '!$F$154:$F$242,'GWP &amp; Emission Factors '!$E$154:$E$242,$L$14)+SUMIFS($M$16:$M$75,$D$16:$D$75,$D18)*SUMIFS('GWP &amp; Emission Factors '!$F$154:$F$242,'GWP &amp; Emission Factors '!$E$154:$E$242,$M$14))/1000</f>
        <v>0</v>
      </c>
    </row>
    <row r="19" spans="4:15" x14ac:dyDescent="0.25">
      <c r="D19" s="461" t="str">
        <f>'Project Emission Distribution'!D28</f>
        <v>AN04</v>
      </c>
      <c r="E19" s="466"/>
      <c r="F19" s="466"/>
      <c r="G19" s="466"/>
      <c r="H19" s="466"/>
      <c r="I19" s="466"/>
      <c r="J19" s="466"/>
      <c r="K19" s="466"/>
      <c r="L19" s="466"/>
      <c r="M19" s="466"/>
      <c r="N19" s="572">
        <f>(SUMIFS($E$16:$E$75,$D$16:$D$75,$D19)*SUMIFS('GWP &amp; Emission Factors '!$F$154:$F$242,'GWP &amp; Emission Factors '!$E$154:$E$242,$E$14)+SUMIFS($F$16:$F$75,$D$16:$D$75,$D19)*SUMIFS('GWP &amp; Emission Factors '!$F$154:$F$242,'GWP &amp; Emission Factors '!$E$154:$E$242,$F$14)+SUMIFS($G$16:$G$75,$D$16:$D$75,$D19)*SUMIFS('GWP &amp; Emission Factors '!$F$154:$F$242,'GWP &amp; Emission Factors '!$E$154:$E$242,$G$14)+SUMIFS($H$16:$H$75,$D$16:$D$75,$D19)*SUMIFS('GWP &amp; Emission Factors '!$F$154:$F$242,'GWP &amp; Emission Factors '!$E$154:$E$242,$H$14)+SUMIFS($I$16:$I$75,$D$16:$D$75,$D19)*SUMIFS('GWP &amp; Emission Factors '!$F$154:$F$242,'GWP &amp; Emission Factors '!$E$154:$E$242,$I$14)+SUMIFS($J$16:$J$75,$D$16:$D$75,$D19)*SUMIFS('GWP &amp; Emission Factors '!$F$154:$F$242,'GWP &amp; Emission Factors '!$E$154:$E$242,$J$14)+SUMIFS($K$16:$K$75,$D$16:$D$75,$D19)*SUMIFS('GWP &amp; Emission Factors '!$F$154:$F$242,'GWP &amp; Emission Factors '!$E$154:$E$242,$K$14))/1000</f>
        <v>0</v>
      </c>
      <c r="O19" s="572">
        <f>(SUMIFS($L$16:$L$75,$D$16:$D$75,$D19)*SUMIFS('GWP &amp; Emission Factors '!$F$154:$F$242,'GWP &amp; Emission Factors '!$E$154:$E$242,$L$14)+SUMIFS($M$16:$M$75,$D$16:$D$75,$D19)*SUMIFS('GWP &amp; Emission Factors '!$F$154:$F$242,'GWP &amp; Emission Factors '!$E$154:$E$242,$M$14))/1000</f>
        <v>0</v>
      </c>
    </row>
    <row r="20" spans="4:15" x14ac:dyDescent="0.25">
      <c r="D20" s="461" t="str">
        <f>'Project Emission Distribution'!D29</f>
        <v>AN05</v>
      </c>
      <c r="E20" s="241"/>
      <c r="F20" s="241"/>
      <c r="G20" s="241"/>
      <c r="H20" s="241"/>
      <c r="I20" s="241"/>
      <c r="J20" s="241"/>
      <c r="K20" s="241"/>
      <c r="L20" s="241"/>
      <c r="M20" s="241"/>
      <c r="N20" s="572">
        <f>(SUMIFS($E$16:$E$75,$D$16:$D$75,$D20)*SUMIFS('GWP &amp; Emission Factors '!$F$154:$F$242,'GWP &amp; Emission Factors '!$E$154:$E$242,$E$14)+SUMIFS($F$16:$F$75,$D$16:$D$75,$D20)*SUMIFS('GWP &amp; Emission Factors '!$F$154:$F$242,'GWP &amp; Emission Factors '!$E$154:$E$242,$F$14)+SUMIFS($G$16:$G$75,$D$16:$D$75,$D20)*SUMIFS('GWP &amp; Emission Factors '!$F$154:$F$242,'GWP &amp; Emission Factors '!$E$154:$E$242,$G$14)+SUMIFS($H$16:$H$75,$D$16:$D$75,$D20)*SUMIFS('GWP &amp; Emission Factors '!$F$154:$F$242,'GWP &amp; Emission Factors '!$E$154:$E$242,$H$14)+SUMIFS($I$16:$I$75,$D$16:$D$75,$D20)*SUMIFS('GWP &amp; Emission Factors '!$F$154:$F$242,'GWP &amp; Emission Factors '!$E$154:$E$242,$I$14)+SUMIFS($J$16:$J$75,$D$16:$D$75,$D20)*SUMIFS('GWP &amp; Emission Factors '!$F$154:$F$242,'GWP &amp; Emission Factors '!$E$154:$E$242,$J$14)+SUMIFS($K$16:$K$75,$D$16:$D$75,$D20)*SUMIFS('GWP &amp; Emission Factors '!$F$154:$F$242,'GWP &amp; Emission Factors '!$E$154:$E$242,$K$14))/1000</f>
        <v>0</v>
      </c>
      <c r="O20" s="572">
        <f>(SUMIFS($L$16:$L$75,$D$16:$D$75,$D20)*SUMIFS('GWP &amp; Emission Factors '!$F$154:$F$242,'GWP &amp; Emission Factors '!$E$154:$E$242,$L$14)+SUMIFS($M$16:$M$75,$D$16:$D$75,$D20)*SUMIFS('GWP &amp; Emission Factors '!$F$154:$F$242,'GWP &amp; Emission Factors '!$E$154:$E$242,$M$14))/1000</f>
        <v>0</v>
      </c>
    </row>
    <row r="21" spans="4:15" x14ac:dyDescent="0.25">
      <c r="D21" s="461" t="str">
        <f>'Project Emission Distribution'!D30</f>
        <v>AN06</v>
      </c>
      <c r="E21" s="466"/>
      <c r="F21" s="466"/>
      <c r="G21" s="466"/>
      <c r="H21" s="466"/>
      <c r="I21" s="466"/>
      <c r="J21" s="466"/>
      <c r="K21" s="466"/>
      <c r="L21" s="466"/>
      <c r="M21" s="466"/>
      <c r="N21" s="572">
        <f>(SUMIFS($E$16:$E$75,$D$16:$D$75,$D21)*SUMIFS('GWP &amp; Emission Factors '!$F$154:$F$242,'GWP &amp; Emission Factors '!$E$154:$E$242,$E$14)+SUMIFS($F$16:$F$75,$D$16:$D$75,$D21)*SUMIFS('GWP &amp; Emission Factors '!$F$154:$F$242,'GWP &amp; Emission Factors '!$E$154:$E$242,$F$14)+SUMIFS($G$16:$G$75,$D$16:$D$75,$D21)*SUMIFS('GWP &amp; Emission Factors '!$F$154:$F$242,'GWP &amp; Emission Factors '!$E$154:$E$242,$G$14)+SUMIFS($H$16:$H$75,$D$16:$D$75,$D21)*SUMIFS('GWP &amp; Emission Factors '!$F$154:$F$242,'GWP &amp; Emission Factors '!$E$154:$E$242,$H$14)+SUMIFS($I$16:$I$75,$D$16:$D$75,$D21)*SUMIFS('GWP &amp; Emission Factors '!$F$154:$F$242,'GWP &amp; Emission Factors '!$E$154:$E$242,$I$14)+SUMIFS($J$16:$J$75,$D$16:$D$75,$D21)*SUMIFS('GWP &amp; Emission Factors '!$F$154:$F$242,'GWP &amp; Emission Factors '!$E$154:$E$242,$J$14)+SUMIFS($K$16:$K$75,$D$16:$D$75,$D21)*SUMIFS('GWP &amp; Emission Factors '!$F$154:$F$242,'GWP &amp; Emission Factors '!$E$154:$E$242,$K$14))/1000</f>
        <v>0</v>
      </c>
      <c r="O21" s="572">
        <f>(SUMIFS($L$16:$L$75,$D$16:$D$75,$D21)*SUMIFS('GWP &amp; Emission Factors '!$F$154:$F$242,'GWP &amp; Emission Factors '!$E$154:$E$242,$L$14)+SUMIFS($M$16:$M$75,$D$16:$D$75,$D21)*SUMIFS('GWP &amp; Emission Factors '!$F$154:$F$242,'GWP &amp; Emission Factors '!$E$154:$E$242,$M$14))/1000</f>
        <v>0</v>
      </c>
    </row>
    <row r="22" spans="4:15" x14ac:dyDescent="0.25">
      <c r="D22" s="461" t="str">
        <f>'Project Emission Distribution'!D31</f>
        <v>AN07</v>
      </c>
      <c r="E22" s="241"/>
      <c r="F22" s="241"/>
      <c r="G22" s="241"/>
      <c r="H22" s="241"/>
      <c r="I22" s="241"/>
      <c r="J22" s="241"/>
      <c r="K22" s="241"/>
      <c r="L22" s="241"/>
      <c r="M22" s="241"/>
      <c r="N22" s="572">
        <f>(SUMIFS($E$16:$E$75,$D$16:$D$75,$D22)*SUMIFS('GWP &amp; Emission Factors '!$F$154:$F$242,'GWP &amp; Emission Factors '!$E$154:$E$242,$E$14)+SUMIFS($F$16:$F$75,$D$16:$D$75,$D22)*SUMIFS('GWP &amp; Emission Factors '!$F$154:$F$242,'GWP &amp; Emission Factors '!$E$154:$E$242,$F$14)+SUMIFS($G$16:$G$75,$D$16:$D$75,$D22)*SUMIFS('GWP &amp; Emission Factors '!$F$154:$F$242,'GWP &amp; Emission Factors '!$E$154:$E$242,$G$14)+SUMIFS($H$16:$H$75,$D$16:$D$75,$D22)*SUMIFS('GWP &amp; Emission Factors '!$F$154:$F$242,'GWP &amp; Emission Factors '!$E$154:$E$242,$H$14)+SUMIFS($I$16:$I$75,$D$16:$D$75,$D22)*SUMIFS('GWP &amp; Emission Factors '!$F$154:$F$242,'GWP &amp; Emission Factors '!$E$154:$E$242,$I$14)+SUMIFS($J$16:$J$75,$D$16:$D$75,$D22)*SUMIFS('GWP &amp; Emission Factors '!$F$154:$F$242,'GWP &amp; Emission Factors '!$E$154:$E$242,$J$14)+SUMIFS($K$16:$K$75,$D$16:$D$75,$D22)*SUMIFS('GWP &amp; Emission Factors '!$F$154:$F$242,'GWP &amp; Emission Factors '!$E$154:$E$242,$K$14))/1000</f>
        <v>0</v>
      </c>
      <c r="O22" s="572">
        <f>(SUMIFS($L$16:$L$75,$D$16:$D$75,$D22)*SUMIFS('GWP &amp; Emission Factors '!$F$154:$F$242,'GWP &amp; Emission Factors '!$E$154:$E$242,$L$14)+SUMIFS($M$16:$M$75,$D$16:$D$75,$D22)*SUMIFS('GWP &amp; Emission Factors '!$F$154:$F$242,'GWP &amp; Emission Factors '!$E$154:$E$242,$M$14))/1000</f>
        <v>0</v>
      </c>
    </row>
    <row r="23" spans="4:15" x14ac:dyDescent="0.25">
      <c r="D23" s="461" t="str">
        <f>'Project Emission Distribution'!D32</f>
        <v>AN08</v>
      </c>
      <c r="E23" s="466"/>
      <c r="F23" s="466"/>
      <c r="G23" s="466"/>
      <c r="H23" s="466"/>
      <c r="I23" s="466"/>
      <c r="J23" s="466"/>
      <c r="K23" s="466"/>
      <c r="L23" s="466"/>
      <c r="M23" s="466"/>
      <c r="N23" s="572">
        <f>(SUMIFS($E$16:$E$75,$D$16:$D$75,$D23)*SUMIFS('GWP &amp; Emission Factors '!$F$154:$F$242,'GWP &amp; Emission Factors '!$E$154:$E$242,$E$14)+SUMIFS($F$16:$F$75,$D$16:$D$75,$D23)*SUMIFS('GWP &amp; Emission Factors '!$F$154:$F$242,'GWP &amp; Emission Factors '!$E$154:$E$242,$F$14)+SUMIFS($G$16:$G$75,$D$16:$D$75,$D23)*SUMIFS('GWP &amp; Emission Factors '!$F$154:$F$242,'GWP &amp; Emission Factors '!$E$154:$E$242,$G$14)+SUMIFS($H$16:$H$75,$D$16:$D$75,$D23)*SUMIFS('GWP &amp; Emission Factors '!$F$154:$F$242,'GWP &amp; Emission Factors '!$E$154:$E$242,$H$14)+SUMIFS($I$16:$I$75,$D$16:$D$75,$D23)*SUMIFS('GWP &amp; Emission Factors '!$F$154:$F$242,'GWP &amp; Emission Factors '!$E$154:$E$242,$I$14)+SUMIFS($J$16:$J$75,$D$16:$D$75,$D23)*SUMIFS('GWP &amp; Emission Factors '!$F$154:$F$242,'GWP &amp; Emission Factors '!$E$154:$E$242,$J$14)+SUMIFS($K$16:$K$75,$D$16:$D$75,$D23)*SUMIFS('GWP &amp; Emission Factors '!$F$154:$F$242,'GWP &amp; Emission Factors '!$E$154:$E$242,$K$14))/1000</f>
        <v>0</v>
      </c>
      <c r="O23" s="572">
        <f>(SUMIFS($L$16:$L$75,$D$16:$D$75,$D23)*SUMIFS('GWP &amp; Emission Factors '!$F$154:$F$242,'GWP &amp; Emission Factors '!$E$154:$E$242,$L$14)+SUMIFS($M$16:$M$75,$D$16:$D$75,$D23)*SUMIFS('GWP &amp; Emission Factors '!$F$154:$F$242,'GWP &amp; Emission Factors '!$E$154:$E$242,$M$14))/1000</f>
        <v>0</v>
      </c>
    </row>
    <row r="24" spans="4:15" x14ac:dyDescent="0.25">
      <c r="D24" s="461" t="str">
        <f>'Project Emission Distribution'!D33</f>
        <v>AN09</v>
      </c>
      <c r="E24" s="241"/>
      <c r="F24" s="241"/>
      <c r="G24" s="241"/>
      <c r="H24" s="241"/>
      <c r="I24" s="241"/>
      <c r="J24" s="241"/>
      <c r="K24" s="241"/>
      <c r="L24" s="241"/>
      <c r="M24" s="241"/>
      <c r="N24" s="572">
        <f>(SUMIFS($E$16:$E$75,$D$16:$D$75,$D24)*SUMIFS('GWP &amp; Emission Factors '!$F$154:$F$242,'GWP &amp; Emission Factors '!$E$154:$E$242,$E$14)+SUMIFS($F$16:$F$75,$D$16:$D$75,$D24)*SUMIFS('GWP &amp; Emission Factors '!$F$154:$F$242,'GWP &amp; Emission Factors '!$E$154:$E$242,$F$14)+SUMIFS($G$16:$G$75,$D$16:$D$75,$D24)*SUMIFS('GWP &amp; Emission Factors '!$F$154:$F$242,'GWP &amp; Emission Factors '!$E$154:$E$242,$G$14)+SUMIFS($H$16:$H$75,$D$16:$D$75,$D24)*SUMIFS('GWP &amp; Emission Factors '!$F$154:$F$242,'GWP &amp; Emission Factors '!$E$154:$E$242,$H$14)+SUMIFS($I$16:$I$75,$D$16:$D$75,$D24)*SUMIFS('GWP &amp; Emission Factors '!$F$154:$F$242,'GWP &amp; Emission Factors '!$E$154:$E$242,$I$14)+SUMIFS($J$16:$J$75,$D$16:$D$75,$D24)*SUMIFS('GWP &amp; Emission Factors '!$F$154:$F$242,'GWP &amp; Emission Factors '!$E$154:$E$242,$J$14)+SUMIFS($K$16:$K$75,$D$16:$D$75,$D24)*SUMIFS('GWP &amp; Emission Factors '!$F$154:$F$242,'GWP &amp; Emission Factors '!$E$154:$E$242,$K$14))/1000</f>
        <v>0</v>
      </c>
      <c r="O24" s="572">
        <f>(SUMIFS($L$16:$L$75,$D$16:$D$75,$D24)*SUMIFS('GWP &amp; Emission Factors '!$F$154:$F$242,'GWP &amp; Emission Factors '!$E$154:$E$242,$L$14)+SUMIFS($M$16:$M$75,$D$16:$D$75,$D24)*SUMIFS('GWP &amp; Emission Factors '!$F$154:$F$242,'GWP &amp; Emission Factors '!$E$154:$E$242,$M$14))/1000</f>
        <v>0</v>
      </c>
    </row>
    <row r="25" spans="4:15" x14ac:dyDescent="0.25">
      <c r="D25" s="461" t="str">
        <f>'Project Emission Distribution'!D34</f>
        <v>AN10</v>
      </c>
      <c r="E25" s="466"/>
      <c r="F25" s="466"/>
      <c r="G25" s="466"/>
      <c r="H25" s="466"/>
      <c r="I25" s="466"/>
      <c r="J25" s="466"/>
      <c r="K25" s="466"/>
      <c r="L25" s="466"/>
      <c r="M25" s="466"/>
      <c r="N25" s="572">
        <f>(SUMIFS($E$16:$E$75,$D$16:$D$75,$D25)*SUMIFS('GWP &amp; Emission Factors '!$F$154:$F$242,'GWP &amp; Emission Factors '!$E$154:$E$242,$E$14)+SUMIFS($F$16:$F$75,$D$16:$D$75,$D25)*SUMIFS('GWP &amp; Emission Factors '!$F$154:$F$242,'GWP &amp; Emission Factors '!$E$154:$E$242,$F$14)+SUMIFS($G$16:$G$75,$D$16:$D$75,$D25)*SUMIFS('GWP &amp; Emission Factors '!$F$154:$F$242,'GWP &amp; Emission Factors '!$E$154:$E$242,$G$14)+SUMIFS($H$16:$H$75,$D$16:$D$75,$D25)*SUMIFS('GWP &amp; Emission Factors '!$F$154:$F$242,'GWP &amp; Emission Factors '!$E$154:$E$242,$H$14)+SUMIFS($I$16:$I$75,$D$16:$D$75,$D25)*SUMIFS('GWP &amp; Emission Factors '!$F$154:$F$242,'GWP &amp; Emission Factors '!$E$154:$E$242,$I$14)+SUMIFS($J$16:$J$75,$D$16:$D$75,$D25)*SUMIFS('GWP &amp; Emission Factors '!$F$154:$F$242,'GWP &amp; Emission Factors '!$E$154:$E$242,$J$14)+SUMIFS($K$16:$K$75,$D$16:$D$75,$D25)*SUMIFS('GWP &amp; Emission Factors '!$F$154:$F$242,'GWP &amp; Emission Factors '!$E$154:$E$242,$K$14))/1000</f>
        <v>0</v>
      </c>
      <c r="O25" s="572">
        <f>(SUMIFS($L$16:$L$75,$D$16:$D$75,$D25)*SUMIFS('GWP &amp; Emission Factors '!$F$154:$F$242,'GWP &amp; Emission Factors '!$E$154:$E$242,$L$14)+SUMIFS($M$16:$M$75,$D$16:$D$75,$D25)*SUMIFS('GWP &amp; Emission Factors '!$F$154:$F$242,'GWP &amp; Emission Factors '!$E$154:$E$242,$M$14))/1000</f>
        <v>0</v>
      </c>
    </row>
    <row r="26" spans="4:15" x14ac:dyDescent="0.25">
      <c r="D26" s="461" t="str">
        <f>'Project Emission Distribution'!D35</f>
        <v>AN11</v>
      </c>
      <c r="E26" s="241"/>
      <c r="F26" s="241"/>
      <c r="G26" s="241"/>
      <c r="H26" s="241"/>
      <c r="I26" s="241"/>
      <c r="J26" s="241"/>
      <c r="K26" s="241"/>
      <c r="L26" s="241"/>
      <c r="M26" s="241"/>
      <c r="N26" s="572">
        <f>(SUMIFS($E$16:$E$75,$D$16:$D$75,$D26)*SUMIFS('GWP &amp; Emission Factors '!$F$154:$F$242,'GWP &amp; Emission Factors '!$E$154:$E$242,$E$14)+SUMIFS($F$16:$F$75,$D$16:$D$75,$D26)*SUMIFS('GWP &amp; Emission Factors '!$F$154:$F$242,'GWP &amp; Emission Factors '!$E$154:$E$242,$F$14)+SUMIFS($G$16:$G$75,$D$16:$D$75,$D26)*SUMIFS('GWP &amp; Emission Factors '!$F$154:$F$242,'GWP &amp; Emission Factors '!$E$154:$E$242,$G$14)+SUMIFS($H$16:$H$75,$D$16:$D$75,$D26)*SUMIFS('GWP &amp; Emission Factors '!$F$154:$F$242,'GWP &amp; Emission Factors '!$E$154:$E$242,$H$14)+SUMIFS($I$16:$I$75,$D$16:$D$75,$D26)*SUMIFS('GWP &amp; Emission Factors '!$F$154:$F$242,'GWP &amp; Emission Factors '!$E$154:$E$242,$I$14)+SUMIFS($J$16:$J$75,$D$16:$D$75,$D26)*SUMIFS('GWP &amp; Emission Factors '!$F$154:$F$242,'GWP &amp; Emission Factors '!$E$154:$E$242,$J$14)+SUMIFS($K$16:$K$75,$D$16:$D$75,$D26)*SUMIFS('GWP &amp; Emission Factors '!$F$154:$F$242,'GWP &amp; Emission Factors '!$E$154:$E$242,$K$14))/1000</f>
        <v>0</v>
      </c>
      <c r="O26" s="572">
        <f>(SUMIFS($L$16:$L$75,$D$16:$D$75,$D26)*SUMIFS('GWP &amp; Emission Factors '!$F$154:$F$242,'GWP &amp; Emission Factors '!$E$154:$E$242,$L$14)+SUMIFS($M$16:$M$75,$D$16:$D$75,$D26)*SUMIFS('GWP &amp; Emission Factors '!$F$154:$F$242,'GWP &amp; Emission Factors '!$E$154:$E$242,$M$14))/1000</f>
        <v>0</v>
      </c>
    </row>
    <row r="27" spans="4:15" x14ac:dyDescent="0.25">
      <c r="D27" s="461" t="str">
        <f>'Project Emission Distribution'!D36</f>
        <v>AN12</v>
      </c>
      <c r="E27" s="466"/>
      <c r="F27" s="466"/>
      <c r="G27" s="466"/>
      <c r="H27" s="466"/>
      <c r="I27" s="466"/>
      <c r="J27" s="466"/>
      <c r="K27" s="466"/>
      <c r="L27" s="466"/>
      <c r="M27" s="466"/>
      <c r="N27" s="572">
        <f>(SUMIFS($E$16:$E$75,$D$16:$D$75,$D27)*SUMIFS('GWP &amp; Emission Factors '!$F$154:$F$242,'GWP &amp; Emission Factors '!$E$154:$E$242,$E$14)+SUMIFS($F$16:$F$75,$D$16:$D$75,$D27)*SUMIFS('GWP &amp; Emission Factors '!$F$154:$F$242,'GWP &amp; Emission Factors '!$E$154:$E$242,$F$14)+SUMIFS($G$16:$G$75,$D$16:$D$75,$D27)*SUMIFS('GWP &amp; Emission Factors '!$F$154:$F$242,'GWP &amp; Emission Factors '!$E$154:$E$242,$G$14)+SUMIFS($H$16:$H$75,$D$16:$D$75,$D27)*SUMIFS('GWP &amp; Emission Factors '!$F$154:$F$242,'GWP &amp; Emission Factors '!$E$154:$E$242,$H$14)+SUMIFS($I$16:$I$75,$D$16:$D$75,$D27)*SUMIFS('GWP &amp; Emission Factors '!$F$154:$F$242,'GWP &amp; Emission Factors '!$E$154:$E$242,$I$14)+SUMIFS($J$16:$J$75,$D$16:$D$75,$D27)*SUMIFS('GWP &amp; Emission Factors '!$F$154:$F$242,'GWP &amp; Emission Factors '!$E$154:$E$242,$J$14)+SUMIFS($K$16:$K$75,$D$16:$D$75,$D27)*SUMIFS('GWP &amp; Emission Factors '!$F$154:$F$242,'GWP &amp; Emission Factors '!$E$154:$E$242,$K$14))/1000</f>
        <v>0</v>
      </c>
      <c r="O27" s="572">
        <f>(SUMIFS($L$16:$L$75,$D$16:$D$75,$D27)*SUMIFS('GWP &amp; Emission Factors '!$F$154:$F$242,'GWP &amp; Emission Factors '!$E$154:$E$242,$L$14)+SUMIFS($M$16:$M$75,$D$16:$D$75,$D27)*SUMIFS('GWP &amp; Emission Factors '!$F$154:$F$242,'GWP &amp; Emission Factors '!$E$154:$E$242,$M$14))/1000</f>
        <v>0</v>
      </c>
    </row>
    <row r="28" spans="4:15" x14ac:dyDescent="0.25">
      <c r="D28" s="461" t="str">
        <f>'Project Emission Distribution'!D37</f>
        <v>AN13</v>
      </c>
      <c r="E28" s="241"/>
      <c r="F28" s="241"/>
      <c r="G28" s="241"/>
      <c r="H28" s="241"/>
      <c r="I28" s="241"/>
      <c r="J28" s="241"/>
      <c r="K28" s="241"/>
      <c r="L28" s="241"/>
      <c r="M28" s="241"/>
      <c r="N28" s="572">
        <f>(SUMIFS($E$16:$E$75,$D$16:$D$75,$D28)*SUMIFS('GWP &amp; Emission Factors '!$F$154:$F$242,'GWP &amp; Emission Factors '!$E$154:$E$242,$E$14)+SUMIFS($F$16:$F$75,$D$16:$D$75,$D28)*SUMIFS('GWP &amp; Emission Factors '!$F$154:$F$242,'GWP &amp; Emission Factors '!$E$154:$E$242,$F$14)+SUMIFS($G$16:$G$75,$D$16:$D$75,$D28)*SUMIFS('GWP &amp; Emission Factors '!$F$154:$F$242,'GWP &amp; Emission Factors '!$E$154:$E$242,$G$14)+SUMIFS($H$16:$H$75,$D$16:$D$75,$D28)*SUMIFS('GWP &amp; Emission Factors '!$F$154:$F$242,'GWP &amp; Emission Factors '!$E$154:$E$242,$H$14)+SUMIFS($I$16:$I$75,$D$16:$D$75,$D28)*SUMIFS('GWP &amp; Emission Factors '!$F$154:$F$242,'GWP &amp; Emission Factors '!$E$154:$E$242,$I$14)+SUMIFS($J$16:$J$75,$D$16:$D$75,$D28)*SUMIFS('GWP &amp; Emission Factors '!$F$154:$F$242,'GWP &amp; Emission Factors '!$E$154:$E$242,$J$14)+SUMIFS($K$16:$K$75,$D$16:$D$75,$D28)*SUMIFS('GWP &amp; Emission Factors '!$F$154:$F$242,'GWP &amp; Emission Factors '!$E$154:$E$242,$K$14))/1000</f>
        <v>0</v>
      </c>
      <c r="O28" s="572">
        <f>(SUMIFS($L$16:$L$75,$D$16:$D$75,$D28)*SUMIFS('GWP &amp; Emission Factors '!$F$154:$F$242,'GWP &amp; Emission Factors '!$E$154:$E$242,$L$14)+SUMIFS($M$16:$M$75,$D$16:$D$75,$D28)*SUMIFS('GWP &amp; Emission Factors '!$F$154:$F$242,'GWP &amp; Emission Factors '!$E$154:$E$242,$M$14))/1000</f>
        <v>0</v>
      </c>
    </row>
    <row r="29" spans="4:15" x14ac:dyDescent="0.25">
      <c r="D29" s="461" t="str">
        <f>'Project Emission Distribution'!D38</f>
        <v>AN14</v>
      </c>
      <c r="E29" s="466"/>
      <c r="F29" s="466"/>
      <c r="G29" s="466"/>
      <c r="H29" s="466"/>
      <c r="I29" s="466"/>
      <c r="J29" s="466"/>
      <c r="K29" s="466"/>
      <c r="L29" s="466"/>
      <c r="M29" s="466"/>
      <c r="N29" s="572">
        <f>(SUMIFS($E$16:$E$75,$D$16:$D$75,$D29)*SUMIFS('GWP &amp; Emission Factors '!$F$154:$F$242,'GWP &amp; Emission Factors '!$E$154:$E$242,$E$14)+SUMIFS($F$16:$F$75,$D$16:$D$75,$D29)*SUMIFS('GWP &amp; Emission Factors '!$F$154:$F$242,'GWP &amp; Emission Factors '!$E$154:$E$242,$F$14)+SUMIFS($G$16:$G$75,$D$16:$D$75,$D29)*SUMIFS('GWP &amp; Emission Factors '!$F$154:$F$242,'GWP &amp; Emission Factors '!$E$154:$E$242,$G$14)+SUMIFS($H$16:$H$75,$D$16:$D$75,$D29)*SUMIFS('GWP &amp; Emission Factors '!$F$154:$F$242,'GWP &amp; Emission Factors '!$E$154:$E$242,$H$14)+SUMIFS($I$16:$I$75,$D$16:$D$75,$D29)*SUMIFS('GWP &amp; Emission Factors '!$F$154:$F$242,'GWP &amp; Emission Factors '!$E$154:$E$242,$I$14)+SUMIFS($J$16:$J$75,$D$16:$D$75,$D29)*SUMIFS('GWP &amp; Emission Factors '!$F$154:$F$242,'GWP &amp; Emission Factors '!$E$154:$E$242,$J$14)+SUMIFS($K$16:$K$75,$D$16:$D$75,$D29)*SUMIFS('GWP &amp; Emission Factors '!$F$154:$F$242,'GWP &amp; Emission Factors '!$E$154:$E$242,$K$14))/1000</f>
        <v>0</v>
      </c>
      <c r="O29" s="572">
        <f>(SUMIFS($L$16:$L$75,$D$16:$D$75,$D29)*SUMIFS('GWP &amp; Emission Factors '!$F$154:$F$242,'GWP &amp; Emission Factors '!$E$154:$E$242,$L$14)+SUMIFS($M$16:$M$75,$D$16:$D$75,$D29)*SUMIFS('GWP &amp; Emission Factors '!$F$154:$F$242,'GWP &amp; Emission Factors '!$E$154:$E$242,$M$14))/1000</f>
        <v>0</v>
      </c>
    </row>
    <row r="30" spans="4:15" x14ac:dyDescent="0.25">
      <c r="D30" s="461" t="str">
        <f>'Project Emission Distribution'!D39</f>
        <v>AN15</v>
      </c>
      <c r="E30" s="241"/>
      <c r="F30" s="241"/>
      <c r="G30" s="241"/>
      <c r="H30" s="241"/>
      <c r="I30" s="241"/>
      <c r="J30" s="241"/>
      <c r="K30" s="241"/>
      <c r="L30" s="241"/>
      <c r="M30" s="241"/>
      <c r="N30" s="572">
        <f>(SUMIFS($E$16:$E$75,$D$16:$D$75,$D30)*SUMIFS('GWP &amp; Emission Factors '!$F$154:$F$242,'GWP &amp; Emission Factors '!$E$154:$E$242,$E$14)+SUMIFS($F$16:$F$75,$D$16:$D$75,$D30)*SUMIFS('GWP &amp; Emission Factors '!$F$154:$F$242,'GWP &amp; Emission Factors '!$E$154:$E$242,$F$14)+SUMIFS($G$16:$G$75,$D$16:$D$75,$D30)*SUMIFS('GWP &amp; Emission Factors '!$F$154:$F$242,'GWP &amp; Emission Factors '!$E$154:$E$242,$G$14)+SUMIFS($H$16:$H$75,$D$16:$D$75,$D30)*SUMIFS('GWP &amp; Emission Factors '!$F$154:$F$242,'GWP &amp; Emission Factors '!$E$154:$E$242,$H$14)+SUMIFS($I$16:$I$75,$D$16:$D$75,$D30)*SUMIFS('GWP &amp; Emission Factors '!$F$154:$F$242,'GWP &amp; Emission Factors '!$E$154:$E$242,$I$14)+SUMIFS($J$16:$J$75,$D$16:$D$75,$D30)*SUMIFS('GWP &amp; Emission Factors '!$F$154:$F$242,'GWP &amp; Emission Factors '!$E$154:$E$242,$J$14)+SUMIFS($K$16:$K$75,$D$16:$D$75,$D30)*SUMIFS('GWP &amp; Emission Factors '!$F$154:$F$242,'GWP &amp; Emission Factors '!$E$154:$E$242,$K$14))/1000</f>
        <v>0</v>
      </c>
      <c r="O30" s="572">
        <f>(SUMIFS($L$16:$L$75,$D$16:$D$75,$D30)*SUMIFS('GWP &amp; Emission Factors '!$F$154:$F$242,'GWP &amp; Emission Factors '!$E$154:$E$242,$L$14)+SUMIFS($M$16:$M$75,$D$16:$D$75,$D30)*SUMIFS('GWP &amp; Emission Factors '!$F$154:$F$242,'GWP &amp; Emission Factors '!$E$154:$E$242,$M$14))/1000</f>
        <v>0</v>
      </c>
    </row>
    <row r="31" spans="4:15" x14ac:dyDescent="0.25">
      <c r="D31" s="461" t="str">
        <f>'Project Emission Distribution'!D40</f>
        <v>AN16</v>
      </c>
      <c r="E31" s="466"/>
      <c r="F31" s="466"/>
      <c r="G31" s="466"/>
      <c r="H31" s="466"/>
      <c r="I31" s="466"/>
      <c r="J31" s="466"/>
      <c r="K31" s="466"/>
      <c r="L31" s="466"/>
      <c r="M31" s="466"/>
      <c r="N31" s="572">
        <f>(SUMIFS($E$16:$E$75,$D$16:$D$75,$D31)*SUMIFS('GWP &amp; Emission Factors '!$F$154:$F$242,'GWP &amp; Emission Factors '!$E$154:$E$242,$E$14)+SUMIFS($F$16:$F$75,$D$16:$D$75,$D31)*SUMIFS('GWP &amp; Emission Factors '!$F$154:$F$242,'GWP &amp; Emission Factors '!$E$154:$E$242,$F$14)+SUMIFS($G$16:$G$75,$D$16:$D$75,$D31)*SUMIFS('GWP &amp; Emission Factors '!$F$154:$F$242,'GWP &amp; Emission Factors '!$E$154:$E$242,$G$14)+SUMIFS($H$16:$H$75,$D$16:$D$75,$D31)*SUMIFS('GWP &amp; Emission Factors '!$F$154:$F$242,'GWP &amp; Emission Factors '!$E$154:$E$242,$H$14)+SUMIFS($I$16:$I$75,$D$16:$D$75,$D31)*SUMIFS('GWP &amp; Emission Factors '!$F$154:$F$242,'GWP &amp; Emission Factors '!$E$154:$E$242,$I$14)+SUMIFS($J$16:$J$75,$D$16:$D$75,$D31)*SUMIFS('GWP &amp; Emission Factors '!$F$154:$F$242,'GWP &amp; Emission Factors '!$E$154:$E$242,$J$14)+SUMIFS($K$16:$K$75,$D$16:$D$75,$D31)*SUMIFS('GWP &amp; Emission Factors '!$F$154:$F$242,'GWP &amp; Emission Factors '!$E$154:$E$242,$K$14))/1000</f>
        <v>0</v>
      </c>
      <c r="O31" s="572">
        <f>(SUMIFS($L$16:$L$75,$D$16:$D$75,$D31)*SUMIFS('GWP &amp; Emission Factors '!$F$154:$F$242,'GWP &amp; Emission Factors '!$E$154:$E$242,$L$14)+SUMIFS($M$16:$M$75,$D$16:$D$75,$D31)*SUMIFS('GWP &amp; Emission Factors '!$F$154:$F$242,'GWP &amp; Emission Factors '!$E$154:$E$242,$M$14))/1000</f>
        <v>0</v>
      </c>
    </row>
    <row r="32" spans="4:15" x14ac:dyDescent="0.25">
      <c r="D32" s="461" t="str">
        <f>'Project Emission Distribution'!D41</f>
        <v>AN17</v>
      </c>
      <c r="E32" s="241"/>
      <c r="F32" s="241"/>
      <c r="G32" s="241"/>
      <c r="H32" s="241"/>
      <c r="I32" s="241"/>
      <c r="J32" s="241"/>
      <c r="K32" s="241"/>
      <c r="L32" s="241"/>
      <c r="M32" s="241"/>
      <c r="N32" s="572">
        <f>(SUMIFS($E$16:$E$75,$D$16:$D$75,$D32)*SUMIFS('GWP &amp; Emission Factors '!$F$154:$F$242,'GWP &amp; Emission Factors '!$E$154:$E$242,$E$14)+SUMIFS($F$16:$F$75,$D$16:$D$75,$D32)*SUMIFS('GWP &amp; Emission Factors '!$F$154:$F$242,'GWP &amp; Emission Factors '!$E$154:$E$242,$F$14)+SUMIFS($G$16:$G$75,$D$16:$D$75,$D32)*SUMIFS('GWP &amp; Emission Factors '!$F$154:$F$242,'GWP &amp; Emission Factors '!$E$154:$E$242,$G$14)+SUMIFS($H$16:$H$75,$D$16:$D$75,$D32)*SUMIFS('GWP &amp; Emission Factors '!$F$154:$F$242,'GWP &amp; Emission Factors '!$E$154:$E$242,$H$14)+SUMIFS($I$16:$I$75,$D$16:$D$75,$D32)*SUMIFS('GWP &amp; Emission Factors '!$F$154:$F$242,'GWP &amp; Emission Factors '!$E$154:$E$242,$I$14)+SUMIFS($J$16:$J$75,$D$16:$D$75,$D32)*SUMIFS('GWP &amp; Emission Factors '!$F$154:$F$242,'GWP &amp; Emission Factors '!$E$154:$E$242,$J$14)+SUMIFS($K$16:$K$75,$D$16:$D$75,$D32)*SUMIFS('GWP &amp; Emission Factors '!$F$154:$F$242,'GWP &amp; Emission Factors '!$E$154:$E$242,$K$14))/1000</f>
        <v>0</v>
      </c>
      <c r="O32" s="572">
        <f>(SUMIFS($L$16:$L$75,$D$16:$D$75,$D32)*SUMIFS('GWP &amp; Emission Factors '!$F$154:$F$242,'GWP &amp; Emission Factors '!$E$154:$E$242,$L$14)+SUMIFS($M$16:$M$75,$D$16:$D$75,$D32)*SUMIFS('GWP &amp; Emission Factors '!$F$154:$F$242,'GWP &amp; Emission Factors '!$E$154:$E$242,$M$14))/1000</f>
        <v>0</v>
      </c>
    </row>
    <row r="33" spans="4:15" x14ac:dyDescent="0.25">
      <c r="D33" s="461" t="str">
        <f>'Project Emission Distribution'!D42</f>
        <v>AN18</v>
      </c>
      <c r="E33" s="466"/>
      <c r="F33" s="466"/>
      <c r="G33" s="466"/>
      <c r="H33" s="466"/>
      <c r="I33" s="466"/>
      <c r="J33" s="466"/>
      <c r="K33" s="466"/>
      <c r="L33" s="466"/>
      <c r="M33" s="466"/>
      <c r="N33" s="572">
        <f>(SUMIFS($E$16:$E$75,$D$16:$D$75,$D33)*SUMIFS('GWP &amp; Emission Factors '!$F$154:$F$242,'GWP &amp; Emission Factors '!$E$154:$E$242,$E$14)+SUMIFS($F$16:$F$75,$D$16:$D$75,$D33)*SUMIFS('GWP &amp; Emission Factors '!$F$154:$F$242,'GWP &amp; Emission Factors '!$E$154:$E$242,$F$14)+SUMIFS($G$16:$G$75,$D$16:$D$75,$D33)*SUMIFS('GWP &amp; Emission Factors '!$F$154:$F$242,'GWP &amp; Emission Factors '!$E$154:$E$242,$G$14)+SUMIFS($H$16:$H$75,$D$16:$D$75,$D33)*SUMIFS('GWP &amp; Emission Factors '!$F$154:$F$242,'GWP &amp; Emission Factors '!$E$154:$E$242,$H$14)+SUMIFS($I$16:$I$75,$D$16:$D$75,$D33)*SUMIFS('GWP &amp; Emission Factors '!$F$154:$F$242,'GWP &amp; Emission Factors '!$E$154:$E$242,$I$14)+SUMIFS($J$16:$J$75,$D$16:$D$75,$D33)*SUMIFS('GWP &amp; Emission Factors '!$F$154:$F$242,'GWP &amp; Emission Factors '!$E$154:$E$242,$J$14)+SUMIFS($K$16:$K$75,$D$16:$D$75,$D33)*SUMIFS('GWP &amp; Emission Factors '!$F$154:$F$242,'GWP &amp; Emission Factors '!$E$154:$E$242,$K$14))/1000</f>
        <v>0</v>
      </c>
      <c r="O33" s="572">
        <f>(SUMIFS($L$16:$L$75,$D$16:$D$75,$D33)*SUMIFS('GWP &amp; Emission Factors '!$F$154:$F$242,'GWP &amp; Emission Factors '!$E$154:$E$242,$L$14)+SUMIFS($M$16:$M$75,$D$16:$D$75,$D33)*SUMIFS('GWP &amp; Emission Factors '!$F$154:$F$242,'GWP &amp; Emission Factors '!$E$154:$E$242,$M$14))/1000</f>
        <v>0</v>
      </c>
    </row>
    <row r="34" spans="4:15" x14ac:dyDescent="0.25">
      <c r="D34" s="461" t="str">
        <f>'Project Emission Distribution'!D43</f>
        <v>AN19</v>
      </c>
      <c r="E34" s="241"/>
      <c r="F34" s="241"/>
      <c r="G34" s="241"/>
      <c r="H34" s="241"/>
      <c r="I34" s="241"/>
      <c r="J34" s="241"/>
      <c r="K34" s="241"/>
      <c r="L34" s="241"/>
      <c r="M34" s="241"/>
      <c r="N34" s="572">
        <f>(SUMIFS($E$16:$E$75,$D$16:$D$75,$D34)*SUMIFS('GWP &amp; Emission Factors '!$F$154:$F$242,'GWP &amp; Emission Factors '!$E$154:$E$242,$E$14)+SUMIFS($F$16:$F$75,$D$16:$D$75,$D34)*SUMIFS('GWP &amp; Emission Factors '!$F$154:$F$242,'GWP &amp; Emission Factors '!$E$154:$E$242,$F$14)+SUMIFS($G$16:$G$75,$D$16:$D$75,$D34)*SUMIFS('GWP &amp; Emission Factors '!$F$154:$F$242,'GWP &amp; Emission Factors '!$E$154:$E$242,$G$14)+SUMIFS($H$16:$H$75,$D$16:$D$75,$D34)*SUMIFS('GWP &amp; Emission Factors '!$F$154:$F$242,'GWP &amp; Emission Factors '!$E$154:$E$242,$H$14)+SUMIFS($I$16:$I$75,$D$16:$D$75,$D34)*SUMIFS('GWP &amp; Emission Factors '!$F$154:$F$242,'GWP &amp; Emission Factors '!$E$154:$E$242,$I$14)+SUMIFS($J$16:$J$75,$D$16:$D$75,$D34)*SUMIFS('GWP &amp; Emission Factors '!$F$154:$F$242,'GWP &amp; Emission Factors '!$E$154:$E$242,$J$14)+SUMIFS($K$16:$K$75,$D$16:$D$75,$D34)*SUMIFS('GWP &amp; Emission Factors '!$F$154:$F$242,'GWP &amp; Emission Factors '!$E$154:$E$242,$K$14))/1000</f>
        <v>0</v>
      </c>
      <c r="O34" s="572">
        <f>(SUMIFS($L$16:$L$75,$D$16:$D$75,$D34)*SUMIFS('GWP &amp; Emission Factors '!$F$154:$F$242,'GWP &amp; Emission Factors '!$E$154:$E$242,$L$14)+SUMIFS($M$16:$M$75,$D$16:$D$75,$D34)*SUMIFS('GWP &amp; Emission Factors '!$F$154:$F$242,'GWP &amp; Emission Factors '!$E$154:$E$242,$M$14))/1000</f>
        <v>0</v>
      </c>
    </row>
    <row r="35" spans="4:15" x14ac:dyDescent="0.25">
      <c r="D35" s="461" t="str">
        <f>'Project Emission Distribution'!D44</f>
        <v>AN20</v>
      </c>
      <c r="E35" s="466"/>
      <c r="F35" s="466"/>
      <c r="G35" s="466"/>
      <c r="H35" s="466"/>
      <c r="I35" s="466"/>
      <c r="J35" s="466"/>
      <c r="K35" s="466"/>
      <c r="L35" s="466"/>
      <c r="M35" s="466"/>
      <c r="N35" s="572">
        <f>(SUMIFS($E$16:$E$75,$D$16:$D$75,$D35)*SUMIFS('GWP &amp; Emission Factors '!$F$154:$F$242,'GWP &amp; Emission Factors '!$E$154:$E$242,$E$14)+SUMIFS($F$16:$F$75,$D$16:$D$75,$D35)*SUMIFS('GWP &amp; Emission Factors '!$F$154:$F$242,'GWP &amp; Emission Factors '!$E$154:$E$242,$F$14)+SUMIFS($G$16:$G$75,$D$16:$D$75,$D35)*SUMIFS('GWP &amp; Emission Factors '!$F$154:$F$242,'GWP &amp; Emission Factors '!$E$154:$E$242,$G$14)+SUMIFS($H$16:$H$75,$D$16:$D$75,$D35)*SUMIFS('GWP &amp; Emission Factors '!$F$154:$F$242,'GWP &amp; Emission Factors '!$E$154:$E$242,$H$14)+SUMIFS($I$16:$I$75,$D$16:$D$75,$D35)*SUMIFS('GWP &amp; Emission Factors '!$F$154:$F$242,'GWP &amp; Emission Factors '!$E$154:$E$242,$I$14)+SUMIFS($J$16:$J$75,$D$16:$D$75,$D35)*SUMIFS('GWP &amp; Emission Factors '!$F$154:$F$242,'GWP &amp; Emission Factors '!$E$154:$E$242,$J$14)+SUMIFS($K$16:$K$75,$D$16:$D$75,$D35)*SUMIFS('GWP &amp; Emission Factors '!$F$154:$F$242,'GWP &amp; Emission Factors '!$E$154:$E$242,$K$14))/1000</f>
        <v>0</v>
      </c>
      <c r="O35" s="572">
        <f>(SUMIFS($L$16:$L$75,$D$16:$D$75,$D35)*SUMIFS('GWP &amp; Emission Factors '!$F$154:$F$242,'GWP &amp; Emission Factors '!$E$154:$E$242,$L$14)+SUMIFS($M$16:$M$75,$D$16:$D$75,$D35)*SUMIFS('GWP &amp; Emission Factors '!$F$154:$F$242,'GWP &amp; Emission Factors '!$E$154:$E$242,$M$14))/1000</f>
        <v>0</v>
      </c>
    </row>
    <row r="36" spans="4:15" x14ac:dyDescent="0.25">
      <c r="D36" s="461" t="str">
        <f>'Project Emission Distribution'!D45</f>
        <v>AN21</v>
      </c>
      <c r="E36" s="241"/>
      <c r="F36" s="241"/>
      <c r="G36" s="241"/>
      <c r="H36" s="241"/>
      <c r="I36" s="241"/>
      <c r="J36" s="241"/>
      <c r="K36" s="241"/>
      <c r="L36" s="241"/>
      <c r="M36" s="241"/>
      <c r="N36" s="572">
        <f>(SUMIFS($E$16:$E$75,$D$16:$D$75,$D36)*SUMIFS('GWP &amp; Emission Factors '!$F$154:$F$242,'GWP &amp; Emission Factors '!$E$154:$E$242,$E$14)+SUMIFS($F$16:$F$75,$D$16:$D$75,$D36)*SUMIFS('GWP &amp; Emission Factors '!$F$154:$F$242,'GWP &amp; Emission Factors '!$E$154:$E$242,$F$14)+SUMIFS($G$16:$G$75,$D$16:$D$75,$D36)*SUMIFS('GWP &amp; Emission Factors '!$F$154:$F$242,'GWP &amp; Emission Factors '!$E$154:$E$242,$G$14)+SUMIFS($H$16:$H$75,$D$16:$D$75,$D36)*SUMIFS('GWP &amp; Emission Factors '!$F$154:$F$242,'GWP &amp; Emission Factors '!$E$154:$E$242,$H$14)+SUMIFS($I$16:$I$75,$D$16:$D$75,$D36)*SUMIFS('GWP &amp; Emission Factors '!$F$154:$F$242,'GWP &amp; Emission Factors '!$E$154:$E$242,$I$14)+SUMIFS($J$16:$J$75,$D$16:$D$75,$D36)*SUMIFS('GWP &amp; Emission Factors '!$F$154:$F$242,'GWP &amp; Emission Factors '!$E$154:$E$242,$J$14)+SUMIFS($K$16:$K$75,$D$16:$D$75,$D36)*SUMIFS('GWP &amp; Emission Factors '!$F$154:$F$242,'GWP &amp; Emission Factors '!$E$154:$E$242,$K$14))/1000</f>
        <v>0</v>
      </c>
      <c r="O36" s="572">
        <f>(SUMIFS($L$16:$L$75,$D$16:$D$75,$D36)*SUMIFS('GWP &amp; Emission Factors '!$F$154:$F$242,'GWP &amp; Emission Factors '!$E$154:$E$242,$L$14)+SUMIFS($M$16:$M$75,$D$16:$D$75,$D36)*SUMIFS('GWP &amp; Emission Factors '!$F$154:$F$242,'GWP &amp; Emission Factors '!$E$154:$E$242,$M$14))/1000</f>
        <v>0</v>
      </c>
    </row>
    <row r="37" spans="4:15" x14ac:dyDescent="0.25">
      <c r="D37" s="461" t="str">
        <f>'Project Emission Distribution'!D46</f>
        <v>AN22</v>
      </c>
      <c r="E37" s="466"/>
      <c r="F37" s="466"/>
      <c r="G37" s="466"/>
      <c r="H37" s="466"/>
      <c r="I37" s="466"/>
      <c r="J37" s="466"/>
      <c r="K37" s="466"/>
      <c r="L37" s="466"/>
      <c r="M37" s="466"/>
      <c r="N37" s="572">
        <f>(SUMIFS($E$16:$E$75,$D$16:$D$75,$D37)*SUMIFS('GWP &amp; Emission Factors '!$F$154:$F$242,'GWP &amp; Emission Factors '!$E$154:$E$242,$E$14)+SUMIFS($F$16:$F$75,$D$16:$D$75,$D37)*SUMIFS('GWP &amp; Emission Factors '!$F$154:$F$242,'GWP &amp; Emission Factors '!$E$154:$E$242,$F$14)+SUMIFS($G$16:$G$75,$D$16:$D$75,$D37)*SUMIFS('GWP &amp; Emission Factors '!$F$154:$F$242,'GWP &amp; Emission Factors '!$E$154:$E$242,$G$14)+SUMIFS($H$16:$H$75,$D$16:$D$75,$D37)*SUMIFS('GWP &amp; Emission Factors '!$F$154:$F$242,'GWP &amp; Emission Factors '!$E$154:$E$242,$H$14)+SUMIFS($I$16:$I$75,$D$16:$D$75,$D37)*SUMIFS('GWP &amp; Emission Factors '!$F$154:$F$242,'GWP &amp; Emission Factors '!$E$154:$E$242,$I$14)+SUMIFS($J$16:$J$75,$D$16:$D$75,$D37)*SUMIFS('GWP &amp; Emission Factors '!$F$154:$F$242,'GWP &amp; Emission Factors '!$E$154:$E$242,$J$14)+SUMIFS($K$16:$K$75,$D$16:$D$75,$D37)*SUMIFS('GWP &amp; Emission Factors '!$F$154:$F$242,'GWP &amp; Emission Factors '!$E$154:$E$242,$K$14))/1000</f>
        <v>0</v>
      </c>
      <c r="O37" s="572">
        <f>(SUMIFS($L$16:$L$75,$D$16:$D$75,$D37)*SUMIFS('GWP &amp; Emission Factors '!$F$154:$F$242,'GWP &amp; Emission Factors '!$E$154:$E$242,$L$14)+SUMIFS($M$16:$M$75,$D$16:$D$75,$D37)*SUMIFS('GWP &amp; Emission Factors '!$F$154:$F$242,'GWP &amp; Emission Factors '!$E$154:$E$242,$M$14))/1000</f>
        <v>0</v>
      </c>
    </row>
    <row r="38" spans="4:15" x14ac:dyDescent="0.25">
      <c r="D38" s="461" t="str">
        <f>'Project Emission Distribution'!D47</f>
        <v>AN23</v>
      </c>
      <c r="E38" s="241"/>
      <c r="F38" s="241"/>
      <c r="G38" s="241"/>
      <c r="H38" s="241"/>
      <c r="I38" s="241"/>
      <c r="J38" s="241"/>
      <c r="K38" s="241"/>
      <c r="L38" s="241"/>
      <c r="M38" s="241"/>
      <c r="N38" s="572">
        <f>(SUMIFS($E$16:$E$75,$D$16:$D$75,$D38)*SUMIFS('GWP &amp; Emission Factors '!$F$154:$F$242,'GWP &amp; Emission Factors '!$E$154:$E$242,$E$14)+SUMIFS($F$16:$F$75,$D$16:$D$75,$D38)*SUMIFS('GWP &amp; Emission Factors '!$F$154:$F$242,'GWP &amp; Emission Factors '!$E$154:$E$242,$F$14)+SUMIFS($G$16:$G$75,$D$16:$D$75,$D38)*SUMIFS('GWP &amp; Emission Factors '!$F$154:$F$242,'GWP &amp; Emission Factors '!$E$154:$E$242,$G$14)+SUMIFS($H$16:$H$75,$D$16:$D$75,$D38)*SUMIFS('GWP &amp; Emission Factors '!$F$154:$F$242,'GWP &amp; Emission Factors '!$E$154:$E$242,$H$14)+SUMIFS($I$16:$I$75,$D$16:$D$75,$D38)*SUMIFS('GWP &amp; Emission Factors '!$F$154:$F$242,'GWP &amp; Emission Factors '!$E$154:$E$242,$I$14)+SUMIFS($J$16:$J$75,$D$16:$D$75,$D38)*SUMIFS('GWP &amp; Emission Factors '!$F$154:$F$242,'GWP &amp; Emission Factors '!$E$154:$E$242,$J$14)+SUMIFS($K$16:$K$75,$D$16:$D$75,$D38)*SUMIFS('GWP &amp; Emission Factors '!$F$154:$F$242,'GWP &amp; Emission Factors '!$E$154:$E$242,$K$14))/1000</f>
        <v>0</v>
      </c>
      <c r="O38" s="572">
        <f>(SUMIFS($L$16:$L$75,$D$16:$D$75,$D38)*SUMIFS('GWP &amp; Emission Factors '!$F$154:$F$242,'GWP &amp; Emission Factors '!$E$154:$E$242,$L$14)+SUMIFS($M$16:$M$75,$D$16:$D$75,$D38)*SUMIFS('GWP &amp; Emission Factors '!$F$154:$F$242,'GWP &amp; Emission Factors '!$E$154:$E$242,$M$14))/1000</f>
        <v>0</v>
      </c>
    </row>
    <row r="39" spans="4:15" x14ac:dyDescent="0.25">
      <c r="D39" s="461" t="str">
        <f>'Project Emission Distribution'!D48</f>
        <v>AN24</v>
      </c>
      <c r="E39" s="466"/>
      <c r="F39" s="466"/>
      <c r="G39" s="466"/>
      <c r="H39" s="466"/>
      <c r="I39" s="466"/>
      <c r="J39" s="466"/>
      <c r="K39" s="466"/>
      <c r="L39" s="466"/>
      <c r="M39" s="466"/>
      <c r="N39" s="572">
        <f>(SUMIFS($E$16:$E$75,$D$16:$D$75,$D39)*SUMIFS('GWP &amp; Emission Factors '!$F$154:$F$242,'GWP &amp; Emission Factors '!$E$154:$E$242,$E$14)+SUMIFS($F$16:$F$75,$D$16:$D$75,$D39)*SUMIFS('GWP &amp; Emission Factors '!$F$154:$F$242,'GWP &amp; Emission Factors '!$E$154:$E$242,$F$14)+SUMIFS($G$16:$G$75,$D$16:$D$75,$D39)*SUMIFS('GWP &amp; Emission Factors '!$F$154:$F$242,'GWP &amp; Emission Factors '!$E$154:$E$242,$G$14)+SUMIFS($H$16:$H$75,$D$16:$D$75,$D39)*SUMIFS('GWP &amp; Emission Factors '!$F$154:$F$242,'GWP &amp; Emission Factors '!$E$154:$E$242,$H$14)+SUMIFS($I$16:$I$75,$D$16:$D$75,$D39)*SUMIFS('GWP &amp; Emission Factors '!$F$154:$F$242,'GWP &amp; Emission Factors '!$E$154:$E$242,$I$14)+SUMIFS($J$16:$J$75,$D$16:$D$75,$D39)*SUMIFS('GWP &amp; Emission Factors '!$F$154:$F$242,'GWP &amp; Emission Factors '!$E$154:$E$242,$J$14)+SUMIFS($K$16:$K$75,$D$16:$D$75,$D39)*SUMIFS('GWP &amp; Emission Factors '!$F$154:$F$242,'GWP &amp; Emission Factors '!$E$154:$E$242,$K$14))/1000</f>
        <v>0</v>
      </c>
      <c r="O39" s="572">
        <f>(SUMIFS($L$16:$L$75,$D$16:$D$75,$D39)*SUMIFS('GWP &amp; Emission Factors '!$F$154:$F$242,'GWP &amp; Emission Factors '!$E$154:$E$242,$L$14)+SUMIFS($M$16:$M$75,$D$16:$D$75,$D39)*SUMIFS('GWP &amp; Emission Factors '!$F$154:$F$242,'GWP &amp; Emission Factors '!$E$154:$E$242,$M$14))/1000</f>
        <v>0</v>
      </c>
    </row>
    <row r="40" spans="4:15" x14ac:dyDescent="0.25">
      <c r="D40" s="461" t="str">
        <f>'Project Emission Distribution'!D49</f>
        <v>AN25</v>
      </c>
      <c r="E40" s="241"/>
      <c r="F40" s="241"/>
      <c r="G40" s="241"/>
      <c r="H40" s="241"/>
      <c r="I40" s="241"/>
      <c r="J40" s="241"/>
      <c r="K40" s="241"/>
      <c r="L40" s="241"/>
      <c r="M40" s="241"/>
      <c r="N40" s="572">
        <f>(SUMIFS($E$16:$E$75,$D$16:$D$75,$D40)*SUMIFS('GWP &amp; Emission Factors '!$F$154:$F$242,'GWP &amp; Emission Factors '!$E$154:$E$242,$E$14)+SUMIFS($F$16:$F$75,$D$16:$D$75,$D40)*SUMIFS('GWP &amp; Emission Factors '!$F$154:$F$242,'GWP &amp; Emission Factors '!$E$154:$E$242,$F$14)+SUMIFS($G$16:$G$75,$D$16:$D$75,$D40)*SUMIFS('GWP &amp; Emission Factors '!$F$154:$F$242,'GWP &amp; Emission Factors '!$E$154:$E$242,$G$14)+SUMIFS($H$16:$H$75,$D$16:$D$75,$D40)*SUMIFS('GWP &amp; Emission Factors '!$F$154:$F$242,'GWP &amp; Emission Factors '!$E$154:$E$242,$H$14)+SUMIFS($I$16:$I$75,$D$16:$D$75,$D40)*SUMIFS('GWP &amp; Emission Factors '!$F$154:$F$242,'GWP &amp; Emission Factors '!$E$154:$E$242,$I$14)+SUMIFS($J$16:$J$75,$D$16:$D$75,$D40)*SUMIFS('GWP &amp; Emission Factors '!$F$154:$F$242,'GWP &amp; Emission Factors '!$E$154:$E$242,$J$14)+SUMIFS($K$16:$K$75,$D$16:$D$75,$D40)*SUMIFS('GWP &amp; Emission Factors '!$F$154:$F$242,'GWP &amp; Emission Factors '!$E$154:$E$242,$K$14))/1000</f>
        <v>0</v>
      </c>
      <c r="O40" s="572">
        <f>(SUMIFS($L$16:$L$75,$D$16:$D$75,$D40)*SUMIFS('GWP &amp; Emission Factors '!$F$154:$F$242,'GWP &amp; Emission Factors '!$E$154:$E$242,$L$14)+SUMIFS($M$16:$M$75,$D$16:$D$75,$D40)*SUMIFS('GWP &amp; Emission Factors '!$F$154:$F$242,'GWP &amp; Emission Factors '!$E$154:$E$242,$M$14))/1000</f>
        <v>0</v>
      </c>
    </row>
    <row r="41" spans="4:15" x14ac:dyDescent="0.25">
      <c r="D41" s="461" t="str">
        <f>'Project Emission Distribution'!D50</f>
        <v>AN26</v>
      </c>
      <c r="E41" s="466"/>
      <c r="F41" s="466"/>
      <c r="G41" s="466"/>
      <c r="H41" s="466"/>
      <c r="I41" s="466"/>
      <c r="J41" s="466"/>
      <c r="K41" s="466"/>
      <c r="L41" s="466"/>
      <c r="M41" s="466"/>
      <c r="N41" s="572">
        <f>(SUMIFS($E$16:$E$75,$D$16:$D$75,$D41)*SUMIFS('GWP &amp; Emission Factors '!$F$154:$F$242,'GWP &amp; Emission Factors '!$E$154:$E$242,$E$14)+SUMIFS($F$16:$F$75,$D$16:$D$75,$D41)*SUMIFS('GWP &amp; Emission Factors '!$F$154:$F$242,'GWP &amp; Emission Factors '!$E$154:$E$242,$F$14)+SUMIFS($G$16:$G$75,$D$16:$D$75,$D41)*SUMIFS('GWP &amp; Emission Factors '!$F$154:$F$242,'GWP &amp; Emission Factors '!$E$154:$E$242,$G$14)+SUMIFS($H$16:$H$75,$D$16:$D$75,$D41)*SUMIFS('GWP &amp; Emission Factors '!$F$154:$F$242,'GWP &amp; Emission Factors '!$E$154:$E$242,$H$14)+SUMIFS($I$16:$I$75,$D$16:$D$75,$D41)*SUMIFS('GWP &amp; Emission Factors '!$F$154:$F$242,'GWP &amp; Emission Factors '!$E$154:$E$242,$I$14)+SUMIFS($J$16:$J$75,$D$16:$D$75,$D41)*SUMIFS('GWP &amp; Emission Factors '!$F$154:$F$242,'GWP &amp; Emission Factors '!$E$154:$E$242,$J$14)+SUMIFS($K$16:$K$75,$D$16:$D$75,$D41)*SUMIFS('GWP &amp; Emission Factors '!$F$154:$F$242,'GWP &amp; Emission Factors '!$E$154:$E$242,$K$14))/1000</f>
        <v>0</v>
      </c>
      <c r="O41" s="572">
        <f>(SUMIFS($L$16:$L$75,$D$16:$D$75,$D41)*SUMIFS('GWP &amp; Emission Factors '!$F$154:$F$242,'GWP &amp; Emission Factors '!$E$154:$E$242,$L$14)+SUMIFS($M$16:$M$75,$D$16:$D$75,$D41)*SUMIFS('GWP &amp; Emission Factors '!$F$154:$F$242,'GWP &amp; Emission Factors '!$E$154:$E$242,$M$14))/1000</f>
        <v>0</v>
      </c>
    </row>
    <row r="42" spans="4:15" x14ac:dyDescent="0.25">
      <c r="D42" s="461" t="str">
        <f>'Project Emission Distribution'!D51</f>
        <v>AN27</v>
      </c>
      <c r="E42" s="241"/>
      <c r="F42" s="241"/>
      <c r="G42" s="241"/>
      <c r="H42" s="241"/>
      <c r="I42" s="241"/>
      <c r="J42" s="241"/>
      <c r="K42" s="241"/>
      <c r="L42" s="241"/>
      <c r="M42" s="241"/>
      <c r="N42" s="572">
        <f>(SUMIFS($E$16:$E$75,$D$16:$D$75,$D42)*SUMIFS('GWP &amp; Emission Factors '!$F$154:$F$242,'GWP &amp; Emission Factors '!$E$154:$E$242,$E$14)+SUMIFS($F$16:$F$75,$D$16:$D$75,$D42)*SUMIFS('GWP &amp; Emission Factors '!$F$154:$F$242,'GWP &amp; Emission Factors '!$E$154:$E$242,$F$14)+SUMIFS($G$16:$G$75,$D$16:$D$75,$D42)*SUMIFS('GWP &amp; Emission Factors '!$F$154:$F$242,'GWP &amp; Emission Factors '!$E$154:$E$242,$G$14)+SUMIFS($H$16:$H$75,$D$16:$D$75,$D42)*SUMIFS('GWP &amp; Emission Factors '!$F$154:$F$242,'GWP &amp; Emission Factors '!$E$154:$E$242,$H$14)+SUMIFS($I$16:$I$75,$D$16:$D$75,$D42)*SUMIFS('GWP &amp; Emission Factors '!$F$154:$F$242,'GWP &amp; Emission Factors '!$E$154:$E$242,$I$14)+SUMIFS($J$16:$J$75,$D$16:$D$75,$D42)*SUMIFS('GWP &amp; Emission Factors '!$F$154:$F$242,'GWP &amp; Emission Factors '!$E$154:$E$242,$J$14)+SUMIFS($K$16:$K$75,$D$16:$D$75,$D42)*SUMIFS('GWP &amp; Emission Factors '!$F$154:$F$242,'GWP &amp; Emission Factors '!$E$154:$E$242,$K$14))/1000</f>
        <v>0</v>
      </c>
      <c r="O42" s="572">
        <f>(SUMIFS($L$16:$L$75,$D$16:$D$75,$D42)*SUMIFS('GWP &amp; Emission Factors '!$F$154:$F$242,'GWP &amp; Emission Factors '!$E$154:$E$242,$L$14)+SUMIFS($M$16:$M$75,$D$16:$D$75,$D42)*SUMIFS('GWP &amp; Emission Factors '!$F$154:$F$242,'GWP &amp; Emission Factors '!$E$154:$E$242,$M$14))/1000</f>
        <v>0</v>
      </c>
    </row>
    <row r="43" spans="4:15" x14ac:dyDescent="0.25">
      <c r="D43" s="461" t="str">
        <f>'Project Emission Distribution'!D52</f>
        <v>AN28</v>
      </c>
      <c r="E43" s="466"/>
      <c r="F43" s="466"/>
      <c r="G43" s="466"/>
      <c r="H43" s="466"/>
      <c r="I43" s="466"/>
      <c r="J43" s="466"/>
      <c r="K43" s="466"/>
      <c r="L43" s="466"/>
      <c r="M43" s="466"/>
      <c r="N43" s="572">
        <f>(SUMIFS($E$16:$E$75,$D$16:$D$75,$D43)*SUMIFS('GWP &amp; Emission Factors '!$F$154:$F$242,'GWP &amp; Emission Factors '!$E$154:$E$242,$E$14)+SUMIFS($F$16:$F$75,$D$16:$D$75,$D43)*SUMIFS('GWP &amp; Emission Factors '!$F$154:$F$242,'GWP &amp; Emission Factors '!$E$154:$E$242,$F$14)+SUMIFS($G$16:$G$75,$D$16:$D$75,$D43)*SUMIFS('GWP &amp; Emission Factors '!$F$154:$F$242,'GWP &amp; Emission Factors '!$E$154:$E$242,$G$14)+SUMIFS($H$16:$H$75,$D$16:$D$75,$D43)*SUMIFS('GWP &amp; Emission Factors '!$F$154:$F$242,'GWP &amp; Emission Factors '!$E$154:$E$242,$H$14)+SUMIFS($I$16:$I$75,$D$16:$D$75,$D43)*SUMIFS('GWP &amp; Emission Factors '!$F$154:$F$242,'GWP &amp; Emission Factors '!$E$154:$E$242,$I$14)+SUMIFS($J$16:$J$75,$D$16:$D$75,$D43)*SUMIFS('GWP &amp; Emission Factors '!$F$154:$F$242,'GWP &amp; Emission Factors '!$E$154:$E$242,$J$14)+SUMIFS($K$16:$K$75,$D$16:$D$75,$D43)*SUMIFS('GWP &amp; Emission Factors '!$F$154:$F$242,'GWP &amp; Emission Factors '!$E$154:$E$242,$K$14))/1000</f>
        <v>0</v>
      </c>
      <c r="O43" s="572">
        <f>(SUMIFS($L$16:$L$75,$D$16:$D$75,$D43)*SUMIFS('GWP &amp; Emission Factors '!$F$154:$F$242,'GWP &amp; Emission Factors '!$E$154:$E$242,$L$14)+SUMIFS($M$16:$M$75,$D$16:$D$75,$D43)*SUMIFS('GWP &amp; Emission Factors '!$F$154:$F$242,'GWP &amp; Emission Factors '!$E$154:$E$242,$M$14))/1000</f>
        <v>0</v>
      </c>
    </row>
    <row r="44" spans="4:15" x14ac:dyDescent="0.25">
      <c r="D44" s="461" t="str">
        <f>'Project Emission Distribution'!D53</f>
        <v>AN29</v>
      </c>
      <c r="E44" s="241"/>
      <c r="F44" s="241"/>
      <c r="G44" s="241"/>
      <c r="H44" s="241"/>
      <c r="I44" s="241"/>
      <c r="J44" s="241"/>
      <c r="K44" s="241"/>
      <c r="L44" s="241"/>
      <c r="M44" s="241"/>
      <c r="N44" s="572">
        <f>(SUMIFS($E$16:$E$75,$D$16:$D$75,$D44)*SUMIFS('GWP &amp; Emission Factors '!$F$154:$F$242,'GWP &amp; Emission Factors '!$E$154:$E$242,$E$14)+SUMIFS($F$16:$F$75,$D$16:$D$75,$D44)*SUMIFS('GWP &amp; Emission Factors '!$F$154:$F$242,'GWP &amp; Emission Factors '!$E$154:$E$242,$F$14)+SUMIFS($G$16:$G$75,$D$16:$D$75,$D44)*SUMIFS('GWP &amp; Emission Factors '!$F$154:$F$242,'GWP &amp; Emission Factors '!$E$154:$E$242,$G$14)+SUMIFS($H$16:$H$75,$D$16:$D$75,$D44)*SUMIFS('GWP &amp; Emission Factors '!$F$154:$F$242,'GWP &amp; Emission Factors '!$E$154:$E$242,$H$14)+SUMIFS($I$16:$I$75,$D$16:$D$75,$D44)*SUMIFS('GWP &amp; Emission Factors '!$F$154:$F$242,'GWP &amp; Emission Factors '!$E$154:$E$242,$I$14)+SUMIFS($J$16:$J$75,$D$16:$D$75,$D44)*SUMIFS('GWP &amp; Emission Factors '!$F$154:$F$242,'GWP &amp; Emission Factors '!$E$154:$E$242,$J$14)+SUMIFS($K$16:$K$75,$D$16:$D$75,$D44)*SUMIFS('GWP &amp; Emission Factors '!$F$154:$F$242,'GWP &amp; Emission Factors '!$E$154:$E$242,$K$14))/1000</f>
        <v>0</v>
      </c>
      <c r="O44" s="572">
        <f>(SUMIFS($L$16:$L$75,$D$16:$D$75,$D44)*SUMIFS('GWP &amp; Emission Factors '!$F$154:$F$242,'GWP &amp; Emission Factors '!$E$154:$E$242,$L$14)+SUMIFS($M$16:$M$75,$D$16:$D$75,$D44)*SUMIFS('GWP &amp; Emission Factors '!$F$154:$F$242,'GWP &amp; Emission Factors '!$E$154:$E$242,$M$14))/1000</f>
        <v>0</v>
      </c>
    </row>
    <row r="45" spans="4:15" x14ac:dyDescent="0.25">
      <c r="D45" s="461" t="str">
        <f>'Project Emission Distribution'!D54</f>
        <v>AN30</v>
      </c>
      <c r="E45" s="466"/>
      <c r="F45" s="466"/>
      <c r="G45" s="466"/>
      <c r="H45" s="466"/>
      <c r="I45" s="466"/>
      <c r="J45" s="466"/>
      <c r="K45" s="466"/>
      <c r="L45" s="466"/>
      <c r="M45" s="466"/>
      <c r="N45" s="572">
        <f>(SUMIFS($E$16:$E$75,$D$16:$D$75,$D45)*SUMIFS('GWP &amp; Emission Factors '!$F$154:$F$242,'GWP &amp; Emission Factors '!$E$154:$E$242,$E$14)+SUMIFS($F$16:$F$75,$D$16:$D$75,$D45)*SUMIFS('GWP &amp; Emission Factors '!$F$154:$F$242,'GWP &amp; Emission Factors '!$E$154:$E$242,$F$14)+SUMIFS($G$16:$G$75,$D$16:$D$75,$D45)*SUMIFS('GWP &amp; Emission Factors '!$F$154:$F$242,'GWP &amp; Emission Factors '!$E$154:$E$242,$G$14)+SUMIFS($H$16:$H$75,$D$16:$D$75,$D45)*SUMIFS('GWP &amp; Emission Factors '!$F$154:$F$242,'GWP &amp; Emission Factors '!$E$154:$E$242,$H$14)+SUMIFS($I$16:$I$75,$D$16:$D$75,$D45)*SUMIFS('GWP &amp; Emission Factors '!$F$154:$F$242,'GWP &amp; Emission Factors '!$E$154:$E$242,$I$14)+SUMIFS($J$16:$J$75,$D$16:$D$75,$D45)*SUMIFS('GWP &amp; Emission Factors '!$F$154:$F$242,'GWP &amp; Emission Factors '!$E$154:$E$242,$J$14)+SUMIFS($K$16:$K$75,$D$16:$D$75,$D45)*SUMIFS('GWP &amp; Emission Factors '!$F$154:$F$242,'GWP &amp; Emission Factors '!$E$154:$E$242,$K$14))/1000</f>
        <v>0</v>
      </c>
      <c r="O45" s="572">
        <f>(SUMIFS($L$16:$L$75,$D$16:$D$75,$D45)*SUMIFS('GWP &amp; Emission Factors '!$F$154:$F$242,'GWP &amp; Emission Factors '!$E$154:$E$242,$L$14)+SUMIFS($M$16:$M$75,$D$16:$D$75,$D45)*SUMIFS('GWP &amp; Emission Factors '!$F$154:$F$242,'GWP &amp; Emission Factors '!$E$154:$E$242,$M$14))/1000</f>
        <v>0</v>
      </c>
    </row>
    <row r="46" spans="4:15" x14ac:dyDescent="0.25">
      <c r="D46" s="461" t="str">
        <f>'Project Emission Distribution'!D55</f>
        <v>AN31</v>
      </c>
      <c r="E46" s="241"/>
      <c r="F46" s="241"/>
      <c r="G46" s="241"/>
      <c r="H46" s="241"/>
      <c r="I46" s="241"/>
      <c r="J46" s="241"/>
      <c r="K46" s="241"/>
      <c r="L46" s="241"/>
      <c r="M46" s="241"/>
      <c r="N46" s="572">
        <f>(SUMIFS($E$16:$E$75,$D$16:$D$75,$D46)*SUMIFS('GWP &amp; Emission Factors '!$F$154:$F$242,'GWP &amp; Emission Factors '!$E$154:$E$242,$E$14)+SUMIFS($F$16:$F$75,$D$16:$D$75,$D46)*SUMIFS('GWP &amp; Emission Factors '!$F$154:$F$242,'GWP &amp; Emission Factors '!$E$154:$E$242,$F$14)+SUMIFS($G$16:$G$75,$D$16:$D$75,$D46)*SUMIFS('GWP &amp; Emission Factors '!$F$154:$F$242,'GWP &amp; Emission Factors '!$E$154:$E$242,$G$14)+SUMIFS($H$16:$H$75,$D$16:$D$75,$D46)*SUMIFS('GWP &amp; Emission Factors '!$F$154:$F$242,'GWP &amp; Emission Factors '!$E$154:$E$242,$H$14)+SUMIFS($I$16:$I$75,$D$16:$D$75,$D46)*SUMIFS('GWP &amp; Emission Factors '!$F$154:$F$242,'GWP &amp; Emission Factors '!$E$154:$E$242,$I$14)+SUMIFS($J$16:$J$75,$D$16:$D$75,$D46)*SUMIFS('GWP &amp; Emission Factors '!$F$154:$F$242,'GWP &amp; Emission Factors '!$E$154:$E$242,$J$14)+SUMIFS($K$16:$K$75,$D$16:$D$75,$D46)*SUMIFS('GWP &amp; Emission Factors '!$F$154:$F$242,'GWP &amp; Emission Factors '!$E$154:$E$242,$K$14))/1000</f>
        <v>0</v>
      </c>
      <c r="O46" s="572">
        <f>(SUMIFS($L$16:$L$75,$D$16:$D$75,$D46)*SUMIFS('GWP &amp; Emission Factors '!$F$154:$F$242,'GWP &amp; Emission Factors '!$E$154:$E$242,$L$14)+SUMIFS($M$16:$M$75,$D$16:$D$75,$D46)*SUMIFS('GWP &amp; Emission Factors '!$F$154:$F$242,'GWP &amp; Emission Factors '!$E$154:$E$242,$M$14))/1000</f>
        <v>0</v>
      </c>
    </row>
    <row r="47" spans="4:15" x14ac:dyDescent="0.25">
      <c r="D47" s="461" t="str">
        <f>'Project Emission Distribution'!D56</f>
        <v>AN32</v>
      </c>
      <c r="E47" s="466"/>
      <c r="F47" s="466"/>
      <c r="G47" s="466"/>
      <c r="H47" s="466"/>
      <c r="I47" s="466"/>
      <c r="J47" s="466"/>
      <c r="K47" s="466"/>
      <c r="L47" s="466"/>
      <c r="M47" s="466"/>
      <c r="N47" s="572">
        <f>(SUMIFS($E$16:$E$75,$D$16:$D$75,$D47)*SUMIFS('GWP &amp; Emission Factors '!$F$154:$F$242,'GWP &amp; Emission Factors '!$E$154:$E$242,$E$14)+SUMIFS($F$16:$F$75,$D$16:$D$75,$D47)*SUMIFS('GWP &amp; Emission Factors '!$F$154:$F$242,'GWP &amp; Emission Factors '!$E$154:$E$242,$F$14)+SUMIFS($G$16:$G$75,$D$16:$D$75,$D47)*SUMIFS('GWP &amp; Emission Factors '!$F$154:$F$242,'GWP &amp; Emission Factors '!$E$154:$E$242,$G$14)+SUMIFS($H$16:$H$75,$D$16:$D$75,$D47)*SUMIFS('GWP &amp; Emission Factors '!$F$154:$F$242,'GWP &amp; Emission Factors '!$E$154:$E$242,$H$14)+SUMIFS($I$16:$I$75,$D$16:$D$75,$D47)*SUMIFS('GWP &amp; Emission Factors '!$F$154:$F$242,'GWP &amp; Emission Factors '!$E$154:$E$242,$I$14)+SUMIFS($J$16:$J$75,$D$16:$D$75,$D47)*SUMIFS('GWP &amp; Emission Factors '!$F$154:$F$242,'GWP &amp; Emission Factors '!$E$154:$E$242,$J$14)+SUMIFS($K$16:$K$75,$D$16:$D$75,$D47)*SUMIFS('GWP &amp; Emission Factors '!$F$154:$F$242,'GWP &amp; Emission Factors '!$E$154:$E$242,$K$14))/1000</f>
        <v>0</v>
      </c>
      <c r="O47" s="572">
        <f>(SUMIFS($L$16:$L$75,$D$16:$D$75,$D47)*SUMIFS('GWP &amp; Emission Factors '!$F$154:$F$242,'GWP &amp; Emission Factors '!$E$154:$E$242,$L$14)+SUMIFS($M$16:$M$75,$D$16:$D$75,$D47)*SUMIFS('GWP &amp; Emission Factors '!$F$154:$F$242,'GWP &amp; Emission Factors '!$E$154:$E$242,$M$14))/1000</f>
        <v>0</v>
      </c>
    </row>
    <row r="48" spans="4:15" x14ac:dyDescent="0.25">
      <c r="D48" s="461" t="str">
        <f>'Project Emission Distribution'!D57</f>
        <v>AN33</v>
      </c>
      <c r="E48" s="241"/>
      <c r="F48" s="241"/>
      <c r="G48" s="241"/>
      <c r="H48" s="241"/>
      <c r="I48" s="241"/>
      <c r="J48" s="241"/>
      <c r="K48" s="241"/>
      <c r="L48" s="241"/>
      <c r="M48" s="241"/>
      <c r="N48" s="572">
        <f>(SUMIFS($E$16:$E$75,$D$16:$D$75,$D48)*SUMIFS('GWP &amp; Emission Factors '!$F$154:$F$242,'GWP &amp; Emission Factors '!$E$154:$E$242,$E$14)+SUMIFS($F$16:$F$75,$D$16:$D$75,$D48)*SUMIFS('GWP &amp; Emission Factors '!$F$154:$F$242,'GWP &amp; Emission Factors '!$E$154:$E$242,$F$14)+SUMIFS($G$16:$G$75,$D$16:$D$75,$D48)*SUMIFS('GWP &amp; Emission Factors '!$F$154:$F$242,'GWP &amp; Emission Factors '!$E$154:$E$242,$G$14)+SUMIFS($H$16:$H$75,$D$16:$D$75,$D48)*SUMIFS('GWP &amp; Emission Factors '!$F$154:$F$242,'GWP &amp; Emission Factors '!$E$154:$E$242,$H$14)+SUMIFS($I$16:$I$75,$D$16:$D$75,$D48)*SUMIFS('GWP &amp; Emission Factors '!$F$154:$F$242,'GWP &amp; Emission Factors '!$E$154:$E$242,$I$14)+SUMIFS($J$16:$J$75,$D$16:$D$75,$D48)*SUMIFS('GWP &amp; Emission Factors '!$F$154:$F$242,'GWP &amp; Emission Factors '!$E$154:$E$242,$J$14)+SUMIFS($K$16:$K$75,$D$16:$D$75,$D48)*SUMIFS('GWP &amp; Emission Factors '!$F$154:$F$242,'GWP &amp; Emission Factors '!$E$154:$E$242,$K$14))/1000</f>
        <v>0</v>
      </c>
      <c r="O48" s="572">
        <f>(SUMIFS($L$16:$L$75,$D$16:$D$75,$D48)*SUMIFS('GWP &amp; Emission Factors '!$F$154:$F$242,'GWP &amp; Emission Factors '!$E$154:$E$242,$L$14)+SUMIFS($M$16:$M$75,$D$16:$D$75,$D48)*SUMIFS('GWP &amp; Emission Factors '!$F$154:$F$242,'GWP &amp; Emission Factors '!$E$154:$E$242,$M$14))/1000</f>
        <v>0</v>
      </c>
    </row>
    <row r="49" spans="4:15" x14ac:dyDescent="0.25">
      <c r="D49" s="461" t="str">
        <f>'Project Emission Distribution'!D58</f>
        <v>AN34</v>
      </c>
      <c r="E49" s="466"/>
      <c r="F49" s="466"/>
      <c r="G49" s="466"/>
      <c r="H49" s="466"/>
      <c r="I49" s="466"/>
      <c r="J49" s="466"/>
      <c r="K49" s="466"/>
      <c r="L49" s="466"/>
      <c r="M49" s="466"/>
      <c r="N49" s="572">
        <f>(SUMIFS($E$16:$E$75,$D$16:$D$75,$D49)*SUMIFS('GWP &amp; Emission Factors '!$F$154:$F$242,'GWP &amp; Emission Factors '!$E$154:$E$242,$E$14)+SUMIFS($F$16:$F$75,$D$16:$D$75,$D49)*SUMIFS('GWP &amp; Emission Factors '!$F$154:$F$242,'GWP &amp; Emission Factors '!$E$154:$E$242,$F$14)+SUMIFS($G$16:$G$75,$D$16:$D$75,$D49)*SUMIFS('GWP &amp; Emission Factors '!$F$154:$F$242,'GWP &amp; Emission Factors '!$E$154:$E$242,$G$14)+SUMIFS($H$16:$H$75,$D$16:$D$75,$D49)*SUMIFS('GWP &amp; Emission Factors '!$F$154:$F$242,'GWP &amp; Emission Factors '!$E$154:$E$242,$H$14)+SUMIFS($I$16:$I$75,$D$16:$D$75,$D49)*SUMIFS('GWP &amp; Emission Factors '!$F$154:$F$242,'GWP &amp; Emission Factors '!$E$154:$E$242,$I$14)+SUMIFS($J$16:$J$75,$D$16:$D$75,$D49)*SUMIFS('GWP &amp; Emission Factors '!$F$154:$F$242,'GWP &amp; Emission Factors '!$E$154:$E$242,$J$14)+SUMIFS($K$16:$K$75,$D$16:$D$75,$D49)*SUMIFS('GWP &amp; Emission Factors '!$F$154:$F$242,'GWP &amp; Emission Factors '!$E$154:$E$242,$K$14))/1000</f>
        <v>0</v>
      </c>
      <c r="O49" s="572">
        <f>(SUMIFS($L$16:$L$75,$D$16:$D$75,$D49)*SUMIFS('GWP &amp; Emission Factors '!$F$154:$F$242,'GWP &amp; Emission Factors '!$E$154:$E$242,$L$14)+SUMIFS($M$16:$M$75,$D$16:$D$75,$D49)*SUMIFS('GWP &amp; Emission Factors '!$F$154:$F$242,'GWP &amp; Emission Factors '!$E$154:$E$242,$M$14))/1000</f>
        <v>0</v>
      </c>
    </row>
    <row r="50" spans="4:15" x14ac:dyDescent="0.25">
      <c r="D50" s="461" t="str">
        <f>'Project Emission Distribution'!D59</f>
        <v>AN35</v>
      </c>
      <c r="E50" s="241"/>
      <c r="F50" s="241"/>
      <c r="G50" s="241"/>
      <c r="H50" s="241"/>
      <c r="I50" s="241"/>
      <c r="J50" s="241"/>
      <c r="K50" s="241"/>
      <c r="L50" s="241"/>
      <c r="M50" s="241"/>
      <c r="N50" s="572">
        <f>(SUMIFS($E$16:$E$75,$D$16:$D$75,$D50)*SUMIFS('GWP &amp; Emission Factors '!$F$154:$F$242,'GWP &amp; Emission Factors '!$E$154:$E$242,$E$14)+SUMIFS($F$16:$F$75,$D$16:$D$75,$D50)*SUMIFS('GWP &amp; Emission Factors '!$F$154:$F$242,'GWP &amp; Emission Factors '!$E$154:$E$242,$F$14)+SUMIFS($G$16:$G$75,$D$16:$D$75,$D50)*SUMIFS('GWP &amp; Emission Factors '!$F$154:$F$242,'GWP &amp; Emission Factors '!$E$154:$E$242,$G$14)+SUMIFS($H$16:$H$75,$D$16:$D$75,$D50)*SUMIFS('GWP &amp; Emission Factors '!$F$154:$F$242,'GWP &amp; Emission Factors '!$E$154:$E$242,$H$14)+SUMIFS($I$16:$I$75,$D$16:$D$75,$D50)*SUMIFS('GWP &amp; Emission Factors '!$F$154:$F$242,'GWP &amp; Emission Factors '!$E$154:$E$242,$I$14)+SUMIFS($J$16:$J$75,$D$16:$D$75,$D50)*SUMIFS('GWP &amp; Emission Factors '!$F$154:$F$242,'GWP &amp; Emission Factors '!$E$154:$E$242,$J$14)+SUMIFS($K$16:$K$75,$D$16:$D$75,$D50)*SUMIFS('GWP &amp; Emission Factors '!$F$154:$F$242,'GWP &amp; Emission Factors '!$E$154:$E$242,$K$14))/1000</f>
        <v>0</v>
      </c>
      <c r="O50" s="572">
        <f>(SUMIFS($L$16:$L$75,$D$16:$D$75,$D50)*SUMIFS('GWP &amp; Emission Factors '!$F$154:$F$242,'GWP &amp; Emission Factors '!$E$154:$E$242,$L$14)+SUMIFS($M$16:$M$75,$D$16:$D$75,$D50)*SUMIFS('GWP &amp; Emission Factors '!$F$154:$F$242,'GWP &amp; Emission Factors '!$E$154:$E$242,$M$14))/1000</f>
        <v>0</v>
      </c>
    </row>
    <row r="51" spans="4:15" x14ac:dyDescent="0.25">
      <c r="D51" s="461" t="str">
        <f>'Project Emission Distribution'!D60</f>
        <v>AN36</v>
      </c>
      <c r="E51" s="466"/>
      <c r="F51" s="466"/>
      <c r="G51" s="466"/>
      <c r="H51" s="466"/>
      <c r="I51" s="466"/>
      <c r="J51" s="466"/>
      <c r="K51" s="466"/>
      <c r="L51" s="466"/>
      <c r="M51" s="466"/>
      <c r="N51" s="572">
        <f>(SUMIFS($E$16:$E$75,$D$16:$D$75,$D51)*SUMIFS('GWP &amp; Emission Factors '!$F$154:$F$242,'GWP &amp; Emission Factors '!$E$154:$E$242,$E$14)+SUMIFS($F$16:$F$75,$D$16:$D$75,$D51)*SUMIFS('GWP &amp; Emission Factors '!$F$154:$F$242,'GWP &amp; Emission Factors '!$E$154:$E$242,$F$14)+SUMIFS($G$16:$G$75,$D$16:$D$75,$D51)*SUMIFS('GWP &amp; Emission Factors '!$F$154:$F$242,'GWP &amp; Emission Factors '!$E$154:$E$242,$G$14)+SUMIFS($H$16:$H$75,$D$16:$D$75,$D51)*SUMIFS('GWP &amp; Emission Factors '!$F$154:$F$242,'GWP &amp; Emission Factors '!$E$154:$E$242,$H$14)+SUMIFS($I$16:$I$75,$D$16:$D$75,$D51)*SUMIFS('GWP &amp; Emission Factors '!$F$154:$F$242,'GWP &amp; Emission Factors '!$E$154:$E$242,$I$14)+SUMIFS($J$16:$J$75,$D$16:$D$75,$D51)*SUMIFS('GWP &amp; Emission Factors '!$F$154:$F$242,'GWP &amp; Emission Factors '!$E$154:$E$242,$J$14)+SUMIFS($K$16:$K$75,$D$16:$D$75,$D51)*SUMIFS('GWP &amp; Emission Factors '!$F$154:$F$242,'GWP &amp; Emission Factors '!$E$154:$E$242,$K$14))/1000</f>
        <v>0</v>
      </c>
      <c r="O51" s="572">
        <f>(SUMIFS($L$16:$L$75,$D$16:$D$75,$D51)*SUMIFS('GWP &amp; Emission Factors '!$F$154:$F$242,'GWP &amp; Emission Factors '!$E$154:$E$242,$L$14)+SUMIFS($M$16:$M$75,$D$16:$D$75,$D51)*SUMIFS('GWP &amp; Emission Factors '!$F$154:$F$242,'GWP &amp; Emission Factors '!$E$154:$E$242,$M$14))/1000</f>
        <v>0</v>
      </c>
    </row>
    <row r="52" spans="4:15" x14ac:dyDescent="0.25">
      <c r="D52" s="461" t="str">
        <f>'Project Emission Distribution'!D61</f>
        <v>AN37</v>
      </c>
      <c r="E52" s="241"/>
      <c r="F52" s="241"/>
      <c r="G52" s="241"/>
      <c r="H52" s="241"/>
      <c r="I52" s="241"/>
      <c r="J52" s="241"/>
      <c r="K52" s="241"/>
      <c r="L52" s="241"/>
      <c r="M52" s="241"/>
      <c r="N52" s="572">
        <f>(SUMIFS($E$16:$E$75,$D$16:$D$75,$D52)*SUMIFS('GWP &amp; Emission Factors '!$F$154:$F$242,'GWP &amp; Emission Factors '!$E$154:$E$242,$E$14)+SUMIFS($F$16:$F$75,$D$16:$D$75,$D52)*SUMIFS('GWP &amp; Emission Factors '!$F$154:$F$242,'GWP &amp; Emission Factors '!$E$154:$E$242,$F$14)+SUMIFS($G$16:$G$75,$D$16:$D$75,$D52)*SUMIFS('GWP &amp; Emission Factors '!$F$154:$F$242,'GWP &amp; Emission Factors '!$E$154:$E$242,$G$14)+SUMIFS($H$16:$H$75,$D$16:$D$75,$D52)*SUMIFS('GWP &amp; Emission Factors '!$F$154:$F$242,'GWP &amp; Emission Factors '!$E$154:$E$242,$H$14)+SUMIFS($I$16:$I$75,$D$16:$D$75,$D52)*SUMIFS('GWP &amp; Emission Factors '!$F$154:$F$242,'GWP &amp; Emission Factors '!$E$154:$E$242,$I$14)+SUMIFS($J$16:$J$75,$D$16:$D$75,$D52)*SUMIFS('GWP &amp; Emission Factors '!$F$154:$F$242,'GWP &amp; Emission Factors '!$E$154:$E$242,$J$14)+SUMIFS($K$16:$K$75,$D$16:$D$75,$D52)*SUMIFS('GWP &amp; Emission Factors '!$F$154:$F$242,'GWP &amp; Emission Factors '!$E$154:$E$242,$K$14))/1000</f>
        <v>0</v>
      </c>
      <c r="O52" s="572">
        <f>(SUMIFS($L$16:$L$75,$D$16:$D$75,$D52)*SUMIFS('GWP &amp; Emission Factors '!$F$154:$F$242,'GWP &amp; Emission Factors '!$E$154:$E$242,$L$14)+SUMIFS($M$16:$M$75,$D$16:$D$75,$D52)*SUMIFS('GWP &amp; Emission Factors '!$F$154:$F$242,'GWP &amp; Emission Factors '!$E$154:$E$242,$M$14))/1000</f>
        <v>0</v>
      </c>
    </row>
    <row r="53" spans="4:15" x14ac:dyDescent="0.25">
      <c r="D53" s="461" t="str">
        <f>'Project Emission Distribution'!D62</f>
        <v>AN38</v>
      </c>
      <c r="E53" s="466"/>
      <c r="F53" s="466"/>
      <c r="G53" s="466"/>
      <c r="H53" s="466"/>
      <c r="I53" s="466"/>
      <c r="J53" s="466"/>
      <c r="K53" s="466"/>
      <c r="L53" s="466"/>
      <c r="M53" s="466"/>
      <c r="N53" s="572">
        <f>(SUMIFS($E$16:$E$75,$D$16:$D$75,$D53)*SUMIFS('GWP &amp; Emission Factors '!$F$154:$F$242,'GWP &amp; Emission Factors '!$E$154:$E$242,$E$14)+SUMIFS($F$16:$F$75,$D$16:$D$75,$D53)*SUMIFS('GWP &amp; Emission Factors '!$F$154:$F$242,'GWP &amp; Emission Factors '!$E$154:$E$242,$F$14)+SUMIFS($G$16:$G$75,$D$16:$D$75,$D53)*SUMIFS('GWP &amp; Emission Factors '!$F$154:$F$242,'GWP &amp; Emission Factors '!$E$154:$E$242,$G$14)+SUMIFS($H$16:$H$75,$D$16:$D$75,$D53)*SUMIFS('GWP &amp; Emission Factors '!$F$154:$F$242,'GWP &amp; Emission Factors '!$E$154:$E$242,$H$14)+SUMIFS($I$16:$I$75,$D$16:$D$75,$D53)*SUMIFS('GWP &amp; Emission Factors '!$F$154:$F$242,'GWP &amp; Emission Factors '!$E$154:$E$242,$I$14)+SUMIFS($J$16:$J$75,$D$16:$D$75,$D53)*SUMIFS('GWP &amp; Emission Factors '!$F$154:$F$242,'GWP &amp; Emission Factors '!$E$154:$E$242,$J$14)+SUMIFS($K$16:$K$75,$D$16:$D$75,$D53)*SUMIFS('GWP &amp; Emission Factors '!$F$154:$F$242,'GWP &amp; Emission Factors '!$E$154:$E$242,$K$14))/1000</f>
        <v>0</v>
      </c>
      <c r="O53" s="572">
        <f>(SUMIFS($L$16:$L$75,$D$16:$D$75,$D53)*SUMIFS('GWP &amp; Emission Factors '!$F$154:$F$242,'GWP &amp; Emission Factors '!$E$154:$E$242,$L$14)+SUMIFS($M$16:$M$75,$D$16:$D$75,$D53)*SUMIFS('GWP &amp; Emission Factors '!$F$154:$F$242,'GWP &amp; Emission Factors '!$E$154:$E$242,$M$14))/1000</f>
        <v>0</v>
      </c>
    </row>
    <row r="54" spans="4:15" x14ac:dyDescent="0.25">
      <c r="D54" s="461" t="str">
        <f>'Project Emission Distribution'!D63</f>
        <v>AN39</v>
      </c>
      <c r="E54" s="241"/>
      <c r="F54" s="241"/>
      <c r="G54" s="241"/>
      <c r="H54" s="241"/>
      <c r="I54" s="241"/>
      <c r="J54" s="241"/>
      <c r="K54" s="241"/>
      <c r="L54" s="241"/>
      <c r="M54" s="241"/>
      <c r="N54" s="572">
        <f>(SUMIFS($E$16:$E$75,$D$16:$D$75,$D54)*SUMIFS('GWP &amp; Emission Factors '!$F$154:$F$242,'GWP &amp; Emission Factors '!$E$154:$E$242,$E$14)+SUMIFS($F$16:$F$75,$D$16:$D$75,$D54)*SUMIFS('GWP &amp; Emission Factors '!$F$154:$F$242,'GWP &amp; Emission Factors '!$E$154:$E$242,$F$14)+SUMIFS($G$16:$G$75,$D$16:$D$75,$D54)*SUMIFS('GWP &amp; Emission Factors '!$F$154:$F$242,'GWP &amp; Emission Factors '!$E$154:$E$242,$G$14)+SUMIFS($H$16:$H$75,$D$16:$D$75,$D54)*SUMIFS('GWP &amp; Emission Factors '!$F$154:$F$242,'GWP &amp; Emission Factors '!$E$154:$E$242,$H$14)+SUMIFS($I$16:$I$75,$D$16:$D$75,$D54)*SUMIFS('GWP &amp; Emission Factors '!$F$154:$F$242,'GWP &amp; Emission Factors '!$E$154:$E$242,$I$14)+SUMIFS($J$16:$J$75,$D$16:$D$75,$D54)*SUMIFS('GWP &amp; Emission Factors '!$F$154:$F$242,'GWP &amp; Emission Factors '!$E$154:$E$242,$J$14)+SUMIFS($K$16:$K$75,$D$16:$D$75,$D54)*SUMIFS('GWP &amp; Emission Factors '!$F$154:$F$242,'GWP &amp; Emission Factors '!$E$154:$E$242,$K$14))/1000</f>
        <v>0</v>
      </c>
      <c r="O54" s="572">
        <f>(SUMIFS($L$16:$L$75,$D$16:$D$75,$D54)*SUMIFS('GWP &amp; Emission Factors '!$F$154:$F$242,'GWP &amp; Emission Factors '!$E$154:$E$242,$L$14)+SUMIFS($M$16:$M$75,$D$16:$D$75,$D54)*SUMIFS('GWP &amp; Emission Factors '!$F$154:$F$242,'GWP &amp; Emission Factors '!$E$154:$E$242,$M$14))/1000</f>
        <v>0</v>
      </c>
    </row>
    <row r="55" spans="4:15" x14ac:dyDescent="0.25">
      <c r="D55" s="461" t="str">
        <f>'Project Emission Distribution'!D64</f>
        <v>AN40</v>
      </c>
      <c r="E55" s="466"/>
      <c r="F55" s="466"/>
      <c r="G55" s="466"/>
      <c r="H55" s="466"/>
      <c r="I55" s="466"/>
      <c r="J55" s="466"/>
      <c r="K55" s="466"/>
      <c r="L55" s="466"/>
      <c r="M55" s="466"/>
      <c r="N55" s="572">
        <f>(SUMIFS($E$16:$E$75,$D$16:$D$75,$D55)*SUMIFS('GWP &amp; Emission Factors '!$F$154:$F$242,'GWP &amp; Emission Factors '!$E$154:$E$242,$E$14)+SUMIFS($F$16:$F$75,$D$16:$D$75,$D55)*SUMIFS('GWP &amp; Emission Factors '!$F$154:$F$242,'GWP &amp; Emission Factors '!$E$154:$E$242,$F$14)+SUMIFS($G$16:$G$75,$D$16:$D$75,$D55)*SUMIFS('GWP &amp; Emission Factors '!$F$154:$F$242,'GWP &amp; Emission Factors '!$E$154:$E$242,$G$14)+SUMIFS($H$16:$H$75,$D$16:$D$75,$D55)*SUMIFS('GWP &amp; Emission Factors '!$F$154:$F$242,'GWP &amp; Emission Factors '!$E$154:$E$242,$H$14)+SUMIFS($I$16:$I$75,$D$16:$D$75,$D55)*SUMIFS('GWP &amp; Emission Factors '!$F$154:$F$242,'GWP &amp; Emission Factors '!$E$154:$E$242,$I$14)+SUMIFS($J$16:$J$75,$D$16:$D$75,$D55)*SUMIFS('GWP &amp; Emission Factors '!$F$154:$F$242,'GWP &amp; Emission Factors '!$E$154:$E$242,$J$14)+SUMIFS($K$16:$K$75,$D$16:$D$75,$D55)*SUMIFS('GWP &amp; Emission Factors '!$F$154:$F$242,'GWP &amp; Emission Factors '!$E$154:$E$242,$K$14))/1000</f>
        <v>0</v>
      </c>
      <c r="O55" s="572">
        <f>(SUMIFS($L$16:$L$75,$D$16:$D$75,$D55)*SUMIFS('GWP &amp; Emission Factors '!$F$154:$F$242,'GWP &amp; Emission Factors '!$E$154:$E$242,$L$14)+SUMIFS($M$16:$M$75,$D$16:$D$75,$D55)*SUMIFS('GWP &amp; Emission Factors '!$F$154:$F$242,'GWP &amp; Emission Factors '!$E$154:$E$242,$M$14))/1000</f>
        <v>0</v>
      </c>
    </row>
    <row r="56" spans="4:15" x14ac:dyDescent="0.25">
      <c r="D56" s="461" t="str">
        <f>'Project Emission Distribution'!D65</f>
        <v>AN41</v>
      </c>
      <c r="E56" s="241"/>
      <c r="F56" s="241"/>
      <c r="G56" s="241"/>
      <c r="H56" s="241"/>
      <c r="I56" s="241"/>
      <c r="J56" s="241"/>
      <c r="K56" s="241"/>
      <c r="L56" s="241"/>
      <c r="M56" s="241"/>
      <c r="N56" s="572">
        <f>(SUMIFS($E$16:$E$75,$D$16:$D$75,$D56)*SUMIFS('GWP &amp; Emission Factors '!$F$154:$F$242,'GWP &amp; Emission Factors '!$E$154:$E$242,$E$14)+SUMIFS($F$16:$F$75,$D$16:$D$75,$D56)*SUMIFS('GWP &amp; Emission Factors '!$F$154:$F$242,'GWP &amp; Emission Factors '!$E$154:$E$242,$F$14)+SUMIFS($G$16:$G$75,$D$16:$D$75,$D56)*SUMIFS('GWP &amp; Emission Factors '!$F$154:$F$242,'GWP &amp; Emission Factors '!$E$154:$E$242,$G$14)+SUMIFS($H$16:$H$75,$D$16:$D$75,$D56)*SUMIFS('GWP &amp; Emission Factors '!$F$154:$F$242,'GWP &amp; Emission Factors '!$E$154:$E$242,$H$14)+SUMIFS($I$16:$I$75,$D$16:$D$75,$D56)*SUMIFS('GWP &amp; Emission Factors '!$F$154:$F$242,'GWP &amp; Emission Factors '!$E$154:$E$242,$I$14)+SUMIFS($J$16:$J$75,$D$16:$D$75,$D56)*SUMIFS('GWP &amp; Emission Factors '!$F$154:$F$242,'GWP &amp; Emission Factors '!$E$154:$E$242,$J$14)+SUMIFS($K$16:$K$75,$D$16:$D$75,$D56)*SUMIFS('GWP &amp; Emission Factors '!$F$154:$F$242,'GWP &amp; Emission Factors '!$E$154:$E$242,$K$14))/1000</f>
        <v>0</v>
      </c>
      <c r="O56" s="572">
        <f>(SUMIFS($L$16:$L$75,$D$16:$D$75,$D56)*SUMIFS('GWP &amp; Emission Factors '!$F$154:$F$242,'GWP &amp; Emission Factors '!$E$154:$E$242,$L$14)+SUMIFS($M$16:$M$75,$D$16:$D$75,$D56)*SUMIFS('GWP &amp; Emission Factors '!$F$154:$F$242,'GWP &amp; Emission Factors '!$E$154:$E$242,$M$14))/1000</f>
        <v>0</v>
      </c>
    </row>
    <row r="57" spans="4:15" x14ac:dyDescent="0.25">
      <c r="D57" s="461" t="str">
        <f>'Project Emission Distribution'!D66</f>
        <v>AN42</v>
      </c>
      <c r="E57" s="466"/>
      <c r="F57" s="466"/>
      <c r="G57" s="466"/>
      <c r="H57" s="466"/>
      <c r="I57" s="466"/>
      <c r="J57" s="466"/>
      <c r="K57" s="466"/>
      <c r="L57" s="466"/>
      <c r="M57" s="466"/>
      <c r="N57" s="572">
        <f>(SUMIFS($E$16:$E$75,$D$16:$D$75,$D57)*SUMIFS('GWP &amp; Emission Factors '!$F$154:$F$242,'GWP &amp; Emission Factors '!$E$154:$E$242,$E$14)+SUMIFS($F$16:$F$75,$D$16:$D$75,$D57)*SUMIFS('GWP &amp; Emission Factors '!$F$154:$F$242,'GWP &amp; Emission Factors '!$E$154:$E$242,$F$14)+SUMIFS($G$16:$G$75,$D$16:$D$75,$D57)*SUMIFS('GWP &amp; Emission Factors '!$F$154:$F$242,'GWP &amp; Emission Factors '!$E$154:$E$242,$G$14)+SUMIFS($H$16:$H$75,$D$16:$D$75,$D57)*SUMIFS('GWP &amp; Emission Factors '!$F$154:$F$242,'GWP &amp; Emission Factors '!$E$154:$E$242,$H$14)+SUMIFS($I$16:$I$75,$D$16:$D$75,$D57)*SUMIFS('GWP &amp; Emission Factors '!$F$154:$F$242,'GWP &amp; Emission Factors '!$E$154:$E$242,$I$14)+SUMIFS($J$16:$J$75,$D$16:$D$75,$D57)*SUMIFS('GWP &amp; Emission Factors '!$F$154:$F$242,'GWP &amp; Emission Factors '!$E$154:$E$242,$J$14)+SUMIFS($K$16:$K$75,$D$16:$D$75,$D57)*SUMIFS('GWP &amp; Emission Factors '!$F$154:$F$242,'GWP &amp; Emission Factors '!$E$154:$E$242,$K$14))/1000</f>
        <v>0</v>
      </c>
      <c r="O57" s="572">
        <f>(SUMIFS($L$16:$L$75,$D$16:$D$75,$D57)*SUMIFS('GWP &amp; Emission Factors '!$F$154:$F$242,'GWP &amp; Emission Factors '!$E$154:$E$242,$L$14)+SUMIFS($M$16:$M$75,$D$16:$D$75,$D57)*SUMIFS('GWP &amp; Emission Factors '!$F$154:$F$242,'GWP &amp; Emission Factors '!$E$154:$E$242,$M$14))/1000</f>
        <v>0</v>
      </c>
    </row>
    <row r="58" spans="4:15" x14ac:dyDescent="0.25">
      <c r="D58" s="461" t="str">
        <f>'Project Emission Distribution'!D67</f>
        <v>AN43</v>
      </c>
      <c r="E58" s="241"/>
      <c r="F58" s="241"/>
      <c r="G58" s="241"/>
      <c r="H58" s="241"/>
      <c r="I58" s="241"/>
      <c r="J58" s="241"/>
      <c r="K58" s="241"/>
      <c r="L58" s="241"/>
      <c r="M58" s="241"/>
      <c r="N58" s="572">
        <f>(SUMIFS($E$16:$E$75,$D$16:$D$75,$D58)*SUMIFS('GWP &amp; Emission Factors '!$F$154:$F$242,'GWP &amp; Emission Factors '!$E$154:$E$242,$E$14)+SUMIFS($F$16:$F$75,$D$16:$D$75,$D58)*SUMIFS('GWP &amp; Emission Factors '!$F$154:$F$242,'GWP &amp; Emission Factors '!$E$154:$E$242,$F$14)+SUMIFS($G$16:$G$75,$D$16:$D$75,$D58)*SUMIFS('GWP &amp; Emission Factors '!$F$154:$F$242,'GWP &amp; Emission Factors '!$E$154:$E$242,$G$14)+SUMIFS($H$16:$H$75,$D$16:$D$75,$D58)*SUMIFS('GWP &amp; Emission Factors '!$F$154:$F$242,'GWP &amp; Emission Factors '!$E$154:$E$242,$H$14)+SUMIFS($I$16:$I$75,$D$16:$D$75,$D58)*SUMIFS('GWP &amp; Emission Factors '!$F$154:$F$242,'GWP &amp; Emission Factors '!$E$154:$E$242,$I$14)+SUMIFS($J$16:$J$75,$D$16:$D$75,$D58)*SUMIFS('GWP &amp; Emission Factors '!$F$154:$F$242,'GWP &amp; Emission Factors '!$E$154:$E$242,$J$14)+SUMIFS($K$16:$K$75,$D$16:$D$75,$D58)*SUMIFS('GWP &amp; Emission Factors '!$F$154:$F$242,'GWP &amp; Emission Factors '!$E$154:$E$242,$K$14))/1000</f>
        <v>0</v>
      </c>
      <c r="O58" s="572">
        <f>(SUMIFS($L$16:$L$75,$D$16:$D$75,$D58)*SUMIFS('GWP &amp; Emission Factors '!$F$154:$F$242,'GWP &amp; Emission Factors '!$E$154:$E$242,$L$14)+SUMIFS($M$16:$M$75,$D$16:$D$75,$D58)*SUMIFS('GWP &amp; Emission Factors '!$F$154:$F$242,'GWP &amp; Emission Factors '!$E$154:$E$242,$M$14))/1000</f>
        <v>0</v>
      </c>
    </row>
    <row r="59" spans="4:15" x14ac:dyDescent="0.25">
      <c r="D59" s="461" t="str">
        <f>'Project Emission Distribution'!D68</f>
        <v>AN44</v>
      </c>
      <c r="E59" s="466"/>
      <c r="F59" s="466"/>
      <c r="G59" s="466"/>
      <c r="H59" s="466"/>
      <c r="I59" s="466"/>
      <c r="J59" s="466"/>
      <c r="K59" s="466"/>
      <c r="L59" s="466"/>
      <c r="M59" s="466"/>
      <c r="N59" s="572">
        <f>(SUMIFS($E$16:$E$75,$D$16:$D$75,$D59)*SUMIFS('GWP &amp; Emission Factors '!$F$154:$F$242,'GWP &amp; Emission Factors '!$E$154:$E$242,$E$14)+SUMIFS($F$16:$F$75,$D$16:$D$75,$D59)*SUMIFS('GWP &amp; Emission Factors '!$F$154:$F$242,'GWP &amp; Emission Factors '!$E$154:$E$242,$F$14)+SUMIFS($G$16:$G$75,$D$16:$D$75,$D59)*SUMIFS('GWP &amp; Emission Factors '!$F$154:$F$242,'GWP &amp; Emission Factors '!$E$154:$E$242,$G$14)+SUMIFS($H$16:$H$75,$D$16:$D$75,$D59)*SUMIFS('GWP &amp; Emission Factors '!$F$154:$F$242,'GWP &amp; Emission Factors '!$E$154:$E$242,$H$14)+SUMIFS($I$16:$I$75,$D$16:$D$75,$D59)*SUMIFS('GWP &amp; Emission Factors '!$F$154:$F$242,'GWP &amp; Emission Factors '!$E$154:$E$242,$I$14)+SUMIFS($J$16:$J$75,$D$16:$D$75,$D59)*SUMIFS('GWP &amp; Emission Factors '!$F$154:$F$242,'GWP &amp; Emission Factors '!$E$154:$E$242,$J$14)+SUMIFS($K$16:$K$75,$D$16:$D$75,$D59)*SUMIFS('GWP &amp; Emission Factors '!$F$154:$F$242,'GWP &amp; Emission Factors '!$E$154:$E$242,$K$14))/1000</f>
        <v>0</v>
      </c>
      <c r="O59" s="572">
        <f>(SUMIFS($L$16:$L$75,$D$16:$D$75,$D59)*SUMIFS('GWP &amp; Emission Factors '!$F$154:$F$242,'GWP &amp; Emission Factors '!$E$154:$E$242,$L$14)+SUMIFS($M$16:$M$75,$D$16:$D$75,$D59)*SUMIFS('GWP &amp; Emission Factors '!$F$154:$F$242,'GWP &amp; Emission Factors '!$E$154:$E$242,$M$14))/1000</f>
        <v>0</v>
      </c>
    </row>
    <row r="60" spans="4:15" x14ac:dyDescent="0.25">
      <c r="D60" s="461" t="str">
        <f>'Project Emission Distribution'!D69</f>
        <v>AN45</v>
      </c>
      <c r="E60" s="241"/>
      <c r="F60" s="241"/>
      <c r="G60" s="241"/>
      <c r="H60" s="241"/>
      <c r="I60" s="241"/>
      <c r="J60" s="241"/>
      <c r="K60" s="241"/>
      <c r="L60" s="241"/>
      <c r="M60" s="241"/>
      <c r="N60" s="572">
        <f>(SUMIFS($E$16:$E$75,$D$16:$D$75,$D60)*SUMIFS('GWP &amp; Emission Factors '!$F$154:$F$242,'GWP &amp; Emission Factors '!$E$154:$E$242,$E$14)+SUMIFS($F$16:$F$75,$D$16:$D$75,$D60)*SUMIFS('GWP &amp; Emission Factors '!$F$154:$F$242,'GWP &amp; Emission Factors '!$E$154:$E$242,$F$14)+SUMIFS($G$16:$G$75,$D$16:$D$75,$D60)*SUMIFS('GWP &amp; Emission Factors '!$F$154:$F$242,'GWP &amp; Emission Factors '!$E$154:$E$242,$G$14)+SUMIFS($H$16:$H$75,$D$16:$D$75,$D60)*SUMIFS('GWP &amp; Emission Factors '!$F$154:$F$242,'GWP &amp; Emission Factors '!$E$154:$E$242,$H$14)+SUMIFS($I$16:$I$75,$D$16:$D$75,$D60)*SUMIFS('GWP &amp; Emission Factors '!$F$154:$F$242,'GWP &amp; Emission Factors '!$E$154:$E$242,$I$14)+SUMIFS($J$16:$J$75,$D$16:$D$75,$D60)*SUMIFS('GWP &amp; Emission Factors '!$F$154:$F$242,'GWP &amp; Emission Factors '!$E$154:$E$242,$J$14)+SUMIFS($K$16:$K$75,$D$16:$D$75,$D60)*SUMIFS('GWP &amp; Emission Factors '!$F$154:$F$242,'GWP &amp; Emission Factors '!$E$154:$E$242,$K$14))/1000</f>
        <v>0</v>
      </c>
      <c r="O60" s="572">
        <f>(SUMIFS($L$16:$L$75,$D$16:$D$75,$D60)*SUMIFS('GWP &amp; Emission Factors '!$F$154:$F$242,'GWP &amp; Emission Factors '!$E$154:$E$242,$L$14)+SUMIFS($M$16:$M$75,$D$16:$D$75,$D60)*SUMIFS('GWP &amp; Emission Factors '!$F$154:$F$242,'GWP &amp; Emission Factors '!$E$154:$E$242,$M$14))/1000</f>
        <v>0</v>
      </c>
    </row>
    <row r="61" spans="4:15" x14ac:dyDescent="0.25">
      <c r="D61" s="461" t="str">
        <f>'Project Emission Distribution'!D70</f>
        <v>AN46</v>
      </c>
      <c r="E61" s="466"/>
      <c r="F61" s="466"/>
      <c r="G61" s="466"/>
      <c r="H61" s="466"/>
      <c r="I61" s="466"/>
      <c r="J61" s="466"/>
      <c r="K61" s="466"/>
      <c r="L61" s="466"/>
      <c r="M61" s="466"/>
      <c r="N61" s="572">
        <f>(SUMIFS($E$16:$E$75,$D$16:$D$75,$D61)*SUMIFS('GWP &amp; Emission Factors '!$F$154:$F$242,'GWP &amp; Emission Factors '!$E$154:$E$242,$E$14)+SUMIFS($F$16:$F$75,$D$16:$D$75,$D61)*SUMIFS('GWP &amp; Emission Factors '!$F$154:$F$242,'GWP &amp; Emission Factors '!$E$154:$E$242,$F$14)+SUMIFS($G$16:$G$75,$D$16:$D$75,$D61)*SUMIFS('GWP &amp; Emission Factors '!$F$154:$F$242,'GWP &amp; Emission Factors '!$E$154:$E$242,$G$14)+SUMIFS($H$16:$H$75,$D$16:$D$75,$D61)*SUMIFS('GWP &amp; Emission Factors '!$F$154:$F$242,'GWP &amp; Emission Factors '!$E$154:$E$242,$H$14)+SUMIFS($I$16:$I$75,$D$16:$D$75,$D61)*SUMIFS('GWP &amp; Emission Factors '!$F$154:$F$242,'GWP &amp; Emission Factors '!$E$154:$E$242,$I$14)+SUMIFS($J$16:$J$75,$D$16:$D$75,$D61)*SUMIFS('GWP &amp; Emission Factors '!$F$154:$F$242,'GWP &amp; Emission Factors '!$E$154:$E$242,$J$14)+SUMIFS($K$16:$K$75,$D$16:$D$75,$D61)*SUMIFS('GWP &amp; Emission Factors '!$F$154:$F$242,'GWP &amp; Emission Factors '!$E$154:$E$242,$K$14))/1000</f>
        <v>0</v>
      </c>
      <c r="O61" s="572">
        <f>(SUMIFS($L$16:$L$75,$D$16:$D$75,$D61)*SUMIFS('GWP &amp; Emission Factors '!$F$154:$F$242,'GWP &amp; Emission Factors '!$E$154:$E$242,$L$14)+SUMIFS($M$16:$M$75,$D$16:$D$75,$D61)*SUMIFS('GWP &amp; Emission Factors '!$F$154:$F$242,'GWP &amp; Emission Factors '!$E$154:$E$242,$M$14))/1000</f>
        <v>0</v>
      </c>
    </row>
    <row r="62" spans="4:15" x14ac:dyDescent="0.25">
      <c r="D62" s="461" t="str">
        <f>'Project Emission Distribution'!D71</f>
        <v>AN47</v>
      </c>
      <c r="E62" s="241"/>
      <c r="F62" s="241"/>
      <c r="G62" s="241"/>
      <c r="H62" s="241"/>
      <c r="I62" s="241"/>
      <c r="J62" s="241"/>
      <c r="K62" s="241"/>
      <c r="L62" s="241"/>
      <c r="M62" s="241"/>
      <c r="N62" s="572">
        <f>(SUMIFS($E$16:$E$75,$D$16:$D$75,$D62)*SUMIFS('GWP &amp; Emission Factors '!$F$154:$F$242,'GWP &amp; Emission Factors '!$E$154:$E$242,$E$14)+SUMIFS($F$16:$F$75,$D$16:$D$75,$D62)*SUMIFS('GWP &amp; Emission Factors '!$F$154:$F$242,'GWP &amp; Emission Factors '!$E$154:$E$242,$F$14)+SUMIFS($G$16:$G$75,$D$16:$D$75,$D62)*SUMIFS('GWP &amp; Emission Factors '!$F$154:$F$242,'GWP &amp; Emission Factors '!$E$154:$E$242,$G$14)+SUMIFS($H$16:$H$75,$D$16:$D$75,$D62)*SUMIFS('GWP &amp; Emission Factors '!$F$154:$F$242,'GWP &amp; Emission Factors '!$E$154:$E$242,$H$14)+SUMIFS($I$16:$I$75,$D$16:$D$75,$D62)*SUMIFS('GWP &amp; Emission Factors '!$F$154:$F$242,'GWP &amp; Emission Factors '!$E$154:$E$242,$I$14)+SUMIFS($J$16:$J$75,$D$16:$D$75,$D62)*SUMIFS('GWP &amp; Emission Factors '!$F$154:$F$242,'GWP &amp; Emission Factors '!$E$154:$E$242,$J$14)+SUMIFS($K$16:$K$75,$D$16:$D$75,$D62)*SUMIFS('GWP &amp; Emission Factors '!$F$154:$F$242,'GWP &amp; Emission Factors '!$E$154:$E$242,$K$14))/1000</f>
        <v>0</v>
      </c>
      <c r="O62" s="572">
        <f>(SUMIFS($L$16:$L$75,$D$16:$D$75,$D62)*SUMIFS('GWP &amp; Emission Factors '!$F$154:$F$242,'GWP &amp; Emission Factors '!$E$154:$E$242,$L$14)+SUMIFS($M$16:$M$75,$D$16:$D$75,$D62)*SUMIFS('GWP &amp; Emission Factors '!$F$154:$F$242,'GWP &amp; Emission Factors '!$E$154:$E$242,$M$14))/1000</f>
        <v>0</v>
      </c>
    </row>
    <row r="63" spans="4:15" x14ac:dyDescent="0.25">
      <c r="D63" s="461" t="str">
        <f>'Project Emission Distribution'!D72</f>
        <v>AN48</v>
      </c>
      <c r="E63" s="466"/>
      <c r="F63" s="466"/>
      <c r="G63" s="466"/>
      <c r="H63" s="466"/>
      <c r="I63" s="466"/>
      <c r="J63" s="466"/>
      <c r="K63" s="466"/>
      <c r="L63" s="466"/>
      <c r="M63" s="466"/>
      <c r="N63" s="572">
        <f>(SUMIFS($E$16:$E$75,$D$16:$D$75,$D63)*SUMIFS('GWP &amp; Emission Factors '!$F$154:$F$242,'GWP &amp; Emission Factors '!$E$154:$E$242,$E$14)+SUMIFS($F$16:$F$75,$D$16:$D$75,$D63)*SUMIFS('GWP &amp; Emission Factors '!$F$154:$F$242,'GWP &amp; Emission Factors '!$E$154:$E$242,$F$14)+SUMIFS($G$16:$G$75,$D$16:$D$75,$D63)*SUMIFS('GWP &amp; Emission Factors '!$F$154:$F$242,'GWP &amp; Emission Factors '!$E$154:$E$242,$G$14)+SUMIFS($H$16:$H$75,$D$16:$D$75,$D63)*SUMIFS('GWP &amp; Emission Factors '!$F$154:$F$242,'GWP &amp; Emission Factors '!$E$154:$E$242,$H$14)+SUMIFS($I$16:$I$75,$D$16:$D$75,$D63)*SUMIFS('GWP &amp; Emission Factors '!$F$154:$F$242,'GWP &amp; Emission Factors '!$E$154:$E$242,$I$14)+SUMIFS($J$16:$J$75,$D$16:$D$75,$D63)*SUMIFS('GWP &amp; Emission Factors '!$F$154:$F$242,'GWP &amp; Emission Factors '!$E$154:$E$242,$J$14)+SUMIFS($K$16:$K$75,$D$16:$D$75,$D63)*SUMIFS('GWP &amp; Emission Factors '!$F$154:$F$242,'GWP &amp; Emission Factors '!$E$154:$E$242,$K$14))/1000</f>
        <v>0</v>
      </c>
      <c r="O63" s="572">
        <f>(SUMIFS($L$16:$L$75,$D$16:$D$75,$D63)*SUMIFS('GWP &amp; Emission Factors '!$F$154:$F$242,'GWP &amp; Emission Factors '!$E$154:$E$242,$L$14)+SUMIFS($M$16:$M$75,$D$16:$D$75,$D63)*SUMIFS('GWP &amp; Emission Factors '!$F$154:$F$242,'GWP &amp; Emission Factors '!$E$154:$E$242,$M$14))/1000</f>
        <v>0</v>
      </c>
    </row>
    <row r="64" spans="4:15" x14ac:dyDescent="0.25">
      <c r="D64" s="461" t="str">
        <f>'Project Emission Distribution'!D73</f>
        <v>AN49</v>
      </c>
      <c r="E64" s="241"/>
      <c r="F64" s="241"/>
      <c r="G64" s="241"/>
      <c r="H64" s="241"/>
      <c r="I64" s="241"/>
      <c r="J64" s="241"/>
      <c r="K64" s="241"/>
      <c r="L64" s="241"/>
      <c r="M64" s="241"/>
      <c r="N64" s="572">
        <f>(SUMIFS($E$16:$E$75,$D$16:$D$75,$D64)*SUMIFS('GWP &amp; Emission Factors '!$F$154:$F$242,'GWP &amp; Emission Factors '!$E$154:$E$242,$E$14)+SUMIFS($F$16:$F$75,$D$16:$D$75,$D64)*SUMIFS('GWP &amp; Emission Factors '!$F$154:$F$242,'GWP &amp; Emission Factors '!$E$154:$E$242,$F$14)+SUMIFS($G$16:$G$75,$D$16:$D$75,$D64)*SUMIFS('GWP &amp; Emission Factors '!$F$154:$F$242,'GWP &amp; Emission Factors '!$E$154:$E$242,$G$14)+SUMIFS($H$16:$H$75,$D$16:$D$75,$D64)*SUMIFS('GWP &amp; Emission Factors '!$F$154:$F$242,'GWP &amp; Emission Factors '!$E$154:$E$242,$H$14)+SUMIFS($I$16:$I$75,$D$16:$D$75,$D64)*SUMIFS('GWP &amp; Emission Factors '!$F$154:$F$242,'GWP &amp; Emission Factors '!$E$154:$E$242,$I$14)+SUMIFS($J$16:$J$75,$D$16:$D$75,$D64)*SUMIFS('GWP &amp; Emission Factors '!$F$154:$F$242,'GWP &amp; Emission Factors '!$E$154:$E$242,$J$14)+SUMIFS($K$16:$K$75,$D$16:$D$75,$D64)*SUMIFS('GWP &amp; Emission Factors '!$F$154:$F$242,'GWP &amp; Emission Factors '!$E$154:$E$242,$K$14))/1000</f>
        <v>0</v>
      </c>
      <c r="O64" s="572">
        <f>(SUMIFS($L$16:$L$75,$D$16:$D$75,$D64)*SUMIFS('GWP &amp; Emission Factors '!$F$154:$F$242,'GWP &amp; Emission Factors '!$E$154:$E$242,$L$14)+SUMIFS($M$16:$M$75,$D$16:$D$75,$D64)*SUMIFS('GWP &amp; Emission Factors '!$F$154:$F$242,'GWP &amp; Emission Factors '!$E$154:$E$242,$M$14))/1000</f>
        <v>0</v>
      </c>
    </row>
    <row r="65" spans="4:15" x14ac:dyDescent="0.25">
      <c r="D65" s="461" t="str">
        <f>'Project Emission Distribution'!D74</f>
        <v>AN50</v>
      </c>
      <c r="E65" s="466"/>
      <c r="F65" s="466"/>
      <c r="G65" s="466"/>
      <c r="H65" s="466"/>
      <c r="I65" s="466"/>
      <c r="J65" s="466"/>
      <c r="K65" s="466"/>
      <c r="L65" s="466"/>
      <c r="M65" s="466"/>
      <c r="N65" s="572">
        <f>(SUMIFS($E$16:$E$75,$D$16:$D$75,$D65)*SUMIFS('GWP &amp; Emission Factors '!$F$154:$F$242,'GWP &amp; Emission Factors '!$E$154:$E$242,$E$14)+SUMIFS($F$16:$F$75,$D$16:$D$75,$D65)*SUMIFS('GWP &amp; Emission Factors '!$F$154:$F$242,'GWP &amp; Emission Factors '!$E$154:$E$242,$F$14)+SUMIFS($G$16:$G$75,$D$16:$D$75,$D65)*SUMIFS('GWP &amp; Emission Factors '!$F$154:$F$242,'GWP &amp; Emission Factors '!$E$154:$E$242,$G$14)+SUMIFS($H$16:$H$75,$D$16:$D$75,$D65)*SUMIFS('GWP &amp; Emission Factors '!$F$154:$F$242,'GWP &amp; Emission Factors '!$E$154:$E$242,$H$14)+SUMIFS($I$16:$I$75,$D$16:$D$75,$D65)*SUMIFS('GWP &amp; Emission Factors '!$F$154:$F$242,'GWP &amp; Emission Factors '!$E$154:$E$242,$I$14)+SUMIFS($J$16:$J$75,$D$16:$D$75,$D65)*SUMIFS('GWP &amp; Emission Factors '!$F$154:$F$242,'GWP &amp; Emission Factors '!$E$154:$E$242,$J$14)+SUMIFS($K$16:$K$75,$D$16:$D$75,$D65)*SUMIFS('GWP &amp; Emission Factors '!$F$154:$F$242,'GWP &amp; Emission Factors '!$E$154:$E$242,$K$14))/1000</f>
        <v>0</v>
      </c>
      <c r="O65" s="572">
        <f>(SUMIFS($L$16:$L$75,$D$16:$D$75,$D65)*SUMIFS('GWP &amp; Emission Factors '!$F$154:$F$242,'GWP &amp; Emission Factors '!$E$154:$E$242,$L$14)+SUMIFS($M$16:$M$75,$D$16:$D$75,$D65)*SUMIFS('GWP &amp; Emission Factors '!$F$154:$F$242,'GWP &amp; Emission Factors '!$E$154:$E$242,$M$14))/1000</f>
        <v>0</v>
      </c>
    </row>
    <row r="66" spans="4:15" x14ac:dyDescent="0.25">
      <c r="D66" s="461" t="str">
        <f>'Project Emission Distribution'!D75</f>
        <v>AN51</v>
      </c>
      <c r="E66" s="241"/>
      <c r="F66" s="241"/>
      <c r="G66" s="241"/>
      <c r="H66" s="241"/>
      <c r="I66" s="241"/>
      <c r="J66" s="241"/>
      <c r="K66" s="241"/>
      <c r="L66" s="241"/>
      <c r="M66" s="241"/>
      <c r="N66" s="572">
        <f>(SUMIFS($E$16:$E$75,$D$16:$D$75,$D66)*SUMIFS('GWP &amp; Emission Factors '!$F$154:$F$242,'GWP &amp; Emission Factors '!$E$154:$E$242,$E$14)+SUMIFS($F$16:$F$75,$D$16:$D$75,$D66)*SUMIFS('GWP &amp; Emission Factors '!$F$154:$F$242,'GWP &amp; Emission Factors '!$E$154:$E$242,$F$14)+SUMIFS($G$16:$G$75,$D$16:$D$75,$D66)*SUMIFS('GWP &amp; Emission Factors '!$F$154:$F$242,'GWP &amp; Emission Factors '!$E$154:$E$242,$G$14)+SUMIFS($H$16:$H$75,$D$16:$D$75,$D66)*SUMIFS('GWP &amp; Emission Factors '!$F$154:$F$242,'GWP &amp; Emission Factors '!$E$154:$E$242,$H$14)+SUMIFS($I$16:$I$75,$D$16:$D$75,$D66)*SUMIFS('GWP &amp; Emission Factors '!$F$154:$F$242,'GWP &amp; Emission Factors '!$E$154:$E$242,$I$14)+SUMIFS($J$16:$J$75,$D$16:$D$75,$D66)*SUMIFS('GWP &amp; Emission Factors '!$F$154:$F$242,'GWP &amp; Emission Factors '!$E$154:$E$242,$J$14)+SUMIFS($K$16:$K$75,$D$16:$D$75,$D66)*SUMIFS('GWP &amp; Emission Factors '!$F$154:$F$242,'GWP &amp; Emission Factors '!$E$154:$E$242,$K$14))/1000</f>
        <v>0</v>
      </c>
      <c r="O66" s="572">
        <f>(SUMIFS($L$16:$L$75,$D$16:$D$75,$D66)*SUMIFS('GWP &amp; Emission Factors '!$F$154:$F$242,'GWP &amp; Emission Factors '!$E$154:$E$242,$L$14)+SUMIFS($M$16:$M$75,$D$16:$D$75,$D66)*SUMIFS('GWP &amp; Emission Factors '!$F$154:$F$242,'GWP &amp; Emission Factors '!$E$154:$E$242,$M$14))/1000</f>
        <v>0</v>
      </c>
    </row>
    <row r="67" spans="4:15" x14ac:dyDescent="0.25">
      <c r="D67" s="461" t="str">
        <f>'Project Emission Distribution'!D76</f>
        <v>AN52</v>
      </c>
      <c r="E67" s="466"/>
      <c r="F67" s="466"/>
      <c r="G67" s="466"/>
      <c r="H67" s="466"/>
      <c r="I67" s="466"/>
      <c r="J67" s="466"/>
      <c r="K67" s="466"/>
      <c r="L67" s="466"/>
      <c r="M67" s="466"/>
      <c r="N67" s="572">
        <f>(SUMIFS($E$16:$E$75,$D$16:$D$75,$D67)*SUMIFS('GWP &amp; Emission Factors '!$F$154:$F$242,'GWP &amp; Emission Factors '!$E$154:$E$242,$E$14)+SUMIFS($F$16:$F$75,$D$16:$D$75,$D67)*SUMIFS('GWP &amp; Emission Factors '!$F$154:$F$242,'GWP &amp; Emission Factors '!$E$154:$E$242,$F$14)+SUMIFS($G$16:$G$75,$D$16:$D$75,$D67)*SUMIFS('GWP &amp; Emission Factors '!$F$154:$F$242,'GWP &amp; Emission Factors '!$E$154:$E$242,$G$14)+SUMIFS($H$16:$H$75,$D$16:$D$75,$D67)*SUMIFS('GWP &amp; Emission Factors '!$F$154:$F$242,'GWP &amp; Emission Factors '!$E$154:$E$242,$H$14)+SUMIFS($I$16:$I$75,$D$16:$D$75,$D67)*SUMIFS('GWP &amp; Emission Factors '!$F$154:$F$242,'GWP &amp; Emission Factors '!$E$154:$E$242,$I$14)+SUMIFS($J$16:$J$75,$D$16:$D$75,$D67)*SUMIFS('GWP &amp; Emission Factors '!$F$154:$F$242,'GWP &amp; Emission Factors '!$E$154:$E$242,$J$14)+SUMIFS($K$16:$K$75,$D$16:$D$75,$D67)*SUMIFS('GWP &amp; Emission Factors '!$F$154:$F$242,'GWP &amp; Emission Factors '!$E$154:$E$242,$K$14))/1000</f>
        <v>0</v>
      </c>
      <c r="O67" s="572">
        <f>(SUMIFS($L$16:$L$75,$D$16:$D$75,$D67)*SUMIFS('GWP &amp; Emission Factors '!$F$154:$F$242,'GWP &amp; Emission Factors '!$E$154:$E$242,$L$14)+SUMIFS($M$16:$M$75,$D$16:$D$75,$D67)*SUMIFS('GWP &amp; Emission Factors '!$F$154:$F$242,'GWP &amp; Emission Factors '!$E$154:$E$242,$M$14))/1000</f>
        <v>0</v>
      </c>
    </row>
    <row r="68" spans="4:15" x14ac:dyDescent="0.25">
      <c r="D68" s="461" t="str">
        <f>'Project Emission Distribution'!D77</f>
        <v>AN53</v>
      </c>
      <c r="E68" s="241"/>
      <c r="F68" s="241"/>
      <c r="G68" s="241"/>
      <c r="H68" s="241"/>
      <c r="I68" s="241"/>
      <c r="J68" s="241"/>
      <c r="K68" s="241"/>
      <c r="L68" s="241"/>
      <c r="M68" s="241"/>
      <c r="N68" s="572">
        <f>(SUMIFS($E$16:$E$75,$D$16:$D$75,$D68)*SUMIFS('GWP &amp; Emission Factors '!$F$154:$F$242,'GWP &amp; Emission Factors '!$E$154:$E$242,$E$14)+SUMIFS($F$16:$F$75,$D$16:$D$75,$D68)*SUMIFS('GWP &amp; Emission Factors '!$F$154:$F$242,'GWP &amp; Emission Factors '!$E$154:$E$242,$F$14)+SUMIFS($G$16:$G$75,$D$16:$D$75,$D68)*SUMIFS('GWP &amp; Emission Factors '!$F$154:$F$242,'GWP &amp; Emission Factors '!$E$154:$E$242,$G$14)+SUMIFS($H$16:$H$75,$D$16:$D$75,$D68)*SUMIFS('GWP &amp; Emission Factors '!$F$154:$F$242,'GWP &amp; Emission Factors '!$E$154:$E$242,$H$14)+SUMIFS($I$16:$I$75,$D$16:$D$75,$D68)*SUMIFS('GWP &amp; Emission Factors '!$F$154:$F$242,'GWP &amp; Emission Factors '!$E$154:$E$242,$I$14)+SUMIFS($J$16:$J$75,$D$16:$D$75,$D68)*SUMIFS('GWP &amp; Emission Factors '!$F$154:$F$242,'GWP &amp; Emission Factors '!$E$154:$E$242,$J$14)+SUMIFS($K$16:$K$75,$D$16:$D$75,$D68)*SUMIFS('GWP &amp; Emission Factors '!$F$154:$F$242,'GWP &amp; Emission Factors '!$E$154:$E$242,$K$14))/1000</f>
        <v>0</v>
      </c>
      <c r="O68" s="572">
        <f>(SUMIFS($L$16:$L$75,$D$16:$D$75,$D68)*SUMIFS('GWP &amp; Emission Factors '!$F$154:$F$242,'GWP &amp; Emission Factors '!$E$154:$E$242,$L$14)+SUMIFS($M$16:$M$75,$D$16:$D$75,$D68)*SUMIFS('GWP &amp; Emission Factors '!$F$154:$F$242,'GWP &amp; Emission Factors '!$E$154:$E$242,$M$14))/1000</f>
        <v>0</v>
      </c>
    </row>
    <row r="69" spans="4:15" x14ac:dyDescent="0.25">
      <c r="D69" s="461" t="str">
        <f>'Project Emission Distribution'!D78</f>
        <v>AN54</v>
      </c>
      <c r="E69" s="466"/>
      <c r="F69" s="466"/>
      <c r="G69" s="466"/>
      <c r="H69" s="466"/>
      <c r="I69" s="466"/>
      <c r="J69" s="466"/>
      <c r="K69" s="466"/>
      <c r="L69" s="466"/>
      <c r="M69" s="466"/>
      <c r="N69" s="572">
        <f>(SUMIFS($E$16:$E$75,$D$16:$D$75,$D69)*SUMIFS('GWP &amp; Emission Factors '!$F$154:$F$242,'GWP &amp; Emission Factors '!$E$154:$E$242,$E$14)+SUMIFS($F$16:$F$75,$D$16:$D$75,$D69)*SUMIFS('GWP &amp; Emission Factors '!$F$154:$F$242,'GWP &amp; Emission Factors '!$E$154:$E$242,$F$14)+SUMIFS($G$16:$G$75,$D$16:$D$75,$D69)*SUMIFS('GWP &amp; Emission Factors '!$F$154:$F$242,'GWP &amp; Emission Factors '!$E$154:$E$242,$G$14)+SUMIFS($H$16:$H$75,$D$16:$D$75,$D69)*SUMIFS('GWP &amp; Emission Factors '!$F$154:$F$242,'GWP &amp; Emission Factors '!$E$154:$E$242,$H$14)+SUMIFS($I$16:$I$75,$D$16:$D$75,$D69)*SUMIFS('GWP &amp; Emission Factors '!$F$154:$F$242,'GWP &amp; Emission Factors '!$E$154:$E$242,$I$14)+SUMIFS($J$16:$J$75,$D$16:$D$75,$D69)*SUMIFS('GWP &amp; Emission Factors '!$F$154:$F$242,'GWP &amp; Emission Factors '!$E$154:$E$242,$J$14)+SUMIFS($K$16:$K$75,$D$16:$D$75,$D69)*SUMIFS('GWP &amp; Emission Factors '!$F$154:$F$242,'GWP &amp; Emission Factors '!$E$154:$E$242,$K$14))/1000</f>
        <v>0</v>
      </c>
      <c r="O69" s="572">
        <f>(SUMIFS($L$16:$L$75,$D$16:$D$75,$D69)*SUMIFS('GWP &amp; Emission Factors '!$F$154:$F$242,'GWP &amp; Emission Factors '!$E$154:$E$242,$L$14)+SUMIFS($M$16:$M$75,$D$16:$D$75,$D69)*SUMIFS('GWP &amp; Emission Factors '!$F$154:$F$242,'GWP &amp; Emission Factors '!$E$154:$E$242,$M$14))/1000</f>
        <v>0</v>
      </c>
    </row>
    <row r="70" spans="4:15" x14ac:dyDescent="0.25">
      <c r="D70" s="461" t="str">
        <f>'Project Emission Distribution'!D79</f>
        <v>AN55</v>
      </c>
      <c r="E70" s="241"/>
      <c r="F70" s="241"/>
      <c r="G70" s="241"/>
      <c r="H70" s="241"/>
      <c r="I70" s="241"/>
      <c r="J70" s="241"/>
      <c r="K70" s="241"/>
      <c r="L70" s="241"/>
      <c r="M70" s="241"/>
      <c r="N70" s="572">
        <f>(SUMIFS($E$16:$E$75,$D$16:$D$75,$D70)*SUMIFS('GWP &amp; Emission Factors '!$F$154:$F$242,'GWP &amp; Emission Factors '!$E$154:$E$242,$E$14)+SUMIFS($F$16:$F$75,$D$16:$D$75,$D70)*SUMIFS('GWP &amp; Emission Factors '!$F$154:$F$242,'GWP &amp; Emission Factors '!$E$154:$E$242,$F$14)+SUMIFS($G$16:$G$75,$D$16:$D$75,$D70)*SUMIFS('GWP &amp; Emission Factors '!$F$154:$F$242,'GWP &amp; Emission Factors '!$E$154:$E$242,$G$14)+SUMIFS($H$16:$H$75,$D$16:$D$75,$D70)*SUMIFS('GWP &amp; Emission Factors '!$F$154:$F$242,'GWP &amp; Emission Factors '!$E$154:$E$242,$H$14)+SUMIFS($I$16:$I$75,$D$16:$D$75,$D70)*SUMIFS('GWP &amp; Emission Factors '!$F$154:$F$242,'GWP &amp; Emission Factors '!$E$154:$E$242,$I$14)+SUMIFS($J$16:$J$75,$D$16:$D$75,$D70)*SUMIFS('GWP &amp; Emission Factors '!$F$154:$F$242,'GWP &amp; Emission Factors '!$E$154:$E$242,$J$14)+SUMIFS($K$16:$K$75,$D$16:$D$75,$D70)*SUMIFS('GWP &amp; Emission Factors '!$F$154:$F$242,'GWP &amp; Emission Factors '!$E$154:$E$242,$K$14))/1000</f>
        <v>0</v>
      </c>
      <c r="O70" s="572">
        <f>(SUMIFS($L$16:$L$75,$D$16:$D$75,$D70)*SUMIFS('GWP &amp; Emission Factors '!$F$154:$F$242,'GWP &amp; Emission Factors '!$E$154:$E$242,$L$14)+SUMIFS($M$16:$M$75,$D$16:$D$75,$D70)*SUMIFS('GWP &amp; Emission Factors '!$F$154:$F$242,'GWP &amp; Emission Factors '!$E$154:$E$242,$M$14))/1000</f>
        <v>0</v>
      </c>
    </row>
    <row r="71" spans="4:15" x14ac:dyDescent="0.25">
      <c r="D71" s="461" t="str">
        <f>'Project Emission Distribution'!D80</f>
        <v>AN56</v>
      </c>
      <c r="E71" s="466"/>
      <c r="F71" s="466"/>
      <c r="G71" s="466"/>
      <c r="H71" s="466"/>
      <c r="I71" s="466"/>
      <c r="J71" s="466"/>
      <c r="K71" s="466"/>
      <c r="L71" s="466"/>
      <c r="M71" s="466"/>
      <c r="N71" s="572">
        <f>(SUMIFS($E$16:$E$75,$D$16:$D$75,$D71)*SUMIFS('GWP &amp; Emission Factors '!$F$154:$F$242,'GWP &amp; Emission Factors '!$E$154:$E$242,$E$14)+SUMIFS($F$16:$F$75,$D$16:$D$75,$D71)*SUMIFS('GWP &amp; Emission Factors '!$F$154:$F$242,'GWP &amp; Emission Factors '!$E$154:$E$242,$F$14)+SUMIFS($G$16:$G$75,$D$16:$D$75,$D71)*SUMIFS('GWP &amp; Emission Factors '!$F$154:$F$242,'GWP &amp; Emission Factors '!$E$154:$E$242,$G$14)+SUMIFS($H$16:$H$75,$D$16:$D$75,$D71)*SUMIFS('GWP &amp; Emission Factors '!$F$154:$F$242,'GWP &amp; Emission Factors '!$E$154:$E$242,$H$14)+SUMIFS($I$16:$I$75,$D$16:$D$75,$D71)*SUMIFS('GWP &amp; Emission Factors '!$F$154:$F$242,'GWP &amp; Emission Factors '!$E$154:$E$242,$I$14)+SUMIFS($J$16:$J$75,$D$16:$D$75,$D71)*SUMIFS('GWP &amp; Emission Factors '!$F$154:$F$242,'GWP &amp; Emission Factors '!$E$154:$E$242,$J$14)+SUMIFS($K$16:$K$75,$D$16:$D$75,$D71)*SUMIFS('GWP &amp; Emission Factors '!$F$154:$F$242,'GWP &amp; Emission Factors '!$E$154:$E$242,$K$14))/1000</f>
        <v>0</v>
      </c>
      <c r="O71" s="572">
        <f>(SUMIFS($L$16:$L$75,$D$16:$D$75,$D71)*SUMIFS('GWP &amp; Emission Factors '!$F$154:$F$242,'GWP &amp; Emission Factors '!$E$154:$E$242,$L$14)+SUMIFS($M$16:$M$75,$D$16:$D$75,$D71)*SUMIFS('GWP &amp; Emission Factors '!$F$154:$F$242,'GWP &amp; Emission Factors '!$E$154:$E$242,$M$14))/1000</f>
        <v>0</v>
      </c>
    </row>
    <row r="72" spans="4:15" x14ac:dyDescent="0.25">
      <c r="D72" s="461" t="str">
        <f>'Project Emission Distribution'!D81</f>
        <v>AN57</v>
      </c>
      <c r="E72" s="241"/>
      <c r="F72" s="241"/>
      <c r="G72" s="241"/>
      <c r="H72" s="241"/>
      <c r="I72" s="241"/>
      <c r="J72" s="241"/>
      <c r="K72" s="241"/>
      <c r="L72" s="241"/>
      <c r="M72" s="241"/>
      <c r="N72" s="572">
        <f>(SUMIFS($E$16:$E$75,$D$16:$D$75,$D72)*SUMIFS('GWP &amp; Emission Factors '!$F$154:$F$242,'GWP &amp; Emission Factors '!$E$154:$E$242,$E$14)+SUMIFS($F$16:$F$75,$D$16:$D$75,$D72)*SUMIFS('GWP &amp; Emission Factors '!$F$154:$F$242,'GWP &amp; Emission Factors '!$E$154:$E$242,$F$14)+SUMIFS($G$16:$G$75,$D$16:$D$75,$D72)*SUMIFS('GWP &amp; Emission Factors '!$F$154:$F$242,'GWP &amp; Emission Factors '!$E$154:$E$242,$G$14)+SUMIFS($H$16:$H$75,$D$16:$D$75,$D72)*SUMIFS('GWP &amp; Emission Factors '!$F$154:$F$242,'GWP &amp; Emission Factors '!$E$154:$E$242,$H$14)+SUMIFS($I$16:$I$75,$D$16:$D$75,$D72)*SUMIFS('GWP &amp; Emission Factors '!$F$154:$F$242,'GWP &amp; Emission Factors '!$E$154:$E$242,$I$14)+SUMIFS($J$16:$J$75,$D$16:$D$75,$D72)*SUMIFS('GWP &amp; Emission Factors '!$F$154:$F$242,'GWP &amp; Emission Factors '!$E$154:$E$242,$J$14)+SUMIFS($K$16:$K$75,$D$16:$D$75,$D72)*SUMIFS('GWP &amp; Emission Factors '!$F$154:$F$242,'GWP &amp; Emission Factors '!$E$154:$E$242,$K$14))/1000</f>
        <v>0</v>
      </c>
      <c r="O72" s="572">
        <f>(SUMIFS($L$16:$L$75,$D$16:$D$75,$D72)*SUMIFS('GWP &amp; Emission Factors '!$F$154:$F$242,'GWP &amp; Emission Factors '!$E$154:$E$242,$L$14)+SUMIFS($M$16:$M$75,$D$16:$D$75,$D72)*SUMIFS('GWP &amp; Emission Factors '!$F$154:$F$242,'GWP &amp; Emission Factors '!$E$154:$E$242,$M$14))/1000</f>
        <v>0</v>
      </c>
    </row>
    <row r="73" spans="4:15" x14ac:dyDescent="0.25">
      <c r="D73" s="461" t="str">
        <f>'Project Emission Distribution'!D82</f>
        <v>AN58</v>
      </c>
      <c r="E73" s="466"/>
      <c r="F73" s="466"/>
      <c r="G73" s="466"/>
      <c r="H73" s="466"/>
      <c r="I73" s="466"/>
      <c r="J73" s="466"/>
      <c r="K73" s="466"/>
      <c r="L73" s="466"/>
      <c r="M73" s="466"/>
      <c r="N73" s="572">
        <f>(SUMIFS($E$16:$E$75,$D$16:$D$75,$D73)*SUMIFS('GWP &amp; Emission Factors '!$F$154:$F$242,'GWP &amp; Emission Factors '!$E$154:$E$242,$E$14)+SUMIFS($F$16:$F$75,$D$16:$D$75,$D73)*SUMIFS('GWP &amp; Emission Factors '!$F$154:$F$242,'GWP &amp; Emission Factors '!$E$154:$E$242,$F$14)+SUMIFS($G$16:$G$75,$D$16:$D$75,$D73)*SUMIFS('GWP &amp; Emission Factors '!$F$154:$F$242,'GWP &amp; Emission Factors '!$E$154:$E$242,$G$14)+SUMIFS($H$16:$H$75,$D$16:$D$75,$D73)*SUMIFS('GWP &amp; Emission Factors '!$F$154:$F$242,'GWP &amp; Emission Factors '!$E$154:$E$242,$H$14)+SUMIFS($I$16:$I$75,$D$16:$D$75,$D73)*SUMIFS('GWP &amp; Emission Factors '!$F$154:$F$242,'GWP &amp; Emission Factors '!$E$154:$E$242,$I$14)+SUMIFS($J$16:$J$75,$D$16:$D$75,$D73)*SUMIFS('GWP &amp; Emission Factors '!$F$154:$F$242,'GWP &amp; Emission Factors '!$E$154:$E$242,$J$14)+SUMIFS($K$16:$K$75,$D$16:$D$75,$D73)*SUMIFS('GWP &amp; Emission Factors '!$F$154:$F$242,'GWP &amp; Emission Factors '!$E$154:$E$242,$K$14))/1000</f>
        <v>0</v>
      </c>
      <c r="O73" s="572">
        <f>(SUMIFS($L$16:$L$75,$D$16:$D$75,$D73)*SUMIFS('GWP &amp; Emission Factors '!$F$154:$F$242,'GWP &amp; Emission Factors '!$E$154:$E$242,$L$14)+SUMIFS($M$16:$M$75,$D$16:$D$75,$D73)*SUMIFS('GWP &amp; Emission Factors '!$F$154:$F$242,'GWP &amp; Emission Factors '!$E$154:$E$242,$M$14))/1000</f>
        <v>0</v>
      </c>
    </row>
    <row r="74" spans="4:15" x14ac:dyDescent="0.25">
      <c r="D74" s="461" t="str">
        <f>'Project Emission Distribution'!D83</f>
        <v>AN59</v>
      </c>
      <c r="E74" s="241"/>
      <c r="F74" s="241"/>
      <c r="G74" s="241"/>
      <c r="H74" s="241"/>
      <c r="I74" s="241"/>
      <c r="J74" s="241"/>
      <c r="K74" s="241"/>
      <c r="L74" s="241"/>
      <c r="M74" s="241"/>
      <c r="N74" s="572">
        <f>(SUMIFS($E$16:$E$75,$D$16:$D$75,$D74)*SUMIFS('GWP &amp; Emission Factors '!$F$154:$F$242,'GWP &amp; Emission Factors '!$E$154:$E$242,$E$14)+SUMIFS($F$16:$F$75,$D$16:$D$75,$D74)*SUMIFS('GWP &amp; Emission Factors '!$F$154:$F$242,'GWP &amp; Emission Factors '!$E$154:$E$242,$F$14)+SUMIFS($G$16:$G$75,$D$16:$D$75,$D74)*SUMIFS('GWP &amp; Emission Factors '!$F$154:$F$242,'GWP &amp; Emission Factors '!$E$154:$E$242,$G$14)+SUMIFS($H$16:$H$75,$D$16:$D$75,$D74)*SUMIFS('GWP &amp; Emission Factors '!$F$154:$F$242,'GWP &amp; Emission Factors '!$E$154:$E$242,$H$14)+SUMIFS($I$16:$I$75,$D$16:$D$75,$D74)*SUMIFS('GWP &amp; Emission Factors '!$F$154:$F$242,'GWP &amp; Emission Factors '!$E$154:$E$242,$I$14)+SUMIFS($J$16:$J$75,$D$16:$D$75,$D74)*SUMIFS('GWP &amp; Emission Factors '!$F$154:$F$242,'GWP &amp; Emission Factors '!$E$154:$E$242,$J$14)+SUMIFS($K$16:$K$75,$D$16:$D$75,$D74)*SUMIFS('GWP &amp; Emission Factors '!$F$154:$F$242,'GWP &amp; Emission Factors '!$E$154:$E$242,$K$14))/1000</f>
        <v>0</v>
      </c>
      <c r="O74" s="572">
        <f>(SUMIFS($L$16:$L$75,$D$16:$D$75,$D74)*SUMIFS('GWP &amp; Emission Factors '!$F$154:$F$242,'GWP &amp; Emission Factors '!$E$154:$E$242,$L$14)+SUMIFS($M$16:$M$75,$D$16:$D$75,$D74)*SUMIFS('GWP &amp; Emission Factors '!$F$154:$F$242,'GWP &amp; Emission Factors '!$E$154:$E$242,$M$14))/1000</f>
        <v>0</v>
      </c>
    </row>
    <row r="75" spans="4:15" x14ac:dyDescent="0.25">
      <c r="D75" s="461" t="str">
        <f>'Project Emission Distribution'!D84</f>
        <v>AN60</v>
      </c>
      <c r="E75" s="466"/>
      <c r="F75" s="466"/>
      <c r="G75" s="466"/>
      <c r="H75" s="466"/>
      <c r="I75" s="466"/>
      <c r="J75" s="466"/>
      <c r="K75" s="466"/>
      <c r="L75" s="466"/>
      <c r="M75" s="466"/>
      <c r="N75" s="572">
        <f>(SUMIFS($E$16:$E$75,$D$16:$D$75,$D75)*SUMIFS('GWP &amp; Emission Factors '!$F$154:$F$242,'GWP &amp; Emission Factors '!$E$154:$E$242,$E$14)+SUMIFS($F$16:$F$75,$D$16:$D$75,$D75)*SUMIFS('GWP &amp; Emission Factors '!$F$154:$F$242,'GWP &amp; Emission Factors '!$E$154:$E$242,$F$14)+SUMIFS($G$16:$G$75,$D$16:$D$75,$D75)*SUMIFS('GWP &amp; Emission Factors '!$F$154:$F$242,'GWP &amp; Emission Factors '!$E$154:$E$242,$G$14)+SUMIFS($H$16:$H$75,$D$16:$D$75,$D75)*SUMIFS('GWP &amp; Emission Factors '!$F$154:$F$242,'GWP &amp; Emission Factors '!$E$154:$E$242,$H$14)+SUMIFS($I$16:$I$75,$D$16:$D$75,$D75)*SUMIFS('GWP &amp; Emission Factors '!$F$154:$F$242,'GWP &amp; Emission Factors '!$E$154:$E$242,$I$14)+SUMIFS($J$16:$J$75,$D$16:$D$75,$D75)*SUMIFS('GWP &amp; Emission Factors '!$F$154:$F$242,'GWP &amp; Emission Factors '!$E$154:$E$242,$J$14)+SUMIFS($K$16:$K$75,$D$16:$D$75,$D75)*SUMIFS('GWP &amp; Emission Factors '!$F$154:$F$242,'GWP &amp; Emission Factors '!$E$154:$E$242,$K$14))/1000</f>
        <v>0</v>
      </c>
      <c r="O75" s="572">
        <f>(SUMIFS($L$16:$L$75,$D$16:$D$75,$D75)*SUMIFS('GWP &amp; Emission Factors '!$F$154:$F$242,'GWP &amp; Emission Factors '!$E$154:$E$242,$L$14)+SUMIFS($M$16:$M$75,$D$16:$D$75,$D75)*SUMIFS('GWP &amp; Emission Factors '!$F$154:$F$242,'GWP &amp; Emission Factors '!$E$154:$E$242,$M$14))/1000</f>
        <v>0</v>
      </c>
    </row>
    <row r="76" spans="4:15" x14ac:dyDescent="0.25">
      <c r="D76" s="461" t="s">
        <v>116</v>
      </c>
      <c r="E76" s="567">
        <f>SUM(E16:E75)</f>
        <v>0</v>
      </c>
      <c r="F76" s="567">
        <f t="shared" ref="F76:O76" si="0">SUM(F16:F75)</f>
        <v>0</v>
      </c>
      <c r="G76" s="567">
        <f t="shared" si="0"/>
        <v>0</v>
      </c>
      <c r="H76" s="567">
        <f t="shared" si="0"/>
        <v>0</v>
      </c>
      <c r="I76" s="567">
        <f t="shared" si="0"/>
        <v>0</v>
      </c>
      <c r="J76" s="567">
        <f t="shared" si="0"/>
        <v>0</v>
      </c>
      <c r="K76" s="567">
        <f t="shared" si="0"/>
        <v>0</v>
      </c>
      <c r="L76" s="567">
        <f t="shared" si="0"/>
        <v>0</v>
      </c>
      <c r="M76" s="567">
        <f t="shared" si="0"/>
        <v>0</v>
      </c>
      <c r="N76" s="567">
        <f t="shared" si="0"/>
        <v>0</v>
      </c>
      <c r="O76" s="567">
        <f t="shared" si="0"/>
        <v>0</v>
      </c>
    </row>
    <row r="78" spans="4:15" x14ac:dyDescent="0.25">
      <c r="D78" s="111"/>
      <c r="N78" s="392"/>
    </row>
    <row r="79" spans="4:15" x14ac:dyDescent="0.25">
      <c r="D79" s="111"/>
      <c r="N79" s="392"/>
    </row>
    <row r="80" spans="4:15" x14ac:dyDescent="0.25">
      <c r="D80" s="111"/>
      <c r="E80" s="111"/>
      <c r="N80" s="392"/>
    </row>
    <row r="81" spans="4:14" x14ac:dyDescent="0.25">
      <c r="D81" s="111"/>
      <c r="E81" s="111"/>
      <c r="N81" s="392"/>
    </row>
    <row r="82" spans="4:14" x14ac:dyDescent="0.25">
      <c r="D82" s="111"/>
      <c r="E82" s="111"/>
      <c r="N82" s="392"/>
    </row>
    <row r="83" spans="4:14" x14ac:dyDescent="0.25">
      <c r="D83" s="111"/>
      <c r="E83" s="111"/>
      <c r="N83" s="392"/>
    </row>
    <row r="84" spans="4:14" hidden="1" x14ac:dyDescent="0.25">
      <c r="D84" s="111"/>
      <c r="E84" s="111"/>
      <c r="G84" s="1" t="s">
        <v>36</v>
      </c>
      <c r="N84" s="392"/>
    </row>
    <row r="85" spans="4:14" hidden="1" x14ac:dyDescent="0.25">
      <c r="D85" s="51"/>
      <c r="E85" s="51" t="s">
        <v>439</v>
      </c>
      <c r="H85" s="1" t="s">
        <v>1596</v>
      </c>
      <c r="M85" s="392"/>
    </row>
    <row r="86" spans="4:14" hidden="1" x14ac:dyDescent="0.25">
      <c r="D86" s="44" t="s">
        <v>438</v>
      </c>
      <c r="E86" s="686">
        <f>1/1000</f>
        <v>1E-3</v>
      </c>
      <c r="H86" s="51" t="s">
        <v>1812</v>
      </c>
      <c r="I86" s="51">
        <v>1200</v>
      </c>
      <c r="M86" s="392"/>
    </row>
    <row r="87" spans="4:14" hidden="1" x14ac:dyDescent="0.25">
      <c r="D87" s="44" t="s">
        <v>442</v>
      </c>
      <c r="E87" s="686">
        <v>1</v>
      </c>
      <c r="H87" s="51" t="s">
        <v>1819</v>
      </c>
      <c r="I87" s="51">
        <v>1190</v>
      </c>
      <c r="M87" s="392"/>
    </row>
    <row r="88" spans="4:14" hidden="1" x14ac:dyDescent="0.25">
      <c r="D88" s="44" t="s">
        <v>441</v>
      </c>
      <c r="E88" s="686">
        <f>12*25.4/1000</f>
        <v>0.30479999999999996</v>
      </c>
      <c r="H88" s="51" t="s">
        <v>1820</v>
      </c>
      <c r="I88" s="51">
        <v>1200</v>
      </c>
      <c r="M88" s="392"/>
    </row>
    <row r="89" spans="4:14" hidden="1" x14ac:dyDescent="0.25">
      <c r="D89" s="44" t="s">
        <v>440</v>
      </c>
      <c r="E89" s="686">
        <f>25.4*1/1000</f>
        <v>2.5399999999999999E-2</v>
      </c>
      <c r="H89" s="51" t="s">
        <v>1821</v>
      </c>
      <c r="I89" s="51">
        <v>1180</v>
      </c>
      <c r="M89" s="392"/>
    </row>
    <row r="90" spans="4:14" hidden="1" x14ac:dyDescent="0.25">
      <c r="D90" s="111"/>
      <c r="E90" s="111"/>
      <c r="H90" s="51" t="s">
        <v>1822</v>
      </c>
      <c r="I90" s="51">
        <v>1190</v>
      </c>
      <c r="N90" s="392"/>
    </row>
    <row r="91" spans="4:14" hidden="1" x14ac:dyDescent="0.25">
      <c r="D91" s="111"/>
      <c r="E91" s="111"/>
      <c r="H91" s="51" t="s">
        <v>1823</v>
      </c>
      <c r="I91" s="51">
        <v>1180</v>
      </c>
      <c r="N91" s="392"/>
    </row>
    <row r="92" spans="4:14" hidden="1" x14ac:dyDescent="0.25">
      <c r="D92" s="111"/>
      <c r="E92" s="111"/>
      <c r="H92" s="51" t="s">
        <v>1824</v>
      </c>
      <c r="I92" s="51">
        <v>1190</v>
      </c>
      <c r="N92" s="392"/>
    </row>
    <row r="93" spans="4:14" hidden="1" x14ac:dyDescent="0.25">
      <c r="D93" s="111"/>
      <c r="E93" s="111"/>
      <c r="H93" s="51" t="s">
        <v>1825</v>
      </c>
      <c r="I93" s="51">
        <f>1.18/1000*100*100*100</f>
        <v>1179.9999999999998</v>
      </c>
      <c r="J93" s="1" t="s">
        <v>1826</v>
      </c>
      <c r="N93" s="392"/>
    </row>
    <row r="94" spans="4:14" hidden="1" x14ac:dyDescent="0.25">
      <c r="D94" s="111"/>
      <c r="E94" s="111"/>
      <c r="H94" s="51" t="s">
        <v>1828</v>
      </c>
      <c r="I94" s="51">
        <v>1185</v>
      </c>
      <c r="N94" s="392"/>
    </row>
    <row r="95" spans="4:14" hidden="1" x14ac:dyDescent="0.25">
      <c r="D95" s="111"/>
      <c r="E95" s="111"/>
      <c r="H95" s="51" t="s">
        <v>1829</v>
      </c>
      <c r="I95" s="51">
        <v>1051</v>
      </c>
      <c r="N95" s="392"/>
    </row>
    <row r="96" spans="4:14" hidden="1" x14ac:dyDescent="0.25">
      <c r="D96" s="111"/>
      <c r="E96" s="111"/>
      <c r="N96" s="392"/>
    </row>
    <row r="97" spans="4:14" x14ac:dyDescent="0.25">
      <c r="D97" s="111"/>
      <c r="E97" s="111"/>
      <c r="N97" s="392"/>
    </row>
    <row r="98" spans="4:14" x14ac:dyDescent="0.25">
      <c r="D98" s="111"/>
      <c r="E98" s="111"/>
      <c r="N98" s="392"/>
    </row>
    <row r="99" spans="4:14" x14ac:dyDescent="0.25">
      <c r="D99" s="111"/>
      <c r="E99" s="111"/>
      <c r="N99" s="392"/>
    </row>
    <row r="100" spans="4:14" x14ac:dyDescent="0.25">
      <c r="D100" s="111"/>
      <c r="E100" s="111"/>
      <c r="N100" s="392"/>
    </row>
    <row r="101" spans="4:14" x14ac:dyDescent="0.25">
      <c r="D101" s="111"/>
      <c r="E101" s="111"/>
      <c r="N101" s="392"/>
    </row>
    <row r="102" spans="4:14" x14ac:dyDescent="0.25">
      <c r="D102" s="111"/>
      <c r="E102" s="111"/>
      <c r="N102" s="392"/>
    </row>
    <row r="103" spans="4:14" x14ac:dyDescent="0.25">
      <c r="D103" s="111"/>
      <c r="E103" s="111"/>
      <c r="N103" s="392"/>
    </row>
    <row r="104" spans="4:14" x14ac:dyDescent="0.25">
      <c r="D104" s="111"/>
      <c r="E104" s="111"/>
      <c r="N104" s="392"/>
    </row>
    <row r="105" spans="4:14" x14ac:dyDescent="0.25">
      <c r="D105" s="111"/>
      <c r="E105" s="111"/>
      <c r="N105" s="392"/>
    </row>
    <row r="106" spans="4:14" x14ac:dyDescent="0.25">
      <c r="D106" s="111"/>
      <c r="E106" s="111"/>
      <c r="N106" s="392"/>
    </row>
    <row r="107" spans="4:14" x14ac:dyDescent="0.25">
      <c r="D107" s="111"/>
      <c r="E107" s="111"/>
      <c r="N107" s="392"/>
    </row>
    <row r="108" spans="4:14" x14ac:dyDescent="0.25">
      <c r="D108" s="111"/>
      <c r="E108" s="111"/>
      <c r="N108" s="392"/>
    </row>
    <row r="109" spans="4:14" x14ac:dyDescent="0.25">
      <c r="D109" s="111"/>
      <c r="E109" s="111"/>
      <c r="N109" s="392"/>
    </row>
    <row r="110" spans="4:14" x14ac:dyDescent="0.25">
      <c r="D110" s="111"/>
      <c r="E110" s="111"/>
      <c r="N110" s="392"/>
    </row>
    <row r="111" spans="4:14" x14ac:dyDescent="0.25">
      <c r="D111" s="111"/>
      <c r="E111" s="111"/>
      <c r="N111" s="392"/>
    </row>
    <row r="112" spans="4:14" x14ac:dyDescent="0.25">
      <c r="D112" s="111"/>
      <c r="E112" s="111"/>
      <c r="N112" s="392"/>
    </row>
    <row r="113" spans="4:14" x14ac:dyDescent="0.25">
      <c r="D113" s="111"/>
      <c r="E113" s="111"/>
      <c r="N113" s="392"/>
    </row>
    <row r="114" spans="4:14" x14ac:dyDescent="0.25">
      <c r="D114" s="111"/>
      <c r="E114" s="111"/>
      <c r="N114" s="392"/>
    </row>
    <row r="115" spans="4:14" x14ac:dyDescent="0.25">
      <c r="D115" s="111"/>
      <c r="E115" s="111"/>
      <c r="N115" s="392"/>
    </row>
    <row r="116" spans="4:14" x14ac:dyDescent="0.25">
      <c r="D116" s="111"/>
      <c r="E116" s="111"/>
      <c r="N116" s="392"/>
    </row>
    <row r="117" spans="4:14" x14ac:dyDescent="0.25">
      <c r="D117" s="111"/>
      <c r="E117" s="111"/>
      <c r="N117" s="392"/>
    </row>
    <row r="118" spans="4:14" x14ac:dyDescent="0.25">
      <c r="D118" s="111"/>
      <c r="E118" s="111"/>
      <c r="N118" s="392"/>
    </row>
    <row r="119" spans="4:14" x14ac:dyDescent="0.25">
      <c r="D119" s="111"/>
      <c r="E119" s="111"/>
      <c r="N119" s="392"/>
    </row>
    <row r="120" spans="4:14" x14ac:dyDescent="0.25">
      <c r="D120" s="111"/>
      <c r="E120" s="111"/>
      <c r="N120" s="392"/>
    </row>
    <row r="121" spans="4:14" x14ac:dyDescent="0.25">
      <c r="D121" s="111"/>
      <c r="E121" s="111"/>
      <c r="N121" s="392"/>
    </row>
    <row r="122" spans="4:14" x14ac:dyDescent="0.25">
      <c r="D122" s="111"/>
      <c r="E122" s="111"/>
      <c r="N122" s="392"/>
    </row>
    <row r="123" spans="4:14" x14ac:dyDescent="0.25">
      <c r="D123" s="111"/>
      <c r="E123" s="111"/>
      <c r="N123" s="392"/>
    </row>
    <row r="124" spans="4:14" x14ac:dyDescent="0.25">
      <c r="D124" s="111"/>
      <c r="E124" s="111"/>
      <c r="N124" s="392"/>
    </row>
    <row r="125" spans="4:14" x14ac:dyDescent="0.25">
      <c r="D125" s="111"/>
      <c r="E125" s="111"/>
      <c r="N125" s="392"/>
    </row>
    <row r="126" spans="4:14" x14ac:dyDescent="0.25">
      <c r="D126" s="111"/>
      <c r="E126" s="111"/>
      <c r="N126" s="392"/>
    </row>
    <row r="127" spans="4:14" x14ac:dyDescent="0.25">
      <c r="D127" s="111"/>
      <c r="E127" s="111"/>
      <c r="N127" s="392"/>
    </row>
    <row r="128" spans="4:14" x14ac:dyDescent="0.25">
      <c r="D128" s="111"/>
      <c r="E128" s="111"/>
      <c r="N128" s="392"/>
    </row>
    <row r="129" spans="4:14" x14ac:dyDescent="0.25">
      <c r="D129" s="111"/>
      <c r="E129" s="111"/>
      <c r="N129" s="392"/>
    </row>
    <row r="130" spans="4:14" x14ac:dyDescent="0.25">
      <c r="D130" s="111"/>
      <c r="E130" s="111"/>
      <c r="N130" s="392"/>
    </row>
    <row r="131" spans="4:14" x14ac:dyDescent="0.25">
      <c r="D131" s="111"/>
      <c r="E131" s="111"/>
      <c r="N131" s="392"/>
    </row>
    <row r="132" spans="4:14" x14ac:dyDescent="0.25">
      <c r="D132" s="111"/>
      <c r="E132" s="111"/>
      <c r="N132" s="392"/>
    </row>
    <row r="133" spans="4:14" x14ac:dyDescent="0.25">
      <c r="D133" s="111"/>
      <c r="E133" s="111"/>
      <c r="N133" s="392"/>
    </row>
    <row r="134" spans="4:14" x14ac:dyDescent="0.25">
      <c r="D134" s="111"/>
      <c r="E134" s="111"/>
      <c r="N134" s="392"/>
    </row>
    <row r="135" spans="4:14" x14ac:dyDescent="0.25">
      <c r="D135" s="111"/>
      <c r="E135" s="111"/>
      <c r="N135" s="392"/>
    </row>
    <row r="136" spans="4:14" x14ac:dyDescent="0.25">
      <c r="D136" s="111"/>
      <c r="E136" s="111"/>
      <c r="N136" s="392"/>
    </row>
    <row r="137" spans="4:14" x14ac:dyDescent="0.25">
      <c r="D137" s="111"/>
      <c r="E137" s="111"/>
      <c r="N137" s="392"/>
    </row>
    <row r="138" spans="4:14" x14ac:dyDescent="0.25">
      <c r="D138" s="111"/>
      <c r="E138" s="111"/>
      <c r="N138" s="392"/>
    </row>
    <row r="139" spans="4:14" x14ac:dyDescent="0.25">
      <c r="D139" s="111"/>
      <c r="E139" s="111"/>
      <c r="N139" s="392"/>
    </row>
    <row r="140" spans="4:14" x14ac:dyDescent="0.25">
      <c r="D140" s="111"/>
      <c r="E140" s="111"/>
      <c r="N140" s="392"/>
    </row>
    <row r="141" spans="4:14" x14ac:dyDescent="0.25">
      <c r="D141" s="111"/>
      <c r="E141" s="111"/>
      <c r="N141" s="392"/>
    </row>
    <row r="142" spans="4:14" x14ac:dyDescent="0.25">
      <c r="D142" s="111"/>
      <c r="E142" s="111"/>
      <c r="N142" s="392"/>
    </row>
    <row r="143" spans="4:14" x14ac:dyDescent="0.25">
      <c r="D143" s="111"/>
      <c r="E143" s="111"/>
      <c r="N143" s="392"/>
    </row>
    <row r="144" spans="4:14" x14ac:dyDescent="0.25">
      <c r="D144" s="111"/>
      <c r="E144" s="111"/>
      <c r="N144" s="392"/>
    </row>
    <row r="145" spans="4:14" x14ac:dyDescent="0.25">
      <c r="D145" s="111"/>
      <c r="E145" s="111"/>
      <c r="N145" s="392"/>
    </row>
    <row r="146" spans="4:14" x14ac:dyDescent="0.25">
      <c r="D146" s="111"/>
      <c r="E146" s="111"/>
      <c r="N146" s="392"/>
    </row>
    <row r="147" spans="4:14" x14ac:dyDescent="0.25">
      <c r="D147" s="111"/>
      <c r="E147" s="111"/>
      <c r="N147" s="392"/>
    </row>
    <row r="148" spans="4:14" x14ac:dyDescent="0.25">
      <c r="D148" s="111"/>
      <c r="E148" s="111"/>
      <c r="N148" s="392"/>
    </row>
    <row r="149" spans="4:14" x14ac:dyDescent="0.25">
      <c r="D149" s="111"/>
      <c r="E149" s="111"/>
      <c r="N149" s="392"/>
    </row>
    <row r="150" spans="4:14" x14ac:dyDescent="0.25">
      <c r="D150" s="111"/>
      <c r="E150" s="111"/>
      <c r="N150" s="392"/>
    </row>
    <row r="151" spans="4:14" x14ac:dyDescent="0.25">
      <c r="D151" s="111"/>
      <c r="E151" s="111"/>
      <c r="N151" s="392"/>
    </row>
    <row r="152" spans="4:14" x14ac:dyDescent="0.25">
      <c r="D152" s="111"/>
      <c r="E152" s="111"/>
      <c r="N152" s="392"/>
    </row>
    <row r="153" spans="4:14" x14ac:dyDescent="0.25">
      <c r="D153" s="111"/>
      <c r="E153" s="111"/>
      <c r="N153" s="392"/>
    </row>
    <row r="154" spans="4:14" x14ac:dyDescent="0.25">
      <c r="D154" s="111"/>
      <c r="E154" s="111"/>
      <c r="N154" s="392"/>
    </row>
    <row r="155" spans="4:14" x14ac:dyDescent="0.25">
      <c r="D155" s="111"/>
      <c r="E155" s="111"/>
      <c r="N155" s="392"/>
    </row>
    <row r="156" spans="4:14" x14ac:dyDescent="0.25">
      <c r="D156" s="111"/>
      <c r="E156" s="111"/>
      <c r="N156" s="392"/>
    </row>
    <row r="157" spans="4:14" x14ac:dyDescent="0.25">
      <c r="D157" s="111"/>
      <c r="E157" s="111"/>
      <c r="N157" s="392"/>
    </row>
    <row r="158" spans="4:14" x14ac:dyDescent="0.25">
      <c r="D158" s="111"/>
      <c r="E158" s="111"/>
      <c r="N158" s="392"/>
    </row>
    <row r="159" spans="4:14" x14ac:dyDescent="0.25">
      <c r="D159" s="111"/>
      <c r="E159" s="111"/>
      <c r="N159" s="392"/>
    </row>
    <row r="160" spans="4:14" x14ac:dyDescent="0.25">
      <c r="D160" s="111"/>
      <c r="E160" s="111"/>
      <c r="N160" s="392"/>
    </row>
    <row r="161" spans="4:14" x14ac:dyDescent="0.25">
      <c r="D161" s="111"/>
      <c r="E161" s="111"/>
      <c r="N161" s="392"/>
    </row>
    <row r="162" spans="4:14" x14ac:dyDescent="0.25">
      <c r="D162" s="111"/>
      <c r="E162" s="111"/>
      <c r="N162" s="392"/>
    </row>
    <row r="163" spans="4:14" x14ac:dyDescent="0.25">
      <c r="D163" s="111"/>
      <c r="E163" s="111"/>
      <c r="N163" s="392"/>
    </row>
    <row r="164" spans="4:14" x14ac:dyDescent="0.25">
      <c r="D164" s="111"/>
      <c r="E164" s="111"/>
      <c r="N164" s="392"/>
    </row>
    <row r="165" spans="4:14" x14ac:dyDescent="0.25">
      <c r="D165" s="111"/>
      <c r="E165" s="111"/>
      <c r="N165" s="392"/>
    </row>
    <row r="166" spans="4:14" x14ac:dyDescent="0.25">
      <c r="D166" s="111"/>
      <c r="E166" s="111"/>
      <c r="N166" s="392"/>
    </row>
    <row r="167" spans="4:14" x14ac:dyDescent="0.25">
      <c r="D167" s="111"/>
      <c r="E167" s="111"/>
      <c r="N167" s="392"/>
    </row>
    <row r="168" spans="4:14" x14ac:dyDescent="0.25">
      <c r="D168" s="111"/>
      <c r="E168" s="111"/>
      <c r="N168" s="392"/>
    </row>
    <row r="169" spans="4:14" x14ac:dyDescent="0.25">
      <c r="D169" s="111"/>
      <c r="E169" s="111"/>
      <c r="N169" s="392"/>
    </row>
    <row r="170" spans="4:14" x14ac:dyDescent="0.25">
      <c r="D170" s="111"/>
      <c r="E170" s="111"/>
      <c r="N170" s="392"/>
    </row>
    <row r="171" spans="4:14" x14ac:dyDescent="0.25">
      <c r="D171" s="111"/>
      <c r="E171" s="111"/>
      <c r="N171" s="392"/>
    </row>
    <row r="172" spans="4:14" x14ac:dyDescent="0.25">
      <c r="D172" s="111"/>
      <c r="E172" s="111"/>
      <c r="N172" s="392"/>
    </row>
    <row r="173" spans="4:14" x14ac:dyDescent="0.25">
      <c r="D173" s="111"/>
      <c r="E173" s="111"/>
      <c r="N173" s="392"/>
    </row>
    <row r="174" spans="4:14" x14ac:dyDescent="0.25">
      <c r="D174" s="111"/>
      <c r="E174" s="111"/>
      <c r="N174" s="392"/>
    </row>
    <row r="175" spans="4:14" x14ac:dyDescent="0.25">
      <c r="D175" s="111"/>
      <c r="E175" s="111"/>
      <c r="N175" s="392"/>
    </row>
    <row r="176" spans="4:14" x14ac:dyDescent="0.25">
      <c r="D176" s="111"/>
      <c r="E176" s="111"/>
      <c r="N176" s="392"/>
    </row>
    <row r="177" spans="4:14" x14ac:dyDescent="0.25">
      <c r="D177" s="111"/>
      <c r="E177" s="111"/>
      <c r="N177" s="392"/>
    </row>
    <row r="178" spans="4:14" x14ac:dyDescent="0.25">
      <c r="D178" s="111"/>
      <c r="E178" s="111"/>
      <c r="N178" s="392"/>
    </row>
    <row r="179" spans="4:14" x14ac:dyDescent="0.25">
      <c r="D179" s="111"/>
      <c r="E179" s="111"/>
      <c r="N179" s="392"/>
    </row>
    <row r="180" spans="4:14" x14ac:dyDescent="0.25">
      <c r="D180" s="111"/>
      <c r="E180" s="111"/>
      <c r="N180" s="392"/>
    </row>
    <row r="181" spans="4:14" x14ac:dyDescent="0.25">
      <c r="D181" s="111"/>
      <c r="E181" s="111"/>
      <c r="N181" s="392"/>
    </row>
    <row r="182" spans="4:14" x14ac:dyDescent="0.25">
      <c r="D182" s="111"/>
      <c r="E182" s="111"/>
      <c r="N182" s="392"/>
    </row>
    <row r="183" spans="4:14" x14ac:dyDescent="0.25">
      <c r="D183" s="111"/>
      <c r="E183" s="111"/>
      <c r="N183" s="392"/>
    </row>
    <row r="184" spans="4:14" x14ac:dyDescent="0.25">
      <c r="D184" s="111"/>
      <c r="E184" s="111"/>
      <c r="N184" s="392"/>
    </row>
    <row r="185" spans="4:14" x14ac:dyDescent="0.25">
      <c r="D185" s="111"/>
      <c r="E185" s="111"/>
      <c r="N185" s="392"/>
    </row>
    <row r="186" spans="4:14" x14ac:dyDescent="0.25">
      <c r="D186" s="111"/>
      <c r="E186" s="111"/>
      <c r="N186" s="392"/>
    </row>
    <row r="187" spans="4:14" x14ac:dyDescent="0.25">
      <c r="D187" s="111"/>
      <c r="E187" s="111"/>
      <c r="N187" s="392"/>
    </row>
    <row r="188" spans="4:14" x14ac:dyDescent="0.25">
      <c r="D188" s="111"/>
      <c r="E188" s="111"/>
      <c r="N188" s="392"/>
    </row>
    <row r="189" spans="4:14" x14ac:dyDescent="0.25">
      <c r="D189" s="111"/>
      <c r="E189" s="111"/>
      <c r="N189" s="392"/>
    </row>
    <row r="190" spans="4:14" x14ac:dyDescent="0.25">
      <c r="D190" s="111"/>
      <c r="E190" s="111"/>
      <c r="N190" s="392"/>
    </row>
    <row r="191" spans="4:14" x14ac:dyDescent="0.25">
      <c r="D191" s="111"/>
      <c r="E191" s="111"/>
      <c r="N191" s="392"/>
    </row>
    <row r="192" spans="4:14" x14ac:dyDescent="0.25">
      <c r="D192" s="111"/>
      <c r="E192" s="111"/>
      <c r="N192" s="392"/>
    </row>
    <row r="193" spans="4:14" x14ac:dyDescent="0.25">
      <c r="D193" s="111"/>
      <c r="E193" s="111"/>
      <c r="N193" s="392"/>
    </row>
    <row r="194" spans="4:14" x14ac:dyDescent="0.25">
      <c r="D194" s="111"/>
      <c r="E194" s="111"/>
      <c r="N194" s="392"/>
    </row>
    <row r="195" spans="4:14" x14ac:dyDescent="0.25">
      <c r="D195" s="111"/>
      <c r="E195" s="111"/>
      <c r="N195" s="392"/>
    </row>
    <row r="196" spans="4:14" x14ac:dyDescent="0.25">
      <c r="D196" s="111"/>
      <c r="E196" s="111"/>
      <c r="N196" s="392"/>
    </row>
    <row r="197" spans="4:14" x14ac:dyDescent="0.25">
      <c r="D197" s="111"/>
      <c r="E197" s="111"/>
      <c r="N197" s="392"/>
    </row>
    <row r="198" spans="4:14" x14ac:dyDescent="0.25">
      <c r="D198" s="111"/>
      <c r="E198" s="111"/>
      <c r="N198" s="392"/>
    </row>
    <row r="199" spans="4:14" x14ac:dyDescent="0.25">
      <c r="D199" s="111"/>
      <c r="E199" s="111"/>
      <c r="N199" s="392"/>
    </row>
    <row r="200" spans="4:14" x14ac:dyDescent="0.25">
      <c r="D200" s="111"/>
      <c r="E200" s="111"/>
      <c r="N200" s="392"/>
    </row>
    <row r="201" spans="4:14" x14ac:dyDescent="0.25">
      <c r="D201" s="111"/>
      <c r="E201" s="111"/>
      <c r="N201" s="392"/>
    </row>
    <row r="202" spans="4:14" x14ac:dyDescent="0.25">
      <c r="D202" s="111"/>
      <c r="E202" s="111"/>
      <c r="N202" s="392"/>
    </row>
    <row r="203" spans="4:14" x14ac:dyDescent="0.25">
      <c r="D203" s="111"/>
      <c r="E203" s="111"/>
      <c r="N203" s="392"/>
    </row>
    <row r="204" spans="4:14" x14ac:dyDescent="0.25">
      <c r="D204" s="111"/>
      <c r="E204" s="111"/>
      <c r="N204" s="392"/>
    </row>
    <row r="205" spans="4:14" x14ac:dyDescent="0.25">
      <c r="D205" s="111"/>
      <c r="E205" s="111"/>
      <c r="N205" s="392"/>
    </row>
    <row r="206" spans="4:14" x14ac:dyDescent="0.25">
      <c r="D206" s="111"/>
      <c r="E206" s="111"/>
      <c r="N206" s="392"/>
    </row>
    <row r="207" spans="4:14" x14ac:dyDescent="0.25">
      <c r="D207" s="111"/>
      <c r="E207" s="111"/>
      <c r="N207" s="392"/>
    </row>
    <row r="208" spans="4:14" x14ac:dyDescent="0.25">
      <c r="D208" s="111"/>
      <c r="E208" s="111"/>
      <c r="N208" s="392"/>
    </row>
    <row r="209" spans="4:14" x14ac:dyDescent="0.25">
      <c r="D209" s="111"/>
      <c r="E209" s="111"/>
      <c r="N209" s="392"/>
    </row>
    <row r="210" spans="4:14" x14ac:dyDescent="0.25">
      <c r="D210" s="111"/>
      <c r="E210" s="111"/>
      <c r="N210" s="392"/>
    </row>
    <row r="211" spans="4:14" x14ac:dyDescent="0.25">
      <c r="D211" s="111"/>
      <c r="E211" s="111"/>
      <c r="N211" s="392"/>
    </row>
    <row r="212" spans="4:14" x14ac:dyDescent="0.25">
      <c r="D212" s="111"/>
      <c r="E212" s="111"/>
      <c r="N212" s="392"/>
    </row>
    <row r="213" spans="4:14" x14ac:dyDescent="0.25">
      <c r="D213" s="111"/>
      <c r="E213" s="111"/>
      <c r="N213" s="392"/>
    </row>
    <row r="214" spans="4:14" x14ac:dyDescent="0.25">
      <c r="D214" s="111"/>
      <c r="E214" s="111"/>
      <c r="N214" s="392"/>
    </row>
    <row r="215" spans="4:14" x14ac:dyDescent="0.25">
      <c r="D215" s="111"/>
      <c r="E215" s="111"/>
      <c r="N215" s="392"/>
    </row>
    <row r="216" spans="4:14" x14ac:dyDescent="0.25">
      <c r="D216" s="111"/>
      <c r="E216" s="111"/>
      <c r="N216" s="392"/>
    </row>
    <row r="217" spans="4:14" x14ac:dyDescent="0.25">
      <c r="D217" s="111"/>
      <c r="E217" s="111"/>
      <c r="N217" s="392"/>
    </row>
    <row r="218" spans="4:14" x14ac:dyDescent="0.25">
      <c r="D218" s="111"/>
      <c r="E218" s="111"/>
      <c r="N218" s="392"/>
    </row>
    <row r="219" spans="4:14" x14ac:dyDescent="0.25">
      <c r="D219" s="111"/>
      <c r="E219" s="111"/>
      <c r="N219" s="392"/>
    </row>
    <row r="220" spans="4:14" x14ac:dyDescent="0.25">
      <c r="D220" s="111"/>
      <c r="E220" s="111"/>
      <c r="N220" s="392"/>
    </row>
    <row r="221" spans="4:14" x14ac:dyDescent="0.25">
      <c r="D221" s="111"/>
      <c r="E221" s="111"/>
      <c r="N221" s="392"/>
    </row>
    <row r="222" spans="4:14" x14ac:dyDescent="0.25">
      <c r="D222" s="111"/>
      <c r="E222" s="111"/>
      <c r="N222" s="392"/>
    </row>
    <row r="223" spans="4:14" x14ac:dyDescent="0.25">
      <c r="D223" s="111"/>
      <c r="E223" s="111"/>
      <c r="N223" s="392"/>
    </row>
    <row r="224" spans="4:14" x14ac:dyDescent="0.25">
      <c r="D224" s="111"/>
      <c r="E224" s="111"/>
      <c r="N224" s="392"/>
    </row>
    <row r="225" spans="4:14" x14ac:dyDescent="0.25">
      <c r="D225" s="111"/>
      <c r="E225" s="111"/>
      <c r="N225" s="392"/>
    </row>
    <row r="226" spans="4:14" x14ac:dyDescent="0.25">
      <c r="D226" s="111"/>
      <c r="E226" s="111"/>
      <c r="N226" s="392"/>
    </row>
    <row r="227" spans="4:14" x14ac:dyDescent="0.25">
      <c r="D227" s="111"/>
      <c r="E227" s="111"/>
      <c r="N227" s="392"/>
    </row>
    <row r="228" spans="4:14" x14ac:dyDescent="0.25">
      <c r="D228" s="111"/>
      <c r="E228" s="111"/>
      <c r="N228" s="392"/>
    </row>
    <row r="229" spans="4:14" x14ac:dyDescent="0.25">
      <c r="D229" s="111"/>
      <c r="E229" s="111"/>
      <c r="N229" s="392"/>
    </row>
    <row r="230" spans="4:14" x14ac:dyDescent="0.25">
      <c r="D230" s="111"/>
      <c r="E230" s="111"/>
      <c r="N230" s="392"/>
    </row>
    <row r="231" spans="4:14" x14ac:dyDescent="0.25">
      <c r="D231" s="111"/>
      <c r="E231" s="111"/>
      <c r="N231" s="392"/>
    </row>
    <row r="232" spans="4:14" x14ac:dyDescent="0.25">
      <c r="D232" s="111"/>
      <c r="E232" s="111"/>
      <c r="N232" s="392"/>
    </row>
    <row r="233" spans="4:14" x14ac:dyDescent="0.25">
      <c r="D233" s="111"/>
      <c r="E233" s="111"/>
      <c r="N233" s="392"/>
    </row>
    <row r="234" spans="4:14" x14ac:dyDescent="0.25">
      <c r="D234" s="111"/>
      <c r="E234" s="111"/>
      <c r="N234" s="392"/>
    </row>
    <row r="235" spans="4:14" x14ac:dyDescent="0.25">
      <c r="D235" s="111"/>
      <c r="E235" s="111"/>
      <c r="N235" s="392"/>
    </row>
    <row r="236" spans="4:14" x14ac:dyDescent="0.25">
      <c r="D236" s="111"/>
      <c r="E236" s="111"/>
      <c r="N236" s="392"/>
    </row>
    <row r="237" spans="4:14" x14ac:dyDescent="0.25">
      <c r="D237" s="111"/>
      <c r="E237" s="111"/>
      <c r="N237" s="392"/>
    </row>
    <row r="238" spans="4:14" x14ac:dyDescent="0.25">
      <c r="D238" s="111"/>
      <c r="E238" s="111"/>
      <c r="N238" s="392"/>
    </row>
    <row r="239" spans="4:14" x14ac:dyDescent="0.25">
      <c r="D239" s="111"/>
      <c r="E239" s="111"/>
      <c r="N239" s="392"/>
    </row>
    <row r="240" spans="4:14" x14ac:dyDescent="0.25">
      <c r="D240" s="111"/>
      <c r="E240" s="111"/>
      <c r="N240" s="392"/>
    </row>
    <row r="241" spans="4:14" x14ac:dyDescent="0.25">
      <c r="D241" s="111"/>
      <c r="E241" s="111"/>
      <c r="N241" s="392"/>
    </row>
    <row r="242" spans="4:14" x14ac:dyDescent="0.25">
      <c r="D242" s="111"/>
      <c r="E242" s="111"/>
      <c r="N242" s="392"/>
    </row>
    <row r="243" spans="4:14" x14ac:dyDescent="0.25">
      <c r="D243" s="111"/>
      <c r="E243" s="111"/>
      <c r="N243" s="392"/>
    </row>
    <row r="244" spans="4:14" x14ac:dyDescent="0.25">
      <c r="D244" s="111"/>
      <c r="E244" s="111"/>
      <c r="N244" s="392"/>
    </row>
    <row r="245" spans="4:14" x14ac:dyDescent="0.25">
      <c r="D245" s="111"/>
      <c r="E245" s="111"/>
      <c r="N245" s="392"/>
    </row>
    <row r="246" spans="4:14" x14ac:dyDescent="0.25">
      <c r="D246" s="111"/>
      <c r="E246" s="111"/>
      <c r="N246" s="392"/>
    </row>
    <row r="247" spans="4:14" x14ac:dyDescent="0.25">
      <c r="D247" s="111"/>
      <c r="E247" s="111"/>
      <c r="N247" s="392"/>
    </row>
    <row r="248" spans="4:14" x14ac:dyDescent="0.25">
      <c r="D248" s="111"/>
      <c r="E248" s="111"/>
      <c r="N248" s="392"/>
    </row>
    <row r="249" spans="4:14" x14ac:dyDescent="0.25">
      <c r="D249" s="111"/>
      <c r="E249" s="111"/>
      <c r="N249" s="392"/>
    </row>
    <row r="250" spans="4:14" x14ac:dyDescent="0.25">
      <c r="D250" s="111"/>
      <c r="E250" s="111"/>
      <c r="N250" s="392"/>
    </row>
    <row r="251" spans="4:14" x14ac:dyDescent="0.25">
      <c r="D251" s="111"/>
      <c r="E251" s="111"/>
      <c r="N251" s="392"/>
    </row>
    <row r="252" spans="4:14" x14ac:dyDescent="0.25">
      <c r="D252" s="111"/>
      <c r="E252" s="111"/>
      <c r="N252" s="392"/>
    </row>
    <row r="253" spans="4:14" x14ac:dyDescent="0.25">
      <c r="D253" s="111"/>
      <c r="E253" s="111"/>
      <c r="N253" s="392"/>
    </row>
    <row r="254" spans="4:14" x14ac:dyDescent="0.25">
      <c r="D254" s="111"/>
      <c r="E254" s="111"/>
      <c r="N254" s="392"/>
    </row>
    <row r="255" spans="4:14" x14ac:dyDescent="0.25">
      <c r="D255" s="111"/>
      <c r="E255" s="111"/>
      <c r="N255" s="392"/>
    </row>
    <row r="256" spans="4:14" x14ac:dyDescent="0.25">
      <c r="D256" s="111"/>
      <c r="E256" s="111"/>
      <c r="N256" s="392"/>
    </row>
    <row r="257" spans="4:14" x14ac:dyDescent="0.25">
      <c r="D257" s="111"/>
      <c r="E257" s="111"/>
      <c r="N257" s="392"/>
    </row>
    <row r="258" spans="4:14" x14ac:dyDescent="0.25">
      <c r="D258" s="111"/>
      <c r="E258" s="111"/>
      <c r="N258" s="392"/>
    </row>
    <row r="259" spans="4:14" x14ac:dyDescent="0.25">
      <c r="D259" s="111"/>
      <c r="E259" s="111"/>
      <c r="N259" s="392"/>
    </row>
    <row r="260" spans="4:14" x14ac:dyDescent="0.25">
      <c r="D260" s="111"/>
      <c r="E260" s="111"/>
      <c r="N260" s="392"/>
    </row>
    <row r="261" spans="4:14" x14ac:dyDescent="0.25">
      <c r="D261" s="111"/>
      <c r="E261" s="111"/>
      <c r="N261" s="392"/>
    </row>
    <row r="262" spans="4:14" x14ac:dyDescent="0.25">
      <c r="D262" s="111"/>
      <c r="E262" s="111"/>
      <c r="N262" s="392"/>
    </row>
    <row r="263" spans="4:14" x14ac:dyDescent="0.25">
      <c r="D263" s="111"/>
      <c r="E263" s="111"/>
      <c r="N263" s="392"/>
    </row>
    <row r="264" spans="4:14" x14ac:dyDescent="0.25">
      <c r="D264" s="111"/>
      <c r="E264" s="111"/>
      <c r="N264" s="392"/>
    </row>
    <row r="265" spans="4:14" x14ac:dyDescent="0.25">
      <c r="D265" s="111"/>
      <c r="E265" s="111"/>
      <c r="N265" s="392"/>
    </row>
    <row r="266" spans="4:14" x14ac:dyDescent="0.25">
      <c r="D266" s="111"/>
      <c r="E266" s="111"/>
      <c r="N266" s="392"/>
    </row>
    <row r="267" spans="4:14" x14ac:dyDescent="0.25">
      <c r="D267" s="111"/>
      <c r="E267" s="111"/>
      <c r="N267" s="392"/>
    </row>
    <row r="268" spans="4:14" x14ac:dyDescent="0.25">
      <c r="D268" s="111"/>
      <c r="E268" s="111"/>
      <c r="N268" s="392"/>
    </row>
    <row r="269" spans="4:14" x14ac:dyDescent="0.25">
      <c r="D269" s="111"/>
      <c r="E269" s="111"/>
      <c r="N269" s="392"/>
    </row>
    <row r="270" spans="4:14" x14ac:dyDescent="0.25">
      <c r="D270" s="111"/>
      <c r="E270" s="111"/>
      <c r="N270" s="392"/>
    </row>
    <row r="271" spans="4:14" x14ac:dyDescent="0.25">
      <c r="D271" s="111"/>
      <c r="E271" s="111"/>
      <c r="N271" s="392"/>
    </row>
    <row r="272" spans="4:14" x14ac:dyDescent="0.25">
      <c r="D272" s="111"/>
      <c r="E272" s="111"/>
      <c r="N272" s="392"/>
    </row>
    <row r="273" spans="4:14" x14ac:dyDescent="0.25">
      <c r="D273" s="111"/>
      <c r="E273" s="111"/>
      <c r="N273" s="392"/>
    </row>
    <row r="274" spans="4:14" x14ac:dyDescent="0.25">
      <c r="D274" s="111"/>
      <c r="E274" s="111"/>
      <c r="N274" s="392"/>
    </row>
    <row r="275" spans="4:14" x14ac:dyDescent="0.25">
      <c r="D275" s="111"/>
      <c r="E275" s="111"/>
      <c r="N275" s="392"/>
    </row>
    <row r="276" spans="4:14" x14ac:dyDescent="0.25">
      <c r="D276" s="111"/>
      <c r="E276" s="111"/>
      <c r="N276" s="392"/>
    </row>
    <row r="277" spans="4:14" x14ac:dyDescent="0.25">
      <c r="D277" s="111"/>
      <c r="E277" s="111"/>
      <c r="N277" s="392"/>
    </row>
    <row r="278" spans="4:14" x14ac:dyDescent="0.25">
      <c r="D278" s="111"/>
      <c r="E278" s="111"/>
      <c r="N278" s="392"/>
    </row>
    <row r="279" spans="4:14" x14ac:dyDescent="0.25">
      <c r="D279" s="111"/>
      <c r="E279" s="111"/>
      <c r="N279" s="392"/>
    </row>
    <row r="280" spans="4:14" x14ac:dyDescent="0.25">
      <c r="D280" s="111"/>
      <c r="E280" s="111"/>
      <c r="N280" s="392"/>
    </row>
    <row r="281" spans="4:14" x14ac:dyDescent="0.25">
      <c r="D281" s="111"/>
      <c r="E281" s="111"/>
      <c r="N281" s="392"/>
    </row>
    <row r="282" spans="4:14" x14ac:dyDescent="0.25">
      <c r="D282" s="111"/>
      <c r="E282" s="111"/>
      <c r="N282" s="392"/>
    </row>
    <row r="283" spans="4:14" x14ac:dyDescent="0.25">
      <c r="D283" s="111"/>
      <c r="E283" s="111"/>
      <c r="N283" s="392"/>
    </row>
    <row r="284" spans="4:14" x14ac:dyDescent="0.25">
      <c r="D284" s="111"/>
      <c r="E284" s="111"/>
      <c r="N284" s="392"/>
    </row>
    <row r="285" spans="4:14" x14ac:dyDescent="0.25">
      <c r="D285" s="111"/>
      <c r="E285" s="111"/>
      <c r="N285" s="392"/>
    </row>
    <row r="286" spans="4:14" x14ac:dyDescent="0.25">
      <c r="D286" s="111"/>
      <c r="E286" s="111"/>
      <c r="N286" s="392"/>
    </row>
    <row r="287" spans="4:14" x14ac:dyDescent="0.25">
      <c r="D287" s="111"/>
      <c r="E287" s="111"/>
      <c r="N287" s="392"/>
    </row>
    <row r="288" spans="4:14" x14ac:dyDescent="0.25">
      <c r="D288" s="111"/>
      <c r="E288" s="111"/>
      <c r="N288" s="392"/>
    </row>
    <row r="289" spans="4:14" x14ac:dyDescent="0.25">
      <c r="D289" s="111"/>
      <c r="E289" s="111"/>
      <c r="N289" s="392"/>
    </row>
    <row r="290" spans="4:14" x14ac:dyDescent="0.25">
      <c r="D290" s="111"/>
      <c r="E290" s="111"/>
      <c r="N290" s="392"/>
    </row>
    <row r="291" spans="4:14" x14ac:dyDescent="0.25">
      <c r="D291" s="111"/>
      <c r="E291" s="111"/>
      <c r="N291" s="392"/>
    </row>
    <row r="292" spans="4:14" x14ac:dyDescent="0.25">
      <c r="D292" s="111"/>
      <c r="E292" s="111"/>
      <c r="N292" s="392"/>
    </row>
    <row r="293" spans="4:14" x14ac:dyDescent="0.25">
      <c r="D293" s="111"/>
      <c r="E293" s="111"/>
      <c r="N293" s="392"/>
    </row>
    <row r="294" spans="4:14" x14ac:dyDescent="0.25">
      <c r="D294" s="111"/>
      <c r="E294" s="111"/>
      <c r="N294" s="392"/>
    </row>
    <row r="295" spans="4:14" x14ac:dyDescent="0.25">
      <c r="D295" s="111"/>
      <c r="E295" s="111"/>
      <c r="N295" s="392"/>
    </row>
    <row r="296" spans="4:14" x14ac:dyDescent="0.25">
      <c r="D296" s="111"/>
      <c r="E296" s="111"/>
      <c r="N296" s="392"/>
    </row>
    <row r="297" spans="4:14" x14ac:dyDescent="0.25">
      <c r="D297" s="111"/>
      <c r="E297" s="111"/>
      <c r="N297" s="392"/>
    </row>
    <row r="298" spans="4:14" x14ac:dyDescent="0.25">
      <c r="D298" s="111"/>
      <c r="E298" s="111"/>
      <c r="N298" s="392"/>
    </row>
    <row r="299" spans="4:14" x14ac:dyDescent="0.25">
      <c r="D299" s="111"/>
      <c r="E299" s="111"/>
      <c r="N299" s="392"/>
    </row>
    <row r="300" spans="4:14" x14ac:dyDescent="0.25">
      <c r="D300" s="111"/>
      <c r="E300" s="111"/>
      <c r="N300" s="392"/>
    </row>
    <row r="301" spans="4:14" x14ac:dyDescent="0.25">
      <c r="D301" s="111"/>
      <c r="E301" s="111"/>
      <c r="N301" s="392"/>
    </row>
    <row r="302" spans="4:14" x14ac:dyDescent="0.25">
      <c r="D302" s="111"/>
      <c r="E302" s="111"/>
      <c r="N302" s="392"/>
    </row>
    <row r="303" spans="4:14" x14ac:dyDescent="0.25">
      <c r="D303" s="111"/>
      <c r="E303" s="111"/>
      <c r="N303" s="392"/>
    </row>
    <row r="304" spans="4:14" x14ac:dyDescent="0.25">
      <c r="D304" s="111"/>
      <c r="E304" s="111"/>
      <c r="N304" s="392"/>
    </row>
    <row r="305" spans="4:14" x14ac:dyDescent="0.25">
      <c r="D305" s="111"/>
      <c r="E305" s="111"/>
      <c r="N305" s="392"/>
    </row>
    <row r="306" spans="4:14" x14ac:dyDescent="0.25">
      <c r="D306" s="111"/>
      <c r="E306" s="111"/>
      <c r="N306" s="392"/>
    </row>
    <row r="307" spans="4:14" x14ac:dyDescent="0.25">
      <c r="D307" s="111"/>
      <c r="E307" s="111"/>
      <c r="N307" s="392"/>
    </row>
    <row r="308" spans="4:14" x14ac:dyDescent="0.25">
      <c r="D308" s="111"/>
      <c r="E308" s="111"/>
      <c r="N308" s="392"/>
    </row>
    <row r="309" spans="4:14" x14ac:dyDescent="0.25">
      <c r="D309" s="111"/>
      <c r="E309" s="111"/>
      <c r="N309" s="392"/>
    </row>
    <row r="310" spans="4:14" x14ac:dyDescent="0.25">
      <c r="D310" s="111"/>
      <c r="E310" s="111"/>
      <c r="N310" s="392"/>
    </row>
    <row r="311" spans="4:14" x14ac:dyDescent="0.25">
      <c r="D311" s="111"/>
      <c r="E311" s="111"/>
      <c r="N311" s="392"/>
    </row>
    <row r="312" spans="4:14" x14ac:dyDescent="0.25">
      <c r="D312" s="111"/>
      <c r="E312" s="111"/>
      <c r="N312" s="392"/>
    </row>
    <row r="313" spans="4:14" x14ac:dyDescent="0.25">
      <c r="D313" s="111"/>
      <c r="E313" s="111"/>
      <c r="N313" s="392"/>
    </row>
    <row r="314" spans="4:14" x14ac:dyDescent="0.25">
      <c r="D314" s="111"/>
      <c r="E314" s="111"/>
      <c r="N314" s="392"/>
    </row>
    <row r="315" spans="4:14" x14ac:dyDescent="0.25">
      <c r="D315" s="111"/>
      <c r="E315" s="111"/>
      <c r="N315" s="392"/>
    </row>
    <row r="316" spans="4:14" x14ac:dyDescent="0.25">
      <c r="D316" s="111"/>
      <c r="E316" s="111"/>
      <c r="N316" s="392"/>
    </row>
    <row r="317" spans="4:14" x14ac:dyDescent="0.25">
      <c r="D317" s="111"/>
      <c r="E317" s="111"/>
      <c r="N317" s="392"/>
    </row>
    <row r="318" spans="4:14" x14ac:dyDescent="0.25">
      <c r="D318" s="111"/>
      <c r="E318" s="111"/>
      <c r="N318" s="392"/>
    </row>
    <row r="319" spans="4:14" x14ac:dyDescent="0.25">
      <c r="D319" s="111"/>
      <c r="E319" s="111"/>
      <c r="N319" s="392"/>
    </row>
    <row r="320" spans="4:14" x14ac:dyDescent="0.25">
      <c r="D320" s="111"/>
      <c r="E320" s="111"/>
      <c r="N320" s="392"/>
    </row>
    <row r="321" spans="4:14" x14ac:dyDescent="0.25">
      <c r="D321" s="111"/>
      <c r="E321" s="111"/>
      <c r="N321" s="392"/>
    </row>
    <row r="322" spans="4:14" x14ac:dyDescent="0.25">
      <c r="D322" s="111"/>
      <c r="E322" s="111"/>
      <c r="N322" s="392"/>
    </row>
    <row r="323" spans="4:14" x14ac:dyDescent="0.25">
      <c r="D323" s="111"/>
      <c r="E323" s="111"/>
      <c r="N323" s="392"/>
    </row>
    <row r="324" spans="4:14" x14ac:dyDescent="0.25">
      <c r="D324" s="111"/>
      <c r="E324" s="111"/>
      <c r="N324" s="392"/>
    </row>
    <row r="325" spans="4:14" x14ac:dyDescent="0.25">
      <c r="D325" s="111"/>
      <c r="E325" s="111"/>
      <c r="N325" s="392"/>
    </row>
    <row r="326" spans="4:14" x14ac:dyDescent="0.25">
      <c r="D326" s="111"/>
      <c r="E326" s="111"/>
      <c r="N326" s="392"/>
    </row>
    <row r="327" spans="4:14" x14ac:dyDescent="0.25">
      <c r="D327" s="111"/>
      <c r="E327" s="111"/>
      <c r="N327" s="392"/>
    </row>
    <row r="328" spans="4:14" x14ac:dyDescent="0.25">
      <c r="D328" s="111"/>
      <c r="E328" s="111"/>
      <c r="N328" s="392"/>
    </row>
    <row r="329" spans="4:14" x14ac:dyDescent="0.25">
      <c r="D329" s="111"/>
      <c r="E329" s="111"/>
      <c r="N329" s="392"/>
    </row>
    <row r="330" spans="4:14" x14ac:dyDescent="0.25">
      <c r="D330" s="111"/>
      <c r="E330" s="111"/>
      <c r="N330" s="392"/>
    </row>
    <row r="331" spans="4:14" x14ac:dyDescent="0.25">
      <c r="D331" s="111"/>
      <c r="E331" s="111"/>
      <c r="N331" s="392"/>
    </row>
    <row r="332" spans="4:14" x14ac:dyDescent="0.25">
      <c r="D332" s="111"/>
      <c r="E332" s="111"/>
      <c r="N332" s="392"/>
    </row>
    <row r="333" spans="4:14" x14ac:dyDescent="0.25">
      <c r="D333" s="111"/>
      <c r="E333" s="111"/>
      <c r="N333" s="392"/>
    </row>
    <row r="334" spans="4:14" x14ac:dyDescent="0.25">
      <c r="D334" s="111"/>
      <c r="E334" s="111"/>
      <c r="N334" s="392"/>
    </row>
    <row r="335" spans="4:14" x14ac:dyDescent="0.25">
      <c r="D335" s="111"/>
      <c r="E335" s="111"/>
      <c r="N335" s="392"/>
    </row>
    <row r="336" spans="4:14" x14ac:dyDescent="0.25">
      <c r="D336" s="111"/>
      <c r="E336" s="111"/>
      <c r="N336" s="392"/>
    </row>
    <row r="337" spans="4:14" x14ac:dyDescent="0.25">
      <c r="D337" s="111"/>
      <c r="E337" s="111"/>
      <c r="N337" s="392"/>
    </row>
    <row r="338" spans="4:14" x14ac:dyDescent="0.25">
      <c r="D338" s="111"/>
      <c r="E338" s="111"/>
      <c r="N338" s="392"/>
    </row>
    <row r="339" spans="4:14" x14ac:dyDescent="0.25">
      <c r="D339" s="111"/>
      <c r="E339" s="111"/>
      <c r="N339" s="392"/>
    </row>
    <row r="340" spans="4:14" x14ac:dyDescent="0.25">
      <c r="D340" s="111"/>
      <c r="E340" s="111"/>
      <c r="N340" s="392"/>
    </row>
    <row r="341" spans="4:14" x14ac:dyDescent="0.25">
      <c r="D341" s="111"/>
      <c r="E341" s="111"/>
      <c r="N341" s="392"/>
    </row>
    <row r="342" spans="4:14" x14ac:dyDescent="0.25">
      <c r="D342" s="111"/>
      <c r="E342" s="111"/>
      <c r="N342" s="392"/>
    </row>
    <row r="343" spans="4:14" x14ac:dyDescent="0.25">
      <c r="D343" s="111"/>
      <c r="E343" s="111"/>
      <c r="N343" s="392"/>
    </row>
    <row r="344" spans="4:14" x14ac:dyDescent="0.25">
      <c r="D344" s="111"/>
      <c r="E344" s="111"/>
      <c r="N344" s="392"/>
    </row>
    <row r="345" spans="4:14" x14ac:dyDescent="0.25">
      <c r="D345" s="111"/>
      <c r="E345" s="111"/>
      <c r="N345" s="392"/>
    </row>
    <row r="346" spans="4:14" x14ac:dyDescent="0.25">
      <c r="D346" s="111"/>
      <c r="E346" s="111"/>
      <c r="N346" s="392"/>
    </row>
    <row r="347" spans="4:14" x14ac:dyDescent="0.25">
      <c r="D347" s="111"/>
      <c r="E347" s="111"/>
      <c r="N347" s="392"/>
    </row>
    <row r="348" spans="4:14" x14ac:dyDescent="0.25">
      <c r="D348" s="111"/>
      <c r="E348" s="111"/>
      <c r="N348" s="392"/>
    </row>
    <row r="349" spans="4:14" x14ac:dyDescent="0.25">
      <c r="D349" s="111"/>
      <c r="E349" s="111"/>
      <c r="N349" s="392"/>
    </row>
    <row r="350" spans="4:14" x14ac:dyDescent="0.25">
      <c r="D350" s="111"/>
      <c r="E350" s="111"/>
      <c r="N350" s="392"/>
    </row>
    <row r="351" spans="4:14" x14ac:dyDescent="0.25">
      <c r="D351" s="111"/>
      <c r="E351" s="111"/>
      <c r="N351" s="392"/>
    </row>
    <row r="352" spans="4:14" x14ac:dyDescent="0.25">
      <c r="D352" s="111"/>
      <c r="E352" s="111"/>
      <c r="N352" s="392"/>
    </row>
    <row r="353" spans="4:14" x14ac:dyDescent="0.25">
      <c r="D353" s="111"/>
      <c r="E353" s="111"/>
      <c r="N353" s="392"/>
    </row>
    <row r="354" spans="4:14" x14ac:dyDescent="0.25">
      <c r="D354" s="111"/>
      <c r="E354" s="111"/>
      <c r="N354" s="392"/>
    </row>
    <row r="355" spans="4:14" x14ac:dyDescent="0.25">
      <c r="D355" s="111"/>
      <c r="E355" s="111"/>
      <c r="N355" s="392"/>
    </row>
    <row r="356" spans="4:14" x14ac:dyDescent="0.25">
      <c r="D356" s="111"/>
      <c r="E356" s="111"/>
      <c r="N356" s="392"/>
    </row>
    <row r="357" spans="4:14" x14ac:dyDescent="0.25">
      <c r="D357" s="111"/>
      <c r="E357" s="111"/>
      <c r="N357" s="392"/>
    </row>
    <row r="358" spans="4:14" x14ac:dyDescent="0.25">
      <c r="D358" s="111"/>
      <c r="E358" s="111"/>
      <c r="N358" s="392"/>
    </row>
    <row r="359" spans="4:14" x14ac:dyDescent="0.25">
      <c r="D359" s="111"/>
      <c r="E359" s="111"/>
      <c r="N359" s="392"/>
    </row>
    <row r="360" spans="4:14" x14ac:dyDescent="0.25">
      <c r="D360" s="111"/>
      <c r="E360" s="111"/>
      <c r="N360" s="392"/>
    </row>
    <row r="361" spans="4:14" x14ac:dyDescent="0.25">
      <c r="D361" s="111"/>
      <c r="E361" s="111"/>
      <c r="N361" s="392"/>
    </row>
    <row r="362" spans="4:14" x14ac:dyDescent="0.25">
      <c r="D362" s="111"/>
      <c r="E362" s="111"/>
      <c r="N362" s="392"/>
    </row>
    <row r="363" spans="4:14" x14ac:dyDescent="0.25">
      <c r="D363" s="111"/>
      <c r="E363" s="111"/>
      <c r="N363" s="392"/>
    </row>
    <row r="364" spans="4:14" x14ac:dyDescent="0.25">
      <c r="D364" s="111"/>
      <c r="E364" s="111"/>
      <c r="N364" s="392"/>
    </row>
    <row r="365" spans="4:14" x14ac:dyDescent="0.25">
      <c r="D365" s="111"/>
      <c r="E365" s="111"/>
      <c r="N365" s="392"/>
    </row>
    <row r="366" spans="4:14" x14ac:dyDescent="0.25">
      <c r="D366" s="111"/>
      <c r="E366" s="111"/>
      <c r="N366" s="392"/>
    </row>
    <row r="367" spans="4:14" x14ac:dyDescent="0.25">
      <c r="D367" s="111"/>
      <c r="E367" s="111"/>
      <c r="N367" s="392"/>
    </row>
    <row r="368" spans="4:14" x14ac:dyDescent="0.25">
      <c r="D368" s="111"/>
      <c r="E368" s="111"/>
      <c r="N368" s="392"/>
    </row>
    <row r="369" spans="4:14" x14ac:dyDescent="0.25">
      <c r="D369" s="111"/>
      <c r="E369" s="111"/>
      <c r="N369" s="392"/>
    </row>
    <row r="370" spans="4:14" x14ac:dyDescent="0.25">
      <c r="D370" s="111"/>
      <c r="E370" s="111"/>
      <c r="N370" s="392"/>
    </row>
    <row r="371" spans="4:14" x14ac:dyDescent="0.25">
      <c r="D371" s="111"/>
      <c r="E371" s="111"/>
      <c r="N371" s="392"/>
    </row>
    <row r="372" spans="4:14" x14ac:dyDescent="0.25">
      <c r="D372" s="111"/>
      <c r="E372" s="111"/>
      <c r="N372" s="392"/>
    </row>
    <row r="373" spans="4:14" x14ac:dyDescent="0.25">
      <c r="D373" s="111"/>
      <c r="E373" s="111"/>
      <c r="N373" s="392"/>
    </row>
    <row r="374" spans="4:14" x14ac:dyDescent="0.25">
      <c r="D374" s="111"/>
      <c r="E374" s="111"/>
      <c r="N374" s="392"/>
    </row>
    <row r="375" spans="4:14" x14ac:dyDescent="0.25">
      <c r="D375" s="111"/>
      <c r="E375" s="111"/>
      <c r="N375" s="392"/>
    </row>
    <row r="376" spans="4:14" x14ac:dyDescent="0.25">
      <c r="D376" s="111"/>
      <c r="E376" s="111"/>
      <c r="N376" s="392"/>
    </row>
    <row r="377" spans="4:14" x14ac:dyDescent="0.25">
      <c r="D377" s="111"/>
      <c r="E377" s="111"/>
      <c r="N377" s="392"/>
    </row>
    <row r="378" spans="4:14" x14ac:dyDescent="0.25">
      <c r="D378" s="111"/>
      <c r="E378" s="111"/>
      <c r="N378" s="392"/>
    </row>
    <row r="379" spans="4:14" x14ac:dyDescent="0.25">
      <c r="D379" s="111"/>
      <c r="E379" s="111"/>
      <c r="N379" s="392"/>
    </row>
    <row r="380" spans="4:14" x14ac:dyDescent="0.25">
      <c r="D380" s="111"/>
      <c r="E380" s="111"/>
      <c r="N380" s="392"/>
    </row>
    <row r="381" spans="4:14" x14ac:dyDescent="0.25">
      <c r="D381" s="111"/>
      <c r="E381" s="111"/>
      <c r="N381" s="392"/>
    </row>
    <row r="382" spans="4:14" x14ac:dyDescent="0.25">
      <c r="D382" s="111"/>
      <c r="E382" s="111"/>
      <c r="N382" s="392"/>
    </row>
    <row r="383" spans="4:14" x14ac:dyDescent="0.25">
      <c r="D383" s="111"/>
      <c r="E383" s="111"/>
      <c r="N383" s="392"/>
    </row>
    <row r="384" spans="4:14" x14ac:dyDescent="0.25">
      <c r="D384" s="111"/>
      <c r="E384" s="111"/>
      <c r="N384" s="392"/>
    </row>
    <row r="385" spans="4:14" x14ac:dyDescent="0.25">
      <c r="D385" s="111"/>
      <c r="E385" s="111"/>
      <c r="N385" s="392"/>
    </row>
    <row r="386" spans="4:14" x14ac:dyDescent="0.25">
      <c r="D386" s="111"/>
      <c r="E386" s="111"/>
      <c r="N386" s="392"/>
    </row>
    <row r="387" spans="4:14" x14ac:dyDescent="0.25">
      <c r="D387" s="111"/>
      <c r="E387" s="111"/>
      <c r="N387" s="392"/>
    </row>
    <row r="388" spans="4:14" x14ac:dyDescent="0.25">
      <c r="D388" s="111"/>
      <c r="E388" s="111"/>
      <c r="N388" s="392"/>
    </row>
    <row r="389" spans="4:14" x14ac:dyDescent="0.25">
      <c r="D389" s="111"/>
      <c r="E389" s="111"/>
      <c r="N389" s="392"/>
    </row>
    <row r="390" spans="4:14" x14ac:dyDescent="0.25">
      <c r="D390" s="111"/>
      <c r="E390" s="111"/>
      <c r="N390" s="392"/>
    </row>
    <row r="391" spans="4:14" x14ac:dyDescent="0.25">
      <c r="D391" s="111"/>
      <c r="E391" s="111"/>
      <c r="N391" s="392"/>
    </row>
    <row r="392" spans="4:14" x14ac:dyDescent="0.25">
      <c r="D392" s="111"/>
      <c r="E392" s="111"/>
      <c r="N392" s="392"/>
    </row>
    <row r="393" spans="4:14" x14ac:dyDescent="0.25">
      <c r="D393" s="111"/>
      <c r="E393" s="111"/>
      <c r="N393" s="392"/>
    </row>
    <row r="394" spans="4:14" x14ac:dyDescent="0.25">
      <c r="D394" s="111"/>
      <c r="E394" s="111"/>
      <c r="N394" s="392"/>
    </row>
    <row r="395" spans="4:14" x14ac:dyDescent="0.25">
      <c r="D395" s="111"/>
      <c r="E395" s="111"/>
      <c r="N395" s="392"/>
    </row>
    <row r="396" spans="4:14" x14ac:dyDescent="0.25">
      <c r="D396" s="111"/>
      <c r="E396" s="111"/>
      <c r="N396" s="392"/>
    </row>
    <row r="397" spans="4:14" x14ac:dyDescent="0.25">
      <c r="D397" s="111"/>
      <c r="E397" s="111"/>
      <c r="N397" s="392"/>
    </row>
    <row r="398" spans="4:14" x14ac:dyDescent="0.25">
      <c r="D398" s="111"/>
      <c r="E398" s="111"/>
      <c r="N398" s="392"/>
    </row>
    <row r="399" spans="4:14" x14ac:dyDescent="0.25">
      <c r="D399" s="111"/>
      <c r="E399" s="111"/>
      <c r="N399" s="392"/>
    </row>
    <row r="400" spans="4:14" x14ac:dyDescent="0.25">
      <c r="D400" s="111"/>
      <c r="E400" s="111"/>
      <c r="N400" s="392"/>
    </row>
    <row r="401" spans="4:14" x14ac:dyDescent="0.25">
      <c r="D401" s="111"/>
      <c r="E401" s="111"/>
      <c r="N401" s="392"/>
    </row>
    <row r="402" spans="4:14" x14ac:dyDescent="0.25">
      <c r="D402" s="111"/>
      <c r="E402" s="111"/>
      <c r="N402" s="392"/>
    </row>
    <row r="403" spans="4:14" x14ac:dyDescent="0.25">
      <c r="D403" s="111"/>
      <c r="E403" s="111"/>
      <c r="N403" s="392"/>
    </row>
    <row r="404" spans="4:14" x14ac:dyDescent="0.25">
      <c r="D404" s="111"/>
      <c r="E404" s="111"/>
      <c r="N404" s="392"/>
    </row>
    <row r="405" spans="4:14" x14ac:dyDescent="0.25">
      <c r="D405" s="111"/>
      <c r="E405" s="111"/>
      <c r="N405" s="392"/>
    </row>
    <row r="406" spans="4:14" x14ac:dyDescent="0.25">
      <c r="D406" s="111"/>
      <c r="E406" s="111"/>
      <c r="N406" s="392"/>
    </row>
    <row r="407" spans="4:14" x14ac:dyDescent="0.25">
      <c r="D407" s="111"/>
      <c r="E407" s="111"/>
      <c r="N407" s="392"/>
    </row>
    <row r="408" spans="4:14" x14ac:dyDescent="0.25">
      <c r="D408" s="111"/>
      <c r="E408" s="111"/>
      <c r="N408" s="392"/>
    </row>
    <row r="409" spans="4:14" x14ac:dyDescent="0.25">
      <c r="D409" s="111"/>
      <c r="E409" s="111"/>
      <c r="N409" s="392"/>
    </row>
    <row r="410" spans="4:14" x14ac:dyDescent="0.25">
      <c r="D410" s="111"/>
      <c r="E410" s="111"/>
      <c r="N410" s="392"/>
    </row>
    <row r="411" spans="4:14" x14ac:dyDescent="0.25">
      <c r="D411" s="111"/>
      <c r="E411" s="111"/>
      <c r="N411" s="392"/>
    </row>
    <row r="412" spans="4:14" x14ac:dyDescent="0.25">
      <c r="D412" s="111"/>
      <c r="E412" s="111"/>
      <c r="N412" s="392"/>
    </row>
    <row r="413" spans="4:14" x14ac:dyDescent="0.25">
      <c r="D413" s="111"/>
      <c r="E413" s="111"/>
      <c r="N413" s="392"/>
    </row>
    <row r="414" spans="4:14" x14ac:dyDescent="0.25">
      <c r="D414" s="111"/>
      <c r="E414" s="111"/>
      <c r="N414" s="392"/>
    </row>
    <row r="415" spans="4:14" x14ac:dyDescent="0.25">
      <c r="D415" s="111"/>
      <c r="E415" s="111"/>
      <c r="N415" s="392"/>
    </row>
    <row r="416" spans="4:14" x14ac:dyDescent="0.25">
      <c r="D416" s="111"/>
      <c r="E416" s="111"/>
      <c r="N416" s="392"/>
    </row>
    <row r="417" spans="4:14" x14ac:dyDescent="0.25">
      <c r="D417" s="111"/>
      <c r="E417" s="111"/>
      <c r="N417" s="392"/>
    </row>
    <row r="418" spans="4:14" x14ac:dyDescent="0.25">
      <c r="D418" s="111"/>
      <c r="E418" s="111"/>
      <c r="N418" s="392"/>
    </row>
    <row r="419" spans="4:14" x14ac:dyDescent="0.25">
      <c r="D419" s="111"/>
      <c r="E419" s="111"/>
      <c r="N419" s="392"/>
    </row>
    <row r="420" spans="4:14" x14ac:dyDescent="0.25">
      <c r="D420" s="111"/>
      <c r="E420" s="111"/>
      <c r="N420" s="392"/>
    </row>
    <row r="421" spans="4:14" x14ac:dyDescent="0.25">
      <c r="D421" s="111"/>
      <c r="E421" s="111"/>
      <c r="N421" s="392"/>
    </row>
    <row r="422" spans="4:14" x14ac:dyDescent="0.25">
      <c r="D422" s="111"/>
      <c r="E422" s="111"/>
      <c r="N422" s="392"/>
    </row>
    <row r="423" spans="4:14" x14ac:dyDescent="0.25">
      <c r="D423" s="111"/>
      <c r="E423" s="111"/>
      <c r="N423" s="392"/>
    </row>
    <row r="424" spans="4:14" x14ac:dyDescent="0.25">
      <c r="D424" s="111"/>
      <c r="E424" s="111"/>
      <c r="N424" s="392"/>
    </row>
    <row r="425" spans="4:14" x14ac:dyDescent="0.25">
      <c r="D425" s="111"/>
      <c r="E425" s="111"/>
      <c r="N425" s="392"/>
    </row>
    <row r="426" spans="4:14" x14ac:dyDescent="0.25">
      <c r="D426" s="111"/>
      <c r="E426" s="111"/>
      <c r="N426" s="392"/>
    </row>
    <row r="427" spans="4:14" x14ac:dyDescent="0.25">
      <c r="D427" s="111"/>
      <c r="E427" s="111"/>
      <c r="N427" s="392"/>
    </row>
    <row r="428" spans="4:14" x14ac:dyDescent="0.25">
      <c r="D428" s="111"/>
      <c r="E428" s="111"/>
      <c r="N428" s="392"/>
    </row>
    <row r="429" spans="4:14" x14ac:dyDescent="0.25">
      <c r="D429" s="111"/>
      <c r="E429" s="111"/>
      <c r="N429" s="392"/>
    </row>
    <row r="430" spans="4:14" x14ac:dyDescent="0.25">
      <c r="D430" s="111"/>
      <c r="E430" s="111"/>
      <c r="N430" s="392"/>
    </row>
    <row r="431" spans="4:14" x14ac:dyDescent="0.25">
      <c r="D431" s="111"/>
      <c r="E431" s="111"/>
      <c r="N431" s="392"/>
    </row>
    <row r="432" spans="4:14" x14ac:dyDescent="0.25">
      <c r="D432" s="111"/>
      <c r="E432" s="111"/>
      <c r="N432" s="392"/>
    </row>
    <row r="433" spans="4:14" x14ac:dyDescent="0.25">
      <c r="D433" s="111"/>
      <c r="E433" s="111"/>
      <c r="N433" s="392"/>
    </row>
    <row r="434" spans="4:14" x14ac:dyDescent="0.25">
      <c r="D434" s="111"/>
      <c r="E434" s="111"/>
      <c r="N434" s="392"/>
    </row>
    <row r="435" spans="4:14" x14ac:dyDescent="0.25">
      <c r="D435" s="111"/>
      <c r="E435" s="111"/>
      <c r="N435" s="392"/>
    </row>
    <row r="436" spans="4:14" x14ac:dyDescent="0.25">
      <c r="D436" s="111"/>
      <c r="E436" s="111"/>
      <c r="N436" s="392"/>
    </row>
    <row r="437" spans="4:14" x14ac:dyDescent="0.25">
      <c r="D437" s="111"/>
      <c r="E437" s="111"/>
      <c r="N437" s="392"/>
    </row>
    <row r="438" spans="4:14" x14ac:dyDescent="0.25">
      <c r="D438" s="111"/>
      <c r="E438" s="111"/>
      <c r="N438" s="392"/>
    </row>
    <row r="439" spans="4:14" x14ac:dyDescent="0.25">
      <c r="D439" s="111"/>
      <c r="E439" s="111"/>
      <c r="N439" s="392"/>
    </row>
    <row r="440" spans="4:14" x14ac:dyDescent="0.25">
      <c r="D440" s="111"/>
      <c r="E440" s="111"/>
      <c r="N440" s="392"/>
    </row>
    <row r="441" spans="4:14" x14ac:dyDescent="0.25">
      <c r="D441" s="111"/>
      <c r="E441" s="111"/>
      <c r="N441" s="392"/>
    </row>
    <row r="442" spans="4:14" x14ac:dyDescent="0.25">
      <c r="D442" s="111"/>
      <c r="E442" s="111"/>
      <c r="N442" s="392"/>
    </row>
  </sheetData>
  <mergeCells count="9">
    <mergeCell ref="D13:D14"/>
    <mergeCell ref="E13:K13"/>
    <mergeCell ref="L13:M13"/>
    <mergeCell ref="R7:R8"/>
    <mergeCell ref="Q7:Q8"/>
    <mergeCell ref="M10:N10"/>
    <mergeCell ref="O10:Q10"/>
    <mergeCell ref="D9:F9"/>
    <mergeCell ref="E12:O12"/>
  </mergeCells>
  <dataValidations count="7">
    <dataValidation operator="greaterThanOrEqual" allowBlank="1" error="Please enter Numbers more than 0." prompt="Please enter Material Consumption Quantity in Kg" sqref="N16:O75" xr:uid="{150177B0-A541-4B60-A6BD-3142FC72842B}"/>
    <dataValidation type="decimal" operator="greaterThanOrEqual" allowBlank="1" showInputMessage="1" showErrorMessage="1" error="Please enter Numbers more than 0." prompt="Please enter Material Consumption Quantity in Kg" sqref="E16:M75" xr:uid="{A050D888-4014-4C95-ABFD-8028EE2057ED}">
      <formula1>0</formula1>
    </dataValidation>
    <dataValidation type="list" allowBlank="1" showInputMessage="1" showErrorMessage="1" sqref="N8:P8" xr:uid="{F8273604-41C2-4A24-935A-C588A6971911}">
      <formula1>$D$86:$D$89</formula1>
    </dataValidation>
    <dataValidation type="whole" operator="greaterThan" allowBlank="1" showInputMessage="1" showErrorMessage="1" prompt="Please Enter Whole Number" sqref="Q9" xr:uid="{A84979DA-B3D5-4500-9F69-032D2C47D8A9}">
      <formula1>0</formula1>
    </dataValidation>
    <dataValidation type="whole" operator="greaterThan" allowBlank="1" showInputMessage="1" showErrorMessage="1" prompt="Enter Values more than 0" sqref="N9:O9" xr:uid="{8D622684-E043-4AF7-9540-209A698FB439}">
      <formula1>0</formula1>
    </dataValidation>
    <dataValidation type="whole" operator="greaterThan" allowBlank="1" showInputMessage="1" showErrorMessage="1" prompt="Enter whole number greater than 0" sqref="P9" xr:uid="{0E2FE374-6862-4547-8110-9A80E5DBB5B5}">
      <formula1>0</formula1>
    </dataValidation>
    <dataValidation type="list" operator="greaterThan" allowBlank="1" prompt="Enter Values more than 0" sqref="O10:Q10" xr:uid="{4FC6FCCE-4862-427A-97B8-4C88C66498CF}">
      <formula1>$H$86:$H$94</formula1>
    </dataValidation>
  </dataValidation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783E-BE02-4DE9-8784-53D282620D1F}">
  <dimension ref="A1:AU448"/>
  <sheetViews>
    <sheetView topLeftCell="M1" zoomScaleNormal="100" workbookViewId="0">
      <selection activeCell="E13" sqref="E13:AC13"/>
    </sheetView>
  </sheetViews>
  <sheetFormatPr defaultRowHeight="15" x14ac:dyDescent="0.25"/>
  <cols>
    <col min="1" max="1" width="1.42578125" style="259" customWidth="1"/>
    <col min="2" max="2" width="1.7109375" style="1" customWidth="1"/>
    <col min="3" max="3" width="5" style="1" customWidth="1"/>
    <col min="4" max="4" width="7" style="1" customWidth="1"/>
    <col min="5" max="14" width="7.7109375" style="1" customWidth="1"/>
    <col min="15" max="18" width="9.7109375" style="1" customWidth="1"/>
    <col min="19" max="19" width="13.28515625" style="1" customWidth="1"/>
    <col min="20" max="20" width="9.7109375" style="1" customWidth="1"/>
    <col min="21" max="21" width="12" style="1" customWidth="1"/>
    <col min="22" max="24" width="9.7109375" style="1" customWidth="1"/>
    <col min="25" max="25" width="9.28515625" style="1" customWidth="1"/>
    <col min="26" max="29" width="9.7109375" style="1" customWidth="1"/>
    <col min="30" max="31" width="10.7109375" style="1" customWidth="1"/>
    <col min="32" max="45" width="9.7109375" style="1" customWidth="1"/>
    <col min="46" max="46" width="4.85546875" style="1" customWidth="1"/>
    <col min="47" max="47" width="1.7109375" style="1" customWidth="1"/>
    <col min="48" max="16384" width="9.140625" style="1"/>
  </cols>
  <sheetData>
    <row r="1" spans="1:47" ht="24.95" customHeight="1" x14ac:dyDescent="0.25">
      <c r="A1" s="382"/>
      <c r="B1" s="375"/>
      <c r="C1" s="375"/>
      <c r="D1" s="375"/>
      <c r="E1" s="375"/>
      <c r="F1" s="375"/>
      <c r="G1" s="375"/>
      <c r="H1" s="375"/>
      <c r="I1" s="376"/>
      <c r="J1" s="376"/>
      <c r="K1" s="376"/>
      <c r="L1" s="375"/>
      <c r="M1" s="375"/>
      <c r="N1" s="375"/>
      <c r="O1" s="376" t="s">
        <v>1600</v>
      </c>
      <c r="P1" s="375"/>
      <c r="Q1" s="375"/>
      <c r="R1" s="375"/>
      <c r="S1" s="375"/>
      <c r="T1" s="375"/>
      <c r="U1" s="375"/>
      <c r="V1" s="375"/>
      <c r="W1" s="375"/>
      <c r="X1" s="375"/>
      <c r="Y1" s="375"/>
      <c r="Z1" s="375"/>
      <c r="AA1" s="375"/>
      <c r="AB1" s="375"/>
      <c r="AC1" s="375"/>
      <c r="AD1" s="375"/>
      <c r="AE1" s="375"/>
      <c r="AF1" s="375"/>
      <c r="AG1" s="375"/>
      <c r="AH1" s="375"/>
      <c r="AI1" s="376" t="s">
        <v>1600</v>
      </c>
      <c r="AJ1" s="375"/>
      <c r="AK1" s="375"/>
      <c r="AL1" s="375"/>
      <c r="AM1" s="375"/>
      <c r="AN1" s="375"/>
      <c r="AO1" s="375"/>
      <c r="AP1" s="375"/>
      <c r="AQ1" s="375"/>
      <c r="AR1" s="375"/>
      <c r="AS1" s="375"/>
      <c r="AT1" s="375"/>
      <c r="AU1" s="375"/>
    </row>
    <row r="4" spans="1:47" x14ac:dyDescent="0.25">
      <c r="E4" s="258"/>
      <c r="F4" s="137"/>
      <c r="G4" s="137"/>
      <c r="H4" s="137"/>
      <c r="I4" s="137"/>
      <c r="K4" s="453"/>
      <c r="L4" s="453"/>
      <c r="M4" s="453"/>
      <c r="N4" s="453"/>
      <c r="O4" s="453"/>
      <c r="P4" s="453"/>
    </row>
    <row r="5" spans="1:47" x14ac:dyDescent="0.25">
      <c r="E5" s="258"/>
      <c r="F5" s="137"/>
      <c r="G5" s="137"/>
      <c r="H5" s="137"/>
      <c r="I5" s="137"/>
      <c r="J5" s="463"/>
    </row>
    <row r="6" spans="1:47" x14ac:dyDescent="0.25">
      <c r="E6" s="65"/>
      <c r="F6" s="137"/>
      <c r="G6" s="137"/>
      <c r="H6" s="137"/>
      <c r="I6" s="137"/>
      <c r="J6" s="464"/>
    </row>
    <row r="7" spans="1:47" x14ac:dyDescent="0.25">
      <c r="E7" s="65"/>
      <c r="F7" s="137"/>
      <c r="G7" s="137"/>
      <c r="H7" s="137"/>
      <c r="I7" s="137"/>
      <c r="J7" s="464"/>
    </row>
    <row r="8" spans="1:47" x14ac:dyDescent="0.25">
      <c r="E8" s="65"/>
      <c r="F8" s="137"/>
      <c r="G8" s="137"/>
      <c r="H8" s="137"/>
      <c r="I8" s="137"/>
      <c r="J8" s="464"/>
    </row>
    <row r="9" spans="1:47" x14ac:dyDescent="0.25">
      <c r="E9" s="65"/>
      <c r="F9" s="137"/>
      <c r="G9" s="137"/>
      <c r="H9" s="137"/>
      <c r="I9" s="137"/>
      <c r="J9" s="465"/>
    </row>
    <row r="10" spans="1:47" x14ac:dyDescent="0.25">
      <c r="D10" s="959"/>
      <c r="E10" s="959"/>
      <c r="F10" s="959"/>
      <c r="G10" s="137"/>
      <c r="H10" s="137"/>
      <c r="I10" s="137"/>
      <c r="J10" s="135"/>
      <c r="K10" s="135"/>
      <c r="L10" s="135"/>
      <c r="M10" s="135"/>
      <c r="N10" s="135"/>
      <c r="O10" s="135"/>
      <c r="P10" s="135"/>
      <c r="Q10" s="135"/>
      <c r="R10" s="135"/>
    </row>
    <row r="11" spans="1:47" s="132" customFormat="1" ht="21" customHeight="1" x14ac:dyDescent="0.25">
      <c r="A11" s="260"/>
      <c r="D11" s="1005" t="s">
        <v>451</v>
      </c>
      <c r="E11" s="1006"/>
      <c r="F11" s="1006"/>
      <c r="G11" s="1006"/>
      <c r="H11" s="1006"/>
      <c r="I11" s="1006"/>
      <c r="J11" s="1006"/>
      <c r="K11" s="1006"/>
      <c r="L11" s="1006"/>
      <c r="M11" s="1006"/>
      <c r="N11" s="1006"/>
      <c r="O11" s="1006"/>
      <c r="P11" s="1006"/>
      <c r="Q11" s="1006"/>
      <c r="R11" s="1006"/>
      <c r="S11" s="1006"/>
      <c r="T11" s="1006"/>
      <c r="U11" s="1006"/>
      <c r="V11" s="1006"/>
      <c r="W11" s="1006"/>
      <c r="X11" s="1006"/>
      <c r="Y11" s="1006"/>
      <c r="Z11" s="1006"/>
      <c r="AA11" s="1006"/>
      <c r="AB11" s="1006"/>
      <c r="AC11" s="1006"/>
      <c r="AD11" s="1006"/>
    </row>
    <row r="12" spans="1:47" x14ac:dyDescent="0.25">
      <c r="D12" s="1007" t="s">
        <v>447</v>
      </c>
      <c r="E12" s="468" t="s">
        <v>323</v>
      </c>
      <c r="F12" s="468" t="s">
        <v>323</v>
      </c>
      <c r="G12" s="468" t="s">
        <v>323</v>
      </c>
      <c r="H12" s="468" t="s">
        <v>323</v>
      </c>
      <c r="I12" s="468" t="s">
        <v>323</v>
      </c>
      <c r="J12" s="468" t="s">
        <v>323</v>
      </c>
      <c r="K12" s="468" t="s">
        <v>323</v>
      </c>
      <c r="L12" s="468" t="s">
        <v>323</v>
      </c>
      <c r="M12" s="468" t="s">
        <v>323</v>
      </c>
      <c r="N12" s="468" t="s">
        <v>323</v>
      </c>
      <c r="O12" s="468" t="s">
        <v>367</v>
      </c>
      <c r="P12" s="468" t="s">
        <v>367</v>
      </c>
      <c r="Q12" s="468" t="s">
        <v>367</v>
      </c>
      <c r="R12" s="468" t="s">
        <v>367</v>
      </c>
      <c r="S12" s="468" t="s">
        <v>367</v>
      </c>
      <c r="T12" s="468" t="s">
        <v>367</v>
      </c>
      <c r="U12" s="468" t="s">
        <v>367</v>
      </c>
      <c r="V12" s="468" t="s">
        <v>450</v>
      </c>
      <c r="W12" s="468" t="s">
        <v>450</v>
      </c>
      <c r="X12" s="468" t="s">
        <v>450</v>
      </c>
      <c r="Y12" s="468" t="s">
        <v>33</v>
      </c>
      <c r="Z12" s="468" t="s">
        <v>33</v>
      </c>
      <c r="AA12" s="468" t="s">
        <v>33</v>
      </c>
      <c r="AB12" s="468" t="s">
        <v>33</v>
      </c>
      <c r="AC12" s="468" t="s">
        <v>33</v>
      </c>
      <c r="AD12" s="468" t="s">
        <v>448</v>
      </c>
    </row>
    <row r="13" spans="1:47" s="26" customFormat="1" ht="72" x14ac:dyDescent="0.25">
      <c r="A13" s="73"/>
      <c r="D13" s="1007"/>
      <c r="E13" s="557" t="s">
        <v>323</v>
      </c>
      <c r="F13" s="558" t="s">
        <v>376</v>
      </c>
      <c r="G13" s="559" t="s">
        <v>378</v>
      </c>
      <c r="H13" s="560" t="s">
        <v>380</v>
      </c>
      <c r="I13" s="561" t="s">
        <v>382</v>
      </c>
      <c r="J13" s="562" t="s">
        <v>400</v>
      </c>
      <c r="K13" s="563" t="s">
        <v>385</v>
      </c>
      <c r="L13" s="564" t="s">
        <v>408</v>
      </c>
      <c r="M13" s="565" t="s">
        <v>409</v>
      </c>
      <c r="N13" s="566" t="s">
        <v>1624</v>
      </c>
      <c r="O13" s="556" t="s">
        <v>402</v>
      </c>
      <c r="P13" s="555" t="s">
        <v>403</v>
      </c>
      <c r="Q13" s="554" t="s">
        <v>404</v>
      </c>
      <c r="R13" s="553" t="s">
        <v>405</v>
      </c>
      <c r="S13" s="552" t="s">
        <v>406</v>
      </c>
      <c r="T13" s="551" t="s">
        <v>401</v>
      </c>
      <c r="U13" s="550" t="s">
        <v>407</v>
      </c>
      <c r="V13" s="549" t="s">
        <v>1621</v>
      </c>
      <c r="W13" s="548" t="s">
        <v>1625</v>
      </c>
      <c r="X13" s="547" t="s">
        <v>1622</v>
      </c>
      <c r="Y13" s="546" t="s">
        <v>1842</v>
      </c>
      <c r="Z13" s="544" t="s">
        <v>1616</v>
      </c>
      <c r="AA13" s="689" t="s">
        <v>1802</v>
      </c>
      <c r="AB13" s="545" t="s">
        <v>339</v>
      </c>
      <c r="AC13" s="651" t="s">
        <v>321</v>
      </c>
      <c r="AD13" s="469" t="s">
        <v>170</v>
      </c>
    </row>
    <row r="14" spans="1:47" x14ac:dyDescent="0.25">
      <c r="D14" s="1007"/>
      <c r="E14" s="467" t="s">
        <v>423</v>
      </c>
      <c r="F14" s="467" t="s">
        <v>423</v>
      </c>
      <c r="G14" s="467" t="s">
        <v>423</v>
      </c>
      <c r="H14" s="467" t="s">
        <v>423</v>
      </c>
      <c r="I14" s="467" t="s">
        <v>423</v>
      </c>
      <c r="J14" s="467" t="s">
        <v>423</v>
      </c>
      <c r="K14" s="467" t="s">
        <v>423</v>
      </c>
      <c r="L14" s="467" t="s">
        <v>423</v>
      </c>
      <c r="M14" s="467" t="s">
        <v>423</v>
      </c>
      <c r="N14" s="467" t="s">
        <v>423</v>
      </c>
      <c r="O14" s="467" t="s">
        <v>423</v>
      </c>
      <c r="P14" s="467" t="s">
        <v>423</v>
      </c>
      <c r="Q14" s="467" t="s">
        <v>423</v>
      </c>
      <c r="R14" s="467" t="s">
        <v>423</v>
      </c>
      <c r="S14" s="467" t="s">
        <v>423</v>
      </c>
      <c r="T14" s="467" t="s">
        <v>423</v>
      </c>
      <c r="U14" s="467" t="s">
        <v>423</v>
      </c>
      <c r="V14" s="467" t="s">
        <v>423</v>
      </c>
      <c r="W14" s="467" t="s">
        <v>423</v>
      </c>
      <c r="X14" s="467" t="s">
        <v>423</v>
      </c>
      <c r="Y14" s="467" t="s">
        <v>423</v>
      </c>
      <c r="Z14" s="467" t="s">
        <v>423</v>
      </c>
      <c r="AA14" s="467" t="s">
        <v>423</v>
      </c>
      <c r="AB14" s="467" t="s">
        <v>423</v>
      </c>
      <c r="AC14" s="467" t="s">
        <v>423</v>
      </c>
      <c r="AD14" s="467" t="s">
        <v>449</v>
      </c>
    </row>
    <row r="15" spans="1:47" x14ac:dyDescent="0.25">
      <c r="D15" s="461" t="str">
        <f>'Project Emission Distribution'!D25</f>
        <v>A201</v>
      </c>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711">
        <f>(SUMIFS($E$15:$E$74,$D$15:$D$74,$D15)*SUMIFS('GWP &amp; Emission Factors '!$F$154:$F$242,'GWP &amp; Emission Factors '!$E$154:$E$242,$E$13)+SUMIFS($F$15:$F$74,$D$15:$D$74,$D15)*SUMIFS('GWP &amp; Emission Factors '!$F$154:$F$242,'GWP &amp; Emission Factors '!$E$154:$E$242,$F$13)+SUMIFS($G$15:$G$74,$D$15:$D$74,$D15)*SUMIFS('GWP &amp; Emission Factors '!$F$154:$F$242,'GWP &amp; Emission Factors '!$E$154:$E$242,$G$13)+SUMIFS($H$15:$H$74,$D$15:$D$74,$D15)*SUMIFS('GWP &amp; Emission Factors '!$F$154:$F$242,'GWP &amp; Emission Factors '!$E$154:$E$242,$H$13)+SUMIFS($I$15:$I$74,$D$15:$D$74,$D15)*SUMIFS('GWP &amp; Emission Factors '!$F$154:$F$242,'GWP &amp; Emission Factors '!$E$154:$E$242,$I$13)+SUMIFS($J$15:$J$74,$D$15:$D$74,$D15)*SUMIFS('GWP &amp; Emission Factors '!$F$154:$F$242,'GWP &amp; Emission Factors '!$E$154:$E$242,$J$13)+SUMIFS($K$15:$K$74,$D$15:$D$74,$D15)*SUMIFS('GWP &amp; Emission Factors '!$F$154:$F$242,'GWP &amp; Emission Factors '!$E$154:$E$242,$K$13)+SUMIFS($L$15:$L$74,$D$15:$D$74,$D15)*SUMIFS('GWP &amp; Emission Factors '!$F$154:$F$242,'GWP &amp; Emission Factors '!$E$154:$E$242,$L$13)+SUMIFS($M$15:$M$74,$D$15:$D$74,$D15)*SUMIFS('GWP &amp; Emission Factors '!$F$154:$F$242,'GWP &amp; Emission Factors '!$E$154:$E$242,$M$13)+SUMIFS($N$15:$N$74,$D$15:$D$74,$D15)*SUMIFS('GWP &amp; Emission Factors '!$F$154:$F$242,'GWP &amp; Emission Factors '!$E$154:$E$242,$N$13)+SUMIFS($O$15:$O$74,$D$15:$D$74,$D15)*SUMIFS('GWP &amp; Emission Factors '!$F$154:$F$242,'GWP &amp; Emission Factors '!$E$154:$E$242,$O$13)+SUMIFS($P$15:$P$74,$D$15:$D$74,$D15)*SUMIFS('GWP &amp; Emission Factors '!$F$154:$F$242,'GWP &amp; Emission Factors '!$E$154:$E$242,$P$13)+SUMIFS($Q$15:$Q$74,$D$15:$D$74,$D15)*SUMIFS('GWP &amp; Emission Factors '!$F$154:$F$242,'GWP &amp; Emission Factors '!$E$154:$E$242,$Q$13)+SUMIFS($R$15:$R$74,$D$15:$D$74,$D15)*SUMIFS('GWP &amp; Emission Factors '!$F$154:$F$242,'GWP &amp; Emission Factors '!$E$154:$E$242,$R$13)+SUMIFS($S$15:$S$74,$D$15:$D$74,$D15)*SUMIFS('GWP &amp; Emission Factors '!$F$154:$F$242,'GWP &amp; Emission Factors '!$E$154:$E$242,$S$13)+SUMIFS($T$15:$T$74,$D$15:$D$74,$D15)*SUMIFS('GWP &amp; Emission Factors '!$F$154:$F$242,'GWP &amp; Emission Factors '!$E$154:$E$242,$T$13)+SUMIFS($U$15:$U$74,$D$15:$D$74,$D15)*SUMIFS('GWP &amp; Emission Factors '!$F$154:$F$242,'GWP &amp; Emission Factors '!$E$154:$E$242,$U$13)+SUMIFS($V$15:$V$74,$D$15:$D$74,$D15)*SUMIFS('GWP &amp; Emission Factors '!$F$154:$F$242,'GWP &amp; Emission Factors '!$E$154:$E$242,$V$13)+SUMIFS($W$15:$W$74,$D$15:$D$74,$D15)*SUMIFS('GWP &amp; Emission Factors '!$F$154:$F$242,'GWP &amp; Emission Factors '!$E$154:$E$242,$W$13)+SUMIFS($X$15:$X$74,$D$15:$D$74,$D15)*SUMIFS('GWP &amp; Emission Factors '!$F$154:$F$242,'GWP &amp; Emission Factors '!$E$154:$E$242,$X$13)+SUMIFS($Y$15:$Y$74,$D$15:$D$74,$D15)*SUMIFS('GWP &amp; Emission Factors '!$F$154:$F$242,'GWP &amp; Emission Factors '!$E$154:$E$242,$Y$13)+SUMIFS($Z$15:$Z$74,$D$15:$D$74,$D15)*SUMIFS('GWP &amp; Emission Factors '!$F$154:$F$242,'GWP &amp; Emission Factors '!$E$154:$E$242,$Z$13)+SUMIFS($AA$15:$AA$74,$D$15:$D$74,$D15)*SUMIFS('GWP &amp; Emission Factors '!$F$154:$F$242,'GWP &amp; Emission Factors '!$E$154:$E$242,$AA$13)+SUMIFS($AB$15:$AB$74,$D$15:$D$74,$D15)*SUMIFS('GWP &amp; Emission Factors '!$F$154:$F$242,'GWP &amp; Emission Factors '!$E$154:$E$242,$AB$13)/1000+SUMIFS($AC$15:$AC$74,$D$15:$D$74,$D15)*SUMIFS('GWP &amp; Emission Factors '!$F$154:$F$242,'GWP &amp; Emission Factors '!$E$154:$E$242,$AC$13))/1000</f>
        <v>0</v>
      </c>
    </row>
    <row r="16" spans="1:47" x14ac:dyDescent="0.25">
      <c r="D16" s="461" t="str">
        <f>'Project Emission Distribution'!D26</f>
        <v>AN02</v>
      </c>
      <c r="E16" s="466"/>
      <c r="F16" s="466"/>
      <c r="G16" s="466"/>
      <c r="H16" s="466"/>
      <c r="I16" s="466"/>
      <c r="J16" s="466"/>
      <c r="K16" s="466"/>
      <c r="L16" s="466"/>
      <c r="M16" s="466"/>
      <c r="N16" s="710"/>
      <c r="O16" s="710"/>
      <c r="P16" s="710"/>
      <c r="Q16" s="710"/>
      <c r="R16" s="710"/>
      <c r="S16" s="710"/>
      <c r="T16" s="710"/>
      <c r="U16" s="710"/>
      <c r="V16" s="710"/>
      <c r="W16" s="710"/>
      <c r="X16" s="710"/>
      <c r="Y16" s="710"/>
      <c r="Z16" s="710"/>
      <c r="AA16" s="710"/>
      <c r="AB16" s="710"/>
      <c r="AC16" s="710"/>
      <c r="AD16" s="711">
        <f>(SUMIFS($E$15:$E$74,$D$15:$D$74,$D16)*SUMIFS('GWP &amp; Emission Factors '!$F$154:$F$242,'GWP &amp; Emission Factors '!$E$154:$E$242,$E$13)+SUMIFS($F$15:$F$74,$D$15:$D$74,$D16)*SUMIFS('GWP &amp; Emission Factors '!$F$154:$F$242,'GWP &amp; Emission Factors '!$E$154:$E$242,$F$13)+SUMIFS($G$15:$G$74,$D$15:$D$74,$D16)*SUMIFS('GWP &amp; Emission Factors '!$F$154:$F$242,'GWP &amp; Emission Factors '!$E$154:$E$242,$G$13)+SUMIFS($H$15:$H$74,$D$15:$D$74,$D16)*SUMIFS('GWP &amp; Emission Factors '!$F$154:$F$242,'GWP &amp; Emission Factors '!$E$154:$E$242,$H$13)+SUMIFS($I$15:$I$74,$D$15:$D$74,$D16)*SUMIFS('GWP &amp; Emission Factors '!$F$154:$F$242,'GWP &amp; Emission Factors '!$E$154:$E$242,$I$13)+SUMIFS($J$15:$J$74,$D$15:$D$74,$D16)*SUMIFS('GWP &amp; Emission Factors '!$F$154:$F$242,'GWP &amp; Emission Factors '!$E$154:$E$242,$J$13)+SUMIFS($K$15:$K$74,$D$15:$D$74,$D16)*SUMIFS('GWP &amp; Emission Factors '!$F$154:$F$242,'GWP &amp; Emission Factors '!$E$154:$E$242,$K$13)+SUMIFS($L$15:$L$74,$D$15:$D$74,$D16)*SUMIFS('GWP &amp; Emission Factors '!$F$154:$F$242,'GWP &amp; Emission Factors '!$E$154:$E$242,$L$13)+SUMIFS($M$15:$M$74,$D$15:$D$74,$D16)*SUMIFS('GWP &amp; Emission Factors '!$F$154:$F$242,'GWP &amp; Emission Factors '!$E$154:$E$242,$M$13)+SUMIFS($N$15:$N$74,$D$15:$D$74,$D16)*SUMIFS('GWP &amp; Emission Factors '!$F$154:$F$242,'GWP &amp; Emission Factors '!$E$154:$E$242,$N$13)+SUMIFS($O$15:$O$74,$D$15:$D$74,$D16)*SUMIFS('GWP &amp; Emission Factors '!$F$154:$F$242,'GWP &amp; Emission Factors '!$E$154:$E$242,$O$13)+SUMIFS($P$15:$P$74,$D$15:$D$74,$D16)*SUMIFS('GWP &amp; Emission Factors '!$F$154:$F$242,'GWP &amp; Emission Factors '!$E$154:$E$242,$P$13)+SUMIFS($Q$15:$Q$74,$D$15:$D$74,$D16)*SUMIFS('GWP &amp; Emission Factors '!$F$154:$F$242,'GWP &amp; Emission Factors '!$E$154:$E$242,$Q$13)+SUMIFS($R$15:$R$74,$D$15:$D$74,$D16)*SUMIFS('GWP &amp; Emission Factors '!$F$154:$F$242,'GWP &amp; Emission Factors '!$E$154:$E$242,$R$13)+SUMIFS($S$15:$S$74,$D$15:$D$74,$D16)*SUMIFS('GWP &amp; Emission Factors '!$F$154:$F$242,'GWP &amp; Emission Factors '!$E$154:$E$242,$S$13)+SUMIFS($T$15:$T$74,$D$15:$D$74,$D16)*SUMIFS('GWP &amp; Emission Factors '!$F$154:$F$242,'GWP &amp; Emission Factors '!$E$154:$E$242,$T$13)+SUMIFS($U$15:$U$74,$D$15:$D$74,$D16)*SUMIFS('GWP &amp; Emission Factors '!$F$154:$F$242,'GWP &amp; Emission Factors '!$E$154:$E$242,$U$13)+SUMIFS($V$15:$V$74,$D$15:$D$74,$D16)*SUMIFS('GWP &amp; Emission Factors '!$F$154:$F$242,'GWP &amp; Emission Factors '!$E$154:$E$242,$V$13)+SUMIFS($W$15:$W$74,$D$15:$D$74,$D16)*SUMIFS('GWP &amp; Emission Factors '!$F$154:$F$242,'GWP &amp; Emission Factors '!$E$154:$E$242,$W$13)+SUMIFS($X$15:$X$74,$D$15:$D$74,$D16)*SUMIFS('GWP &amp; Emission Factors '!$F$154:$F$242,'GWP &amp; Emission Factors '!$E$154:$E$242,$X$13)+SUMIFS($Y$15:$Y$74,$D$15:$D$74,$D16)*SUMIFS('GWP &amp; Emission Factors '!$F$154:$F$242,'GWP &amp; Emission Factors '!$E$154:$E$242,$Y$13)+SUMIFS($Z$15:$Z$74,$D$15:$D$74,$D16)*SUMIFS('GWP &amp; Emission Factors '!$F$154:$F$242,'GWP &amp; Emission Factors '!$E$154:$E$242,$Z$13)+SUMIFS($AA$15:$AA$74,$D$15:$D$74,$D16)*SUMIFS('GWP &amp; Emission Factors '!$F$154:$F$242,'GWP &amp; Emission Factors '!$E$154:$E$242,$AA$13)+SUMIFS($AB$15:$AB$74,$D$15:$D$74,$D16)*SUMIFS('GWP &amp; Emission Factors '!$F$154:$F$242,'GWP &amp; Emission Factors '!$E$154:$E$242,$AB$13)/1000+SUMIFS($AC$15:$AC$74,$D$15:$D$74,$D16)*SUMIFS('GWP &amp; Emission Factors '!$F$154:$F$242,'GWP &amp; Emission Factors '!$E$154:$E$242,$AC$13))/1000</f>
        <v>0</v>
      </c>
    </row>
    <row r="17" spans="4:30" x14ac:dyDescent="0.25">
      <c r="D17" s="461" t="str">
        <f>'Project Emission Distribution'!D27</f>
        <v>AN03</v>
      </c>
      <c r="E17" s="241"/>
      <c r="F17" s="241"/>
      <c r="G17" s="241"/>
      <c r="H17" s="241"/>
      <c r="I17" s="241"/>
      <c r="J17" s="241"/>
      <c r="K17" s="241"/>
      <c r="L17" s="241"/>
      <c r="M17" s="241"/>
      <c r="N17" s="241"/>
      <c r="O17" s="241"/>
      <c r="P17" s="241"/>
      <c r="Q17" s="241"/>
      <c r="R17" s="241"/>
      <c r="S17" s="241"/>
      <c r="T17" s="241"/>
      <c r="U17" s="241"/>
      <c r="V17" s="241"/>
      <c r="W17" s="241"/>
      <c r="X17" s="241"/>
      <c r="Y17" s="241"/>
      <c r="Z17" s="241"/>
      <c r="AA17" s="241"/>
      <c r="AB17" s="241"/>
      <c r="AC17" s="241"/>
      <c r="AD17" s="711">
        <f>(SUMIFS($E$15:$E$74,$D$15:$D$74,$D17)*SUMIFS('GWP &amp; Emission Factors '!$F$154:$F$242,'GWP &amp; Emission Factors '!$E$154:$E$242,$E$13)+SUMIFS($F$15:$F$74,$D$15:$D$74,$D17)*SUMIFS('GWP &amp; Emission Factors '!$F$154:$F$242,'GWP &amp; Emission Factors '!$E$154:$E$242,$F$13)+SUMIFS($G$15:$G$74,$D$15:$D$74,$D17)*SUMIFS('GWP &amp; Emission Factors '!$F$154:$F$242,'GWP &amp; Emission Factors '!$E$154:$E$242,$G$13)+SUMIFS($H$15:$H$74,$D$15:$D$74,$D17)*SUMIFS('GWP &amp; Emission Factors '!$F$154:$F$242,'GWP &amp; Emission Factors '!$E$154:$E$242,$H$13)+SUMIFS($I$15:$I$74,$D$15:$D$74,$D17)*SUMIFS('GWP &amp; Emission Factors '!$F$154:$F$242,'GWP &amp; Emission Factors '!$E$154:$E$242,$I$13)+SUMIFS($J$15:$J$74,$D$15:$D$74,$D17)*SUMIFS('GWP &amp; Emission Factors '!$F$154:$F$242,'GWP &amp; Emission Factors '!$E$154:$E$242,$J$13)+SUMIFS($K$15:$K$74,$D$15:$D$74,$D17)*SUMIFS('GWP &amp; Emission Factors '!$F$154:$F$242,'GWP &amp; Emission Factors '!$E$154:$E$242,$K$13)+SUMIFS($L$15:$L$74,$D$15:$D$74,$D17)*SUMIFS('GWP &amp; Emission Factors '!$F$154:$F$242,'GWP &amp; Emission Factors '!$E$154:$E$242,$L$13)+SUMIFS($M$15:$M$74,$D$15:$D$74,$D17)*SUMIFS('GWP &amp; Emission Factors '!$F$154:$F$242,'GWP &amp; Emission Factors '!$E$154:$E$242,$M$13)+SUMIFS($N$15:$N$74,$D$15:$D$74,$D17)*SUMIFS('GWP &amp; Emission Factors '!$F$154:$F$242,'GWP &amp; Emission Factors '!$E$154:$E$242,$N$13)+SUMIFS($O$15:$O$74,$D$15:$D$74,$D17)*SUMIFS('GWP &amp; Emission Factors '!$F$154:$F$242,'GWP &amp; Emission Factors '!$E$154:$E$242,$O$13)+SUMIFS($P$15:$P$74,$D$15:$D$74,$D17)*SUMIFS('GWP &amp; Emission Factors '!$F$154:$F$242,'GWP &amp; Emission Factors '!$E$154:$E$242,$P$13)+SUMIFS($Q$15:$Q$74,$D$15:$D$74,$D17)*SUMIFS('GWP &amp; Emission Factors '!$F$154:$F$242,'GWP &amp; Emission Factors '!$E$154:$E$242,$Q$13)+SUMIFS($R$15:$R$74,$D$15:$D$74,$D17)*SUMIFS('GWP &amp; Emission Factors '!$F$154:$F$242,'GWP &amp; Emission Factors '!$E$154:$E$242,$R$13)+SUMIFS($S$15:$S$74,$D$15:$D$74,$D17)*SUMIFS('GWP &amp; Emission Factors '!$F$154:$F$242,'GWP &amp; Emission Factors '!$E$154:$E$242,$S$13)+SUMIFS($T$15:$T$74,$D$15:$D$74,$D17)*SUMIFS('GWP &amp; Emission Factors '!$F$154:$F$242,'GWP &amp; Emission Factors '!$E$154:$E$242,$T$13)+SUMIFS($U$15:$U$74,$D$15:$D$74,$D17)*SUMIFS('GWP &amp; Emission Factors '!$F$154:$F$242,'GWP &amp; Emission Factors '!$E$154:$E$242,$U$13)+SUMIFS($V$15:$V$74,$D$15:$D$74,$D17)*SUMIFS('GWP &amp; Emission Factors '!$F$154:$F$242,'GWP &amp; Emission Factors '!$E$154:$E$242,$V$13)+SUMIFS($W$15:$W$74,$D$15:$D$74,$D17)*SUMIFS('GWP &amp; Emission Factors '!$F$154:$F$242,'GWP &amp; Emission Factors '!$E$154:$E$242,$W$13)+SUMIFS($X$15:$X$74,$D$15:$D$74,$D17)*SUMIFS('GWP &amp; Emission Factors '!$F$154:$F$242,'GWP &amp; Emission Factors '!$E$154:$E$242,$X$13)+SUMIFS($Y$15:$Y$74,$D$15:$D$74,$D17)*SUMIFS('GWP &amp; Emission Factors '!$F$154:$F$242,'GWP &amp; Emission Factors '!$E$154:$E$242,$Y$13)+SUMIFS($Z$15:$Z$74,$D$15:$D$74,$D17)*SUMIFS('GWP &amp; Emission Factors '!$F$154:$F$242,'GWP &amp; Emission Factors '!$E$154:$E$242,$Z$13)+SUMIFS($AA$15:$AA$74,$D$15:$D$74,$D17)*SUMIFS('GWP &amp; Emission Factors '!$F$154:$F$242,'GWP &amp; Emission Factors '!$E$154:$E$242,$AA$13)+SUMIFS($AB$15:$AB$74,$D$15:$D$74,$D17)*SUMIFS('GWP &amp; Emission Factors '!$F$154:$F$242,'GWP &amp; Emission Factors '!$E$154:$E$242,$AB$13)/1000+SUMIFS($AC$15:$AC$74,$D$15:$D$74,$D17)*SUMIFS('GWP &amp; Emission Factors '!$F$154:$F$242,'GWP &amp; Emission Factors '!$E$154:$E$242,$AC$13))/1000</f>
        <v>0</v>
      </c>
    </row>
    <row r="18" spans="4:30" x14ac:dyDescent="0.25">
      <c r="D18" s="461" t="str">
        <f>'Project Emission Distribution'!D28</f>
        <v>AN04</v>
      </c>
      <c r="E18" s="466"/>
      <c r="F18" s="466"/>
      <c r="G18" s="466"/>
      <c r="H18" s="466"/>
      <c r="I18" s="466"/>
      <c r="J18" s="466"/>
      <c r="K18" s="466"/>
      <c r="L18" s="466"/>
      <c r="M18" s="466"/>
      <c r="N18" s="710"/>
      <c r="O18" s="710"/>
      <c r="P18" s="710"/>
      <c r="Q18" s="710"/>
      <c r="R18" s="710"/>
      <c r="S18" s="710"/>
      <c r="T18" s="710"/>
      <c r="U18" s="710"/>
      <c r="V18" s="710"/>
      <c r="W18" s="710"/>
      <c r="X18" s="710"/>
      <c r="Y18" s="710"/>
      <c r="Z18" s="710"/>
      <c r="AA18" s="710"/>
      <c r="AB18" s="710"/>
      <c r="AC18" s="710"/>
      <c r="AD18" s="711">
        <f>(SUMIFS($E$15:$E$74,$D$15:$D$74,$D18)*SUMIFS('GWP &amp; Emission Factors '!$F$154:$F$242,'GWP &amp; Emission Factors '!$E$154:$E$242,$E$13)+SUMIFS($F$15:$F$74,$D$15:$D$74,$D18)*SUMIFS('GWP &amp; Emission Factors '!$F$154:$F$242,'GWP &amp; Emission Factors '!$E$154:$E$242,$F$13)+SUMIFS($G$15:$G$74,$D$15:$D$74,$D18)*SUMIFS('GWP &amp; Emission Factors '!$F$154:$F$242,'GWP &amp; Emission Factors '!$E$154:$E$242,$G$13)+SUMIFS($H$15:$H$74,$D$15:$D$74,$D18)*SUMIFS('GWP &amp; Emission Factors '!$F$154:$F$242,'GWP &amp; Emission Factors '!$E$154:$E$242,$H$13)+SUMIFS($I$15:$I$74,$D$15:$D$74,$D18)*SUMIFS('GWP &amp; Emission Factors '!$F$154:$F$242,'GWP &amp; Emission Factors '!$E$154:$E$242,$I$13)+SUMIFS($J$15:$J$74,$D$15:$D$74,$D18)*SUMIFS('GWP &amp; Emission Factors '!$F$154:$F$242,'GWP &amp; Emission Factors '!$E$154:$E$242,$J$13)+SUMIFS($K$15:$K$74,$D$15:$D$74,$D18)*SUMIFS('GWP &amp; Emission Factors '!$F$154:$F$242,'GWP &amp; Emission Factors '!$E$154:$E$242,$K$13)+SUMIFS($L$15:$L$74,$D$15:$D$74,$D18)*SUMIFS('GWP &amp; Emission Factors '!$F$154:$F$242,'GWP &amp; Emission Factors '!$E$154:$E$242,$L$13)+SUMIFS($M$15:$M$74,$D$15:$D$74,$D18)*SUMIFS('GWP &amp; Emission Factors '!$F$154:$F$242,'GWP &amp; Emission Factors '!$E$154:$E$242,$M$13)+SUMIFS($N$15:$N$74,$D$15:$D$74,$D18)*SUMIFS('GWP &amp; Emission Factors '!$F$154:$F$242,'GWP &amp; Emission Factors '!$E$154:$E$242,$N$13)+SUMIFS($O$15:$O$74,$D$15:$D$74,$D18)*SUMIFS('GWP &amp; Emission Factors '!$F$154:$F$242,'GWP &amp; Emission Factors '!$E$154:$E$242,$O$13)+SUMIFS($P$15:$P$74,$D$15:$D$74,$D18)*SUMIFS('GWP &amp; Emission Factors '!$F$154:$F$242,'GWP &amp; Emission Factors '!$E$154:$E$242,$P$13)+SUMIFS($Q$15:$Q$74,$D$15:$D$74,$D18)*SUMIFS('GWP &amp; Emission Factors '!$F$154:$F$242,'GWP &amp; Emission Factors '!$E$154:$E$242,$Q$13)+SUMIFS($R$15:$R$74,$D$15:$D$74,$D18)*SUMIFS('GWP &amp; Emission Factors '!$F$154:$F$242,'GWP &amp; Emission Factors '!$E$154:$E$242,$R$13)+SUMIFS($S$15:$S$74,$D$15:$D$74,$D18)*SUMIFS('GWP &amp; Emission Factors '!$F$154:$F$242,'GWP &amp; Emission Factors '!$E$154:$E$242,$S$13)+SUMIFS($T$15:$T$74,$D$15:$D$74,$D18)*SUMIFS('GWP &amp; Emission Factors '!$F$154:$F$242,'GWP &amp; Emission Factors '!$E$154:$E$242,$T$13)+SUMIFS($U$15:$U$74,$D$15:$D$74,$D18)*SUMIFS('GWP &amp; Emission Factors '!$F$154:$F$242,'GWP &amp; Emission Factors '!$E$154:$E$242,$U$13)+SUMIFS($V$15:$V$74,$D$15:$D$74,$D18)*SUMIFS('GWP &amp; Emission Factors '!$F$154:$F$242,'GWP &amp; Emission Factors '!$E$154:$E$242,$V$13)+SUMIFS($W$15:$W$74,$D$15:$D$74,$D18)*SUMIFS('GWP &amp; Emission Factors '!$F$154:$F$242,'GWP &amp; Emission Factors '!$E$154:$E$242,$W$13)+SUMIFS($X$15:$X$74,$D$15:$D$74,$D18)*SUMIFS('GWP &amp; Emission Factors '!$F$154:$F$242,'GWP &amp; Emission Factors '!$E$154:$E$242,$X$13)+SUMIFS($Y$15:$Y$74,$D$15:$D$74,$D18)*SUMIFS('GWP &amp; Emission Factors '!$F$154:$F$242,'GWP &amp; Emission Factors '!$E$154:$E$242,$Y$13)+SUMIFS($Z$15:$Z$74,$D$15:$D$74,$D18)*SUMIFS('GWP &amp; Emission Factors '!$F$154:$F$242,'GWP &amp; Emission Factors '!$E$154:$E$242,$Z$13)+SUMIFS($AA$15:$AA$74,$D$15:$D$74,$D18)*SUMIFS('GWP &amp; Emission Factors '!$F$154:$F$242,'GWP &amp; Emission Factors '!$E$154:$E$242,$AA$13)+SUMIFS($AB$15:$AB$74,$D$15:$D$74,$D18)*SUMIFS('GWP &amp; Emission Factors '!$F$154:$F$242,'GWP &amp; Emission Factors '!$E$154:$E$242,$AB$13)/1000+SUMIFS($AC$15:$AC$74,$D$15:$D$74,$D18)*SUMIFS('GWP &amp; Emission Factors '!$F$154:$F$242,'GWP &amp; Emission Factors '!$E$154:$E$242,$AC$13))/1000</f>
        <v>0</v>
      </c>
    </row>
    <row r="19" spans="4:30" x14ac:dyDescent="0.25">
      <c r="D19" s="461" t="str">
        <f>'Project Emission Distribution'!D29</f>
        <v>AN05</v>
      </c>
      <c r="E19" s="241"/>
      <c r="F19" s="241"/>
      <c r="G19" s="241"/>
      <c r="H19" s="241"/>
      <c r="I19" s="241"/>
      <c r="J19" s="241"/>
      <c r="K19" s="241"/>
      <c r="L19" s="241"/>
      <c r="M19" s="241"/>
      <c r="N19" s="241"/>
      <c r="O19" s="241"/>
      <c r="P19" s="241"/>
      <c r="Q19" s="241"/>
      <c r="R19" s="241"/>
      <c r="S19" s="241"/>
      <c r="T19" s="241"/>
      <c r="U19" s="241"/>
      <c r="V19" s="241"/>
      <c r="W19" s="241"/>
      <c r="X19" s="241"/>
      <c r="Y19" s="241"/>
      <c r="Z19" s="241"/>
      <c r="AA19" s="241"/>
      <c r="AB19" s="241"/>
      <c r="AC19" s="241"/>
      <c r="AD19" s="711">
        <f>(SUMIFS($E$15:$E$74,$D$15:$D$74,$D19)*SUMIFS('GWP &amp; Emission Factors '!$F$154:$F$242,'GWP &amp; Emission Factors '!$E$154:$E$242,$E$13)+SUMIFS($F$15:$F$74,$D$15:$D$74,$D19)*SUMIFS('GWP &amp; Emission Factors '!$F$154:$F$242,'GWP &amp; Emission Factors '!$E$154:$E$242,$F$13)+SUMIFS($G$15:$G$74,$D$15:$D$74,$D19)*SUMIFS('GWP &amp; Emission Factors '!$F$154:$F$242,'GWP &amp; Emission Factors '!$E$154:$E$242,$G$13)+SUMIFS($H$15:$H$74,$D$15:$D$74,$D19)*SUMIFS('GWP &amp; Emission Factors '!$F$154:$F$242,'GWP &amp; Emission Factors '!$E$154:$E$242,$H$13)+SUMIFS($I$15:$I$74,$D$15:$D$74,$D19)*SUMIFS('GWP &amp; Emission Factors '!$F$154:$F$242,'GWP &amp; Emission Factors '!$E$154:$E$242,$I$13)+SUMIFS($J$15:$J$74,$D$15:$D$74,$D19)*SUMIFS('GWP &amp; Emission Factors '!$F$154:$F$242,'GWP &amp; Emission Factors '!$E$154:$E$242,$J$13)+SUMIFS($K$15:$K$74,$D$15:$D$74,$D19)*SUMIFS('GWP &amp; Emission Factors '!$F$154:$F$242,'GWP &amp; Emission Factors '!$E$154:$E$242,$K$13)+SUMIFS($L$15:$L$74,$D$15:$D$74,$D19)*SUMIFS('GWP &amp; Emission Factors '!$F$154:$F$242,'GWP &amp; Emission Factors '!$E$154:$E$242,$L$13)+SUMIFS($M$15:$M$74,$D$15:$D$74,$D19)*SUMIFS('GWP &amp; Emission Factors '!$F$154:$F$242,'GWP &amp; Emission Factors '!$E$154:$E$242,$M$13)+SUMIFS($N$15:$N$74,$D$15:$D$74,$D19)*SUMIFS('GWP &amp; Emission Factors '!$F$154:$F$242,'GWP &amp; Emission Factors '!$E$154:$E$242,$N$13)+SUMIFS($O$15:$O$74,$D$15:$D$74,$D19)*SUMIFS('GWP &amp; Emission Factors '!$F$154:$F$242,'GWP &amp; Emission Factors '!$E$154:$E$242,$O$13)+SUMIFS($P$15:$P$74,$D$15:$D$74,$D19)*SUMIFS('GWP &amp; Emission Factors '!$F$154:$F$242,'GWP &amp; Emission Factors '!$E$154:$E$242,$P$13)+SUMIFS($Q$15:$Q$74,$D$15:$D$74,$D19)*SUMIFS('GWP &amp; Emission Factors '!$F$154:$F$242,'GWP &amp; Emission Factors '!$E$154:$E$242,$Q$13)+SUMIFS($R$15:$R$74,$D$15:$D$74,$D19)*SUMIFS('GWP &amp; Emission Factors '!$F$154:$F$242,'GWP &amp; Emission Factors '!$E$154:$E$242,$R$13)+SUMIFS($S$15:$S$74,$D$15:$D$74,$D19)*SUMIFS('GWP &amp; Emission Factors '!$F$154:$F$242,'GWP &amp; Emission Factors '!$E$154:$E$242,$S$13)+SUMIFS($T$15:$T$74,$D$15:$D$74,$D19)*SUMIFS('GWP &amp; Emission Factors '!$F$154:$F$242,'GWP &amp; Emission Factors '!$E$154:$E$242,$T$13)+SUMIFS($U$15:$U$74,$D$15:$D$74,$D19)*SUMIFS('GWP &amp; Emission Factors '!$F$154:$F$242,'GWP &amp; Emission Factors '!$E$154:$E$242,$U$13)+SUMIFS($V$15:$V$74,$D$15:$D$74,$D19)*SUMIFS('GWP &amp; Emission Factors '!$F$154:$F$242,'GWP &amp; Emission Factors '!$E$154:$E$242,$V$13)+SUMIFS($W$15:$W$74,$D$15:$D$74,$D19)*SUMIFS('GWP &amp; Emission Factors '!$F$154:$F$242,'GWP &amp; Emission Factors '!$E$154:$E$242,$W$13)+SUMIFS($X$15:$X$74,$D$15:$D$74,$D19)*SUMIFS('GWP &amp; Emission Factors '!$F$154:$F$242,'GWP &amp; Emission Factors '!$E$154:$E$242,$X$13)+SUMIFS($Y$15:$Y$74,$D$15:$D$74,$D19)*SUMIFS('GWP &amp; Emission Factors '!$F$154:$F$242,'GWP &amp; Emission Factors '!$E$154:$E$242,$Y$13)+SUMIFS($Z$15:$Z$74,$D$15:$D$74,$D19)*SUMIFS('GWP &amp; Emission Factors '!$F$154:$F$242,'GWP &amp; Emission Factors '!$E$154:$E$242,$Z$13)+SUMIFS($AA$15:$AA$74,$D$15:$D$74,$D19)*SUMIFS('GWP &amp; Emission Factors '!$F$154:$F$242,'GWP &amp; Emission Factors '!$E$154:$E$242,$AA$13)+SUMIFS($AB$15:$AB$74,$D$15:$D$74,$D19)*SUMIFS('GWP &amp; Emission Factors '!$F$154:$F$242,'GWP &amp; Emission Factors '!$E$154:$E$242,$AB$13)/1000+SUMIFS($AC$15:$AC$74,$D$15:$D$74,$D19)*SUMIFS('GWP &amp; Emission Factors '!$F$154:$F$242,'GWP &amp; Emission Factors '!$E$154:$E$242,$AC$13))/1000</f>
        <v>0</v>
      </c>
    </row>
    <row r="20" spans="4:30" x14ac:dyDescent="0.25">
      <c r="D20" s="461" t="str">
        <f>'Project Emission Distribution'!D30</f>
        <v>AN06</v>
      </c>
      <c r="E20" s="466"/>
      <c r="F20" s="466"/>
      <c r="G20" s="466"/>
      <c r="H20" s="466"/>
      <c r="I20" s="466"/>
      <c r="J20" s="466"/>
      <c r="K20" s="466"/>
      <c r="L20" s="466"/>
      <c r="M20" s="466"/>
      <c r="N20" s="710"/>
      <c r="O20" s="710"/>
      <c r="P20" s="710"/>
      <c r="Q20" s="710"/>
      <c r="R20" s="710"/>
      <c r="S20" s="710"/>
      <c r="T20" s="710"/>
      <c r="U20" s="710"/>
      <c r="V20" s="710"/>
      <c r="W20" s="710"/>
      <c r="X20" s="710"/>
      <c r="Y20" s="710"/>
      <c r="Z20" s="710"/>
      <c r="AA20" s="710"/>
      <c r="AB20" s="710"/>
      <c r="AC20" s="710"/>
      <c r="AD20" s="711">
        <f>(SUMIFS($E$15:$E$74,$D$15:$D$74,$D20)*SUMIFS('GWP &amp; Emission Factors '!$F$154:$F$242,'GWP &amp; Emission Factors '!$E$154:$E$242,$E$13)+SUMIFS($F$15:$F$74,$D$15:$D$74,$D20)*SUMIFS('GWP &amp; Emission Factors '!$F$154:$F$242,'GWP &amp; Emission Factors '!$E$154:$E$242,$F$13)+SUMIFS($G$15:$G$74,$D$15:$D$74,$D20)*SUMIFS('GWP &amp; Emission Factors '!$F$154:$F$242,'GWP &amp; Emission Factors '!$E$154:$E$242,$G$13)+SUMIFS($H$15:$H$74,$D$15:$D$74,$D20)*SUMIFS('GWP &amp; Emission Factors '!$F$154:$F$242,'GWP &amp; Emission Factors '!$E$154:$E$242,$H$13)+SUMIFS($I$15:$I$74,$D$15:$D$74,$D20)*SUMIFS('GWP &amp; Emission Factors '!$F$154:$F$242,'GWP &amp; Emission Factors '!$E$154:$E$242,$I$13)+SUMIFS($J$15:$J$74,$D$15:$D$74,$D20)*SUMIFS('GWP &amp; Emission Factors '!$F$154:$F$242,'GWP &amp; Emission Factors '!$E$154:$E$242,$J$13)+SUMIFS($K$15:$K$74,$D$15:$D$74,$D20)*SUMIFS('GWP &amp; Emission Factors '!$F$154:$F$242,'GWP &amp; Emission Factors '!$E$154:$E$242,$K$13)+SUMIFS($L$15:$L$74,$D$15:$D$74,$D20)*SUMIFS('GWP &amp; Emission Factors '!$F$154:$F$242,'GWP &amp; Emission Factors '!$E$154:$E$242,$L$13)+SUMIFS($M$15:$M$74,$D$15:$D$74,$D20)*SUMIFS('GWP &amp; Emission Factors '!$F$154:$F$242,'GWP &amp; Emission Factors '!$E$154:$E$242,$M$13)+SUMIFS($N$15:$N$74,$D$15:$D$74,$D20)*SUMIFS('GWP &amp; Emission Factors '!$F$154:$F$242,'GWP &amp; Emission Factors '!$E$154:$E$242,$N$13)+SUMIFS($O$15:$O$74,$D$15:$D$74,$D20)*SUMIFS('GWP &amp; Emission Factors '!$F$154:$F$242,'GWP &amp; Emission Factors '!$E$154:$E$242,$O$13)+SUMIFS($P$15:$P$74,$D$15:$D$74,$D20)*SUMIFS('GWP &amp; Emission Factors '!$F$154:$F$242,'GWP &amp; Emission Factors '!$E$154:$E$242,$P$13)+SUMIFS($Q$15:$Q$74,$D$15:$D$74,$D20)*SUMIFS('GWP &amp; Emission Factors '!$F$154:$F$242,'GWP &amp; Emission Factors '!$E$154:$E$242,$Q$13)+SUMIFS($R$15:$R$74,$D$15:$D$74,$D20)*SUMIFS('GWP &amp; Emission Factors '!$F$154:$F$242,'GWP &amp; Emission Factors '!$E$154:$E$242,$R$13)+SUMIFS($S$15:$S$74,$D$15:$D$74,$D20)*SUMIFS('GWP &amp; Emission Factors '!$F$154:$F$242,'GWP &amp; Emission Factors '!$E$154:$E$242,$S$13)+SUMIFS($T$15:$T$74,$D$15:$D$74,$D20)*SUMIFS('GWP &amp; Emission Factors '!$F$154:$F$242,'GWP &amp; Emission Factors '!$E$154:$E$242,$T$13)+SUMIFS($U$15:$U$74,$D$15:$D$74,$D20)*SUMIFS('GWP &amp; Emission Factors '!$F$154:$F$242,'GWP &amp; Emission Factors '!$E$154:$E$242,$U$13)+SUMIFS($V$15:$V$74,$D$15:$D$74,$D20)*SUMIFS('GWP &amp; Emission Factors '!$F$154:$F$242,'GWP &amp; Emission Factors '!$E$154:$E$242,$V$13)+SUMIFS($W$15:$W$74,$D$15:$D$74,$D20)*SUMIFS('GWP &amp; Emission Factors '!$F$154:$F$242,'GWP &amp; Emission Factors '!$E$154:$E$242,$W$13)+SUMIFS($X$15:$X$74,$D$15:$D$74,$D20)*SUMIFS('GWP &amp; Emission Factors '!$F$154:$F$242,'GWP &amp; Emission Factors '!$E$154:$E$242,$X$13)+SUMIFS($Y$15:$Y$74,$D$15:$D$74,$D20)*SUMIFS('GWP &amp; Emission Factors '!$F$154:$F$242,'GWP &amp; Emission Factors '!$E$154:$E$242,$Y$13)+SUMIFS($Z$15:$Z$74,$D$15:$D$74,$D20)*SUMIFS('GWP &amp; Emission Factors '!$F$154:$F$242,'GWP &amp; Emission Factors '!$E$154:$E$242,$Z$13)+SUMIFS($AA$15:$AA$74,$D$15:$D$74,$D20)*SUMIFS('GWP &amp; Emission Factors '!$F$154:$F$242,'GWP &amp; Emission Factors '!$E$154:$E$242,$AA$13)+SUMIFS($AB$15:$AB$74,$D$15:$D$74,$D20)*SUMIFS('GWP &amp; Emission Factors '!$F$154:$F$242,'GWP &amp; Emission Factors '!$E$154:$E$242,$AB$13)/1000+SUMIFS($AC$15:$AC$74,$D$15:$D$74,$D20)*SUMIFS('GWP &amp; Emission Factors '!$F$154:$F$242,'GWP &amp; Emission Factors '!$E$154:$E$242,$AC$13))/1000</f>
        <v>0</v>
      </c>
    </row>
    <row r="21" spans="4:30" x14ac:dyDescent="0.25">
      <c r="D21" s="461" t="str">
        <f>'Project Emission Distribution'!D31</f>
        <v>AN07</v>
      </c>
      <c r="E21" s="241"/>
      <c r="F21" s="241"/>
      <c r="G21" s="241"/>
      <c r="H21" s="241"/>
      <c r="I21" s="241"/>
      <c r="J21" s="241"/>
      <c r="K21" s="241"/>
      <c r="L21" s="241"/>
      <c r="M21" s="241"/>
      <c r="N21" s="241"/>
      <c r="O21" s="241"/>
      <c r="P21" s="241"/>
      <c r="Q21" s="241"/>
      <c r="R21" s="241"/>
      <c r="S21" s="241"/>
      <c r="T21" s="241"/>
      <c r="U21" s="241"/>
      <c r="V21" s="241"/>
      <c r="W21" s="241"/>
      <c r="X21" s="241"/>
      <c r="Y21" s="241"/>
      <c r="Z21" s="241"/>
      <c r="AA21" s="241"/>
      <c r="AB21" s="241"/>
      <c r="AC21" s="241"/>
      <c r="AD21" s="711">
        <f>(SUMIFS($E$15:$E$74,$D$15:$D$74,$D21)*SUMIFS('GWP &amp; Emission Factors '!$F$154:$F$242,'GWP &amp; Emission Factors '!$E$154:$E$242,$E$13)+SUMIFS($F$15:$F$74,$D$15:$D$74,$D21)*SUMIFS('GWP &amp; Emission Factors '!$F$154:$F$242,'GWP &amp; Emission Factors '!$E$154:$E$242,$F$13)+SUMIFS($G$15:$G$74,$D$15:$D$74,$D21)*SUMIFS('GWP &amp; Emission Factors '!$F$154:$F$242,'GWP &amp; Emission Factors '!$E$154:$E$242,$G$13)+SUMIFS($H$15:$H$74,$D$15:$D$74,$D21)*SUMIFS('GWP &amp; Emission Factors '!$F$154:$F$242,'GWP &amp; Emission Factors '!$E$154:$E$242,$H$13)+SUMIFS($I$15:$I$74,$D$15:$D$74,$D21)*SUMIFS('GWP &amp; Emission Factors '!$F$154:$F$242,'GWP &amp; Emission Factors '!$E$154:$E$242,$I$13)+SUMIFS($J$15:$J$74,$D$15:$D$74,$D21)*SUMIFS('GWP &amp; Emission Factors '!$F$154:$F$242,'GWP &amp; Emission Factors '!$E$154:$E$242,$J$13)+SUMIFS($K$15:$K$74,$D$15:$D$74,$D21)*SUMIFS('GWP &amp; Emission Factors '!$F$154:$F$242,'GWP &amp; Emission Factors '!$E$154:$E$242,$K$13)+SUMIFS($L$15:$L$74,$D$15:$D$74,$D21)*SUMIFS('GWP &amp; Emission Factors '!$F$154:$F$242,'GWP &amp; Emission Factors '!$E$154:$E$242,$L$13)+SUMIFS($M$15:$M$74,$D$15:$D$74,$D21)*SUMIFS('GWP &amp; Emission Factors '!$F$154:$F$242,'GWP &amp; Emission Factors '!$E$154:$E$242,$M$13)+SUMIFS($N$15:$N$74,$D$15:$D$74,$D21)*SUMIFS('GWP &amp; Emission Factors '!$F$154:$F$242,'GWP &amp; Emission Factors '!$E$154:$E$242,$N$13)+SUMIFS($O$15:$O$74,$D$15:$D$74,$D21)*SUMIFS('GWP &amp; Emission Factors '!$F$154:$F$242,'GWP &amp; Emission Factors '!$E$154:$E$242,$O$13)+SUMIFS($P$15:$P$74,$D$15:$D$74,$D21)*SUMIFS('GWP &amp; Emission Factors '!$F$154:$F$242,'GWP &amp; Emission Factors '!$E$154:$E$242,$P$13)+SUMIFS($Q$15:$Q$74,$D$15:$D$74,$D21)*SUMIFS('GWP &amp; Emission Factors '!$F$154:$F$242,'GWP &amp; Emission Factors '!$E$154:$E$242,$Q$13)+SUMIFS($R$15:$R$74,$D$15:$D$74,$D21)*SUMIFS('GWP &amp; Emission Factors '!$F$154:$F$242,'GWP &amp; Emission Factors '!$E$154:$E$242,$R$13)+SUMIFS($S$15:$S$74,$D$15:$D$74,$D21)*SUMIFS('GWP &amp; Emission Factors '!$F$154:$F$242,'GWP &amp; Emission Factors '!$E$154:$E$242,$S$13)+SUMIFS($T$15:$T$74,$D$15:$D$74,$D21)*SUMIFS('GWP &amp; Emission Factors '!$F$154:$F$242,'GWP &amp; Emission Factors '!$E$154:$E$242,$T$13)+SUMIFS($U$15:$U$74,$D$15:$D$74,$D21)*SUMIFS('GWP &amp; Emission Factors '!$F$154:$F$242,'GWP &amp; Emission Factors '!$E$154:$E$242,$U$13)+SUMIFS($V$15:$V$74,$D$15:$D$74,$D21)*SUMIFS('GWP &amp; Emission Factors '!$F$154:$F$242,'GWP &amp; Emission Factors '!$E$154:$E$242,$V$13)+SUMIFS($W$15:$W$74,$D$15:$D$74,$D21)*SUMIFS('GWP &amp; Emission Factors '!$F$154:$F$242,'GWP &amp; Emission Factors '!$E$154:$E$242,$W$13)+SUMIFS($X$15:$X$74,$D$15:$D$74,$D21)*SUMIFS('GWP &amp; Emission Factors '!$F$154:$F$242,'GWP &amp; Emission Factors '!$E$154:$E$242,$X$13)+SUMIFS($Y$15:$Y$74,$D$15:$D$74,$D21)*SUMIFS('GWP &amp; Emission Factors '!$F$154:$F$242,'GWP &amp; Emission Factors '!$E$154:$E$242,$Y$13)+SUMIFS($Z$15:$Z$74,$D$15:$D$74,$D21)*SUMIFS('GWP &amp; Emission Factors '!$F$154:$F$242,'GWP &amp; Emission Factors '!$E$154:$E$242,$Z$13)+SUMIFS($AA$15:$AA$74,$D$15:$D$74,$D21)*SUMIFS('GWP &amp; Emission Factors '!$F$154:$F$242,'GWP &amp; Emission Factors '!$E$154:$E$242,$AA$13)+SUMIFS($AB$15:$AB$74,$D$15:$D$74,$D21)*SUMIFS('GWP &amp; Emission Factors '!$F$154:$F$242,'GWP &amp; Emission Factors '!$E$154:$E$242,$AB$13)/1000+SUMIFS($AC$15:$AC$74,$D$15:$D$74,$D21)*SUMIFS('GWP &amp; Emission Factors '!$F$154:$F$242,'GWP &amp; Emission Factors '!$E$154:$E$242,$AC$13))/1000</f>
        <v>0</v>
      </c>
    </row>
    <row r="22" spans="4:30" x14ac:dyDescent="0.25">
      <c r="D22" s="461" t="str">
        <f>'Project Emission Distribution'!D32</f>
        <v>AN08</v>
      </c>
      <c r="E22" s="466"/>
      <c r="F22" s="466"/>
      <c r="G22" s="466"/>
      <c r="H22" s="466"/>
      <c r="I22" s="466"/>
      <c r="J22" s="466"/>
      <c r="K22" s="466"/>
      <c r="L22" s="466"/>
      <c r="M22" s="466"/>
      <c r="N22" s="710"/>
      <c r="O22" s="710"/>
      <c r="P22" s="710"/>
      <c r="Q22" s="710"/>
      <c r="R22" s="710"/>
      <c r="S22" s="710"/>
      <c r="T22" s="710"/>
      <c r="U22" s="710"/>
      <c r="V22" s="710"/>
      <c r="W22" s="710"/>
      <c r="X22" s="710"/>
      <c r="Y22" s="710"/>
      <c r="Z22" s="710"/>
      <c r="AA22" s="710"/>
      <c r="AB22" s="710"/>
      <c r="AC22" s="710"/>
      <c r="AD22" s="711">
        <f>(SUMIFS($E$15:$E$74,$D$15:$D$74,$D22)*SUMIFS('GWP &amp; Emission Factors '!$F$154:$F$242,'GWP &amp; Emission Factors '!$E$154:$E$242,$E$13)+SUMIFS($F$15:$F$74,$D$15:$D$74,$D22)*SUMIFS('GWP &amp; Emission Factors '!$F$154:$F$242,'GWP &amp; Emission Factors '!$E$154:$E$242,$F$13)+SUMIFS($G$15:$G$74,$D$15:$D$74,$D22)*SUMIFS('GWP &amp; Emission Factors '!$F$154:$F$242,'GWP &amp; Emission Factors '!$E$154:$E$242,$G$13)+SUMIFS($H$15:$H$74,$D$15:$D$74,$D22)*SUMIFS('GWP &amp; Emission Factors '!$F$154:$F$242,'GWP &amp; Emission Factors '!$E$154:$E$242,$H$13)+SUMIFS($I$15:$I$74,$D$15:$D$74,$D22)*SUMIFS('GWP &amp; Emission Factors '!$F$154:$F$242,'GWP &amp; Emission Factors '!$E$154:$E$242,$I$13)+SUMIFS($J$15:$J$74,$D$15:$D$74,$D22)*SUMIFS('GWP &amp; Emission Factors '!$F$154:$F$242,'GWP &amp; Emission Factors '!$E$154:$E$242,$J$13)+SUMIFS($K$15:$K$74,$D$15:$D$74,$D22)*SUMIFS('GWP &amp; Emission Factors '!$F$154:$F$242,'GWP &amp; Emission Factors '!$E$154:$E$242,$K$13)+SUMIFS($L$15:$L$74,$D$15:$D$74,$D22)*SUMIFS('GWP &amp; Emission Factors '!$F$154:$F$242,'GWP &amp; Emission Factors '!$E$154:$E$242,$L$13)+SUMIFS($M$15:$M$74,$D$15:$D$74,$D22)*SUMIFS('GWP &amp; Emission Factors '!$F$154:$F$242,'GWP &amp; Emission Factors '!$E$154:$E$242,$M$13)+SUMIFS($N$15:$N$74,$D$15:$D$74,$D22)*SUMIFS('GWP &amp; Emission Factors '!$F$154:$F$242,'GWP &amp; Emission Factors '!$E$154:$E$242,$N$13)+SUMIFS($O$15:$O$74,$D$15:$D$74,$D22)*SUMIFS('GWP &amp; Emission Factors '!$F$154:$F$242,'GWP &amp; Emission Factors '!$E$154:$E$242,$O$13)+SUMIFS($P$15:$P$74,$D$15:$D$74,$D22)*SUMIFS('GWP &amp; Emission Factors '!$F$154:$F$242,'GWP &amp; Emission Factors '!$E$154:$E$242,$P$13)+SUMIFS($Q$15:$Q$74,$D$15:$D$74,$D22)*SUMIFS('GWP &amp; Emission Factors '!$F$154:$F$242,'GWP &amp; Emission Factors '!$E$154:$E$242,$Q$13)+SUMIFS($R$15:$R$74,$D$15:$D$74,$D22)*SUMIFS('GWP &amp; Emission Factors '!$F$154:$F$242,'GWP &amp; Emission Factors '!$E$154:$E$242,$R$13)+SUMIFS($S$15:$S$74,$D$15:$D$74,$D22)*SUMIFS('GWP &amp; Emission Factors '!$F$154:$F$242,'GWP &amp; Emission Factors '!$E$154:$E$242,$S$13)+SUMIFS($T$15:$T$74,$D$15:$D$74,$D22)*SUMIFS('GWP &amp; Emission Factors '!$F$154:$F$242,'GWP &amp; Emission Factors '!$E$154:$E$242,$T$13)+SUMIFS($U$15:$U$74,$D$15:$D$74,$D22)*SUMIFS('GWP &amp; Emission Factors '!$F$154:$F$242,'GWP &amp; Emission Factors '!$E$154:$E$242,$U$13)+SUMIFS($V$15:$V$74,$D$15:$D$74,$D22)*SUMIFS('GWP &amp; Emission Factors '!$F$154:$F$242,'GWP &amp; Emission Factors '!$E$154:$E$242,$V$13)+SUMIFS($W$15:$W$74,$D$15:$D$74,$D22)*SUMIFS('GWP &amp; Emission Factors '!$F$154:$F$242,'GWP &amp; Emission Factors '!$E$154:$E$242,$W$13)+SUMIFS($X$15:$X$74,$D$15:$D$74,$D22)*SUMIFS('GWP &amp; Emission Factors '!$F$154:$F$242,'GWP &amp; Emission Factors '!$E$154:$E$242,$X$13)+SUMIFS($Y$15:$Y$74,$D$15:$D$74,$D22)*SUMIFS('GWP &amp; Emission Factors '!$F$154:$F$242,'GWP &amp; Emission Factors '!$E$154:$E$242,$Y$13)+SUMIFS($Z$15:$Z$74,$D$15:$D$74,$D22)*SUMIFS('GWP &amp; Emission Factors '!$F$154:$F$242,'GWP &amp; Emission Factors '!$E$154:$E$242,$Z$13)+SUMIFS($AA$15:$AA$74,$D$15:$D$74,$D22)*SUMIFS('GWP &amp; Emission Factors '!$F$154:$F$242,'GWP &amp; Emission Factors '!$E$154:$E$242,$AA$13)+SUMIFS($AB$15:$AB$74,$D$15:$D$74,$D22)*SUMIFS('GWP &amp; Emission Factors '!$F$154:$F$242,'GWP &amp; Emission Factors '!$E$154:$E$242,$AB$13)/1000+SUMIFS($AC$15:$AC$74,$D$15:$D$74,$D22)*SUMIFS('GWP &amp; Emission Factors '!$F$154:$F$242,'GWP &amp; Emission Factors '!$E$154:$E$242,$AC$13))/1000</f>
        <v>0</v>
      </c>
    </row>
    <row r="23" spans="4:30" x14ac:dyDescent="0.25">
      <c r="D23" s="461" t="str">
        <f>'Project Emission Distribution'!D33</f>
        <v>AN09</v>
      </c>
      <c r="E23" s="241"/>
      <c r="F23" s="241"/>
      <c r="G23" s="241"/>
      <c r="H23" s="241"/>
      <c r="I23" s="241"/>
      <c r="J23" s="241"/>
      <c r="K23" s="241"/>
      <c r="L23" s="241"/>
      <c r="M23" s="241"/>
      <c r="N23" s="241"/>
      <c r="O23" s="241"/>
      <c r="P23" s="241"/>
      <c r="Q23" s="241"/>
      <c r="R23" s="241"/>
      <c r="S23" s="241"/>
      <c r="T23" s="241"/>
      <c r="U23" s="241"/>
      <c r="V23" s="241"/>
      <c r="W23" s="241"/>
      <c r="X23" s="241"/>
      <c r="Y23" s="241"/>
      <c r="Z23" s="241"/>
      <c r="AA23" s="241"/>
      <c r="AB23" s="241"/>
      <c r="AC23" s="241"/>
      <c r="AD23" s="711">
        <f>(SUMIFS($E$15:$E$74,$D$15:$D$74,$D23)*SUMIFS('GWP &amp; Emission Factors '!$F$154:$F$242,'GWP &amp; Emission Factors '!$E$154:$E$242,$E$13)+SUMIFS($F$15:$F$74,$D$15:$D$74,$D23)*SUMIFS('GWP &amp; Emission Factors '!$F$154:$F$242,'GWP &amp; Emission Factors '!$E$154:$E$242,$F$13)+SUMIFS($G$15:$G$74,$D$15:$D$74,$D23)*SUMIFS('GWP &amp; Emission Factors '!$F$154:$F$242,'GWP &amp; Emission Factors '!$E$154:$E$242,$G$13)+SUMIFS($H$15:$H$74,$D$15:$D$74,$D23)*SUMIFS('GWP &amp; Emission Factors '!$F$154:$F$242,'GWP &amp; Emission Factors '!$E$154:$E$242,$H$13)+SUMIFS($I$15:$I$74,$D$15:$D$74,$D23)*SUMIFS('GWP &amp; Emission Factors '!$F$154:$F$242,'GWP &amp; Emission Factors '!$E$154:$E$242,$I$13)+SUMIFS($J$15:$J$74,$D$15:$D$74,$D23)*SUMIFS('GWP &amp; Emission Factors '!$F$154:$F$242,'GWP &amp; Emission Factors '!$E$154:$E$242,$J$13)+SUMIFS($K$15:$K$74,$D$15:$D$74,$D23)*SUMIFS('GWP &amp; Emission Factors '!$F$154:$F$242,'GWP &amp; Emission Factors '!$E$154:$E$242,$K$13)+SUMIFS($L$15:$L$74,$D$15:$D$74,$D23)*SUMIFS('GWP &amp; Emission Factors '!$F$154:$F$242,'GWP &amp; Emission Factors '!$E$154:$E$242,$L$13)+SUMIFS($M$15:$M$74,$D$15:$D$74,$D23)*SUMIFS('GWP &amp; Emission Factors '!$F$154:$F$242,'GWP &amp; Emission Factors '!$E$154:$E$242,$M$13)+SUMIFS($N$15:$N$74,$D$15:$D$74,$D23)*SUMIFS('GWP &amp; Emission Factors '!$F$154:$F$242,'GWP &amp; Emission Factors '!$E$154:$E$242,$N$13)+SUMIFS($O$15:$O$74,$D$15:$D$74,$D23)*SUMIFS('GWP &amp; Emission Factors '!$F$154:$F$242,'GWP &amp; Emission Factors '!$E$154:$E$242,$O$13)+SUMIFS($P$15:$P$74,$D$15:$D$74,$D23)*SUMIFS('GWP &amp; Emission Factors '!$F$154:$F$242,'GWP &amp; Emission Factors '!$E$154:$E$242,$P$13)+SUMIFS($Q$15:$Q$74,$D$15:$D$74,$D23)*SUMIFS('GWP &amp; Emission Factors '!$F$154:$F$242,'GWP &amp; Emission Factors '!$E$154:$E$242,$Q$13)+SUMIFS($R$15:$R$74,$D$15:$D$74,$D23)*SUMIFS('GWP &amp; Emission Factors '!$F$154:$F$242,'GWP &amp; Emission Factors '!$E$154:$E$242,$R$13)+SUMIFS($S$15:$S$74,$D$15:$D$74,$D23)*SUMIFS('GWP &amp; Emission Factors '!$F$154:$F$242,'GWP &amp; Emission Factors '!$E$154:$E$242,$S$13)+SUMIFS($T$15:$T$74,$D$15:$D$74,$D23)*SUMIFS('GWP &amp; Emission Factors '!$F$154:$F$242,'GWP &amp; Emission Factors '!$E$154:$E$242,$T$13)+SUMIFS($U$15:$U$74,$D$15:$D$74,$D23)*SUMIFS('GWP &amp; Emission Factors '!$F$154:$F$242,'GWP &amp; Emission Factors '!$E$154:$E$242,$U$13)+SUMIFS($V$15:$V$74,$D$15:$D$74,$D23)*SUMIFS('GWP &amp; Emission Factors '!$F$154:$F$242,'GWP &amp; Emission Factors '!$E$154:$E$242,$V$13)+SUMIFS($W$15:$W$74,$D$15:$D$74,$D23)*SUMIFS('GWP &amp; Emission Factors '!$F$154:$F$242,'GWP &amp; Emission Factors '!$E$154:$E$242,$W$13)+SUMIFS($X$15:$X$74,$D$15:$D$74,$D23)*SUMIFS('GWP &amp; Emission Factors '!$F$154:$F$242,'GWP &amp; Emission Factors '!$E$154:$E$242,$X$13)+SUMIFS($Y$15:$Y$74,$D$15:$D$74,$D23)*SUMIFS('GWP &amp; Emission Factors '!$F$154:$F$242,'GWP &amp; Emission Factors '!$E$154:$E$242,$Y$13)+SUMIFS($Z$15:$Z$74,$D$15:$D$74,$D23)*SUMIFS('GWP &amp; Emission Factors '!$F$154:$F$242,'GWP &amp; Emission Factors '!$E$154:$E$242,$Z$13)+SUMIFS($AA$15:$AA$74,$D$15:$D$74,$D23)*SUMIFS('GWP &amp; Emission Factors '!$F$154:$F$242,'GWP &amp; Emission Factors '!$E$154:$E$242,$AA$13)+SUMIFS($AB$15:$AB$74,$D$15:$D$74,$D23)*SUMIFS('GWP &amp; Emission Factors '!$F$154:$F$242,'GWP &amp; Emission Factors '!$E$154:$E$242,$AB$13)/1000+SUMIFS($AC$15:$AC$74,$D$15:$D$74,$D23)*SUMIFS('GWP &amp; Emission Factors '!$F$154:$F$242,'GWP &amp; Emission Factors '!$E$154:$E$242,$AC$13))/1000</f>
        <v>0</v>
      </c>
    </row>
    <row r="24" spans="4:30" x14ac:dyDescent="0.25">
      <c r="D24" s="461" t="str">
        <f>'Project Emission Distribution'!D34</f>
        <v>AN10</v>
      </c>
      <c r="E24" s="466"/>
      <c r="F24" s="466"/>
      <c r="G24" s="466"/>
      <c r="H24" s="466"/>
      <c r="I24" s="466"/>
      <c r="J24" s="466"/>
      <c r="K24" s="466"/>
      <c r="L24" s="466"/>
      <c r="M24" s="466"/>
      <c r="N24" s="710"/>
      <c r="O24" s="710"/>
      <c r="P24" s="710"/>
      <c r="Q24" s="710"/>
      <c r="R24" s="710"/>
      <c r="S24" s="710"/>
      <c r="T24" s="710"/>
      <c r="U24" s="710"/>
      <c r="V24" s="710"/>
      <c r="W24" s="466"/>
      <c r="X24" s="710"/>
      <c r="Y24" s="710"/>
      <c r="Z24" s="710"/>
      <c r="AA24" s="710"/>
      <c r="AB24" s="710"/>
      <c r="AC24" s="710"/>
      <c r="AD24" s="711">
        <f>(SUMIFS($E$15:$E$74,$D$15:$D$74,$D24)*SUMIFS('GWP &amp; Emission Factors '!$F$154:$F$242,'GWP &amp; Emission Factors '!$E$154:$E$242,$E$13)+SUMIFS($F$15:$F$74,$D$15:$D$74,$D24)*SUMIFS('GWP &amp; Emission Factors '!$F$154:$F$242,'GWP &amp; Emission Factors '!$E$154:$E$242,$F$13)+SUMIFS($G$15:$G$74,$D$15:$D$74,$D24)*SUMIFS('GWP &amp; Emission Factors '!$F$154:$F$242,'GWP &amp; Emission Factors '!$E$154:$E$242,$G$13)+SUMIFS($H$15:$H$74,$D$15:$D$74,$D24)*SUMIFS('GWP &amp; Emission Factors '!$F$154:$F$242,'GWP &amp; Emission Factors '!$E$154:$E$242,$H$13)+SUMIFS($I$15:$I$74,$D$15:$D$74,$D24)*SUMIFS('GWP &amp; Emission Factors '!$F$154:$F$242,'GWP &amp; Emission Factors '!$E$154:$E$242,$I$13)+SUMIFS($J$15:$J$74,$D$15:$D$74,$D24)*SUMIFS('GWP &amp; Emission Factors '!$F$154:$F$242,'GWP &amp; Emission Factors '!$E$154:$E$242,$J$13)+SUMIFS($K$15:$K$74,$D$15:$D$74,$D24)*SUMIFS('GWP &amp; Emission Factors '!$F$154:$F$242,'GWP &amp; Emission Factors '!$E$154:$E$242,$K$13)+SUMIFS($L$15:$L$74,$D$15:$D$74,$D24)*SUMIFS('GWP &amp; Emission Factors '!$F$154:$F$242,'GWP &amp; Emission Factors '!$E$154:$E$242,$L$13)+SUMIFS($M$15:$M$74,$D$15:$D$74,$D24)*SUMIFS('GWP &amp; Emission Factors '!$F$154:$F$242,'GWP &amp; Emission Factors '!$E$154:$E$242,$M$13)+SUMIFS($N$15:$N$74,$D$15:$D$74,$D24)*SUMIFS('GWP &amp; Emission Factors '!$F$154:$F$242,'GWP &amp; Emission Factors '!$E$154:$E$242,$N$13)+SUMIFS($O$15:$O$74,$D$15:$D$74,$D24)*SUMIFS('GWP &amp; Emission Factors '!$F$154:$F$242,'GWP &amp; Emission Factors '!$E$154:$E$242,$O$13)+SUMIFS($P$15:$P$74,$D$15:$D$74,$D24)*SUMIFS('GWP &amp; Emission Factors '!$F$154:$F$242,'GWP &amp; Emission Factors '!$E$154:$E$242,$P$13)+SUMIFS($Q$15:$Q$74,$D$15:$D$74,$D24)*SUMIFS('GWP &amp; Emission Factors '!$F$154:$F$242,'GWP &amp; Emission Factors '!$E$154:$E$242,$Q$13)+SUMIFS($R$15:$R$74,$D$15:$D$74,$D24)*SUMIFS('GWP &amp; Emission Factors '!$F$154:$F$242,'GWP &amp; Emission Factors '!$E$154:$E$242,$R$13)+SUMIFS($S$15:$S$74,$D$15:$D$74,$D24)*SUMIFS('GWP &amp; Emission Factors '!$F$154:$F$242,'GWP &amp; Emission Factors '!$E$154:$E$242,$S$13)+SUMIFS($T$15:$T$74,$D$15:$D$74,$D24)*SUMIFS('GWP &amp; Emission Factors '!$F$154:$F$242,'GWP &amp; Emission Factors '!$E$154:$E$242,$T$13)+SUMIFS($U$15:$U$74,$D$15:$D$74,$D24)*SUMIFS('GWP &amp; Emission Factors '!$F$154:$F$242,'GWP &amp; Emission Factors '!$E$154:$E$242,$U$13)+SUMIFS($V$15:$V$74,$D$15:$D$74,$D24)*SUMIFS('GWP &amp; Emission Factors '!$F$154:$F$242,'GWP &amp; Emission Factors '!$E$154:$E$242,$V$13)+SUMIFS($W$15:$W$74,$D$15:$D$74,$D24)*SUMIFS('GWP &amp; Emission Factors '!$F$154:$F$242,'GWP &amp; Emission Factors '!$E$154:$E$242,$W$13)+SUMIFS($X$15:$X$74,$D$15:$D$74,$D24)*SUMIFS('GWP &amp; Emission Factors '!$F$154:$F$242,'GWP &amp; Emission Factors '!$E$154:$E$242,$X$13)+SUMIFS($Y$15:$Y$74,$D$15:$D$74,$D24)*SUMIFS('GWP &amp; Emission Factors '!$F$154:$F$242,'GWP &amp; Emission Factors '!$E$154:$E$242,$Y$13)+SUMIFS($Z$15:$Z$74,$D$15:$D$74,$D24)*SUMIFS('GWP &amp; Emission Factors '!$F$154:$F$242,'GWP &amp; Emission Factors '!$E$154:$E$242,$Z$13)+SUMIFS($AA$15:$AA$74,$D$15:$D$74,$D24)*SUMIFS('GWP &amp; Emission Factors '!$F$154:$F$242,'GWP &amp; Emission Factors '!$E$154:$E$242,$AA$13)+SUMIFS($AB$15:$AB$74,$D$15:$D$74,$D24)*SUMIFS('GWP &amp; Emission Factors '!$F$154:$F$242,'GWP &amp; Emission Factors '!$E$154:$E$242,$AB$13)/1000+SUMIFS($AC$15:$AC$74,$D$15:$D$74,$D24)*SUMIFS('GWP &amp; Emission Factors '!$F$154:$F$242,'GWP &amp; Emission Factors '!$E$154:$E$242,$AC$13))/1000</f>
        <v>0</v>
      </c>
    </row>
    <row r="25" spans="4:30" x14ac:dyDescent="0.25">
      <c r="D25" s="461" t="str">
        <f>'Project Emission Distribution'!D35</f>
        <v>AN11</v>
      </c>
      <c r="E25" s="241"/>
      <c r="F25" s="241"/>
      <c r="G25" s="241"/>
      <c r="H25" s="241"/>
      <c r="I25" s="241"/>
      <c r="J25" s="241"/>
      <c r="K25" s="241"/>
      <c r="L25" s="241"/>
      <c r="M25" s="241"/>
      <c r="N25" s="241"/>
      <c r="O25" s="241"/>
      <c r="P25" s="241"/>
      <c r="Q25" s="241"/>
      <c r="R25" s="241"/>
      <c r="S25" s="241"/>
      <c r="T25" s="241"/>
      <c r="U25" s="241"/>
      <c r="V25" s="241"/>
      <c r="W25" s="241"/>
      <c r="X25" s="241"/>
      <c r="Y25" s="241"/>
      <c r="Z25" s="241"/>
      <c r="AA25" s="241"/>
      <c r="AB25" s="241"/>
      <c r="AC25" s="241"/>
      <c r="AD25" s="711">
        <f>(SUMIFS($E$15:$E$74,$D$15:$D$74,$D25)*SUMIFS('GWP &amp; Emission Factors '!$F$154:$F$242,'GWP &amp; Emission Factors '!$E$154:$E$242,$E$13)+SUMIFS($F$15:$F$74,$D$15:$D$74,$D25)*SUMIFS('GWP &amp; Emission Factors '!$F$154:$F$242,'GWP &amp; Emission Factors '!$E$154:$E$242,$F$13)+SUMIFS($G$15:$G$74,$D$15:$D$74,$D25)*SUMIFS('GWP &amp; Emission Factors '!$F$154:$F$242,'GWP &amp; Emission Factors '!$E$154:$E$242,$G$13)+SUMIFS($H$15:$H$74,$D$15:$D$74,$D25)*SUMIFS('GWP &amp; Emission Factors '!$F$154:$F$242,'GWP &amp; Emission Factors '!$E$154:$E$242,$H$13)+SUMIFS($I$15:$I$74,$D$15:$D$74,$D25)*SUMIFS('GWP &amp; Emission Factors '!$F$154:$F$242,'GWP &amp; Emission Factors '!$E$154:$E$242,$I$13)+SUMIFS($J$15:$J$74,$D$15:$D$74,$D25)*SUMIFS('GWP &amp; Emission Factors '!$F$154:$F$242,'GWP &amp; Emission Factors '!$E$154:$E$242,$J$13)+SUMIFS($K$15:$K$74,$D$15:$D$74,$D25)*SUMIFS('GWP &amp; Emission Factors '!$F$154:$F$242,'GWP &amp; Emission Factors '!$E$154:$E$242,$K$13)+SUMIFS($L$15:$L$74,$D$15:$D$74,$D25)*SUMIFS('GWP &amp; Emission Factors '!$F$154:$F$242,'GWP &amp; Emission Factors '!$E$154:$E$242,$L$13)+SUMIFS($M$15:$M$74,$D$15:$D$74,$D25)*SUMIFS('GWP &amp; Emission Factors '!$F$154:$F$242,'GWP &amp; Emission Factors '!$E$154:$E$242,$M$13)+SUMIFS($N$15:$N$74,$D$15:$D$74,$D25)*SUMIFS('GWP &amp; Emission Factors '!$F$154:$F$242,'GWP &amp; Emission Factors '!$E$154:$E$242,$N$13)+SUMIFS($O$15:$O$74,$D$15:$D$74,$D25)*SUMIFS('GWP &amp; Emission Factors '!$F$154:$F$242,'GWP &amp; Emission Factors '!$E$154:$E$242,$O$13)+SUMIFS($P$15:$P$74,$D$15:$D$74,$D25)*SUMIFS('GWP &amp; Emission Factors '!$F$154:$F$242,'GWP &amp; Emission Factors '!$E$154:$E$242,$P$13)+SUMIFS($Q$15:$Q$74,$D$15:$D$74,$D25)*SUMIFS('GWP &amp; Emission Factors '!$F$154:$F$242,'GWP &amp; Emission Factors '!$E$154:$E$242,$Q$13)+SUMIFS($R$15:$R$74,$D$15:$D$74,$D25)*SUMIFS('GWP &amp; Emission Factors '!$F$154:$F$242,'GWP &amp; Emission Factors '!$E$154:$E$242,$R$13)+SUMIFS($S$15:$S$74,$D$15:$D$74,$D25)*SUMIFS('GWP &amp; Emission Factors '!$F$154:$F$242,'GWP &amp; Emission Factors '!$E$154:$E$242,$S$13)+SUMIFS($T$15:$T$74,$D$15:$D$74,$D25)*SUMIFS('GWP &amp; Emission Factors '!$F$154:$F$242,'GWP &amp; Emission Factors '!$E$154:$E$242,$T$13)+SUMIFS($U$15:$U$74,$D$15:$D$74,$D25)*SUMIFS('GWP &amp; Emission Factors '!$F$154:$F$242,'GWP &amp; Emission Factors '!$E$154:$E$242,$U$13)+SUMIFS($V$15:$V$74,$D$15:$D$74,$D25)*SUMIFS('GWP &amp; Emission Factors '!$F$154:$F$242,'GWP &amp; Emission Factors '!$E$154:$E$242,$V$13)+SUMIFS($W$15:$W$74,$D$15:$D$74,$D25)*SUMIFS('GWP &amp; Emission Factors '!$F$154:$F$242,'GWP &amp; Emission Factors '!$E$154:$E$242,$W$13)+SUMIFS($X$15:$X$74,$D$15:$D$74,$D25)*SUMIFS('GWP &amp; Emission Factors '!$F$154:$F$242,'GWP &amp; Emission Factors '!$E$154:$E$242,$X$13)+SUMIFS($Y$15:$Y$74,$D$15:$D$74,$D25)*SUMIFS('GWP &amp; Emission Factors '!$F$154:$F$242,'GWP &amp; Emission Factors '!$E$154:$E$242,$Y$13)+SUMIFS($Z$15:$Z$74,$D$15:$D$74,$D25)*SUMIFS('GWP &amp; Emission Factors '!$F$154:$F$242,'GWP &amp; Emission Factors '!$E$154:$E$242,$Z$13)+SUMIFS($AA$15:$AA$74,$D$15:$D$74,$D25)*SUMIFS('GWP &amp; Emission Factors '!$F$154:$F$242,'GWP &amp; Emission Factors '!$E$154:$E$242,$AA$13)+SUMIFS($AB$15:$AB$74,$D$15:$D$74,$D25)*SUMIFS('GWP &amp; Emission Factors '!$F$154:$F$242,'GWP &amp; Emission Factors '!$E$154:$E$242,$AB$13)/1000+SUMIFS($AC$15:$AC$74,$D$15:$D$74,$D25)*SUMIFS('GWP &amp; Emission Factors '!$F$154:$F$242,'GWP &amp; Emission Factors '!$E$154:$E$242,$AC$13))/1000</f>
        <v>0</v>
      </c>
    </row>
    <row r="26" spans="4:30" x14ac:dyDescent="0.25">
      <c r="D26" s="461" t="str">
        <f>'Project Emission Distribution'!D36</f>
        <v>AN12</v>
      </c>
      <c r="E26" s="466"/>
      <c r="F26" s="466"/>
      <c r="G26" s="466"/>
      <c r="H26" s="466"/>
      <c r="I26" s="466"/>
      <c r="J26" s="466"/>
      <c r="K26" s="466"/>
      <c r="L26" s="466"/>
      <c r="M26" s="466"/>
      <c r="N26" s="466"/>
      <c r="O26" s="466"/>
      <c r="P26" s="466"/>
      <c r="Q26" s="466"/>
      <c r="R26" s="466"/>
      <c r="S26" s="466"/>
      <c r="T26" s="466"/>
      <c r="U26" s="466"/>
      <c r="V26" s="466"/>
      <c r="W26" s="710"/>
      <c r="X26" s="710"/>
      <c r="Y26" s="710"/>
      <c r="Z26" s="710"/>
      <c r="AA26" s="710"/>
      <c r="AB26" s="710"/>
      <c r="AC26" s="710"/>
      <c r="AD26" s="711">
        <f>(SUMIFS($E$15:$E$74,$D$15:$D$74,$D26)*SUMIFS('GWP &amp; Emission Factors '!$F$154:$F$242,'GWP &amp; Emission Factors '!$E$154:$E$242,$E$13)+SUMIFS($F$15:$F$74,$D$15:$D$74,$D26)*SUMIFS('GWP &amp; Emission Factors '!$F$154:$F$242,'GWP &amp; Emission Factors '!$E$154:$E$242,$F$13)+SUMIFS($G$15:$G$74,$D$15:$D$74,$D26)*SUMIFS('GWP &amp; Emission Factors '!$F$154:$F$242,'GWP &amp; Emission Factors '!$E$154:$E$242,$G$13)+SUMIFS($H$15:$H$74,$D$15:$D$74,$D26)*SUMIFS('GWP &amp; Emission Factors '!$F$154:$F$242,'GWP &amp; Emission Factors '!$E$154:$E$242,$H$13)+SUMIFS($I$15:$I$74,$D$15:$D$74,$D26)*SUMIFS('GWP &amp; Emission Factors '!$F$154:$F$242,'GWP &amp; Emission Factors '!$E$154:$E$242,$I$13)+SUMIFS($J$15:$J$74,$D$15:$D$74,$D26)*SUMIFS('GWP &amp; Emission Factors '!$F$154:$F$242,'GWP &amp; Emission Factors '!$E$154:$E$242,$J$13)+SUMIFS($K$15:$K$74,$D$15:$D$74,$D26)*SUMIFS('GWP &amp; Emission Factors '!$F$154:$F$242,'GWP &amp; Emission Factors '!$E$154:$E$242,$K$13)+SUMIFS($L$15:$L$74,$D$15:$D$74,$D26)*SUMIFS('GWP &amp; Emission Factors '!$F$154:$F$242,'GWP &amp; Emission Factors '!$E$154:$E$242,$L$13)+SUMIFS($M$15:$M$74,$D$15:$D$74,$D26)*SUMIFS('GWP &amp; Emission Factors '!$F$154:$F$242,'GWP &amp; Emission Factors '!$E$154:$E$242,$M$13)+SUMIFS($N$15:$N$74,$D$15:$D$74,$D26)*SUMIFS('GWP &amp; Emission Factors '!$F$154:$F$242,'GWP &amp; Emission Factors '!$E$154:$E$242,$N$13)+SUMIFS($O$15:$O$74,$D$15:$D$74,$D26)*SUMIFS('GWP &amp; Emission Factors '!$F$154:$F$242,'GWP &amp; Emission Factors '!$E$154:$E$242,$O$13)+SUMIFS($P$15:$P$74,$D$15:$D$74,$D26)*SUMIFS('GWP &amp; Emission Factors '!$F$154:$F$242,'GWP &amp; Emission Factors '!$E$154:$E$242,$P$13)+SUMIFS($Q$15:$Q$74,$D$15:$D$74,$D26)*SUMIFS('GWP &amp; Emission Factors '!$F$154:$F$242,'GWP &amp; Emission Factors '!$E$154:$E$242,$Q$13)+SUMIFS($R$15:$R$74,$D$15:$D$74,$D26)*SUMIFS('GWP &amp; Emission Factors '!$F$154:$F$242,'GWP &amp; Emission Factors '!$E$154:$E$242,$R$13)+SUMIFS($S$15:$S$74,$D$15:$D$74,$D26)*SUMIFS('GWP &amp; Emission Factors '!$F$154:$F$242,'GWP &amp; Emission Factors '!$E$154:$E$242,$S$13)+SUMIFS($T$15:$T$74,$D$15:$D$74,$D26)*SUMIFS('GWP &amp; Emission Factors '!$F$154:$F$242,'GWP &amp; Emission Factors '!$E$154:$E$242,$T$13)+SUMIFS($U$15:$U$74,$D$15:$D$74,$D26)*SUMIFS('GWP &amp; Emission Factors '!$F$154:$F$242,'GWP &amp; Emission Factors '!$E$154:$E$242,$U$13)+SUMIFS($V$15:$V$74,$D$15:$D$74,$D26)*SUMIFS('GWP &amp; Emission Factors '!$F$154:$F$242,'GWP &amp; Emission Factors '!$E$154:$E$242,$V$13)+SUMIFS($W$15:$W$74,$D$15:$D$74,$D26)*SUMIFS('GWP &amp; Emission Factors '!$F$154:$F$242,'GWP &amp; Emission Factors '!$E$154:$E$242,$W$13)+SUMIFS($X$15:$X$74,$D$15:$D$74,$D26)*SUMIFS('GWP &amp; Emission Factors '!$F$154:$F$242,'GWP &amp; Emission Factors '!$E$154:$E$242,$X$13)+SUMIFS($Y$15:$Y$74,$D$15:$D$74,$D26)*SUMIFS('GWP &amp; Emission Factors '!$F$154:$F$242,'GWP &amp; Emission Factors '!$E$154:$E$242,$Y$13)+SUMIFS($Z$15:$Z$74,$D$15:$D$74,$D26)*SUMIFS('GWP &amp; Emission Factors '!$F$154:$F$242,'GWP &amp; Emission Factors '!$E$154:$E$242,$Z$13)+SUMIFS($AA$15:$AA$74,$D$15:$D$74,$D26)*SUMIFS('GWP &amp; Emission Factors '!$F$154:$F$242,'GWP &amp; Emission Factors '!$E$154:$E$242,$AA$13)+SUMIFS($AB$15:$AB$74,$D$15:$D$74,$D26)*SUMIFS('GWP &amp; Emission Factors '!$F$154:$F$242,'GWP &amp; Emission Factors '!$E$154:$E$242,$AB$13)/1000+SUMIFS($AC$15:$AC$74,$D$15:$D$74,$D26)*SUMIFS('GWP &amp; Emission Factors '!$F$154:$F$242,'GWP &amp; Emission Factors '!$E$154:$E$242,$AC$13))/1000</f>
        <v>0</v>
      </c>
    </row>
    <row r="27" spans="4:30" x14ac:dyDescent="0.25">
      <c r="D27" s="461" t="str">
        <f>'Project Emission Distribution'!D37</f>
        <v>AN13</v>
      </c>
      <c r="E27" s="241"/>
      <c r="F27" s="241"/>
      <c r="G27" s="241"/>
      <c r="H27" s="241"/>
      <c r="I27" s="241"/>
      <c r="J27" s="241"/>
      <c r="K27" s="241"/>
      <c r="L27" s="241"/>
      <c r="M27" s="241"/>
      <c r="N27" s="241"/>
      <c r="O27" s="241"/>
      <c r="P27" s="241"/>
      <c r="Q27" s="241"/>
      <c r="R27" s="241"/>
      <c r="S27" s="241"/>
      <c r="T27" s="241"/>
      <c r="U27" s="241"/>
      <c r="V27" s="241"/>
      <c r="W27" s="241"/>
      <c r="X27" s="241"/>
      <c r="Y27" s="241"/>
      <c r="Z27" s="241"/>
      <c r="AA27" s="241"/>
      <c r="AB27" s="241"/>
      <c r="AC27" s="241"/>
      <c r="AD27" s="711">
        <f>(SUMIFS($E$15:$E$74,$D$15:$D$74,$D27)*SUMIFS('GWP &amp; Emission Factors '!$F$154:$F$242,'GWP &amp; Emission Factors '!$E$154:$E$242,$E$13)+SUMIFS($F$15:$F$74,$D$15:$D$74,$D27)*SUMIFS('GWP &amp; Emission Factors '!$F$154:$F$242,'GWP &amp; Emission Factors '!$E$154:$E$242,$F$13)+SUMIFS($G$15:$G$74,$D$15:$D$74,$D27)*SUMIFS('GWP &amp; Emission Factors '!$F$154:$F$242,'GWP &amp; Emission Factors '!$E$154:$E$242,$G$13)+SUMIFS($H$15:$H$74,$D$15:$D$74,$D27)*SUMIFS('GWP &amp; Emission Factors '!$F$154:$F$242,'GWP &amp; Emission Factors '!$E$154:$E$242,$H$13)+SUMIFS($I$15:$I$74,$D$15:$D$74,$D27)*SUMIFS('GWP &amp; Emission Factors '!$F$154:$F$242,'GWP &amp; Emission Factors '!$E$154:$E$242,$I$13)+SUMIFS($J$15:$J$74,$D$15:$D$74,$D27)*SUMIFS('GWP &amp; Emission Factors '!$F$154:$F$242,'GWP &amp; Emission Factors '!$E$154:$E$242,$J$13)+SUMIFS($K$15:$K$74,$D$15:$D$74,$D27)*SUMIFS('GWP &amp; Emission Factors '!$F$154:$F$242,'GWP &amp; Emission Factors '!$E$154:$E$242,$K$13)+SUMIFS($L$15:$L$74,$D$15:$D$74,$D27)*SUMIFS('GWP &amp; Emission Factors '!$F$154:$F$242,'GWP &amp; Emission Factors '!$E$154:$E$242,$L$13)+SUMIFS($M$15:$M$74,$D$15:$D$74,$D27)*SUMIFS('GWP &amp; Emission Factors '!$F$154:$F$242,'GWP &amp; Emission Factors '!$E$154:$E$242,$M$13)+SUMIFS($N$15:$N$74,$D$15:$D$74,$D27)*SUMIFS('GWP &amp; Emission Factors '!$F$154:$F$242,'GWP &amp; Emission Factors '!$E$154:$E$242,$N$13)+SUMIFS($O$15:$O$74,$D$15:$D$74,$D27)*SUMIFS('GWP &amp; Emission Factors '!$F$154:$F$242,'GWP &amp; Emission Factors '!$E$154:$E$242,$O$13)+SUMIFS($P$15:$P$74,$D$15:$D$74,$D27)*SUMIFS('GWP &amp; Emission Factors '!$F$154:$F$242,'GWP &amp; Emission Factors '!$E$154:$E$242,$P$13)+SUMIFS($Q$15:$Q$74,$D$15:$D$74,$D27)*SUMIFS('GWP &amp; Emission Factors '!$F$154:$F$242,'GWP &amp; Emission Factors '!$E$154:$E$242,$Q$13)+SUMIFS($R$15:$R$74,$D$15:$D$74,$D27)*SUMIFS('GWP &amp; Emission Factors '!$F$154:$F$242,'GWP &amp; Emission Factors '!$E$154:$E$242,$R$13)+SUMIFS($S$15:$S$74,$D$15:$D$74,$D27)*SUMIFS('GWP &amp; Emission Factors '!$F$154:$F$242,'GWP &amp; Emission Factors '!$E$154:$E$242,$S$13)+SUMIFS($T$15:$T$74,$D$15:$D$74,$D27)*SUMIFS('GWP &amp; Emission Factors '!$F$154:$F$242,'GWP &amp; Emission Factors '!$E$154:$E$242,$T$13)+SUMIFS($U$15:$U$74,$D$15:$D$74,$D27)*SUMIFS('GWP &amp; Emission Factors '!$F$154:$F$242,'GWP &amp; Emission Factors '!$E$154:$E$242,$U$13)+SUMIFS($V$15:$V$74,$D$15:$D$74,$D27)*SUMIFS('GWP &amp; Emission Factors '!$F$154:$F$242,'GWP &amp; Emission Factors '!$E$154:$E$242,$V$13)+SUMIFS($W$15:$W$74,$D$15:$D$74,$D27)*SUMIFS('GWP &amp; Emission Factors '!$F$154:$F$242,'GWP &amp; Emission Factors '!$E$154:$E$242,$W$13)+SUMIFS($X$15:$X$74,$D$15:$D$74,$D27)*SUMIFS('GWP &amp; Emission Factors '!$F$154:$F$242,'GWP &amp; Emission Factors '!$E$154:$E$242,$X$13)+SUMIFS($Y$15:$Y$74,$D$15:$D$74,$D27)*SUMIFS('GWP &amp; Emission Factors '!$F$154:$F$242,'GWP &amp; Emission Factors '!$E$154:$E$242,$Y$13)+SUMIFS($Z$15:$Z$74,$D$15:$D$74,$D27)*SUMIFS('GWP &amp; Emission Factors '!$F$154:$F$242,'GWP &amp; Emission Factors '!$E$154:$E$242,$Z$13)+SUMIFS($AA$15:$AA$74,$D$15:$D$74,$D27)*SUMIFS('GWP &amp; Emission Factors '!$F$154:$F$242,'GWP &amp; Emission Factors '!$E$154:$E$242,$AA$13)+SUMIFS($AB$15:$AB$74,$D$15:$D$74,$D27)*SUMIFS('GWP &amp; Emission Factors '!$F$154:$F$242,'GWP &amp; Emission Factors '!$E$154:$E$242,$AB$13)/1000+SUMIFS($AC$15:$AC$74,$D$15:$D$74,$D27)*SUMIFS('GWP &amp; Emission Factors '!$F$154:$F$242,'GWP &amp; Emission Factors '!$E$154:$E$242,$AC$13))/1000</f>
        <v>0</v>
      </c>
    </row>
    <row r="28" spans="4:30" x14ac:dyDescent="0.25">
      <c r="D28" s="461" t="str">
        <f>'Project Emission Distribution'!D38</f>
        <v>AN14</v>
      </c>
      <c r="E28" s="466"/>
      <c r="F28" s="466"/>
      <c r="G28" s="466"/>
      <c r="H28" s="466"/>
      <c r="I28" s="466"/>
      <c r="J28" s="466"/>
      <c r="K28" s="466"/>
      <c r="L28" s="466"/>
      <c r="M28" s="466"/>
      <c r="N28" s="466"/>
      <c r="O28" s="466"/>
      <c r="P28" s="466"/>
      <c r="Q28" s="466"/>
      <c r="R28" s="466"/>
      <c r="S28" s="466"/>
      <c r="T28" s="466"/>
      <c r="U28" s="466"/>
      <c r="V28" s="466"/>
      <c r="W28" s="710"/>
      <c r="X28" s="710"/>
      <c r="Y28" s="710"/>
      <c r="Z28" s="710"/>
      <c r="AA28" s="710"/>
      <c r="AB28" s="710"/>
      <c r="AC28" s="710"/>
      <c r="AD28" s="711">
        <f>(SUMIFS($E$15:$E$74,$D$15:$D$74,$D28)*SUMIFS('GWP &amp; Emission Factors '!$F$154:$F$242,'GWP &amp; Emission Factors '!$E$154:$E$242,$E$13)+SUMIFS($F$15:$F$74,$D$15:$D$74,$D28)*SUMIFS('GWP &amp; Emission Factors '!$F$154:$F$242,'GWP &amp; Emission Factors '!$E$154:$E$242,$F$13)+SUMIFS($G$15:$G$74,$D$15:$D$74,$D28)*SUMIFS('GWP &amp; Emission Factors '!$F$154:$F$242,'GWP &amp; Emission Factors '!$E$154:$E$242,$G$13)+SUMIFS($H$15:$H$74,$D$15:$D$74,$D28)*SUMIFS('GWP &amp; Emission Factors '!$F$154:$F$242,'GWP &amp; Emission Factors '!$E$154:$E$242,$H$13)+SUMIFS($I$15:$I$74,$D$15:$D$74,$D28)*SUMIFS('GWP &amp; Emission Factors '!$F$154:$F$242,'GWP &amp; Emission Factors '!$E$154:$E$242,$I$13)+SUMIFS($J$15:$J$74,$D$15:$D$74,$D28)*SUMIFS('GWP &amp; Emission Factors '!$F$154:$F$242,'GWP &amp; Emission Factors '!$E$154:$E$242,$J$13)+SUMIFS($K$15:$K$74,$D$15:$D$74,$D28)*SUMIFS('GWP &amp; Emission Factors '!$F$154:$F$242,'GWP &amp; Emission Factors '!$E$154:$E$242,$K$13)+SUMIFS($L$15:$L$74,$D$15:$D$74,$D28)*SUMIFS('GWP &amp; Emission Factors '!$F$154:$F$242,'GWP &amp; Emission Factors '!$E$154:$E$242,$L$13)+SUMIFS($M$15:$M$74,$D$15:$D$74,$D28)*SUMIFS('GWP &amp; Emission Factors '!$F$154:$F$242,'GWP &amp; Emission Factors '!$E$154:$E$242,$M$13)+SUMIFS($N$15:$N$74,$D$15:$D$74,$D28)*SUMIFS('GWP &amp; Emission Factors '!$F$154:$F$242,'GWP &amp; Emission Factors '!$E$154:$E$242,$N$13)+SUMIFS($O$15:$O$74,$D$15:$D$74,$D28)*SUMIFS('GWP &amp; Emission Factors '!$F$154:$F$242,'GWP &amp; Emission Factors '!$E$154:$E$242,$O$13)+SUMIFS($P$15:$P$74,$D$15:$D$74,$D28)*SUMIFS('GWP &amp; Emission Factors '!$F$154:$F$242,'GWP &amp; Emission Factors '!$E$154:$E$242,$P$13)+SUMIFS($Q$15:$Q$74,$D$15:$D$74,$D28)*SUMIFS('GWP &amp; Emission Factors '!$F$154:$F$242,'GWP &amp; Emission Factors '!$E$154:$E$242,$Q$13)+SUMIFS($R$15:$R$74,$D$15:$D$74,$D28)*SUMIFS('GWP &amp; Emission Factors '!$F$154:$F$242,'GWP &amp; Emission Factors '!$E$154:$E$242,$R$13)+SUMIFS($S$15:$S$74,$D$15:$D$74,$D28)*SUMIFS('GWP &amp; Emission Factors '!$F$154:$F$242,'GWP &amp; Emission Factors '!$E$154:$E$242,$S$13)+SUMIFS($T$15:$T$74,$D$15:$D$74,$D28)*SUMIFS('GWP &amp; Emission Factors '!$F$154:$F$242,'GWP &amp; Emission Factors '!$E$154:$E$242,$T$13)+SUMIFS($U$15:$U$74,$D$15:$D$74,$D28)*SUMIFS('GWP &amp; Emission Factors '!$F$154:$F$242,'GWP &amp; Emission Factors '!$E$154:$E$242,$U$13)+SUMIFS($V$15:$V$74,$D$15:$D$74,$D28)*SUMIFS('GWP &amp; Emission Factors '!$F$154:$F$242,'GWP &amp; Emission Factors '!$E$154:$E$242,$V$13)+SUMIFS($W$15:$W$74,$D$15:$D$74,$D28)*SUMIFS('GWP &amp; Emission Factors '!$F$154:$F$242,'GWP &amp; Emission Factors '!$E$154:$E$242,$W$13)+SUMIFS($X$15:$X$74,$D$15:$D$74,$D28)*SUMIFS('GWP &amp; Emission Factors '!$F$154:$F$242,'GWP &amp; Emission Factors '!$E$154:$E$242,$X$13)+SUMIFS($Y$15:$Y$74,$D$15:$D$74,$D28)*SUMIFS('GWP &amp; Emission Factors '!$F$154:$F$242,'GWP &amp; Emission Factors '!$E$154:$E$242,$Y$13)+SUMIFS($Z$15:$Z$74,$D$15:$D$74,$D28)*SUMIFS('GWP &amp; Emission Factors '!$F$154:$F$242,'GWP &amp; Emission Factors '!$E$154:$E$242,$Z$13)+SUMIFS($AA$15:$AA$74,$D$15:$D$74,$D28)*SUMIFS('GWP &amp; Emission Factors '!$F$154:$F$242,'GWP &amp; Emission Factors '!$E$154:$E$242,$AA$13)+SUMIFS($AB$15:$AB$74,$D$15:$D$74,$D28)*SUMIFS('GWP &amp; Emission Factors '!$F$154:$F$242,'GWP &amp; Emission Factors '!$E$154:$E$242,$AB$13)/1000+SUMIFS($AC$15:$AC$74,$D$15:$D$74,$D28)*SUMIFS('GWP &amp; Emission Factors '!$F$154:$F$242,'GWP &amp; Emission Factors '!$E$154:$E$242,$AC$13))/1000</f>
        <v>0</v>
      </c>
    </row>
    <row r="29" spans="4:30" x14ac:dyDescent="0.25">
      <c r="D29" s="461" t="str">
        <f>'Project Emission Distribution'!D39</f>
        <v>AN15</v>
      </c>
      <c r="E29" s="241"/>
      <c r="F29" s="241"/>
      <c r="G29" s="241"/>
      <c r="H29" s="241"/>
      <c r="I29" s="241"/>
      <c r="J29" s="241"/>
      <c r="K29" s="241"/>
      <c r="L29" s="241"/>
      <c r="M29" s="241"/>
      <c r="N29" s="241"/>
      <c r="O29" s="241"/>
      <c r="P29" s="241"/>
      <c r="Q29" s="241"/>
      <c r="R29" s="241"/>
      <c r="S29" s="241"/>
      <c r="T29" s="241"/>
      <c r="U29" s="241"/>
      <c r="V29" s="241"/>
      <c r="W29" s="241"/>
      <c r="X29" s="241"/>
      <c r="Y29" s="241"/>
      <c r="Z29" s="241"/>
      <c r="AA29" s="241"/>
      <c r="AB29" s="241"/>
      <c r="AC29" s="241"/>
      <c r="AD29" s="711">
        <f>(SUMIFS($E$15:$E$74,$D$15:$D$74,$D29)*SUMIFS('GWP &amp; Emission Factors '!$F$154:$F$242,'GWP &amp; Emission Factors '!$E$154:$E$242,$E$13)+SUMIFS($F$15:$F$74,$D$15:$D$74,$D29)*SUMIFS('GWP &amp; Emission Factors '!$F$154:$F$242,'GWP &amp; Emission Factors '!$E$154:$E$242,$F$13)+SUMIFS($G$15:$G$74,$D$15:$D$74,$D29)*SUMIFS('GWP &amp; Emission Factors '!$F$154:$F$242,'GWP &amp; Emission Factors '!$E$154:$E$242,$G$13)+SUMIFS($H$15:$H$74,$D$15:$D$74,$D29)*SUMIFS('GWP &amp; Emission Factors '!$F$154:$F$242,'GWP &amp; Emission Factors '!$E$154:$E$242,$H$13)+SUMIFS($I$15:$I$74,$D$15:$D$74,$D29)*SUMIFS('GWP &amp; Emission Factors '!$F$154:$F$242,'GWP &amp; Emission Factors '!$E$154:$E$242,$I$13)+SUMIFS($J$15:$J$74,$D$15:$D$74,$D29)*SUMIFS('GWP &amp; Emission Factors '!$F$154:$F$242,'GWP &amp; Emission Factors '!$E$154:$E$242,$J$13)+SUMIFS($K$15:$K$74,$D$15:$D$74,$D29)*SUMIFS('GWP &amp; Emission Factors '!$F$154:$F$242,'GWP &amp; Emission Factors '!$E$154:$E$242,$K$13)+SUMIFS($L$15:$L$74,$D$15:$D$74,$D29)*SUMIFS('GWP &amp; Emission Factors '!$F$154:$F$242,'GWP &amp; Emission Factors '!$E$154:$E$242,$L$13)+SUMIFS($M$15:$M$74,$D$15:$D$74,$D29)*SUMIFS('GWP &amp; Emission Factors '!$F$154:$F$242,'GWP &amp; Emission Factors '!$E$154:$E$242,$M$13)+SUMIFS($N$15:$N$74,$D$15:$D$74,$D29)*SUMIFS('GWP &amp; Emission Factors '!$F$154:$F$242,'GWP &amp; Emission Factors '!$E$154:$E$242,$N$13)+SUMIFS($O$15:$O$74,$D$15:$D$74,$D29)*SUMIFS('GWP &amp; Emission Factors '!$F$154:$F$242,'GWP &amp; Emission Factors '!$E$154:$E$242,$O$13)+SUMIFS($P$15:$P$74,$D$15:$D$74,$D29)*SUMIFS('GWP &amp; Emission Factors '!$F$154:$F$242,'GWP &amp; Emission Factors '!$E$154:$E$242,$P$13)+SUMIFS($Q$15:$Q$74,$D$15:$D$74,$D29)*SUMIFS('GWP &amp; Emission Factors '!$F$154:$F$242,'GWP &amp; Emission Factors '!$E$154:$E$242,$Q$13)+SUMIFS($R$15:$R$74,$D$15:$D$74,$D29)*SUMIFS('GWP &amp; Emission Factors '!$F$154:$F$242,'GWP &amp; Emission Factors '!$E$154:$E$242,$R$13)+SUMIFS($S$15:$S$74,$D$15:$D$74,$D29)*SUMIFS('GWP &amp; Emission Factors '!$F$154:$F$242,'GWP &amp; Emission Factors '!$E$154:$E$242,$S$13)+SUMIFS($T$15:$T$74,$D$15:$D$74,$D29)*SUMIFS('GWP &amp; Emission Factors '!$F$154:$F$242,'GWP &amp; Emission Factors '!$E$154:$E$242,$T$13)+SUMIFS($U$15:$U$74,$D$15:$D$74,$D29)*SUMIFS('GWP &amp; Emission Factors '!$F$154:$F$242,'GWP &amp; Emission Factors '!$E$154:$E$242,$U$13)+SUMIFS($V$15:$V$74,$D$15:$D$74,$D29)*SUMIFS('GWP &amp; Emission Factors '!$F$154:$F$242,'GWP &amp; Emission Factors '!$E$154:$E$242,$V$13)+SUMIFS($W$15:$W$74,$D$15:$D$74,$D29)*SUMIFS('GWP &amp; Emission Factors '!$F$154:$F$242,'GWP &amp; Emission Factors '!$E$154:$E$242,$W$13)+SUMIFS($X$15:$X$74,$D$15:$D$74,$D29)*SUMIFS('GWP &amp; Emission Factors '!$F$154:$F$242,'GWP &amp; Emission Factors '!$E$154:$E$242,$X$13)+SUMIFS($Y$15:$Y$74,$D$15:$D$74,$D29)*SUMIFS('GWP &amp; Emission Factors '!$F$154:$F$242,'GWP &amp; Emission Factors '!$E$154:$E$242,$Y$13)+SUMIFS($Z$15:$Z$74,$D$15:$D$74,$D29)*SUMIFS('GWP &amp; Emission Factors '!$F$154:$F$242,'GWP &amp; Emission Factors '!$E$154:$E$242,$Z$13)+SUMIFS($AA$15:$AA$74,$D$15:$D$74,$D29)*SUMIFS('GWP &amp; Emission Factors '!$F$154:$F$242,'GWP &amp; Emission Factors '!$E$154:$E$242,$AA$13)+SUMIFS($AB$15:$AB$74,$D$15:$D$74,$D29)*SUMIFS('GWP &amp; Emission Factors '!$F$154:$F$242,'GWP &amp; Emission Factors '!$E$154:$E$242,$AB$13)/1000+SUMIFS($AC$15:$AC$74,$D$15:$D$74,$D29)*SUMIFS('GWP &amp; Emission Factors '!$F$154:$F$242,'GWP &amp; Emission Factors '!$E$154:$E$242,$AC$13))/1000</f>
        <v>0</v>
      </c>
    </row>
    <row r="30" spans="4:30" x14ac:dyDescent="0.25">
      <c r="D30" s="461" t="str">
        <f>'Project Emission Distribution'!D40</f>
        <v>AN16</v>
      </c>
      <c r="E30" s="466"/>
      <c r="F30" s="466"/>
      <c r="G30" s="466"/>
      <c r="H30" s="466"/>
      <c r="I30" s="466"/>
      <c r="J30" s="466"/>
      <c r="K30" s="466"/>
      <c r="L30" s="466"/>
      <c r="M30" s="466"/>
      <c r="N30" s="466"/>
      <c r="O30" s="466"/>
      <c r="P30" s="466"/>
      <c r="Q30" s="466"/>
      <c r="R30" s="466"/>
      <c r="S30" s="466"/>
      <c r="T30" s="466"/>
      <c r="U30" s="466"/>
      <c r="V30" s="466"/>
      <c r="W30" s="710"/>
      <c r="X30" s="710"/>
      <c r="Y30" s="710"/>
      <c r="Z30" s="710"/>
      <c r="AA30" s="710"/>
      <c r="AB30" s="710"/>
      <c r="AC30" s="710"/>
      <c r="AD30" s="711">
        <f>(SUMIFS($E$15:$E$74,$D$15:$D$74,$D30)*SUMIFS('GWP &amp; Emission Factors '!$F$154:$F$242,'GWP &amp; Emission Factors '!$E$154:$E$242,$E$13)+SUMIFS($F$15:$F$74,$D$15:$D$74,$D30)*SUMIFS('GWP &amp; Emission Factors '!$F$154:$F$242,'GWP &amp; Emission Factors '!$E$154:$E$242,$F$13)+SUMIFS($G$15:$G$74,$D$15:$D$74,$D30)*SUMIFS('GWP &amp; Emission Factors '!$F$154:$F$242,'GWP &amp; Emission Factors '!$E$154:$E$242,$G$13)+SUMIFS($H$15:$H$74,$D$15:$D$74,$D30)*SUMIFS('GWP &amp; Emission Factors '!$F$154:$F$242,'GWP &amp; Emission Factors '!$E$154:$E$242,$H$13)+SUMIFS($I$15:$I$74,$D$15:$D$74,$D30)*SUMIFS('GWP &amp; Emission Factors '!$F$154:$F$242,'GWP &amp; Emission Factors '!$E$154:$E$242,$I$13)+SUMIFS($J$15:$J$74,$D$15:$D$74,$D30)*SUMIFS('GWP &amp; Emission Factors '!$F$154:$F$242,'GWP &amp; Emission Factors '!$E$154:$E$242,$J$13)+SUMIFS($K$15:$K$74,$D$15:$D$74,$D30)*SUMIFS('GWP &amp; Emission Factors '!$F$154:$F$242,'GWP &amp; Emission Factors '!$E$154:$E$242,$K$13)+SUMIFS($L$15:$L$74,$D$15:$D$74,$D30)*SUMIFS('GWP &amp; Emission Factors '!$F$154:$F$242,'GWP &amp; Emission Factors '!$E$154:$E$242,$L$13)+SUMIFS($M$15:$M$74,$D$15:$D$74,$D30)*SUMIFS('GWP &amp; Emission Factors '!$F$154:$F$242,'GWP &amp; Emission Factors '!$E$154:$E$242,$M$13)+SUMIFS($N$15:$N$74,$D$15:$D$74,$D30)*SUMIFS('GWP &amp; Emission Factors '!$F$154:$F$242,'GWP &amp; Emission Factors '!$E$154:$E$242,$N$13)+SUMIFS($O$15:$O$74,$D$15:$D$74,$D30)*SUMIFS('GWP &amp; Emission Factors '!$F$154:$F$242,'GWP &amp; Emission Factors '!$E$154:$E$242,$O$13)+SUMIFS($P$15:$P$74,$D$15:$D$74,$D30)*SUMIFS('GWP &amp; Emission Factors '!$F$154:$F$242,'GWP &amp; Emission Factors '!$E$154:$E$242,$P$13)+SUMIFS($Q$15:$Q$74,$D$15:$D$74,$D30)*SUMIFS('GWP &amp; Emission Factors '!$F$154:$F$242,'GWP &amp; Emission Factors '!$E$154:$E$242,$Q$13)+SUMIFS($R$15:$R$74,$D$15:$D$74,$D30)*SUMIFS('GWP &amp; Emission Factors '!$F$154:$F$242,'GWP &amp; Emission Factors '!$E$154:$E$242,$R$13)+SUMIFS($S$15:$S$74,$D$15:$D$74,$D30)*SUMIFS('GWP &amp; Emission Factors '!$F$154:$F$242,'GWP &amp; Emission Factors '!$E$154:$E$242,$S$13)+SUMIFS($T$15:$T$74,$D$15:$D$74,$D30)*SUMIFS('GWP &amp; Emission Factors '!$F$154:$F$242,'GWP &amp; Emission Factors '!$E$154:$E$242,$T$13)+SUMIFS($U$15:$U$74,$D$15:$D$74,$D30)*SUMIFS('GWP &amp; Emission Factors '!$F$154:$F$242,'GWP &amp; Emission Factors '!$E$154:$E$242,$U$13)+SUMIFS($V$15:$V$74,$D$15:$D$74,$D30)*SUMIFS('GWP &amp; Emission Factors '!$F$154:$F$242,'GWP &amp; Emission Factors '!$E$154:$E$242,$V$13)+SUMIFS($W$15:$W$74,$D$15:$D$74,$D30)*SUMIFS('GWP &amp; Emission Factors '!$F$154:$F$242,'GWP &amp; Emission Factors '!$E$154:$E$242,$W$13)+SUMIFS($X$15:$X$74,$D$15:$D$74,$D30)*SUMIFS('GWP &amp; Emission Factors '!$F$154:$F$242,'GWP &amp; Emission Factors '!$E$154:$E$242,$X$13)+SUMIFS($Y$15:$Y$74,$D$15:$D$74,$D30)*SUMIFS('GWP &amp; Emission Factors '!$F$154:$F$242,'GWP &amp; Emission Factors '!$E$154:$E$242,$Y$13)+SUMIFS($Z$15:$Z$74,$D$15:$D$74,$D30)*SUMIFS('GWP &amp; Emission Factors '!$F$154:$F$242,'GWP &amp; Emission Factors '!$E$154:$E$242,$Z$13)+SUMIFS($AA$15:$AA$74,$D$15:$D$74,$D30)*SUMIFS('GWP &amp; Emission Factors '!$F$154:$F$242,'GWP &amp; Emission Factors '!$E$154:$E$242,$AA$13)+SUMIFS($AB$15:$AB$74,$D$15:$D$74,$D30)*SUMIFS('GWP &amp; Emission Factors '!$F$154:$F$242,'GWP &amp; Emission Factors '!$E$154:$E$242,$AB$13)/1000+SUMIFS($AC$15:$AC$74,$D$15:$D$74,$D30)*SUMIFS('GWP &amp; Emission Factors '!$F$154:$F$242,'GWP &amp; Emission Factors '!$E$154:$E$242,$AC$13))/1000</f>
        <v>0</v>
      </c>
    </row>
    <row r="31" spans="4:30" x14ac:dyDescent="0.25">
      <c r="D31" s="461" t="str">
        <f>'Project Emission Distribution'!D41</f>
        <v>AN17</v>
      </c>
      <c r="E31" s="241"/>
      <c r="F31" s="241"/>
      <c r="G31" s="241"/>
      <c r="H31" s="241"/>
      <c r="I31" s="241"/>
      <c r="J31" s="241"/>
      <c r="K31" s="241"/>
      <c r="L31" s="241"/>
      <c r="M31" s="241"/>
      <c r="N31" s="241"/>
      <c r="O31" s="241"/>
      <c r="P31" s="241"/>
      <c r="Q31" s="241"/>
      <c r="R31" s="241"/>
      <c r="S31" s="241"/>
      <c r="T31" s="241"/>
      <c r="U31" s="241"/>
      <c r="V31" s="241"/>
      <c r="W31" s="241"/>
      <c r="X31" s="241"/>
      <c r="Y31" s="241"/>
      <c r="Z31" s="241"/>
      <c r="AA31" s="241"/>
      <c r="AB31" s="241"/>
      <c r="AC31" s="241"/>
      <c r="AD31" s="711">
        <f>(SUMIFS($E$15:$E$74,$D$15:$D$74,$D31)*SUMIFS('GWP &amp; Emission Factors '!$F$154:$F$242,'GWP &amp; Emission Factors '!$E$154:$E$242,$E$13)+SUMIFS($F$15:$F$74,$D$15:$D$74,$D31)*SUMIFS('GWP &amp; Emission Factors '!$F$154:$F$242,'GWP &amp; Emission Factors '!$E$154:$E$242,$F$13)+SUMIFS($G$15:$G$74,$D$15:$D$74,$D31)*SUMIFS('GWP &amp; Emission Factors '!$F$154:$F$242,'GWP &amp; Emission Factors '!$E$154:$E$242,$G$13)+SUMIFS($H$15:$H$74,$D$15:$D$74,$D31)*SUMIFS('GWP &amp; Emission Factors '!$F$154:$F$242,'GWP &amp; Emission Factors '!$E$154:$E$242,$H$13)+SUMIFS($I$15:$I$74,$D$15:$D$74,$D31)*SUMIFS('GWP &amp; Emission Factors '!$F$154:$F$242,'GWP &amp; Emission Factors '!$E$154:$E$242,$I$13)+SUMIFS($J$15:$J$74,$D$15:$D$74,$D31)*SUMIFS('GWP &amp; Emission Factors '!$F$154:$F$242,'GWP &amp; Emission Factors '!$E$154:$E$242,$J$13)+SUMIFS($K$15:$K$74,$D$15:$D$74,$D31)*SUMIFS('GWP &amp; Emission Factors '!$F$154:$F$242,'GWP &amp; Emission Factors '!$E$154:$E$242,$K$13)+SUMIFS($L$15:$L$74,$D$15:$D$74,$D31)*SUMIFS('GWP &amp; Emission Factors '!$F$154:$F$242,'GWP &amp; Emission Factors '!$E$154:$E$242,$L$13)+SUMIFS($M$15:$M$74,$D$15:$D$74,$D31)*SUMIFS('GWP &amp; Emission Factors '!$F$154:$F$242,'GWP &amp; Emission Factors '!$E$154:$E$242,$M$13)+SUMIFS($N$15:$N$74,$D$15:$D$74,$D31)*SUMIFS('GWP &amp; Emission Factors '!$F$154:$F$242,'GWP &amp; Emission Factors '!$E$154:$E$242,$N$13)+SUMIFS($O$15:$O$74,$D$15:$D$74,$D31)*SUMIFS('GWP &amp; Emission Factors '!$F$154:$F$242,'GWP &amp; Emission Factors '!$E$154:$E$242,$O$13)+SUMIFS($P$15:$P$74,$D$15:$D$74,$D31)*SUMIFS('GWP &amp; Emission Factors '!$F$154:$F$242,'GWP &amp; Emission Factors '!$E$154:$E$242,$P$13)+SUMIFS($Q$15:$Q$74,$D$15:$D$74,$D31)*SUMIFS('GWP &amp; Emission Factors '!$F$154:$F$242,'GWP &amp; Emission Factors '!$E$154:$E$242,$Q$13)+SUMIFS($R$15:$R$74,$D$15:$D$74,$D31)*SUMIFS('GWP &amp; Emission Factors '!$F$154:$F$242,'GWP &amp; Emission Factors '!$E$154:$E$242,$R$13)+SUMIFS($S$15:$S$74,$D$15:$D$74,$D31)*SUMIFS('GWP &amp; Emission Factors '!$F$154:$F$242,'GWP &amp; Emission Factors '!$E$154:$E$242,$S$13)+SUMIFS($T$15:$T$74,$D$15:$D$74,$D31)*SUMIFS('GWP &amp; Emission Factors '!$F$154:$F$242,'GWP &amp; Emission Factors '!$E$154:$E$242,$T$13)+SUMIFS($U$15:$U$74,$D$15:$D$74,$D31)*SUMIFS('GWP &amp; Emission Factors '!$F$154:$F$242,'GWP &amp; Emission Factors '!$E$154:$E$242,$U$13)+SUMIFS($V$15:$V$74,$D$15:$D$74,$D31)*SUMIFS('GWP &amp; Emission Factors '!$F$154:$F$242,'GWP &amp; Emission Factors '!$E$154:$E$242,$V$13)+SUMIFS($W$15:$W$74,$D$15:$D$74,$D31)*SUMIFS('GWP &amp; Emission Factors '!$F$154:$F$242,'GWP &amp; Emission Factors '!$E$154:$E$242,$W$13)+SUMIFS($X$15:$X$74,$D$15:$D$74,$D31)*SUMIFS('GWP &amp; Emission Factors '!$F$154:$F$242,'GWP &amp; Emission Factors '!$E$154:$E$242,$X$13)+SUMIFS($Y$15:$Y$74,$D$15:$D$74,$D31)*SUMIFS('GWP &amp; Emission Factors '!$F$154:$F$242,'GWP &amp; Emission Factors '!$E$154:$E$242,$Y$13)+SUMIFS($Z$15:$Z$74,$D$15:$D$74,$D31)*SUMIFS('GWP &amp; Emission Factors '!$F$154:$F$242,'GWP &amp; Emission Factors '!$E$154:$E$242,$Z$13)+SUMIFS($AA$15:$AA$74,$D$15:$D$74,$D31)*SUMIFS('GWP &amp; Emission Factors '!$F$154:$F$242,'GWP &amp; Emission Factors '!$E$154:$E$242,$AA$13)+SUMIFS($AB$15:$AB$74,$D$15:$D$74,$D31)*SUMIFS('GWP &amp; Emission Factors '!$F$154:$F$242,'GWP &amp; Emission Factors '!$E$154:$E$242,$AB$13)/1000+SUMIFS($AC$15:$AC$74,$D$15:$D$74,$D31)*SUMIFS('GWP &amp; Emission Factors '!$F$154:$F$242,'GWP &amp; Emission Factors '!$E$154:$E$242,$AC$13))/1000</f>
        <v>0</v>
      </c>
    </row>
    <row r="32" spans="4:30" x14ac:dyDescent="0.25">
      <c r="D32" s="461" t="str">
        <f>'Project Emission Distribution'!D42</f>
        <v>AN18</v>
      </c>
      <c r="E32" s="466"/>
      <c r="F32" s="466"/>
      <c r="G32" s="466"/>
      <c r="H32" s="466"/>
      <c r="I32" s="466"/>
      <c r="J32" s="466"/>
      <c r="K32" s="466"/>
      <c r="L32" s="466"/>
      <c r="M32" s="466"/>
      <c r="N32" s="466"/>
      <c r="O32" s="466"/>
      <c r="P32" s="466"/>
      <c r="Q32" s="466"/>
      <c r="R32" s="466"/>
      <c r="S32" s="466"/>
      <c r="T32" s="466"/>
      <c r="U32" s="466"/>
      <c r="V32" s="466"/>
      <c r="W32" s="710"/>
      <c r="X32" s="710"/>
      <c r="Y32" s="710"/>
      <c r="Z32" s="710"/>
      <c r="AA32" s="710"/>
      <c r="AB32" s="710"/>
      <c r="AC32" s="710"/>
      <c r="AD32" s="711">
        <f>(SUMIFS($E$15:$E$74,$D$15:$D$74,$D32)*SUMIFS('GWP &amp; Emission Factors '!$F$154:$F$242,'GWP &amp; Emission Factors '!$E$154:$E$242,$E$13)+SUMIFS($F$15:$F$74,$D$15:$D$74,$D32)*SUMIFS('GWP &amp; Emission Factors '!$F$154:$F$242,'GWP &amp; Emission Factors '!$E$154:$E$242,$F$13)+SUMIFS($G$15:$G$74,$D$15:$D$74,$D32)*SUMIFS('GWP &amp; Emission Factors '!$F$154:$F$242,'GWP &amp; Emission Factors '!$E$154:$E$242,$G$13)+SUMIFS($H$15:$H$74,$D$15:$D$74,$D32)*SUMIFS('GWP &amp; Emission Factors '!$F$154:$F$242,'GWP &amp; Emission Factors '!$E$154:$E$242,$H$13)+SUMIFS($I$15:$I$74,$D$15:$D$74,$D32)*SUMIFS('GWP &amp; Emission Factors '!$F$154:$F$242,'GWP &amp; Emission Factors '!$E$154:$E$242,$I$13)+SUMIFS($J$15:$J$74,$D$15:$D$74,$D32)*SUMIFS('GWP &amp; Emission Factors '!$F$154:$F$242,'GWP &amp; Emission Factors '!$E$154:$E$242,$J$13)+SUMIFS($K$15:$K$74,$D$15:$D$74,$D32)*SUMIFS('GWP &amp; Emission Factors '!$F$154:$F$242,'GWP &amp; Emission Factors '!$E$154:$E$242,$K$13)+SUMIFS($L$15:$L$74,$D$15:$D$74,$D32)*SUMIFS('GWP &amp; Emission Factors '!$F$154:$F$242,'GWP &amp; Emission Factors '!$E$154:$E$242,$L$13)+SUMIFS($M$15:$M$74,$D$15:$D$74,$D32)*SUMIFS('GWP &amp; Emission Factors '!$F$154:$F$242,'GWP &amp; Emission Factors '!$E$154:$E$242,$M$13)+SUMIFS($N$15:$N$74,$D$15:$D$74,$D32)*SUMIFS('GWP &amp; Emission Factors '!$F$154:$F$242,'GWP &amp; Emission Factors '!$E$154:$E$242,$N$13)+SUMIFS($O$15:$O$74,$D$15:$D$74,$D32)*SUMIFS('GWP &amp; Emission Factors '!$F$154:$F$242,'GWP &amp; Emission Factors '!$E$154:$E$242,$O$13)+SUMIFS($P$15:$P$74,$D$15:$D$74,$D32)*SUMIFS('GWP &amp; Emission Factors '!$F$154:$F$242,'GWP &amp; Emission Factors '!$E$154:$E$242,$P$13)+SUMIFS($Q$15:$Q$74,$D$15:$D$74,$D32)*SUMIFS('GWP &amp; Emission Factors '!$F$154:$F$242,'GWP &amp; Emission Factors '!$E$154:$E$242,$Q$13)+SUMIFS($R$15:$R$74,$D$15:$D$74,$D32)*SUMIFS('GWP &amp; Emission Factors '!$F$154:$F$242,'GWP &amp; Emission Factors '!$E$154:$E$242,$R$13)+SUMIFS($S$15:$S$74,$D$15:$D$74,$D32)*SUMIFS('GWP &amp; Emission Factors '!$F$154:$F$242,'GWP &amp; Emission Factors '!$E$154:$E$242,$S$13)+SUMIFS($T$15:$T$74,$D$15:$D$74,$D32)*SUMIFS('GWP &amp; Emission Factors '!$F$154:$F$242,'GWP &amp; Emission Factors '!$E$154:$E$242,$T$13)+SUMIFS($U$15:$U$74,$D$15:$D$74,$D32)*SUMIFS('GWP &amp; Emission Factors '!$F$154:$F$242,'GWP &amp; Emission Factors '!$E$154:$E$242,$U$13)+SUMIFS($V$15:$V$74,$D$15:$D$74,$D32)*SUMIFS('GWP &amp; Emission Factors '!$F$154:$F$242,'GWP &amp; Emission Factors '!$E$154:$E$242,$V$13)+SUMIFS($W$15:$W$74,$D$15:$D$74,$D32)*SUMIFS('GWP &amp; Emission Factors '!$F$154:$F$242,'GWP &amp; Emission Factors '!$E$154:$E$242,$W$13)+SUMIFS($X$15:$X$74,$D$15:$D$74,$D32)*SUMIFS('GWP &amp; Emission Factors '!$F$154:$F$242,'GWP &amp; Emission Factors '!$E$154:$E$242,$X$13)+SUMIFS($Y$15:$Y$74,$D$15:$D$74,$D32)*SUMIFS('GWP &amp; Emission Factors '!$F$154:$F$242,'GWP &amp; Emission Factors '!$E$154:$E$242,$Y$13)+SUMIFS($Z$15:$Z$74,$D$15:$D$74,$D32)*SUMIFS('GWP &amp; Emission Factors '!$F$154:$F$242,'GWP &amp; Emission Factors '!$E$154:$E$242,$Z$13)+SUMIFS($AA$15:$AA$74,$D$15:$D$74,$D32)*SUMIFS('GWP &amp; Emission Factors '!$F$154:$F$242,'GWP &amp; Emission Factors '!$E$154:$E$242,$AA$13)+SUMIFS($AB$15:$AB$74,$D$15:$D$74,$D32)*SUMIFS('GWP &amp; Emission Factors '!$F$154:$F$242,'GWP &amp; Emission Factors '!$E$154:$E$242,$AB$13)/1000+SUMIFS($AC$15:$AC$74,$D$15:$D$74,$D32)*SUMIFS('GWP &amp; Emission Factors '!$F$154:$F$242,'GWP &amp; Emission Factors '!$E$154:$E$242,$AC$13))/1000</f>
        <v>0</v>
      </c>
    </row>
    <row r="33" spans="4:30" x14ac:dyDescent="0.25">
      <c r="D33" s="461" t="str">
        <f>'Project Emission Distribution'!D43</f>
        <v>AN19</v>
      </c>
      <c r="E33" s="241"/>
      <c r="F33" s="241"/>
      <c r="G33" s="241"/>
      <c r="H33" s="241"/>
      <c r="I33" s="241"/>
      <c r="J33" s="241"/>
      <c r="K33" s="241"/>
      <c r="L33" s="241"/>
      <c r="M33" s="241"/>
      <c r="N33" s="241"/>
      <c r="O33" s="241"/>
      <c r="P33" s="241"/>
      <c r="Q33" s="241"/>
      <c r="R33" s="241"/>
      <c r="S33" s="241"/>
      <c r="T33" s="241"/>
      <c r="U33" s="241"/>
      <c r="V33" s="241"/>
      <c r="W33" s="241"/>
      <c r="X33" s="241"/>
      <c r="Y33" s="241"/>
      <c r="Z33" s="241"/>
      <c r="AA33" s="241"/>
      <c r="AB33" s="241"/>
      <c r="AC33" s="241"/>
      <c r="AD33" s="711">
        <f>(SUMIFS($E$15:$E$74,$D$15:$D$74,$D33)*SUMIFS('GWP &amp; Emission Factors '!$F$154:$F$242,'GWP &amp; Emission Factors '!$E$154:$E$242,$E$13)+SUMIFS($F$15:$F$74,$D$15:$D$74,$D33)*SUMIFS('GWP &amp; Emission Factors '!$F$154:$F$242,'GWP &amp; Emission Factors '!$E$154:$E$242,$F$13)+SUMIFS($G$15:$G$74,$D$15:$D$74,$D33)*SUMIFS('GWP &amp; Emission Factors '!$F$154:$F$242,'GWP &amp; Emission Factors '!$E$154:$E$242,$G$13)+SUMIFS($H$15:$H$74,$D$15:$D$74,$D33)*SUMIFS('GWP &amp; Emission Factors '!$F$154:$F$242,'GWP &amp; Emission Factors '!$E$154:$E$242,$H$13)+SUMIFS($I$15:$I$74,$D$15:$D$74,$D33)*SUMIFS('GWP &amp; Emission Factors '!$F$154:$F$242,'GWP &amp; Emission Factors '!$E$154:$E$242,$I$13)+SUMIFS($J$15:$J$74,$D$15:$D$74,$D33)*SUMIFS('GWP &amp; Emission Factors '!$F$154:$F$242,'GWP &amp; Emission Factors '!$E$154:$E$242,$J$13)+SUMIFS($K$15:$K$74,$D$15:$D$74,$D33)*SUMIFS('GWP &amp; Emission Factors '!$F$154:$F$242,'GWP &amp; Emission Factors '!$E$154:$E$242,$K$13)+SUMIFS($L$15:$L$74,$D$15:$D$74,$D33)*SUMIFS('GWP &amp; Emission Factors '!$F$154:$F$242,'GWP &amp; Emission Factors '!$E$154:$E$242,$L$13)+SUMIFS($M$15:$M$74,$D$15:$D$74,$D33)*SUMIFS('GWP &amp; Emission Factors '!$F$154:$F$242,'GWP &amp; Emission Factors '!$E$154:$E$242,$M$13)+SUMIFS($N$15:$N$74,$D$15:$D$74,$D33)*SUMIFS('GWP &amp; Emission Factors '!$F$154:$F$242,'GWP &amp; Emission Factors '!$E$154:$E$242,$N$13)+SUMIFS($O$15:$O$74,$D$15:$D$74,$D33)*SUMIFS('GWP &amp; Emission Factors '!$F$154:$F$242,'GWP &amp; Emission Factors '!$E$154:$E$242,$O$13)+SUMIFS($P$15:$P$74,$D$15:$D$74,$D33)*SUMIFS('GWP &amp; Emission Factors '!$F$154:$F$242,'GWP &amp; Emission Factors '!$E$154:$E$242,$P$13)+SUMIFS($Q$15:$Q$74,$D$15:$D$74,$D33)*SUMIFS('GWP &amp; Emission Factors '!$F$154:$F$242,'GWP &amp; Emission Factors '!$E$154:$E$242,$Q$13)+SUMIFS($R$15:$R$74,$D$15:$D$74,$D33)*SUMIFS('GWP &amp; Emission Factors '!$F$154:$F$242,'GWP &amp; Emission Factors '!$E$154:$E$242,$R$13)+SUMIFS($S$15:$S$74,$D$15:$D$74,$D33)*SUMIFS('GWP &amp; Emission Factors '!$F$154:$F$242,'GWP &amp; Emission Factors '!$E$154:$E$242,$S$13)+SUMIFS($T$15:$T$74,$D$15:$D$74,$D33)*SUMIFS('GWP &amp; Emission Factors '!$F$154:$F$242,'GWP &amp; Emission Factors '!$E$154:$E$242,$T$13)+SUMIFS($U$15:$U$74,$D$15:$D$74,$D33)*SUMIFS('GWP &amp; Emission Factors '!$F$154:$F$242,'GWP &amp; Emission Factors '!$E$154:$E$242,$U$13)+SUMIFS($V$15:$V$74,$D$15:$D$74,$D33)*SUMIFS('GWP &amp; Emission Factors '!$F$154:$F$242,'GWP &amp; Emission Factors '!$E$154:$E$242,$V$13)+SUMIFS($W$15:$W$74,$D$15:$D$74,$D33)*SUMIFS('GWP &amp; Emission Factors '!$F$154:$F$242,'GWP &amp; Emission Factors '!$E$154:$E$242,$W$13)+SUMIFS($X$15:$X$74,$D$15:$D$74,$D33)*SUMIFS('GWP &amp; Emission Factors '!$F$154:$F$242,'GWP &amp; Emission Factors '!$E$154:$E$242,$X$13)+SUMIFS($Y$15:$Y$74,$D$15:$D$74,$D33)*SUMIFS('GWP &amp; Emission Factors '!$F$154:$F$242,'GWP &amp; Emission Factors '!$E$154:$E$242,$Y$13)+SUMIFS($Z$15:$Z$74,$D$15:$D$74,$D33)*SUMIFS('GWP &amp; Emission Factors '!$F$154:$F$242,'GWP &amp; Emission Factors '!$E$154:$E$242,$Z$13)+SUMIFS($AA$15:$AA$74,$D$15:$D$74,$D33)*SUMIFS('GWP &amp; Emission Factors '!$F$154:$F$242,'GWP &amp; Emission Factors '!$E$154:$E$242,$AA$13)+SUMIFS($AB$15:$AB$74,$D$15:$D$74,$D33)*SUMIFS('GWP &amp; Emission Factors '!$F$154:$F$242,'GWP &amp; Emission Factors '!$E$154:$E$242,$AB$13)/1000+SUMIFS($AC$15:$AC$74,$D$15:$D$74,$D33)*SUMIFS('GWP &amp; Emission Factors '!$F$154:$F$242,'GWP &amp; Emission Factors '!$E$154:$E$242,$AC$13))/1000</f>
        <v>0</v>
      </c>
    </row>
    <row r="34" spans="4:30" x14ac:dyDescent="0.25">
      <c r="D34" s="461" t="str">
        <f>'Project Emission Distribution'!D44</f>
        <v>AN20</v>
      </c>
      <c r="E34" s="466"/>
      <c r="F34" s="466"/>
      <c r="G34" s="466"/>
      <c r="H34" s="466"/>
      <c r="I34" s="466"/>
      <c r="J34" s="466"/>
      <c r="K34" s="466"/>
      <c r="L34" s="466"/>
      <c r="M34" s="466"/>
      <c r="N34" s="710"/>
      <c r="O34" s="710"/>
      <c r="P34" s="710"/>
      <c r="Q34" s="710"/>
      <c r="R34" s="710"/>
      <c r="S34" s="710"/>
      <c r="T34" s="710"/>
      <c r="U34" s="710"/>
      <c r="V34" s="710"/>
      <c r="W34" s="710"/>
      <c r="X34" s="710"/>
      <c r="Y34" s="710"/>
      <c r="Z34" s="710"/>
      <c r="AA34" s="710"/>
      <c r="AB34" s="710"/>
      <c r="AC34" s="710"/>
      <c r="AD34" s="711">
        <f>(SUMIFS($E$15:$E$74,$D$15:$D$74,$D34)*SUMIFS('GWP &amp; Emission Factors '!$F$154:$F$242,'GWP &amp; Emission Factors '!$E$154:$E$242,$E$13)+SUMIFS($F$15:$F$74,$D$15:$D$74,$D34)*SUMIFS('GWP &amp; Emission Factors '!$F$154:$F$242,'GWP &amp; Emission Factors '!$E$154:$E$242,$F$13)+SUMIFS($G$15:$G$74,$D$15:$D$74,$D34)*SUMIFS('GWP &amp; Emission Factors '!$F$154:$F$242,'GWP &amp; Emission Factors '!$E$154:$E$242,$G$13)+SUMIFS($H$15:$H$74,$D$15:$D$74,$D34)*SUMIFS('GWP &amp; Emission Factors '!$F$154:$F$242,'GWP &amp; Emission Factors '!$E$154:$E$242,$H$13)+SUMIFS($I$15:$I$74,$D$15:$D$74,$D34)*SUMIFS('GWP &amp; Emission Factors '!$F$154:$F$242,'GWP &amp; Emission Factors '!$E$154:$E$242,$I$13)+SUMIFS($J$15:$J$74,$D$15:$D$74,$D34)*SUMIFS('GWP &amp; Emission Factors '!$F$154:$F$242,'GWP &amp; Emission Factors '!$E$154:$E$242,$J$13)+SUMIFS($K$15:$K$74,$D$15:$D$74,$D34)*SUMIFS('GWP &amp; Emission Factors '!$F$154:$F$242,'GWP &amp; Emission Factors '!$E$154:$E$242,$K$13)+SUMIFS($L$15:$L$74,$D$15:$D$74,$D34)*SUMIFS('GWP &amp; Emission Factors '!$F$154:$F$242,'GWP &amp; Emission Factors '!$E$154:$E$242,$L$13)+SUMIFS($M$15:$M$74,$D$15:$D$74,$D34)*SUMIFS('GWP &amp; Emission Factors '!$F$154:$F$242,'GWP &amp; Emission Factors '!$E$154:$E$242,$M$13)+SUMIFS($N$15:$N$74,$D$15:$D$74,$D34)*SUMIFS('GWP &amp; Emission Factors '!$F$154:$F$242,'GWP &amp; Emission Factors '!$E$154:$E$242,$N$13)+SUMIFS($O$15:$O$74,$D$15:$D$74,$D34)*SUMIFS('GWP &amp; Emission Factors '!$F$154:$F$242,'GWP &amp; Emission Factors '!$E$154:$E$242,$O$13)+SUMIFS($P$15:$P$74,$D$15:$D$74,$D34)*SUMIFS('GWP &amp; Emission Factors '!$F$154:$F$242,'GWP &amp; Emission Factors '!$E$154:$E$242,$P$13)+SUMIFS($Q$15:$Q$74,$D$15:$D$74,$D34)*SUMIFS('GWP &amp; Emission Factors '!$F$154:$F$242,'GWP &amp; Emission Factors '!$E$154:$E$242,$Q$13)+SUMIFS($R$15:$R$74,$D$15:$D$74,$D34)*SUMIFS('GWP &amp; Emission Factors '!$F$154:$F$242,'GWP &amp; Emission Factors '!$E$154:$E$242,$R$13)+SUMIFS($S$15:$S$74,$D$15:$D$74,$D34)*SUMIFS('GWP &amp; Emission Factors '!$F$154:$F$242,'GWP &amp; Emission Factors '!$E$154:$E$242,$S$13)+SUMIFS($T$15:$T$74,$D$15:$D$74,$D34)*SUMIFS('GWP &amp; Emission Factors '!$F$154:$F$242,'GWP &amp; Emission Factors '!$E$154:$E$242,$T$13)+SUMIFS($U$15:$U$74,$D$15:$D$74,$D34)*SUMIFS('GWP &amp; Emission Factors '!$F$154:$F$242,'GWP &amp; Emission Factors '!$E$154:$E$242,$U$13)+SUMIFS($V$15:$V$74,$D$15:$D$74,$D34)*SUMIFS('GWP &amp; Emission Factors '!$F$154:$F$242,'GWP &amp; Emission Factors '!$E$154:$E$242,$V$13)+SUMIFS($W$15:$W$74,$D$15:$D$74,$D34)*SUMIFS('GWP &amp; Emission Factors '!$F$154:$F$242,'GWP &amp; Emission Factors '!$E$154:$E$242,$W$13)+SUMIFS($X$15:$X$74,$D$15:$D$74,$D34)*SUMIFS('GWP &amp; Emission Factors '!$F$154:$F$242,'GWP &amp; Emission Factors '!$E$154:$E$242,$X$13)+SUMIFS($Y$15:$Y$74,$D$15:$D$74,$D34)*SUMIFS('GWP &amp; Emission Factors '!$F$154:$F$242,'GWP &amp; Emission Factors '!$E$154:$E$242,$Y$13)+SUMIFS($Z$15:$Z$74,$D$15:$D$74,$D34)*SUMIFS('GWP &amp; Emission Factors '!$F$154:$F$242,'GWP &amp; Emission Factors '!$E$154:$E$242,$Z$13)+SUMIFS($AA$15:$AA$74,$D$15:$D$74,$D34)*SUMIFS('GWP &amp; Emission Factors '!$F$154:$F$242,'GWP &amp; Emission Factors '!$E$154:$E$242,$AA$13)+SUMIFS($AB$15:$AB$74,$D$15:$D$74,$D34)*SUMIFS('GWP &amp; Emission Factors '!$F$154:$F$242,'GWP &amp; Emission Factors '!$E$154:$E$242,$AB$13)/1000+SUMIFS($AC$15:$AC$74,$D$15:$D$74,$D34)*SUMIFS('GWP &amp; Emission Factors '!$F$154:$F$242,'GWP &amp; Emission Factors '!$E$154:$E$242,$AC$13))/1000</f>
        <v>0</v>
      </c>
    </row>
    <row r="35" spans="4:30" x14ac:dyDescent="0.25">
      <c r="D35" s="461" t="str">
        <f>'Project Emission Distribution'!D45</f>
        <v>AN21</v>
      </c>
      <c r="E35" s="241"/>
      <c r="F35" s="241"/>
      <c r="G35" s="241"/>
      <c r="H35" s="241"/>
      <c r="I35" s="241"/>
      <c r="J35" s="241"/>
      <c r="K35" s="241"/>
      <c r="L35" s="241"/>
      <c r="M35" s="241"/>
      <c r="N35" s="241"/>
      <c r="O35" s="241"/>
      <c r="P35" s="241"/>
      <c r="Q35" s="241"/>
      <c r="R35" s="241"/>
      <c r="S35" s="241"/>
      <c r="T35" s="241"/>
      <c r="U35" s="241"/>
      <c r="V35" s="241"/>
      <c r="W35" s="241"/>
      <c r="X35" s="241"/>
      <c r="Y35" s="241"/>
      <c r="Z35" s="241"/>
      <c r="AA35" s="241"/>
      <c r="AB35" s="241"/>
      <c r="AC35" s="241"/>
      <c r="AD35" s="711">
        <f>(SUMIFS($E$15:$E$74,$D$15:$D$74,$D35)*SUMIFS('GWP &amp; Emission Factors '!$F$154:$F$242,'GWP &amp; Emission Factors '!$E$154:$E$242,$E$13)+SUMIFS($F$15:$F$74,$D$15:$D$74,$D35)*SUMIFS('GWP &amp; Emission Factors '!$F$154:$F$242,'GWP &amp; Emission Factors '!$E$154:$E$242,$F$13)+SUMIFS($G$15:$G$74,$D$15:$D$74,$D35)*SUMIFS('GWP &amp; Emission Factors '!$F$154:$F$242,'GWP &amp; Emission Factors '!$E$154:$E$242,$G$13)+SUMIFS($H$15:$H$74,$D$15:$D$74,$D35)*SUMIFS('GWP &amp; Emission Factors '!$F$154:$F$242,'GWP &amp; Emission Factors '!$E$154:$E$242,$H$13)+SUMIFS($I$15:$I$74,$D$15:$D$74,$D35)*SUMIFS('GWP &amp; Emission Factors '!$F$154:$F$242,'GWP &amp; Emission Factors '!$E$154:$E$242,$I$13)+SUMIFS($J$15:$J$74,$D$15:$D$74,$D35)*SUMIFS('GWP &amp; Emission Factors '!$F$154:$F$242,'GWP &amp; Emission Factors '!$E$154:$E$242,$J$13)+SUMIFS($K$15:$K$74,$D$15:$D$74,$D35)*SUMIFS('GWP &amp; Emission Factors '!$F$154:$F$242,'GWP &amp; Emission Factors '!$E$154:$E$242,$K$13)+SUMIFS($L$15:$L$74,$D$15:$D$74,$D35)*SUMIFS('GWP &amp; Emission Factors '!$F$154:$F$242,'GWP &amp; Emission Factors '!$E$154:$E$242,$L$13)+SUMIFS($M$15:$M$74,$D$15:$D$74,$D35)*SUMIFS('GWP &amp; Emission Factors '!$F$154:$F$242,'GWP &amp; Emission Factors '!$E$154:$E$242,$M$13)+SUMIFS($N$15:$N$74,$D$15:$D$74,$D35)*SUMIFS('GWP &amp; Emission Factors '!$F$154:$F$242,'GWP &amp; Emission Factors '!$E$154:$E$242,$N$13)+SUMIFS($O$15:$O$74,$D$15:$D$74,$D35)*SUMIFS('GWP &amp; Emission Factors '!$F$154:$F$242,'GWP &amp; Emission Factors '!$E$154:$E$242,$O$13)+SUMIFS($P$15:$P$74,$D$15:$D$74,$D35)*SUMIFS('GWP &amp; Emission Factors '!$F$154:$F$242,'GWP &amp; Emission Factors '!$E$154:$E$242,$P$13)+SUMIFS($Q$15:$Q$74,$D$15:$D$74,$D35)*SUMIFS('GWP &amp; Emission Factors '!$F$154:$F$242,'GWP &amp; Emission Factors '!$E$154:$E$242,$Q$13)+SUMIFS($R$15:$R$74,$D$15:$D$74,$D35)*SUMIFS('GWP &amp; Emission Factors '!$F$154:$F$242,'GWP &amp; Emission Factors '!$E$154:$E$242,$R$13)+SUMIFS($S$15:$S$74,$D$15:$D$74,$D35)*SUMIFS('GWP &amp; Emission Factors '!$F$154:$F$242,'GWP &amp; Emission Factors '!$E$154:$E$242,$S$13)+SUMIFS($T$15:$T$74,$D$15:$D$74,$D35)*SUMIFS('GWP &amp; Emission Factors '!$F$154:$F$242,'GWP &amp; Emission Factors '!$E$154:$E$242,$T$13)+SUMIFS($U$15:$U$74,$D$15:$D$74,$D35)*SUMIFS('GWP &amp; Emission Factors '!$F$154:$F$242,'GWP &amp; Emission Factors '!$E$154:$E$242,$U$13)+SUMIFS($V$15:$V$74,$D$15:$D$74,$D35)*SUMIFS('GWP &amp; Emission Factors '!$F$154:$F$242,'GWP &amp; Emission Factors '!$E$154:$E$242,$V$13)+SUMIFS($W$15:$W$74,$D$15:$D$74,$D35)*SUMIFS('GWP &amp; Emission Factors '!$F$154:$F$242,'GWP &amp; Emission Factors '!$E$154:$E$242,$W$13)+SUMIFS($X$15:$X$74,$D$15:$D$74,$D35)*SUMIFS('GWP &amp; Emission Factors '!$F$154:$F$242,'GWP &amp; Emission Factors '!$E$154:$E$242,$X$13)+SUMIFS($Y$15:$Y$74,$D$15:$D$74,$D35)*SUMIFS('GWP &amp; Emission Factors '!$F$154:$F$242,'GWP &amp; Emission Factors '!$E$154:$E$242,$Y$13)+SUMIFS($Z$15:$Z$74,$D$15:$D$74,$D35)*SUMIFS('GWP &amp; Emission Factors '!$F$154:$F$242,'GWP &amp; Emission Factors '!$E$154:$E$242,$Z$13)+SUMIFS($AA$15:$AA$74,$D$15:$D$74,$D35)*SUMIFS('GWP &amp; Emission Factors '!$F$154:$F$242,'GWP &amp; Emission Factors '!$E$154:$E$242,$AA$13)+SUMIFS($AB$15:$AB$74,$D$15:$D$74,$D35)*SUMIFS('GWP &amp; Emission Factors '!$F$154:$F$242,'GWP &amp; Emission Factors '!$E$154:$E$242,$AB$13)/1000+SUMIFS($AC$15:$AC$74,$D$15:$D$74,$D35)*SUMIFS('GWP &amp; Emission Factors '!$F$154:$F$242,'GWP &amp; Emission Factors '!$E$154:$E$242,$AC$13))/1000</f>
        <v>0</v>
      </c>
    </row>
    <row r="36" spans="4:30" x14ac:dyDescent="0.25">
      <c r="D36" s="461" t="str">
        <f>'Project Emission Distribution'!D46</f>
        <v>AN22</v>
      </c>
      <c r="E36" s="466"/>
      <c r="F36" s="466"/>
      <c r="G36" s="466"/>
      <c r="H36" s="466"/>
      <c r="I36" s="466"/>
      <c r="J36" s="466"/>
      <c r="K36" s="466"/>
      <c r="L36" s="466"/>
      <c r="M36" s="466"/>
      <c r="N36" s="710"/>
      <c r="O36" s="710"/>
      <c r="P36" s="710"/>
      <c r="Q36" s="710"/>
      <c r="R36" s="710"/>
      <c r="S36" s="710"/>
      <c r="T36" s="710"/>
      <c r="U36" s="710"/>
      <c r="V36" s="710"/>
      <c r="W36" s="466"/>
      <c r="X36" s="466"/>
      <c r="Y36" s="710"/>
      <c r="Z36" s="710"/>
      <c r="AA36" s="710"/>
      <c r="AB36" s="710"/>
      <c r="AC36" s="710"/>
      <c r="AD36" s="711">
        <f>(SUMIFS($E$15:$E$74,$D$15:$D$74,$D36)*SUMIFS('GWP &amp; Emission Factors '!$F$154:$F$242,'GWP &amp; Emission Factors '!$E$154:$E$242,$E$13)+SUMIFS($F$15:$F$74,$D$15:$D$74,$D36)*SUMIFS('GWP &amp; Emission Factors '!$F$154:$F$242,'GWP &amp; Emission Factors '!$E$154:$E$242,$F$13)+SUMIFS($G$15:$G$74,$D$15:$D$74,$D36)*SUMIFS('GWP &amp; Emission Factors '!$F$154:$F$242,'GWP &amp; Emission Factors '!$E$154:$E$242,$G$13)+SUMIFS($H$15:$H$74,$D$15:$D$74,$D36)*SUMIFS('GWP &amp; Emission Factors '!$F$154:$F$242,'GWP &amp; Emission Factors '!$E$154:$E$242,$H$13)+SUMIFS($I$15:$I$74,$D$15:$D$74,$D36)*SUMIFS('GWP &amp; Emission Factors '!$F$154:$F$242,'GWP &amp; Emission Factors '!$E$154:$E$242,$I$13)+SUMIFS($J$15:$J$74,$D$15:$D$74,$D36)*SUMIFS('GWP &amp; Emission Factors '!$F$154:$F$242,'GWP &amp; Emission Factors '!$E$154:$E$242,$J$13)+SUMIFS($K$15:$K$74,$D$15:$D$74,$D36)*SUMIFS('GWP &amp; Emission Factors '!$F$154:$F$242,'GWP &amp; Emission Factors '!$E$154:$E$242,$K$13)+SUMIFS($L$15:$L$74,$D$15:$D$74,$D36)*SUMIFS('GWP &amp; Emission Factors '!$F$154:$F$242,'GWP &amp; Emission Factors '!$E$154:$E$242,$L$13)+SUMIFS($M$15:$M$74,$D$15:$D$74,$D36)*SUMIFS('GWP &amp; Emission Factors '!$F$154:$F$242,'GWP &amp; Emission Factors '!$E$154:$E$242,$M$13)+SUMIFS($N$15:$N$74,$D$15:$D$74,$D36)*SUMIFS('GWP &amp; Emission Factors '!$F$154:$F$242,'GWP &amp; Emission Factors '!$E$154:$E$242,$N$13)+SUMIFS($O$15:$O$74,$D$15:$D$74,$D36)*SUMIFS('GWP &amp; Emission Factors '!$F$154:$F$242,'GWP &amp; Emission Factors '!$E$154:$E$242,$O$13)+SUMIFS($P$15:$P$74,$D$15:$D$74,$D36)*SUMIFS('GWP &amp; Emission Factors '!$F$154:$F$242,'GWP &amp; Emission Factors '!$E$154:$E$242,$P$13)+SUMIFS($Q$15:$Q$74,$D$15:$D$74,$D36)*SUMIFS('GWP &amp; Emission Factors '!$F$154:$F$242,'GWP &amp; Emission Factors '!$E$154:$E$242,$Q$13)+SUMIFS($R$15:$R$74,$D$15:$D$74,$D36)*SUMIFS('GWP &amp; Emission Factors '!$F$154:$F$242,'GWP &amp; Emission Factors '!$E$154:$E$242,$R$13)+SUMIFS($S$15:$S$74,$D$15:$D$74,$D36)*SUMIFS('GWP &amp; Emission Factors '!$F$154:$F$242,'GWP &amp; Emission Factors '!$E$154:$E$242,$S$13)+SUMIFS($T$15:$T$74,$D$15:$D$74,$D36)*SUMIFS('GWP &amp; Emission Factors '!$F$154:$F$242,'GWP &amp; Emission Factors '!$E$154:$E$242,$T$13)+SUMIFS($U$15:$U$74,$D$15:$D$74,$D36)*SUMIFS('GWP &amp; Emission Factors '!$F$154:$F$242,'GWP &amp; Emission Factors '!$E$154:$E$242,$U$13)+SUMIFS($V$15:$V$74,$D$15:$D$74,$D36)*SUMIFS('GWP &amp; Emission Factors '!$F$154:$F$242,'GWP &amp; Emission Factors '!$E$154:$E$242,$V$13)+SUMIFS($W$15:$W$74,$D$15:$D$74,$D36)*SUMIFS('GWP &amp; Emission Factors '!$F$154:$F$242,'GWP &amp; Emission Factors '!$E$154:$E$242,$W$13)+SUMIFS($X$15:$X$74,$D$15:$D$74,$D36)*SUMIFS('GWP &amp; Emission Factors '!$F$154:$F$242,'GWP &amp; Emission Factors '!$E$154:$E$242,$X$13)+SUMIFS($Y$15:$Y$74,$D$15:$D$74,$D36)*SUMIFS('GWP &amp; Emission Factors '!$F$154:$F$242,'GWP &amp; Emission Factors '!$E$154:$E$242,$Y$13)+SUMIFS($Z$15:$Z$74,$D$15:$D$74,$D36)*SUMIFS('GWP &amp; Emission Factors '!$F$154:$F$242,'GWP &amp; Emission Factors '!$E$154:$E$242,$Z$13)+SUMIFS($AA$15:$AA$74,$D$15:$D$74,$D36)*SUMIFS('GWP &amp; Emission Factors '!$F$154:$F$242,'GWP &amp; Emission Factors '!$E$154:$E$242,$AA$13)+SUMIFS($AB$15:$AB$74,$D$15:$D$74,$D36)*SUMIFS('GWP &amp; Emission Factors '!$F$154:$F$242,'GWP &amp; Emission Factors '!$E$154:$E$242,$AB$13)/1000+SUMIFS($AC$15:$AC$74,$D$15:$D$74,$D36)*SUMIFS('GWP &amp; Emission Factors '!$F$154:$F$242,'GWP &amp; Emission Factors '!$E$154:$E$242,$AC$13))/1000</f>
        <v>0</v>
      </c>
    </row>
    <row r="37" spans="4:30" x14ac:dyDescent="0.25">
      <c r="D37" s="461" t="str">
        <f>'Project Emission Distribution'!D47</f>
        <v>AN23</v>
      </c>
      <c r="E37" s="241"/>
      <c r="F37" s="241"/>
      <c r="G37" s="241"/>
      <c r="H37" s="241"/>
      <c r="I37" s="241"/>
      <c r="J37" s="241"/>
      <c r="K37" s="241"/>
      <c r="L37" s="241"/>
      <c r="M37" s="241"/>
      <c r="N37" s="241"/>
      <c r="O37" s="241"/>
      <c r="P37" s="241"/>
      <c r="Q37" s="241"/>
      <c r="R37" s="241"/>
      <c r="S37" s="241"/>
      <c r="T37" s="241"/>
      <c r="U37" s="241"/>
      <c r="V37" s="241"/>
      <c r="W37" s="241"/>
      <c r="X37" s="241"/>
      <c r="Y37" s="241"/>
      <c r="Z37" s="241"/>
      <c r="AA37" s="241"/>
      <c r="AB37" s="241"/>
      <c r="AC37" s="241"/>
      <c r="AD37" s="711">
        <f>(SUMIFS($E$15:$E$74,$D$15:$D$74,$D37)*SUMIFS('GWP &amp; Emission Factors '!$F$154:$F$242,'GWP &amp; Emission Factors '!$E$154:$E$242,$E$13)+SUMIFS($F$15:$F$74,$D$15:$D$74,$D37)*SUMIFS('GWP &amp; Emission Factors '!$F$154:$F$242,'GWP &amp; Emission Factors '!$E$154:$E$242,$F$13)+SUMIFS($G$15:$G$74,$D$15:$D$74,$D37)*SUMIFS('GWP &amp; Emission Factors '!$F$154:$F$242,'GWP &amp; Emission Factors '!$E$154:$E$242,$G$13)+SUMIFS($H$15:$H$74,$D$15:$D$74,$D37)*SUMIFS('GWP &amp; Emission Factors '!$F$154:$F$242,'GWP &amp; Emission Factors '!$E$154:$E$242,$H$13)+SUMIFS($I$15:$I$74,$D$15:$D$74,$D37)*SUMIFS('GWP &amp; Emission Factors '!$F$154:$F$242,'GWP &amp; Emission Factors '!$E$154:$E$242,$I$13)+SUMIFS($J$15:$J$74,$D$15:$D$74,$D37)*SUMIFS('GWP &amp; Emission Factors '!$F$154:$F$242,'GWP &amp; Emission Factors '!$E$154:$E$242,$J$13)+SUMIFS($K$15:$K$74,$D$15:$D$74,$D37)*SUMIFS('GWP &amp; Emission Factors '!$F$154:$F$242,'GWP &amp; Emission Factors '!$E$154:$E$242,$K$13)+SUMIFS($L$15:$L$74,$D$15:$D$74,$D37)*SUMIFS('GWP &amp; Emission Factors '!$F$154:$F$242,'GWP &amp; Emission Factors '!$E$154:$E$242,$L$13)+SUMIFS($M$15:$M$74,$D$15:$D$74,$D37)*SUMIFS('GWP &amp; Emission Factors '!$F$154:$F$242,'GWP &amp; Emission Factors '!$E$154:$E$242,$M$13)+SUMIFS($N$15:$N$74,$D$15:$D$74,$D37)*SUMIFS('GWP &amp; Emission Factors '!$F$154:$F$242,'GWP &amp; Emission Factors '!$E$154:$E$242,$N$13)+SUMIFS($O$15:$O$74,$D$15:$D$74,$D37)*SUMIFS('GWP &amp; Emission Factors '!$F$154:$F$242,'GWP &amp; Emission Factors '!$E$154:$E$242,$O$13)+SUMIFS($P$15:$P$74,$D$15:$D$74,$D37)*SUMIFS('GWP &amp; Emission Factors '!$F$154:$F$242,'GWP &amp; Emission Factors '!$E$154:$E$242,$P$13)+SUMIFS($Q$15:$Q$74,$D$15:$D$74,$D37)*SUMIFS('GWP &amp; Emission Factors '!$F$154:$F$242,'GWP &amp; Emission Factors '!$E$154:$E$242,$Q$13)+SUMIFS($R$15:$R$74,$D$15:$D$74,$D37)*SUMIFS('GWP &amp; Emission Factors '!$F$154:$F$242,'GWP &amp; Emission Factors '!$E$154:$E$242,$R$13)+SUMIFS($S$15:$S$74,$D$15:$D$74,$D37)*SUMIFS('GWP &amp; Emission Factors '!$F$154:$F$242,'GWP &amp; Emission Factors '!$E$154:$E$242,$S$13)+SUMIFS($T$15:$T$74,$D$15:$D$74,$D37)*SUMIFS('GWP &amp; Emission Factors '!$F$154:$F$242,'GWP &amp; Emission Factors '!$E$154:$E$242,$T$13)+SUMIFS($U$15:$U$74,$D$15:$D$74,$D37)*SUMIFS('GWP &amp; Emission Factors '!$F$154:$F$242,'GWP &amp; Emission Factors '!$E$154:$E$242,$U$13)+SUMIFS($V$15:$V$74,$D$15:$D$74,$D37)*SUMIFS('GWP &amp; Emission Factors '!$F$154:$F$242,'GWP &amp; Emission Factors '!$E$154:$E$242,$V$13)+SUMIFS($W$15:$W$74,$D$15:$D$74,$D37)*SUMIFS('GWP &amp; Emission Factors '!$F$154:$F$242,'GWP &amp; Emission Factors '!$E$154:$E$242,$W$13)+SUMIFS($X$15:$X$74,$D$15:$D$74,$D37)*SUMIFS('GWP &amp; Emission Factors '!$F$154:$F$242,'GWP &amp; Emission Factors '!$E$154:$E$242,$X$13)+SUMIFS($Y$15:$Y$74,$D$15:$D$74,$D37)*SUMIFS('GWP &amp; Emission Factors '!$F$154:$F$242,'GWP &amp; Emission Factors '!$E$154:$E$242,$Y$13)+SUMIFS($Z$15:$Z$74,$D$15:$D$74,$D37)*SUMIFS('GWP &amp; Emission Factors '!$F$154:$F$242,'GWP &amp; Emission Factors '!$E$154:$E$242,$Z$13)+SUMIFS($AA$15:$AA$74,$D$15:$D$74,$D37)*SUMIFS('GWP &amp; Emission Factors '!$F$154:$F$242,'GWP &amp; Emission Factors '!$E$154:$E$242,$AA$13)+SUMIFS($AB$15:$AB$74,$D$15:$D$74,$D37)*SUMIFS('GWP &amp; Emission Factors '!$F$154:$F$242,'GWP &amp; Emission Factors '!$E$154:$E$242,$AB$13)/1000+SUMIFS($AC$15:$AC$74,$D$15:$D$74,$D37)*SUMIFS('GWP &amp; Emission Factors '!$F$154:$F$242,'GWP &amp; Emission Factors '!$E$154:$E$242,$AC$13))/1000</f>
        <v>0</v>
      </c>
    </row>
    <row r="38" spans="4:30" x14ac:dyDescent="0.25">
      <c r="D38" s="461" t="str">
        <f>'Project Emission Distribution'!D48</f>
        <v>AN24</v>
      </c>
      <c r="E38" s="466"/>
      <c r="F38" s="466"/>
      <c r="G38" s="466"/>
      <c r="H38" s="466"/>
      <c r="I38" s="466"/>
      <c r="J38" s="466"/>
      <c r="K38" s="466"/>
      <c r="L38" s="466"/>
      <c r="M38" s="466"/>
      <c r="N38" s="710"/>
      <c r="O38" s="710"/>
      <c r="P38" s="710"/>
      <c r="Q38" s="710"/>
      <c r="R38" s="710"/>
      <c r="S38" s="710"/>
      <c r="T38" s="710"/>
      <c r="U38" s="710"/>
      <c r="V38" s="710"/>
      <c r="W38" s="710"/>
      <c r="X38" s="710"/>
      <c r="Y38" s="466"/>
      <c r="Z38" s="466"/>
      <c r="AA38" s="466"/>
      <c r="AB38" s="710"/>
      <c r="AC38" s="710"/>
      <c r="AD38" s="711">
        <f>(SUMIFS($E$15:$E$74,$D$15:$D$74,$D38)*SUMIFS('GWP &amp; Emission Factors '!$F$154:$F$242,'GWP &amp; Emission Factors '!$E$154:$E$242,$E$13)+SUMIFS($F$15:$F$74,$D$15:$D$74,$D38)*SUMIFS('GWP &amp; Emission Factors '!$F$154:$F$242,'GWP &amp; Emission Factors '!$E$154:$E$242,$F$13)+SUMIFS($G$15:$G$74,$D$15:$D$74,$D38)*SUMIFS('GWP &amp; Emission Factors '!$F$154:$F$242,'GWP &amp; Emission Factors '!$E$154:$E$242,$G$13)+SUMIFS($H$15:$H$74,$D$15:$D$74,$D38)*SUMIFS('GWP &amp; Emission Factors '!$F$154:$F$242,'GWP &amp; Emission Factors '!$E$154:$E$242,$H$13)+SUMIFS($I$15:$I$74,$D$15:$D$74,$D38)*SUMIFS('GWP &amp; Emission Factors '!$F$154:$F$242,'GWP &amp; Emission Factors '!$E$154:$E$242,$I$13)+SUMIFS($J$15:$J$74,$D$15:$D$74,$D38)*SUMIFS('GWP &amp; Emission Factors '!$F$154:$F$242,'GWP &amp; Emission Factors '!$E$154:$E$242,$J$13)+SUMIFS($K$15:$K$74,$D$15:$D$74,$D38)*SUMIFS('GWP &amp; Emission Factors '!$F$154:$F$242,'GWP &amp; Emission Factors '!$E$154:$E$242,$K$13)+SUMIFS($L$15:$L$74,$D$15:$D$74,$D38)*SUMIFS('GWP &amp; Emission Factors '!$F$154:$F$242,'GWP &amp; Emission Factors '!$E$154:$E$242,$L$13)+SUMIFS($M$15:$M$74,$D$15:$D$74,$D38)*SUMIFS('GWP &amp; Emission Factors '!$F$154:$F$242,'GWP &amp; Emission Factors '!$E$154:$E$242,$M$13)+SUMIFS($N$15:$N$74,$D$15:$D$74,$D38)*SUMIFS('GWP &amp; Emission Factors '!$F$154:$F$242,'GWP &amp; Emission Factors '!$E$154:$E$242,$N$13)+SUMIFS($O$15:$O$74,$D$15:$D$74,$D38)*SUMIFS('GWP &amp; Emission Factors '!$F$154:$F$242,'GWP &amp; Emission Factors '!$E$154:$E$242,$O$13)+SUMIFS($P$15:$P$74,$D$15:$D$74,$D38)*SUMIFS('GWP &amp; Emission Factors '!$F$154:$F$242,'GWP &amp; Emission Factors '!$E$154:$E$242,$P$13)+SUMIFS($Q$15:$Q$74,$D$15:$D$74,$D38)*SUMIFS('GWP &amp; Emission Factors '!$F$154:$F$242,'GWP &amp; Emission Factors '!$E$154:$E$242,$Q$13)+SUMIFS($R$15:$R$74,$D$15:$D$74,$D38)*SUMIFS('GWP &amp; Emission Factors '!$F$154:$F$242,'GWP &amp; Emission Factors '!$E$154:$E$242,$R$13)+SUMIFS($S$15:$S$74,$D$15:$D$74,$D38)*SUMIFS('GWP &amp; Emission Factors '!$F$154:$F$242,'GWP &amp; Emission Factors '!$E$154:$E$242,$S$13)+SUMIFS($T$15:$T$74,$D$15:$D$74,$D38)*SUMIFS('GWP &amp; Emission Factors '!$F$154:$F$242,'GWP &amp; Emission Factors '!$E$154:$E$242,$T$13)+SUMIFS($U$15:$U$74,$D$15:$D$74,$D38)*SUMIFS('GWP &amp; Emission Factors '!$F$154:$F$242,'GWP &amp; Emission Factors '!$E$154:$E$242,$U$13)+SUMIFS($V$15:$V$74,$D$15:$D$74,$D38)*SUMIFS('GWP &amp; Emission Factors '!$F$154:$F$242,'GWP &amp; Emission Factors '!$E$154:$E$242,$V$13)+SUMIFS($W$15:$W$74,$D$15:$D$74,$D38)*SUMIFS('GWP &amp; Emission Factors '!$F$154:$F$242,'GWP &amp; Emission Factors '!$E$154:$E$242,$W$13)+SUMIFS($X$15:$X$74,$D$15:$D$74,$D38)*SUMIFS('GWP &amp; Emission Factors '!$F$154:$F$242,'GWP &amp; Emission Factors '!$E$154:$E$242,$X$13)+SUMIFS($Y$15:$Y$74,$D$15:$D$74,$D38)*SUMIFS('GWP &amp; Emission Factors '!$F$154:$F$242,'GWP &amp; Emission Factors '!$E$154:$E$242,$Y$13)+SUMIFS($Z$15:$Z$74,$D$15:$D$74,$D38)*SUMIFS('GWP &amp; Emission Factors '!$F$154:$F$242,'GWP &amp; Emission Factors '!$E$154:$E$242,$Z$13)+SUMIFS($AA$15:$AA$74,$D$15:$D$74,$D38)*SUMIFS('GWP &amp; Emission Factors '!$F$154:$F$242,'GWP &amp; Emission Factors '!$E$154:$E$242,$AA$13)+SUMIFS($AB$15:$AB$74,$D$15:$D$74,$D38)*SUMIFS('GWP &amp; Emission Factors '!$F$154:$F$242,'GWP &amp; Emission Factors '!$E$154:$E$242,$AB$13)/1000+SUMIFS($AC$15:$AC$74,$D$15:$D$74,$D38)*SUMIFS('GWP &amp; Emission Factors '!$F$154:$F$242,'GWP &amp; Emission Factors '!$E$154:$E$242,$AC$13))/1000</f>
        <v>0</v>
      </c>
    </row>
    <row r="39" spans="4:30" x14ac:dyDescent="0.25">
      <c r="D39" s="461" t="str">
        <f>'Project Emission Distribution'!D49</f>
        <v>AN25</v>
      </c>
      <c r="E39" s="241"/>
      <c r="F39" s="241"/>
      <c r="G39" s="241"/>
      <c r="H39" s="241"/>
      <c r="I39" s="241"/>
      <c r="J39" s="241"/>
      <c r="K39" s="241"/>
      <c r="L39" s="241"/>
      <c r="M39" s="241"/>
      <c r="N39" s="241"/>
      <c r="O39" s="241"/>
      <c r="P39" s="241"/>
      <c r="Q39" s="241"/>
      <c r="R39" s="241"/>
      <c r="S39" s="241"/>
      <c r="T39" s="241"/>
      <c r="U39" s="241"/>
      <c r="V39" s="241"/>
      <c r="W39" s="241"/>
      <c r="X39" s="241"/>
      <c r="Y39" s="241"/>
      <c r="Z39" s="241"/>
      <c r="AA39" s="241"/>
      <c r="AB39" s="241"/>
      <c r="AC39" s="241"/>
      <c r="AD39" s="711">
        <f>(SUMIFS($E$15:$E$74,$D$15:$D$74,$D39)*SUMIFS('GWP &amp; Emission Factors '!$F$154:$F$242,'GWP &amp; Emission Factors '!$E$154:$E$242,$E$13)+SUMIFS($F$15:$F$74,$D$15:$D$74,$D39)*SUMIFS('GWP &amp; Emission Factors '!$F$154:$F$242,'GWP &amp; Emission Factors '!$E$154:$E$242,$F$13)+SUMIFS($G$15:$G$74,$D$15:$D$74,$D39)*SUMIFS('GWP &amp; Emission Factors '!$F$154:$F$242,'GWP &amp; Emission Factors '!$E$154:$E$242,$G$13)+SUMIFS($H$15:$H$74,$D$15:$D$74,$D39)*SUMIFS('GWP &amp; Emission Factors '!$F$154:$F$242,'GWP &amp; Emission Factors '!$E$154:$E$242,$H$13)+SUMIFS($I$15:$I$74,$D$15:$D$74,$D39)*SUMIFS('GWP &amp; Emission Factors '!$F$154:$F$242,'GWP &amp; Emission Factors '!$E$154:$E$242,$I$13)+SUMIFS($J$15:$J$74,$D$15:$D$74,$D39)*SUMIFS('GWP &amp; Emission Factors '!$F$154:$F$242,'GWP &amp; Emission Factors '!$E$154:$E$242,$J$13)+SUMIFS($K$15:$K$74,$D$15:$D$74,$D39)*SUMIFS('GWP &amp; Emission Factors '!$F$154:$F$242,'GWP &amp; Emission Factors '!$E$154:$E$242,$K$13)+SUMIFS($L$15:$L$74,$D$15:$D$74,$D39)*SUMIFS('GWP &amp; Emission Factors '!$F$154:$F$242,'GWP &amp; Emission Factors '!$E$154:$E$242,$L$13)+SUMIFS($M$15:$M$74,$D$15:$D$74,$D39)*SUMIFS('GWP &amp; Emission Factors '!$F$154:$F$242,'GWP &amp; Emission Factors '!$E$154:$E$242,$M$13)+SUMIFS($N$15:$N$74,$D$15:$D$74,$D39)*SUMIFS('GWP &amp; Emission Factors '!$F$154:$F$242,'GWP &amp; Emission Factors '!$E$154:$E$242,$N$13)+SUMIFS($O$15:$O$74,$D$15:$D$74,$D39)*SUMIFS('GWP &amp; Emission Factors '!$F$154:$F$242,'GWP &amp; Emission Factors '!$E$154:$E$242,$O$13)+SUMIFS($P$15:$P$74,$D$15:$D$74,$D39)*SUMIFS('GWP &amp; Emission Factors '!$F$154:$F$242,'GWP &amp; Emission Factors '!$E$154:$E$242,$P$13)+SUMIFS($Q$15:$Q$74,$D$15:$D$74,$D39)*SUMIFS('GWP &amp; Emission Factors '!$F$154:$F$242,'GWP &amp; Emission Factors '!$E$154:$E$242,$Q$13)+SUMIFS($R$15:$R$74,$D$15:$D$74,$D39)*SUMIFS('GWP &amp; Emission Factors '!$F$154:$F$242,'GWP &amp; Emission Factors '!$E$154:$E$242,$R$13)+SUMIFS($S$15:$S$74,$D$15:$D$74,$D39)*SUMIFS('GWP &amp; Emission Factors '!$F$154:$F$242,'GWP &amp; Emission Factors '!$E$154:$E$242,$S$13)+SUMIFS($T$15:$T$74,$D$15:$D$74,$D39)*SUMIFS('GWP &amp; Emission Factors '!$F$154:$F$242,'GWP &amp; Emission Factors '!$E$154:$E$242,$T$13)+SUMIFS($U$15:$U$74,$D$15:$D$74,$D39)*SUMIFS('GWP &amp; Emission Factors '!$F$154:$F$242,'GWP &amp; Emission Factors '!$E$154:$E$242,$U$13)+SUMIFS($V$15:$V$74,$D$15:$D$74,$D39)*SUMIFS('GWP &amp; Emission Factors '!$F$154:$F$242,'GWP &amp; Emission Factors '!$E$154:$E$242,$V$13)+SUMIFS($W$15:$W$74,$D$15:$D$74,$D39)*SUMIFS('GWP &amp; Emission Factors '!$F$154:$F$242,'GWP &amp; Emission Factors '!$E$154:$E$242,$W$13)+SUMIFS($X$15:$X$74,$D$15:$D$74,$D39)*SUMIFS('GWP &amp; Emission Factors '!$F$154:$F$242,'GWP &amp; Emission Factors '!$E$154:$E$242,$X$13)+SUMIFS($Y$15:$Y$74,$D$15:$D$74,$D39)*SUMIFS('GWP &amp; Emission Factors '!$F$154:$F$242,'GWP &amp; Emission Factors '!$E$154:$E$242,$Y$13)+SUMIFS($Z$15:$Z$74,$D$15:$D$74,$D39)*SUMIFS('GWP &amp; Emission Factors '!$F$154:$F$242,'GWP &amp; Emission Factors '!$E$154:$E$242,$Z$13)+SUMIFS($AA$15:$AA$74,$D$15:$D$74,$D39)*SUMIFS('GWP &amp; Emission Factors '!$F$154:$F$242,'GWP &amp; Emission Factors '!$E$154:$E$242,$AA$13)+SUMIFS($AB$15:$AB$74,$D$15:$D$74,$D39)*SUMIFS('GWP &amp; Emission Factors '!$F$154:$F$242,'GWP &amp; Emission Factors '!$E$154:$E$242,$AB$13)/1000+SUMIFS($AC$15:$AC$74,$D$15:$D$74,$D39)*SUMIFS('GWP &amp; Emission Factors '!$F$154:$F$242,'GWP &amp; Emission Factors '!$E$154:$E$242,$AC$13))/1000</f>
        <v>0</v>
      </c>
    </row>
    <row r="40" spans="4:30" x14ac:dyDescent="0.25">
      <c r="D40" s="461" t="str">
        <f>'Project Emission Distribution'!D50</f>
        <v>AN26</v>
      </c>
      <c r="E40" s="466"/>
      <c r="F40" s="466"/>
      <c r="G40" s="466"/>
      <c r="H40" s="466"/>
      <c r="I40" s="466"/>
      <c r="J40" s="466"/>
      <c r="K40" s="466"/>
      <c r="L40" s="466"/>
      <c r="M40" s="466"/>
      <c r="N40" s="710"/>
      <c r="O40" s="710"/>
      <c r="P40" s="710"/>
      <c r="Q40" s="710"/>
      <c r="R40" s="710"/>
      <c r="S40" s="710"/>
      <c r="T40" s="710"/>
      <c r="U40" s="710"/>
      <c r="V40" s="710"/>
      <c r="W40" s="710"/>
      <c r="X40" s="710"/>
      <c r="Y40" s="710"/>
      <c r="Z40" s="710"/>
      <c r="AA40" s="710"/>
      <c r="AB40" s="710"/>
      <c r="AC40" s="710"/>
      <c r="AD40" s="711">
        <f>(SUMIFS($E$15:$E$74,$D$15:$D$74,$D40)*SUMIFS('GWP &amp; Emission Factors '!$F$154:$F$242,'GWP &amp; Emission Factors '!$E$154:$E$242,$E$13)+SUMIFS($F$15:$F$74,$D$15:$D$74,$D40)*SUMIFS('GWP &amp; Emission Factors '!$F$154:$F$242,'GWP &amp; Emission Factors '!$E$154:$E$242,$F$13)+SUMIFS($G$15:$G$74,$D$15:$D$74,$D40)*SUMIFS('GWP &amp; Emission Factors '!$F$154:$F$242,'GWP &amp; Emission Factors '!$E$154:$E$242,$G$13)+SUMIFS($H$15:$H$74,$D$15:$D$74,$D40)*SUMIFS('GWP &amp; Emission Factors '!$F$154:$F$242,'GWP &amp; Emission Factors '!$E$154:$E$242,$H$13)+SUMIFS($I$15:$I$74,$D$15:$D$74,$D40)*SUMIFS('GWP &amp; Emission Factors '!$F$154:$F$242,'GWP &amp; Emission Factors '!$E$154:$E$242,$I$13)+SUMIFS($J$15:$J$74,$D$15:$D$74,$D40)*SUMIFS('GWP &amp; Emission Factors '!$F$154:$F$242,'GWP &amp; Emission Factors '!$E$154:$E$242,$J$13)+SUMIFS($K$15:$K$74,$D$15:$D$74,$D40)*SUMIFS('GWP &amp; Emission Factors '!$F$154:$F$242,'GWP &amp; Emission Factors '!$E$154:$E$242,$K$13)+SUMIFS($L$15:$L$74,$D$15:$D$74,$D40)*SUMIFS('GWP &amp; Emission Factors '!$F$154:$F$242,'GWP &amp; Emission Factors '!$E$154:$E$242,$L$13)+SUMIFS($M$15:$M$74,$D$15:$D$74,$D40)*SUMIFS('GWP &amp; Emission Factors '!$F$154:$F$242,'GWP &amp; Emission Factors '!$E$154:$E$242,$M$13)+SUMIFS($N$15:$N$74,$D$15:$D$74,$D40)*SUMIFS('GWP &amp; Emission Factors '!$F$154:$F$242,'GWP &amp; Emission Factors '!$E$154:$E$242,$N$13)+SUMIFS($O$15:$O$74,$D$15:$D$74,$D40)*SUMIFS('GWP &amp; Emission Factors '!$F$154:$F$242,'GWP &amp; Emission Factors '!$E$154:$E$242,$O$13)+SUMIFS($P$15:$P$74,$D$15:$D$74,$D40)*SUMIFS('GWP &amp; Emission Factors '!$F$154:$F$242,'GWP &amp; Emission Factors '!$E$154:$E$242,$P$13)+SUMIFS($Q$15:$Q$74,$D$15:$D$74,$D40)*SUMIFS('GWP &amp; Emission Factors '!$F$154:$F$242,'GWP &amp; Emission Factors '!$E$154:$E$242,$Q$13)+SUMIFS($R$15:$R$74,$D$15:$D$74,$D40)*SUMIFS('GWP &amp; Emission Factors '!$F$154:$F$242,'GWP &amp; Emission Factors '!$E$154:$E$242,$R$13)+SUMIFS($S$15:$S$74,$D$15:$D$74,$D40)*SUMIFS('GWP &amp; Emission Factors '!$F$154:$F$242,'GWP &amp; Emission Factors '!$E$154:$E$242,$S$13)+SUMIFS($T$15:$T$74,$D$15:$D$74,$D40)*SUMIFS('GWP &amp; Emission Factors '!$F$154:$F$242,'GWP &amp; Emission Factors '!$E$154:$E$242,$T$13)+SUMIFS($U$15:$U$74,$D$15:$D$74,$D40)*SUMIFS('GWP &amp; Emission Factors '!$F$154:$F$242,'GWP &amp; Emission Factors '!$E$154:$E$242,$U$13)+SUMIFS($V$15:$V$74,$D$15:$D$74,$D40)*SUMIFS('GWP &amp; Emission Factors '!$F$154:$F$242,'GWP &amp; Emission Factors '!$E$154:$E$242,$V$13)+SUMIFS($W$15:$W$74,$D$15:$D$74,$D40)*SUMIFS('GWP &amp; Emission Factors '!$F$154:$F$242,'GWP &amp; Emission Factors '!$E$154:$E$242,$W$13)+SUMIFS($X$15:$X$74,$D$15:$D$74,$D40)*SUMIFS('GWP &amp; Emission Factors '!$F$154:$F$242,'GWP &amp; Emission Factors '!$E$154:$E$242,$X$13)+SUMIFS($Y$15:$Y$74,$D$15:$D$74,$D40)*SUMIFS('GWP &amp; Emission Factors '!$F$154:$F$242,'GWP &amp; Emission Factors '!$E$154:$E$242,$Y$13)+SUMIFS($Z$15:$Z$74,$D$15:$D$74,$D40)*SUMIFS('GWP &amp; Emission Factors '!$F$154:$F$242,'GWP &amp; Emission Factors '!$E$154:$E$242,$Z$13)+SUMIFS($AA$15:$AA$74,$D$15:$D$74,$D40)*SUMIFS('GWP &amp; Emission Factors '!$F$154:$F$242,'GWP &amp; Emission Factors '!$E$154:$E$242,$AA$13)+SUMIFS($AB$15:$AB$74,$D$15:$D$74,$D40)*SUMIFS('GWP &amp; Emission Factors '!$F$154:$F$242,'GWP &amp; Emission Factors '!$E$154:$E$242,$AB$13)/1000+SUMIFS($AC$15:$AC$74,$D$15:$D$74,$D40)*SUMIFS('GWP &amp; Emission Factors '!$F$154:$F$242,'GWP &amp; Emission Factors '!$E$154:$E$242,$AC$13))/1000</f>
        <v>0</v>
      </c>
    </row>
    <row r="41" spans="4:30" x14ac:dyDescent="0.25">
      <c r="D41" s="461" t="str">
        <f>'Project Emission Distribution'!D51</f>
        <v>AN27</v>
      </c>
      <c r="E41" s="241"/>
      <c r="F41" s="241"/>
      <c r="G41" s="241"/>
      <c r="H41" s="241"/>
      <c r="I41" s="241"/>
      <c r="J41" s="241"/>
      <c r="K41" s="241"/>
      <c r="L41" s="241"/>
      <c r="M41" s="241"/>
      <c r="N41" s="241"/>
      <c r="O41" s="241"/>
      <c r="P41" s="241"/>
      <c r="Q41" s="241"/>
      <c r="R41" s="241"/>
      <c r="S41" s="241"/>
      <c r="T41" s="241"/>
      <c r="U41" s="241"/>
      <c r="V41" s="241"/>
      <c r="W41" s="241"/>
      <c r="X41" s="241"/>
      <c r="Y41" s="241"/>
      <c r="Z41" s="241"/>
      <c r="AA41" s="241"/>
      <c r="AB41" s="241"/>
      <c r="AC41" s="241"/>
      <c r="AD41" s="711">
        <f>(SUMIFS($E$15:$E$74,$D$15:$D$74,$D41)*SUMIFS('GWP &amp; Emission Factors '!$F$154:$F$242,'GWP &amp; Emission Factors '!$E$154:$E$242,$E$13)+SUMIFS($F$15:$F$74,$D$15:$D$74,$D41)*SUMIFS('GWP &amp; Emission Factors '!$F$154:$F$242,'GWP &amp; Emission Factors '!$E$154:$E$242,$F$13)+SUMIFS($G$15:$G$74,$D$15:$D$74,$D41)*SUMIFS('GWP &amp; Emission Factors '!$F$154:$F$242,'GWP &amp; Emission Factors '!$E$154:$E$242,$G$13)+SUMIFS($H$15:$H$74,$D$15:$D$74,$D41)*SUMIFS('GWP &amp; Emission Factors '!$F$154:$F$242,'GWP &amp; Emission Factors '!$E$154:$E$242,$H$13)+SUMIFS($I$15:$I$74,$D$15:$D$74,$D41)*SUMIFS('GWP &amp; Emission Factors '!$F$154:$F$242,'GWP &amp; Emission Factors '!$E$154:$E$242,$I$13)+SUMIFS($J$15:$J$74,$D$15:$D$74,$D41)*SUMIFS('GWP &amp; Emission Factors '!$F$154:$F$242,'GWP &amp; Emission Factors '!$E$154:$E$242,$J$13)+SUMIFS($K$15:$K$74,$D$15:$D$74,$D41)*SUMIFS('GWP &amp; Emission Factors '!$F$154:$F$242,'GWP &amp; Emission Factors '!$E$154:$E$242,$K$13)+SUMIFS($L$15:$L$74,$D$15:$D$74,$D41)*SUMIFS('GWP &amp; Emission Factors '!$F$154:$F$242,'GWP &amp; Emission Factors '!$E$154:$E$242,$L$13)+SUMIFS($M$15:$M$74,$D$15:$D$74,$D41)*SUMIFS('GWP &amp; Emission Factors '!$F$154:$F$242,'GWP &amp; Emission Factors '!$E$154:$E$242,$M$13)+SUMIFS($N$15:$N$74,$D$15:$D$74,$D41)*SUMIFS('GWP &amp; Emission Factors '!$F$154:$F$242,'GWP &amp; Emission Factors '!$E$154:$E$242,$N$13)+SUMIFS($O$15:$O$74,$D$15:$D$74,$D41)*SUMIFS('GWP &amp; Emission Factors '!$F$154:$F$242,'GWP &amp; Emission Factors '!$E$154:$E$242,$O$13)+SUMIFS($P$15:$P$74,$D$15:$D$74,$D41)*SUMIFS('GWP &amp; Emission Factors '!$F$154:$F$242,'GWP &amp; Emission Factors '!$E$154:$E$242,$P$13)+SUMIFS($Q$15:$Q$74,$D$15:$D$74,$D41)*SUMIFS('GWP &amp; Emission Factors '!$F$154:$F$242,'GWP &amp; Emission Factors '!$E$154:$E$242,$Q$13)+SUMIFS($R$15:$R$74,$D$15:$D$74,$D41)*SUMIFS('GWP &amp; Emission Factors '!$F$154:$F$242,'GWP &amp; Emission Factors '!$E$154:$E$242,$R$13)+SUMIFS($S$15:$S$74,$D$15:$D$74,$D41)*SUMIFS('GWP &amp; Emission Factors '!$F$154:$F$242,'GWP &amp; Emission Factors '!$E$154:$E$242,$S$13)+SUMIFS($T$15:$T$74,$D$15:$D$74,$D41)*SUMIFS('GWP &amp; Emission Factors '!$F$154:$F$242,'GWP &amp; Emission Factors '!$E$154:$E$242,$T$13)+SUMIFS($U$15:$U$74,$D$15:$D$74,$D41)*SUMIFS('GWP &amp; Emission Factors '!$F$154:$F$242,'GWP &amp; Emission Factors '!$E$154:$E$242,$U$13)+SUMIFS($V$15:$V$74,$D$15:$D$74,$D41)*SUMIFS('GWP &amp; Emission Factors '!$F$154:$F$242,'GWP &amp; Emission Factors '!$E$154:$E$242,$V$13)+SUMIFS($W$15:$W$74,$D$15:$D$74,$D41)*SUMIFS('GWP &amp; Emission Factors '!$F$154:$F$242,'GWP &amp; Emission Factors '!$E$154:$E$242,$W$13)+SUMIFS($X$15:$X$74,$D$15:$D$74,$D41)*SUMIFS('GWP &amp; Emission Factors '!$F$154:$F$242,'GWP &amp; Emission Factors '!$E$154:$E$242,$X$13)+SUMIFS($Y$15:$Y$74,$D$15:$D$74,$D41)*SUMIFS('GWP &amp; Emission Factors '!$F$154:$F$242,'GWP &amp; Emission Factors '!$E$154:$E$242,$Y$13)+SUMIFS($Z$15:$Z$74,$D$15:$D$74,$D41)*SUMIFS('GWP &amp; Emission Factors '!$F$154:$F$242,'GWP &amp; Emission Factors '!$E$154:$E$242,$Z$13)+SUMIFS($AA$15:$AA$74,$D$15:$D$74,$D41)*SUMIFS('GWP &amp; Emission Factors '!$F$154:$F$242,'GWP &amp; Emission Factors '!$E$154:$E$242,$AA$13)+SUMIFS($AB$15:$AB$74,$D$15:$D$74,$D41)*SUMIFS('GWP &amp; Emission Factors '!$F$154:$F$242,'GWP &amp; Emission Factors '!$E$154:$E$242,$AB$13)/1000+SUMIFS($AC$15:$AC$74,$D$15:$D$74,$D41)*SUMIFS('GWP &amp; Emission Factors '!$F$154:$F$242,'GWP &amp; Emission Factors '!$E$154:$E$242,$AC$13))/1000</f>
        <v>0</v>
      </c>
    </row>
    <row r="42" spans="4:30" x14ac:dyDescent="0.25">
      <c r="D42" s="461" t="str">
        <f>'Project Emission Distribution'!D52</f>
        <v>AN28</v>
      </c>
      <c r="E42" s="466"/>
      <c r="F42" s="466"/>
      <c r="G42" s="466"/>
      <c r="H42" s="466"/>
      <c r="I42" s="466"/>
      <c r="J42" s="710"/>
      <c r="K42" s="710"/>
      <c r="L42" s="710"/>
      <c r="M42" s="710"/>
      <c r="N42" s="710"/>
      <c r="O42" s="710"/>
      <c r="P42" s="710"/>
      <c r="Q42" s="710"/>
      <c r="R42" s="466"/>
      <c r="S42" s="466"/>
      <c r="T42" s="466"/>
      <c r="U42" s="466"/>
      <c r="V42" s="466"/>
      <c r="W42" s="710"/>
      <c r="X42" s="710"/>
      <c r="Y42" s="710"/>
      <c r="Z42" s="710"/>
      <c r="AA42" s="710"/>
      <c r="AB42" s="710"/>
      <c r="AC42" s="710"/>
      <c r="AD42" s="711">
        <f>(SUMIFS($E$15:$E$74,$D$15:$D$74,$D42)*SUMIFS('GWP &amp; Emission Factors '!$F$154:$F$242,'GWP &amp; Emission Factors '!$E$154:$E$242,$E$13)+SUMIFS($F$15:$F$74,$D$15:$D$74,$D42)*SUMIFS('GWP &amp; Emission Factors '!$F$154:$F$242,'GWP &amp; Emission Factors '!$E$154:$E$242,$F$13)+SUMIFS($G$15:$G$74,$D$15:$D$74,$D42)*SUMIFS('GWP &amp; Emission Factors '!$F$154:$F$242,'GWP &amp; Emission Factors '!$E$154:$E$242,$G$13)+SUMIFS($H$15:$H$74,$D$15:$D$74,$D42)*SUMIFS('GWP &amp; Emission Factors '!$F$154:$F$242,'GWP &amp; Emission Factors '!$E$154:$E$242,$H$13)+SUMIFS($I$15:$I$74,$D$15:$D$74,$D42)*SUMIFS('GWP &amp; Emission Factors '!$F$154:$F$242,'GWP &amp; Emission Factors '!$E$154:$E$242,$I$13)+SUMIFS($J$15:$J$74,$D$15:$D$74,$D42)*SUMIFS('GWP &amp; Emission Factors '!$F$154:$F$242,'GWP &amp; Emission Factors '!$E$154:$E$242,$J$13)+SUMIFS($K$15:$K$74,$D$15:$D$74,$D42)*SUMIFS('GWP &amp; Emission Factors '!$F$154:$F$242,'GWP &amp; Emission Factors '!$E$154:$E$242,$K$13)+SUMIFS($L$15:$L$74,$D$15:$D$74,$D42)*SUMIFS('GWP &amp; Emission Factors '!$F$154:$F$242,'GWP &amp; Emission Factors '!$E$154:$E$242,$L$13)+SUMIFS($M$15:$M$74,$D$15:$D$74,$D42)*SUMIFS('GWP &amp; Emission Factors '!$F$154:$F$242,'GWP &amp; Emission Factors '!$E$154:$E$242,$M$13)+SUMIFS($N$15:$N$74,$D$15:$D$74,$D42)*SUMIFS('GWP &amp; Emission Factors '!$F$154:$F$242,'GWP &amp; Emission Factors '!$E$154:$E$242,$N$13)+SUMIFS($O$15:$O$74,$D$15:$D$74,$D42)*SUMIFS('GWP &amp; Emission Factors '!$F$154:$F$242,'GWP &amp; Emission Factors '!$E$154:$E$242,$O$13)+SUMIFS($P$15:$P$74,$D$15:$D$74,$D42)*SUMIFS('GWP &amp; Emission Factors '!$F$154:$F$242,'GWP &amp; Emission Factors '!$E$154:$E$242,$P$13)+SUMIFS($Q$15:$Q$74,$D$15:$D$74,$D42)*SUMIFS('GWP &amp; Emission Factors '!$F$154:$F$242,'GWP &amp; Emission Factors '!$E$154:$E$242,$Q$13)+SUMIFS($R$15:$R$74,$D$15:$D$74,$D42)*SUMIFS('GWP &amp; Emission Factors '!$F$154:$F$242,'GWP &amp; Emission Factors '!$E$154:$E$242,$R$13)+SUMIFS($S$15:$S$74,$D$15:$D$74,$D42)*SUMIFS('GWP &amp; Emission Factors '!$F$154:$F$242,'GWP &amp; Emission Factors '!$E$154:$E$242,$S$13)+SUMIFS($T$15:$T$74,$D$15:$D$74,$D42)*SUMIFS('GWP &amp; Emission Factors '!$F$154:$F$242,'GWP &amp; Emission Factors '!$E$154:$E$242,$T$13)+SUMIFS($U$15:$U$74,$D$15:$D$74,$D42)*SUMIFS('GWP &amp; Emission Factors '!$F$154:$F$242,'GWP &amp; Emission Factors '!$E$154:$E$242,$U$13)+SUMIFS($V$15:$V$74,$D$15:$D$74,$D42)*SUMIFS('GWP &amp; Emission Factors '!$F$154:$F$242,'GWP &amp; Emission Factors '!$E$154:$E$242,$V$13)+SUMIFS($W$15:$W$74,$D$15:$D$74,$D42)*SUMIFS('GWP &amp; Emission Factors '!$F$154:$F$242,'GWP &amp; Emission Factors '!$E$154:$E$242,$W$13)+SUMIFS($X$15:$X$74,$D$15:$D$74,$D42)*SUMIFS('GWP &amp; Emission Factors '!$F$154:$F$242,'GWP &amp; Emission Factors '!$E$154:$E$242,$X$13)+SUMIFS($Y$15:$Y$74,$D$15:$D$74,$D42)*SUMIFS('GWP &amp; Emission Factors '!$F$154:$F$242,'GWP &amp; Emission Factors '!$E$154:$E$242,$Y$13)+SUMIFS($Z$15:$Z$74,$D$15:$D$74,$D42)*SUMIFS('GWP &amp; Emission Factors '!$F$154:$F$242,'GWP &amp; Emission Factors '!$E$154:$E$242,$Z$13)+SUMIFS($AA$15:$AA$74,$D$15:$D$74,$D42)*SUMIFS('GWP &amp; Emission Factors '!$F$154:$F$242,'GWP &amp; Emission Factors '!$E$154:$E$242,$AA$13)+SUMIFS($AB$15:$AB$74,$D$15:$D$74,$D42)*SUMIFS('GWP &amp; Emission Factors '!$F$154:$F$242,'GWP &amp; Emission Factors '!$E$154:$E$242,$AB$13)/1000+SUMIFS($AC$15:$AC$74,$D$15:$D$74,$D42)*SUMIFS('GWP &amp; Emission Factors '!$F$154:$F$242,'GWP &amp; Emission Factors '!$E$154:$E$242,$AC$13))/1000</f>
        <v>0</v>
      </c>
    </row>
    <row r="43" spans="4:30" x14ac:dyDescent="0.25">
      <c r="D43" s="461" t="str">
        <f>'Project Emission Distribution'!D53</f>
        <v>AN29</v>
      </c>
      <c r="E43" s="241"/>
      <c r="F43" s="241"/>
      <c r="G43" s="241"/>
      <c r="H43" s="241"/>
      <c r="I43" s="241"/>
      <c r="J43" s="241"/>
      <c r="K43" s="241"/>
      <c r="L43" s="241"/>
      <c r="M43" s="241"/>
      <c r="N43" s="241"/>
      <c r="O43" s="241"/>
      <c r="P43" s="241"/>
      <c r="Q43" s="241"/>
      <c r="R43" s="241"/>
      <c r="S43" s="241"/>
      <c r="T43" s="241"/>
      <c r="U43" s="241"/>
      <c r="V43" s="241"/>
      <c r="W43" s="241"/>
      <c r="X43" s="241"/>
      <c r="Y43" s="241"/>
      <c r="Z43" s="241"/>
      <c r="AA43" s="241"/>
      <c r="AB43" s="241"/>
      <c r="AC43" s="241"/>
      <c r="AD43" s="711">
        <f>(SUMIFS($E$15:$E$74,$D$15:$D$74,$D43)*SUMIFS('GWP &amp; Emission Factors '!$F$154:$F$242,'GWP &amp; Emission Factors '!$E$154:$E$242,$E$13)+SUMIFS($F$15:$F$74,$D$15:$D$74,$D43)*SUMIFS('GWP &amp; Emission Factors '!$F$154:$F$242,'GWP &amp; Emission Factors '!$E$154:$E$242,$F$13)+SUMIFS($G$15:$G$74,$D$15:$D$74,$D43)*SUMIFS('GWP &amp; Emission Factors '!$F$154:$F$242,'GWP &amp; Emission Factors '!$E$154:$E$242,$G$13)+SUMIFS($H$15:$H$74,$D$15:$D$74,$D43)*SUMIFS('GWP &amp; Emission Factors '!$F$154:$F$242,'GWP &amp; Emission Factors '!$E$154:$E$242,$H$13)+SUMIFS($I$15:$I$74,$D$15:$D$74,$D43)*SUMIFS('GWP &amp; Emission Factors '!$F$154:$F$242,'GWP &amp; Emission Factors '!$E$154:$E$242,$I$13)+SUMIFS($J$15:$J$74,$D$15:$D$74,$D43)*SUMIFS('GWP &amp; Emission Factors '!$F$154:$F$242,'GWP &amp; Emission Factors '!$E$154:$E$242,$J$13)+SUMIFS($K$15:$K$74,$D$15:$D$74,$D43)*SUMIFS('GWP &amp; Emission Factors '!$F$154:$F$242,'GWP &amp; Emission Factors '!$E$154:$E$242,$K$13)+SUMIFS($L$15:$L$74,$D$15:$D$74,$D43)*SUMIFS('GWP &amp; Emission Factors '!$F$154:$F$242,'GWP &amp; Emission Factors '!$E$154:$E$242,$L$13)+SUMIFS($M$15:$M$74,$D$15:$D$74,$D43)*SUMIFS('GWP &amp; Emission Factors '!$F$154:$F$242,'GWP &amp; Emission Factors '!$E$154:$E$242,$M$13)+SUMIFS($N$15:$N$74,$D$15:$D$74,$D43)*SUMIFS('GWP &amp; Emission Factors '!$F$154:$F$242,'GWP &amp; Emission Factors '!$E$154:$E$242,$N$13)+SUMIFS($O$15:$O$74,$D$15:$D$74,$D43)*SUMIFS('GWP &amp; Emission Factors '!$F$154:$F$242,'GWP &amp; Emission Factors '!$E$154:$E$242,$O$13)+SUMIFS($P$15:$P$74,$D$15:$D$74,$D43)*SUMIFS('GWP &amp; Emission Factors '!$F$154:$F$242,'GWP &amp; Emission Factors '!$E$154:$E$242,$P$13)+SUMIFS($Q$15:$Q$74,$D$15:$D$74,$D43)*SUMIFS('GWP &amp; Emission Factors '!$F$154:$F$242,'GWP &amp; Emission Factors '!$E$154:$E$242,$Q$13)+SUMIFS($R$15:$R$74,$D$15:$D$74,$D43)*SUMIFS('GWP &amp; Emission Factors '!$F$154:$F$242,'GWP &amp; Emission Factors '!$E$154:$E$242,$R$13)+SUMIFS($S$15:$S$74,$D$15:$D$74,$D43)*SUMIFS('GWP &amp; Emission Factors '!$F$154:$F$242,'GWP &amp; Emission Factors '!$E$154:$E$242,$S$13)+SUMIFS($T$15:$T$74,$D$15:$D$74,$D43)*SUMIFS('GWP &amp; Emission Factors '!$F$154:$F$242,'GWP &amp; Emission Factors '!$E$154:$E$242,$T$13)+SUMIFS($U$15:$U$74,$D$15:$D$74,$D43)*SUMIFS('GWP &amp; Emission Factors '!$F$154:$F$242,'GWP &amp; Emission Factors '!$E$154:$E$242,$U$13)+SUMIFS($V$15:$V$74,$D$15:$D$74,$D43)*SUMIFS('GWP &amp; Emission Factors '!$F$154:$F$242,'GWP &amp; Emission Factors '!$E$154:$E$242,$V$13)+SUMIFS($W$15:$W$74,$D$15:$D$74,$D43)*SUMIFS('GWP &amp; Emission Factors '!$F$154:$F$242,'GWP &amp; Emission Factors '!$E$154:$E$242,$W$13)+SUMIFS($X$15:$X$74,$D$15:$D$74,$D43)*SUMIFS('GWP &amp; Emission Factors '!$F$154:$F$242,'GWP &amp; Emission Factors '!$E$154:$E$242,$X$13)+SUMIFS($Y$15:$Y$74,$D$15:$D$74,$D43)*SUMIFS('GWP &amp; Emission Factors '!$F$154:$F$242,'GWP &amp; Emission Factors '!$E$154:$E$242,$Y$13)+SUMIFS($Z$15:$Z$74,$D$15:$D$74,$D43)*SUMIFS('GWP &amp; Emission Factors '!$F$154:$F$242,'GWP &amp; Emission Factors '!$E$154:$E$242,$Z$13)+SUMIFS($AA$15:$AA$74,$D$15:$D$74,$D43)*SUMIFS('GWP &amp; Emission Factors '!$F$154:$F$242,'GWP &amp; Emission Factors '!$E$154:$E$242,$AA$13)+SUMIFS($AB$15:$AB$74,$D$15:$D$74,$D43)*SUMIFS('GWP &amp; Emission Factors '!$F$154:$F$242,'GWP &amp; Emission Factors '!$E$154:$E$242,$AB$13)/1000+SUMIFS($AC$15:$AC$74,$D$15:$D$74,$D43)*SUMIFS('GWP &amp; Emission Factors '!$F$154:$F$242,'GWP &amp; Emission Factors '!$E$154:$E$242,$AC$13))/1000</f>
        <v>0</v>
      </c>
    </row>
    <row r="44" spans="4:30" x14ac:dyDescent="0.25">
      <c r="D44" s="461" t="str">
        <f>'Project Emission Distribution'!D54</f>
        <v>AN30</v>
      </c>
      <c r="E44" s="466"/>
      <c r="F44" s="466"/>
      <c r="G44" s="466"/>
      <c r="H44" s="466"/>
      <c r="I44" s="466"/>
      <c r="J44" s="710"/>
      <c r="K44" s="710"/>
      <c r="L44" s="710"/>
      <c r="M44" s="710"/>
      <c r="N44" s="710"/>
      <c r="O44" s="710"/>
      <c r="P44" s="710"/>
      <c r="Q44" s="710"/>
      <c r="R44" s="466"/>
      <c r="S44" s="466"/>
      <c r="T44" s="466"/>
      <c r="U44" s="466"/>
      <c r="V44" s="466"/>
      <c r="W44" s="710"/>
      <c r="X44" s="710"/>
      <c r="Y44" s="710"/>
      <c r="Z44" s="710"/>
      <c r="AA44" s="710"/>
      <c r="AB44" s="710"/>
      <c r="AC44" s="710"/>
      <c r="AD44" s="711">
        <f>(SUMIFS($E$15:$E$74,$D$15:$D$74,$D44)*SUMIFS('GWP &amp; Emission Factors '!$F$154:$F$242,'GWP &amp; Emission Factors '!$E$154:$E$242,$E$13)+SUMIFS($F$15:$F$74,$D$15:$D$74,$D44)*SUMIFS('GWP &amp; Emission Factors '!$F$154:$F$242,'GWP &amp; Emission Factors '!$E$154:$E$242,$F$13)+SUMIFS($G$15:$G$74,$D$15:$D$74,$D44)*SUMIFS('GWP &amp; Emission Factors '!$F$154:$F$242,'GWP &amp; Emission Factors '!$E$154:$E$242,$G$13)+SUMIFS($H$15:$H$74,$D$15:$D$74,$D44)*SUMIFS('GWP &amp; Emission Factors '!$F$154:$F$242,'GWP &amp; Emission Factors '!$E$154:$E$242,$H$13)+SUMIFS($I$15:$I$74,$D$15:$D$74,$D44)*SUMIFS('GWP &amp; Emission Factors '!$F$154:$F$242,'GWP &amp; Emission Factors '!$E$154:$E$242,$I$13)+SUMIFS($J$15:$J$74,$D$15:$D$74,$D44)*SUMIFS('GWP &amp; Emission Factors '!$F$154:$F$242,'GWP &amp; Emission Factors '!$E$154:$E$242,$J$13)+SUMIFS($K$15:$K$74,$D$15:$D$74,$D44)*SUMIFS('GWP &amp; Emission Factors '!$F$154:$F$242,'GWP &amp; Emission Factors '!$E$154:$E$242,$K$13)+SUMIFS($L$15:$L$74,$D$15:$D$74,$D44)*SUMIFS('GWP &amp; Emission Factors '!$F$154:$F$242,'GWP &amp; Emission Factors '!$E$154:$E$242,$L$13)+SUMIFS($M$15:$M$74,$D$15:$D$74,$D44)*SUMIFS('GWP &amp; Emission Factors '!$F$154:$F$242,'GWP &amp; Emission Factors '!$E$154:$E$242,$M$13)+SUMIFS($N$15:$N$74,$D$15:$D$74,$D44)*SUMIFS('GWP &amp; Emission Factors '!$F$154:$F$242,'GWP &amp; Emission Factors '!$E$154:$E$242,$N$13)+SUMIFS($O$15:$O$74,$D$15:$D$74,$D44)*SUMIFS('GWP &amp; Emission Factors '!$F$154:$F$242,'GWP &amp; Emission Factors '!$E$154:$E$242,$O$13)+SUMIFS($P$15:$P$74,$D$15:$D$74,$D44)*SUMIFS('GWP &amp; Emission Factors '!$F$154:$F$242,'GWP &amp; Emission Factors '!$E$154:$E$242,$P$13)+SUMIFS($Q$15:$Q$74,$D$15:$D$74,$D44)*SUMIFS('GWP &amp; Emission Factors '!$F$154:$F$242,'GWP &amp; Emission Factors '!$E$154:$E$242,$Q$13)+SUMIFS($R$15:$R$74,$D$15:$D$74,$D44)*SUMIFS('GWP &amp; Emission Factors '!$F$154:$F$242,'GWP &amp; Emission Factors '!$E$154:$E$242,$R$13)+SUMIFS($S$15:$S$74,$D$15:$D$74,$D44)*SUMIFS('GWP &amp; Emission Factors '!$F$154:$F$242,'GWP &amp; Emission Factors '!$E$154:$E$242,$S$13)+SUMIFS($T$15:$T$74,$D$15:$D$74,$D44)*SUMIFS('GWP &amp; Emission Factors '!$F$154:$F$242,'GWP &amp; Emission Factors '!$E$154:$E$242,$T$13)+SUMIFS($U$15:$U$74,$D$15:$D$74,$D44)*SUMIFS('GWP &amp; Emission Factors '!$F$154:$F$242,'GWP &amp; Emission Factors '!$E$154:$E$242,$U$13)+SUMIFS($V$15:$V$74,$D$15:$D$74,$D44)*SUMIFS('GWP &amp; Emission Factors '!$F$154:$F$242,'GWP &amp; Emission Factors '!$E$154:$E$242,$V$13)+SUMIFS($W$15:$W$74,$D$15:$D$74,$D44)*SUMIFS('GWP &amp; Emission Factors '!$F$154:$F$242,'GWP &amp; Emission Factors '!$E$154:$E$242,$W$13)+SUMIFS($X$15:$X$74,$D$15:$D$74,$D44)*SUMIFS('GWP &amp; Emission Factors '!$F$154:$F$242,'GWP &amp; Emission Factors '!$E$154:$E$242,$X$13)+SUMIFS($Y$15:$Y$74,$D$15:$D$74,$D44)*SUMIFS('GWP &amp; Emission Factors '!$F$154:$F$242,'GWP &amp; Emission Factors '!$E$154:$E$242,$Y$13)+SUMIFS($Z$15:$Z$74,$D$15:$D$74,$D44)*SUMIFS('GWP &amp; Emission Factors '!$F$154:$F$242,'GWP &amp; Emission Factors '!$E$154:$E$242,$Z$13)+SUMIFS($AA$15:$AA$74,$D$15:$D$74,$D44)*SUMIFS('GWP &amp; Emission Factors '!$F$154:$F$242,'GWP &amp; Emission Factors '!$E$154:$E$242,$AA$13)+SUMIFS($AB$15:$AB$74,$D$15:$D$74,$D44)*SUMIFS('GWP &amp; Emission Factors '!$F$154:$F$242,'GWP &amp; Emission Factors '!$E$154:$E$242,$AB$13)/1000+SUMIFS($AC$15:$AC$74,$D$15:$D$74,$D44)*SUMIFS('GWP &amp; Emission Factors '!$F$154:$F$242,'GWP &amp; Emission Factors '!$E$154:$E$242,$AC$13))/1000</f>
        <v>0</v>
      </c>
    </row>
    <row r="45" spans="4:30" x14ac:dyDescent="0.25">
      <c r="D45" s="461" t="str">
        <f>'Project Emission Distribution'!D55</f>
        <v>AN31</v>
      </c>
      <c r="E45" s="241"/>
      <c r="F45" s="241"/>
      <c r="G45" s="241"/>
      <c r="H45" s="241"/>
      <c r="I45" s="241"/>
      <c r="J45" s="241"/>
      <c r="K45" s="241"/>
      <c r="L45" s="241"/>
      <c r="M45" s="241"/>
      <c r="N45" s="241"/>
      <c r="O45" s="241"/>
      <c r="P45" s="241"/>
      <c r="Q45" s="241"/>
      <c r="R45" s="241"/>
      <c r="S45" s="241"/>
      <c r="T45" s="241"/>
      <c r="U45" s="241"/>
      <c r="V45" s="241"/>
      <c r="W45" s="241"/>
      <c r="X45" s="241"/>
      <c r="Y45" s="241"/>
      <c r="Z45" s="241"/>
      <c r="AA45" s="241"/>
      <c r="AB45" s="241"/>
      <c r="AC45" s="241"/>
      <c r="AD45" s="711">
        <f>(SUMIFS($E$15:$E$74,$D$15:$D$74,$D45)*SUMIFS('GWP &amp; Emission Factors '!$F$154:$F$242,'GWP &amp; Emission Factors '!$E$154:$E$242,$E$13)+SUMIFS($F$15:$F$74,$D$15:$D$74,$D45)*SUMIFS('GWP &amp; Emission Factors '!$F$154:$F$242,'GWP &amp; Emission Factors '!$E$154:$E$242,$F$13)+SUMIFS($G$15:$G$74,$D$15:$D$74,$D45)*SUMIFS('GWP &amp; Emission Factors '!$F$154:$F$242,'GWP &amp; Emission Factors '!$E$154:$E$242,$G$13)+SUMIFS($H$15:$H$74,$D$15:$D$74,$D45)*SUMIFS('GWP &amp; Emission Factors '!$F$154:$F$242,'GWP &amp; Emission Factors '!$E$154:$E$242,$H$13)+SUMIFS($I$15:$I$74,$D$15:$D$74,$D45)*SUMIFS('GWP &amp; Emission Factors '!$F$154:$F$242,'GWP &amp; Emission Factors '!$E$154:$E$242,$I$13)+SUMIFS($J$15:$J$74,$D$15:$D$74,$D45)*SUMIFS('GWP &amp; Emission Factors '!$F$154:$F$242,'GWP &amp; Emission Factors '!$E$154:$E$242,$J$13)+SUMIFS($K$15:$K$74,$D$15:$D$74,$D45)*SUMIFS('GWP &amp; Emission Factors '!$F$154:$F$242,'GWP &amp; Emission Factors '!$E$154:$E$242,$K$13)+SUMIFS($L$15:$L$74,$D$15:$D$74,$D45)*SUMIFS('GWP &amp; Emission Factors '!$F$154:$F$242,'GWP &amp; Emission Factors '!$E$154:$E$242,$L$13)+SUMIFS($M$15:$M$74,$D$15:$D$74,$D45)*SUMIFS('GWP &amp; Emission Factors '!$F$154:$F$242,'GWP &amp; Emission Factors '!$E$154:$E$242,$M$13)+SUMIFS($N$15:$N$74,$D$15:$D$74,$D45)*SUMIFS('GWP &amp; Emission Factors '!$F$154:$F$242,'GWP &amp; Emission Factors '!$E$154:$E$242,$N$13)+SUMIFS($O$15:$O$74,$D$15:$D$74,$D45)*SUMIFS('GWP &amp; Emission Factors '!$F$154:$F$242,'GWP &amp; Emission Factors '!$E$154:$E$242,$O$13)+SUMIFS($P$15:$P$74,$D$15:$D$74,$D45)*SUMIFS('GWP &amp; Emission Factors '!$F$154:$F$242,'GWP &amp; Emission Factors '!$E$154:$E$242,$P$13)+SUMIFS($Q$15:$Q$74,$D$15:$D$74,$D45)*SUMIFS('GWP &amp; Emission Factors '!$F$154:$F$242,'GWP &amp; Emission Factors '!$E$154:$E$242,$Q$13)+SUMIFS($R$15:$R$74,$D$15:$D$74,$D45)*SUMIFS('GWP &amp; Emission Factors '!$F$154:$F$242,'GWP &amp; Emission Factors '!$E$154:$E$242,$R$13)+SUMIFS($S$15:$S$74,$D$15:$D$74,$D45)*SUMIFS('GWP &amp; Emission Factors '!$F$154:$F$242,'GWP &amp; Emission Factors '!$E$154:$E$242,$S$13)+SUMIFS($T$15:$T$74,$D$15:$D$74,$D45)*SUMIFS('GWP &amp; Emission Factors '!$F$154:$F$242,'GWP &amp; Emission Factors '!$E$154:$E$242,$T$13)+SUMIFS($U$15:$U$74,$D$15:$D$74,$D45)*SUMIFS('GWP &amp; Emission Factors '!$F$154:$F$242,'GWP &amp; Emission Factors '!$E$154:$E$242,$U$13)+SUMIFS($V$15:$V$74,$D$15:$D$74,$D45)*SUMIFS('GWP &amp; Emission Factors '!$F$154:$F$242,'GWP &amp; Emission Factors '!$E$154:$E$242,$V$13)+SUMIFS($W$15:$W$74,$D$15:$D$74,$D45)*SUMIFS('GWP &amp; Emission Factors '!$F$154:$F$242,'GWP &amp; Emission Factors '!$E$154:$E$242,$W$13)+SUMIFS($X$15:$X$74,$D$15:$D$74,$D45)*SUMIFS('GWP &amp; Emission Factors '!$F$154:$F$242,'GWP &amp; Emission Factors '!$E$154:$E$242,$X$13)+SUMIFS($Y$15:$Y$74,$D$15:$D$74,$D45)*SUMIFS('GWP &amp; Emission Factors '!$F$154:$F$242,'GWP &amp; Emission Factors '!$E$154:$E$242,$Y$13)+SUMIFS($Z$15:$Z$74,$D$15:$D$74,$D45)*SUMIFS('GWP &amp; Emission Factors '!$F$154:$F$242,'GWP &amp; Emission Factors '!$E$154:$E$242,$Z$13)+SUMIFS($AA$15:$AA$74,$D$15:$D$74,$D45)*SUMIFS('GWP &amp; Emission Factors '!$F$154:$F$242,'GWP &amp; Emission Factors '!$E$154:$E$242,$AA$13)+SUMIFS($AB$15:$AB$74,$D$15:$D$74,$D45)*SUMIFS('GWP &amp; Emission Factors '!$F$154:$F$242,'GWP &amp; Emission Factors '!$E$154:$E$242,$AB$13)/1000+SUMIFS($AC$15:$AC$74,$D$15:$D$74,$D45)*SUMIFS('GWP &amp; Emission Factors '!$F$154:$F$242,'GWP &amp; Emission Factors '!$E$154:$E$242,$AC$13))/1000</f>
        <v>0</v>
      </c>
    </row>
    <row r="46" spans="4:30" x14ac:dyDescent="0.25">
      <c r="D46" s="461" t="str">
        <f>'Project Emission Distribution'!D56</f>
        <v>AN32</v>
      </c>
      <c r="E46" s="710"/>
      <c r="F46" s="710"/>
      <c r="G46" s="710"/>
      <c r="H46" s="710"/>
      <c r="I46" s="710"/>
      <c r="J46" s="710"/>
      <c r="K46" s="710"/>
      <c r="L46" s="710"/>
      <c r="M46" s="710"/>
      <c r="N46" s="710"/>
      <c r="O46" s="710"/>
      <c r="P46" s="710"/>
      <c r="Q46" s="710"/>
      <c r="R46" s="710"/>
      <c r="S46" s="710"/>
      <c r="T46" s="710"/>
      <c r="U46" s="710"/>
      <c r="V46" s="710"/>
      <c r="W46" s="710"/>
      <c r="X46" s="710"/>
      <c r="Y46" s="710"/>
      <c r="Z46" s="710"/>
      <c r="AA46" s="710"/>
      <c r="AB46" s="710"/>
      <c r="AC46" s="710"/>
      <c r="AD46" s="711">
        <f>(SUMIFS($E$15:$E$74,$D$15:$D$74,$D46)*SUMIFS('GWP &amp; Emission Factors '!$F$154:$F$242,'GWP &amp; Emission Factors '!$E$154:$E$242,$E$13)+SUMIFS($F$15:$F$74,$D$15:$D$74,$D46)*SUMIFS('GWP &amp; Emission Factors '!$F$154:$F$242,'GWP &amp; Emission Factors '!$E$154:$E$242,$F$13)+SUMIFS($G$15:$G$74,$D$15:$D$74,$D46)*SUMIFS('GWP &amp; Emission Factors '!$F$154:$F$242,'GWP &amp; Emission Factors '!$E$154:$E$242,$G$13)+SUMIFS($H$15:$H$74,$D$15:$D$74,$D46)*SUMIFS('GWP &amp; Emission Factors '!$F$154:$F$242,'GWP &amp; Emission Factors '!$E$154:$E$242,$H$13)+SUMIFS($I$15:$I$74,$D$15:$D$74,$D46)*SUMIFS('GWP &amp; Emission Factors '!$F$154:$F$242,'GWP &amp; Emission Factors '!$E$154:$E$242,$I$13)+SUMIFS($J$15:$J$74,$D$15:$D$74,$D46)*SUMIFS('GWP &amp; Emission Factors '!$F$154:$F$242,'GWP &amp; Emission Factors '!$E$154:$E$242,$J$13)+SUMIFS($K$15:$K$74,$D$15:$D$74,$D46)*SUMIFS('GWP &amp; Emission Factors '!$F$154:$F$242,'GWP &amp; Emission Factors '!$E$154:$E$242,$K$13)+SUMIFS($L$15:$L$74,$D$15:$D$74,$D46)*SUMIFS('GWP &amp; Emission Factors '!$F$154:$F$242,'GWP &amp; Emission Factors '!$E$154:$E$242,$L$13)+SUMIFS($M$15:$M$74,$D$15:$D$74,$D46)*SUMIFS('GWP &amp; Emission Factors '!$F$154:$F$242,'GWP &amp; Emission Factors '!$E$154:$E$242,$M$13)+SUMIFS($N$15:$N$74,$D$15:$D$74,$D46)*SUMIFS('GWP &amp; Emission Factors '!$F$154:$F$242,'GWP &amp; Emission Factors '!$E$154:$E$242,$N$13)+SUMIFS($O$15:$O$74,$D$15:$D$74,$D46)*SUMIFS('GWP &amp; Emission Factors '!$F$154:$F$242,'GWP &amp; Emission Factors '!$E$154:$E$242,$O$13)+SUMIFS($P$15:$P$74,$D$15:$D$74,$D46)*SUMIFS('GWP &amp; Emission Factors '!$F$154:$F$242,'GWP &amp; Emission Factors '!$E$154:$E$242,$P$13)+SUMIFS($Q$15:$Q$74,$D$15:$D$74,$D46)*SUMIFS('GWP &amp; Emission Factors '!$F$154:$F$242,'GWP &amp; Emission Factors '!$E$154:$E$242,$Q$13)+SUMIFS($R$15:$R$74,$D$15:$D$74,$D46)*SUMIFS('GWP &amp; Emission Factors '!$F$154:$F$242,'GWP &amp; Emission Factors '!$E$154:$E$242,$R$13)+SUMIFS($S$15:$S$74,$D$15:$D$74,$D46)*SUMIFS('GWP &amp; Emission Factors '!$F$154:$F$242,'GWP &amp; Emission Factors '!$E$154:$E$242,$S$13)+SUMIFS($T$15:$T$74,$D$15:$D$74,$D46)*SUMIFS('GWP &amp; Emission Factors '!$F$154:$F$242,'GWP &amp; Emission Factors '!$E$154:$E$242,$T$13)+SUMIFS($U$15:$U$74,$D$15:$D$74,$D46)*SUMIFS('GWP &amp; Emission Factors '!$F$154:$F$242,'GWP &amp; Emission Factors '!$E$154:$E$242,$U$13)+SUMIFS($V$15:$V$74,$D$15:$D$74,$D46)*SUMIFS('GWP &amp; Emission Factors '!$F$154:$F$242,'GWP &amp; Emission Factors '!$E$154:$E$242,$V$13)+SUMIFS($W$15:$W$74,$D$15:$D$74,$D46)*SUMIFS('GWP &amp; Emission Factors '!$F$154:$F$242,'GWP &amp; Emission Factors '!$E$154:$E$242,$W$13)+SUMIFS($X$15:$X$74,$D$15:$D$74,$D46)*SUMIFS('GWP &amp; Emission Factors '!$F$154:$F$242,'GWP &amp; Emission Factors '!$E$154:$E$242,$X$13)+SUMIFS($Y$15:$Y$74,$D$15:$D$74,$D46)*SUMIFS('GWP &amp; Emission Factors '!$F$154:$F$242,'GWP &amp; Emission Factors '!$E$154:$E$242,$Y$13)+SUMIFS($Z$15:$Z$74,$D$15:$D$74,$D46)*SUMIFS('GWP &amp; Emission Factors '!$F$154:$F$242,'GWP &amp; Emission Factors '!$E$154:$E$242,$Z$13)+SUMIFS($AA$15:$AA$74,$D$15:$D$74,$D46)*SUMIFS('GWP &amp; Emission Factors '!$F$154:$F$242,'GWP &amp; Emission Factors '!$E$154:$E$242,$AA$13)+SUMIFS($AB$15:$AB$74,$D$15:$D$74,$D46)*SUMIFS('GWP &amp; Emission Factors '!$F$154:$F$242,'GWP &amp; Emission Factors '!$E$154:$E$242,$AB$13)/1000+SUMIFS($AC$15:$AC$74,$D$15:$D$74,$D46)*SUMIFS('GWP &amp; Emission Factors '!$F$154:$F$242,'GWP &amp; Emission Factors '!$E$154:$E$242,$AC$13))/1000</f>
        <v>0</v>
      </c>
    </row>
    <row r="47" spans="4:30" x14ac:dyDescent="0.25">
      <c r="D47" s="461" t="str">
        <f>'Project Emission Distribution'!D57</f>
        <v>AN33</v>
      </c>
      <c r="E47" s="241"/>
      <c r="F47" s="241"/>
      <c r="G47" s="241"/>
      <c r="H47" s="241"/>
      <c r="I47" s="241"/>
      <c r="J47" s="241"/>
      <c r="K47" s="241"/>
      <c r="L47" s="241"/>
      <c r="M47" s="241"/>
      <c r="N47" s="241"/>
      <c r="O47" s="241"/>
      <c r="P47" s="241"/>
      <c r="Q47" s="241"/>
      <c r="R47" s="241"/>
      <c r="S47" s="241"/>
      <c r="T47" s="241"/>
      <c r="U47" s="241"/>
      <c r="V47" s="241"/>
      <c r="W47" s="241"/>
      <c r="X47" s="241"/>
      <c r="Y47" s="241"/>
      <c r="Z47" s="241"/>
      <c r="AA47" s="241"/>
      <c r="AB47" s="241"/>
      <c r="AC47" s="241"/>
      <c r="AD47" s="711">
        <f>(SUMIFS($E$15:$E$74,$D$15:$D$74,$D47)*SUMIFS('GWP &amp; Emission Factors '!$F$154:$F$242,'GWP &amp; Emission Factors '!$E$154:$E$242,$E$13)+SUMIFS($F$15:$F$74,$D$15:$D$74,$D47)*SUMIFS('GWP &amp; Emission Factors '!$F$154:$F$242,'GWP &amp; Emission Factors '!$E$154:$E$242,$F$13)+SUMIFS($G$15:$G$74,$D$15:$D$74,$D47)*SUMIFS('GWP &amp; Emission Factors '!$F$154:$F$242,'GWP &amp; Emission Factors '!$E$154:$E$242,$G$13)+SUMIFS($H$15:$H$74,$D$15:$D$74,$D47)*SUMIFS('GWP &amp; Emission Factors '!$F$154:$F$242,'GWP &amp; Emission Factors '!$E$154:$E$242,$H$13)+SUMIFS($I$15:$I$74,$D$15:$D$74,$D47)*SUMIFS('GWP &amp; Emission Factors '!$F$154:$F$242,'GWP &amp; Emission Factors '!$E$154:$E$242,$I$13)+SUMIFS($J$15:$J$74,$D$15:$D$74,$D47)*SUMIFS('GWP &amp; Emission Factors '!$F$154:$F$242,'GWP &amp; Emission Factors '!$E$154:$E$242,$J$13)+SUMIFS($K$15:$K$74,$D$15:$D$74,$D47)*SUMIFS('GWP &amp; Emission Factors '!$F$154:$F$242,'GWP &amp; Emission Factors '!$E$154:$E$242,$K$13)+SUMIFS($L$15:$L$74,$D$15:$D$74,$D47)*SUMIFS('GWP &amp; Emission Factors '!$F$154:$F$242,'GWP &amp; Emission Factors '!$E$154:$E$242,$L$13)+SUMIFS($M$15:$M$74,$D$15:$D$74,$D47)*SUMIFS('GWP &amp; Emission Factors '!$F$154:$F$242,'GWP &amp; Emission Factors '!$E$154:$E$242,$M$13)+SUMIFS($N$15:$N$74,$D$15:$D$74,$D47)*SUMIFS('GWP &amp; Emission Factors '!$F$154:$F$242,'GWP &amp; Emission Factors '!$E$154:$E$242,$N$13)+SUMIFS($O$15:$O$74,$D$15:$D$74,$D47)*SUMIFS('GWP &amp; Emission Factors '!$F$154:$F$242,'GWP &amp; Emission Factors '!$E$154:$E$242,$O$13)+SUMIFS($P$15:$P$74,$D$15:$D$74,$D47)*SUMIFS('GWP &amp; Emission Factors '!$F$154:$F$242,'GWP &amp; Emission Factors '!$E$154:$E$242,$P$13)+SUMIFS($Q$15:$Q$74,$D$15:$D$74,$D47)*SUMIFS('GWP &amp; Emission Factors '!$F$154:$F$242,'GWP &amp; Emission Factors '!$E$154:$E$242,$Q$13)+SUMIFS($R$15:$R$74,$D$15:$D$74,$D47)*SUMIFS('GWP &amp; Emission Factors '!$F$154:$F$242,'GWP &amp; Emission Factors '!$E$154:$E$242,$R$13)+SUMIFS($S$15:$S$74,$D$15:$D$74,$D47)*SUMIFS('GWP &amp; Emission Factors '!$F$154:$F$242,'GWP &amp; Emission Factors '!$E$154:$E$242,$S$13)+SUMIFS($T$15:$T$74,$D$15:$D$74,$D47)*SUMIFS('GWP &amp; Emission Factors '!$F$154:$F$242,'GWP &amp; Emission Factors '!$E$154:$E$242,$T$13)+SUMIFS($U$15:$U$74,$D$15:$D$74,$D47)*SUMIFS('GWP &amp; Emission Factors '!$F$154:$F$242,'GWP &amp; Emission Factors '!$E$154:$E$242,$U$13)+SUMIFS($V$15:$V$74,$D$15:$D$74,$D47)*SUMIFS('GWP &amp; Emission Factors '!$F$154:$F$242,'GWP &amp; Emission Factors '!$E$154:$E$242,$V$13)+SUMIFS($W$15:$W$74,$D$15:$D$74,$D47)*SUMIFS('GWP &amp; Emission Factors '!$F$154:$F$242,'GWP &amp; Emission Factors '!$E$154:$E$242,$W$13)+SUMIFS($X$15:$X$74,$D$15:$D$74,$D47)*SUMIFS('GWP &amp; Emission Factors '!$F$154:$F$242,'GWP &amp; Emission Factors '!$E$154:$E$242,$X$13)+SUMIFS($Y$15:$Y$74,$D$15:$D$74,$D47)*SUMIFS('GWP &amp; Emission Factors '!$F$154:$F$242,'GWP &amp; Emission Factors '!$E$154:$E$242,$Y$13)+SUMIFS($Z$15:$Z$74,$D$15:$D$74,$D47)*SUMIFS('GWP &amp; Emission Factors '!$F$154:$F$242,'GWP &amp; Emission Factors '!$E$154:$E$242,$Z$13)+SUMIFS($AA$15:$AA$74,$D$15:$D$74,$D47)*SUMIFS('GWP &amp; Emission Factors '!$F$154:$F$242,'GWP &amp; Emission Factors '!$E$154:$E$242,$AA$13)+SUMIFS($AB$15:$AB$74,$D$15:$D$74,$D47)*SUMIFS('GWP &amp; Emission Factors '!$F$154:$F$242,'GWP &amp; Emission Factors '!$E$154:$E$242,$AB$13)/1000+SUMIFS($AC$15:$AC$74,$D$15:$D$74,$D47)*SUMIFS('GWP &amp; Emission Factors '!$F$154:$F$242,'GWP &amp; Emission Factors '!$E$154:$E$242,$AC$13))/1000</f>
        <v>0</v>
      </c>
    </row>
    <row r="48" spans="4:30" x14ac:dyDescent="0.25">
      <c r="D48" s="461" t="str">
        <f>'Project Emission Distribution'!D58</f>
        <v>AN34</v>
      </c>
      <c r="E48" s="710"/>
      <c r="F48" s="710"/>
      <c r="G48" s="710"/>
      <c r="H48" s="710"/>
      <c r="I48" s="710"/>
      <c r="J48" s="466"/>
      <c r="K48" s="466"/>
      <c r="L48" s="710"/>
      <c r="M48" s="710"/>
      <c r="N48" s="710"/>
      <c r="O48" s="710"/>
      <c r="P48" s="710"/>
      <c r="Q48" s="710"/>
      <c r="R48" s="710"/>
      <c r="S48" s="710"/>
      <c r="T48" s="710"/>
      <c r="U48" s="710"/>
      <c r="V48" s="710"/>
      <c r="W48" s="466"/>
      <c r="X48" s="466"/>
      <c r="Y48" s="710"/>
      <c r="Z48" s="710"/>
      <c r="AA48" s="710"/>
      <c r="AB48" s="710"/>
      <c r="AC48" s="710"/>
      <c r="AD48" s="711">
        <f>(SUMIFS($E$15:$E$74,$D$15:$D$74,$D48)*SUMIFS('GWP &amp; Emission Factors '!$F$154:$F$242,'GWP &amp; Emission Factors '!$E$154:$E$242,$E$13)+SUMIFS($F$15:$F$74,$D$15:$D$74,$D48)*SUMIFS('GWP &amp; Emission Factors '!$F$154:$F$242,'GWP &amp; Emission Factors '!$E$154:$E$242,$F$13)+SUMIFS($G$15:$G$74,$D$15:$D$74,$D48)*SUMIFS('GWP &amp; Emission Factors '!$F$154:$F$242,'GWP &amp; Emission Factors '!$E$154:$E$242,$G$13)+SUMIFS($H$15:$H$74,$D$15:$D$74,$D48)*SUMIFS('GWP &amp; Emission Factors '!$F$154:$F$242,'GWP &amp; Emission Factors '!$E$154:$E$242,$H$13)+SUMIFS($I$15:$I$74,$D$15:$D$74,$D48)*SUMIFS('GWP &amp; Emission Factors '!$F$154:$F$242,'GWP &amp; Emission Factors '!$E$154:$E$242,$I$13)+SUMIFS($J$15:$J$74,$D$15:$D$74,$D48)*SUMIFS('GWP &amp; Emission Factors '!$F$154:$F$242,'GWP &amp; Emission Factors '!$E$154:$E$242,$J$13)+SUMIFS($K$15:$K$74,$D$15:$D$74,$D48)*SUMIFS('GWP &amp; Emission Factors '!$F$154:$F$242,'GWP &amp; Emission Factors '!$E$154:$E$242,$K$13)+SUMIFS($L$15:$L$74,$D$15:$D$74,$D48)*SUMIFS('GWP &amp; Emission Factors '!$F$154:$F$242,'GWP &amp; Emission Factors '!$E$154:$E$242,$L$13)+SUMIFS($M$15:$M$74,$D$15:$D$74,$D48)*SUMIFS('GWP &amp; Emission Factors '!$F$154:$F$242,'GWP &amp; Emission Factors '!$E$154:$E$242,$M$13)+SUMIFS($N$15:$N$74,$D$15:$D$74,$D48)*SUMIFS('GWP &amp; Emission Factors '!$F$154:$F$242,'GWP &amp; Emission Factors '!$E$154:$E$242,$N$13)+SUMIFS($O$15:$O$74,$D$15:$D$74,$D48)*SUMIFS('GWP &amp; Emission Factors '!$F$154:$F$242,'GWP &amp; Emission Factors '!$E$154:$E$242,$O$13)+SUMIFS($P$15:$P$74,$D$15:$D$74,$D48)*SUMIFS('GWP &amp; Emission Factors '!$F$154:$F$242,'GWP &amp; Emission Factors '!$E$154:$E$242,$P$13)+SUMIFS($Q$15:$Q$74,$D$15:$D$74,$D48)*SUMIFS('GWP &amp; Emission Factors '!$F$154:$F$242,'GWP &amp; Emission Factors '!$E$154:$E$242,$Q$13)+SUMIFS($R$15:$R$74,$D$15:$D$74,$D48)*SUMIFS('GWP &amp; Emission Factors '!$F$154:$F$242,'GWP &amp; Emission Factors '!$E$154:$E$242,$R$13)+SUMIFS($S$15:$S$74,$D$15:$D$74,$D48)*SUMIFS('GWP &amp; Emission Factors '!$F$154:$F$242,'GWP &amp; Emission Factors '!$E$154:$E$242,$S$13)+SUMIFS($T$15:$T$74,$D$15:$D$74,$D48)*SUMIFS('GWP &amp; Emission Factors '!$F$154:$F$242,'GWP &amp; Emission Factors '!$E$154:$E$242,$T$13)+SUMIFS($U$15:$U$74,$D$15:$D$74,$D48)*SUMIFS('GWP &amp; Emission Factors '!$F$154:$F$242,'GWP &amp; Emission Factors '!$E$154:$E$242,$U$13)+SUMIFS($V$15:$V$74,$D$15:$D$74,$D48)*SUMIFS('GWP &amp; Emission Factors '!$F$154:$F$242,'GWP &amp; Emission Factors '!$E$154:$E$242,$V$13)+SUMIFS($W$15:$W$74,$D$15:$D$74,$D48)*SUMIFS('GWP &amp; Emission Factors '!$F$154:$F$242,'GWP &amp; Emission Factors '!$E$154:$E$242,$W$13)+SUMIFS($X$15:$X$74,$D$15:$D$74,$D48)*SUMIFS('GWP &amp; Emission Factors '!$F$154:$F$242,'GWP &amp; Emission Factors '!$E$154:$E$242,$X$13)+SUMIFS($Y$15:$Y$74,$D$15:$D$74,$D48)*SUMIFS('GWP &amp; Emission Factors '!$F$154:$F$242,'GWP &amp; Emission Factors '!$E$154:$E$242,$Y$13)+SUMIFS($Z$15:$Z$74,$D$15:$D$74,$D48)*SUMIFS('GWP &amp; Emission Factors '!$F$154:$F$242,'GWP &amp; Emission Factors '!$E$154:$E$242,$Z$13)+SUMIFS($AA$15:$AA$74,$D$15:$D$74,$D48)*SUMIFS('GWP &amp; Emission Factors '!$F$154:$F$242,'GWP &amp; Emission Factors '!$E$154:$E$242,$AA$13)+SUMIFS($AB$15:$AB$74,$D$15:$D$74,$D48)*SUMIFS('GWP &amp; Emission Factors '!$F$154:$F$242,'GWP &amp; Emission Factors '!$E$154:$E$242,$AB$13)/1000+SUMIFS($AC$15:$AC$74,$D$15:$D$74,$D48)*SUMIFS('GWP &amp; Emission Factors '!$F$154:$F$242,'GWP &amp; Emission Factors '!$E$154:$E$242,$AC$13))/1000</f>
        <v>0</v>
      </c>
    </row>
    <row r="49" spans="4:30" x14ac:dyDescent="0.25">
      <c r="D49" s="461" t="str">
        <f>'Project Emission Distribution'!D59</f>
        <v>AN35</v>
      </c>
      <c r="E49" s="241"/>
      <c r="F49" s="241"/>
      <c r="G49" s="241"/>
      <c r="H49" s="241"/>
      <c r="I49" s="241"/>
      <c r="J49" s="241"/>
      <c r="K49" s="241"/>
      <c r="L49" s="241"/>
      <c r="M49" s="241"/>
      <c r="N49" s="241"/>
      <c r="O49" s="241"/>
      <c r="P49" s="241"/>
      <c r="Q49" s="241"/>
      <c r="R49" s="241"/>
      <c r="S49" s="241"/>
      <c r="T49" s="241"/>
      <c r="U49" s="241"/>
      <c r="V49" s="241"/>
      <c r="W49" s="241"/>
      <c r="X49" s="241"/>
      <c r="Y49" s="241"/>
      <c r="Z49" s="241"/>
      <c r="AA49" s="241"/>
      <c r="AB49" s="241"/>
      <c r="AC49" s="241"/>
      <c r="AD49" s="711">
        <f>(SUMIFS($E$15:$E$74,$D$15:$D$74,$D49)*SUMIFS('GWP &amp; Emission Factors '!$F$154:$F$242,'GWP &amp; Emission Factors '!$E$154:$E$242,$E$13)+SUMIFS($F$15:$F$74,$D$15:$D$74,$D49)*SUMIFS('GWP &amp; Emission Factors '!$F$154:$F$242,'GWP &amp; Emission Factors '!$E$154:$E$242,$F$13)+SUMIFS($G$15:$G$74,$D$15:$D$74,$D49)*SUMIFS('GWP &amp; Emission Factors '!$F$154:$F$242,'GWP &amp; Emission Factors '!$E$154:$E$242,$G$13)+SUMIFS($H$15:$H$74,$D$15:$D$74,$D49)*SUMIFS('GWP &amp; Emission Factors '!$F$154:$F$242,'GWP &amp; Emission Factors '!$E$154:$E$242,$H$13)+SUMIFS($I$15:$I$74,$D$15:$D$74,$D49)*SUMIFS('GWP &amp; Emission Factors '!$F$154:$F$242,'GWP &amp; Emission Factors '!$E$154:$E$242,$I$13)+SUMIFS($J$15:$J$74,$D$15:$D$74,$D49)*SUMIFS('GWP &amp; Emission Factors '!$F$154:$F$242,'GWP &amp; Emission Factors '!$E$154:$E$242,$J$13)+SUMIFS($K$15:$K$74,$D$15:$D$74,$D49)*SUMIFS('GWP &amp; Emission Factors '!$F$154:$F$242,'GWP &amp; Emission Factors '!$E$154:$E$242,$K$13)+SUMIFS($L$15:$L$74,$D$15:$D$74,$D49)*SUMIFS('GWP &amp; Emission Factors '!$F$154:$F$242,'GWP &amp; Emission Factors '!$E$154:$E$242,$L$13)+SUMIFS($M$15:$M$74,$D$15:$D$74,$D49)*SUMIFS('GWP &amp; Emission Factors '!$F$154:$F$242,'GWP &amp; Emission Factors '!$E$154:$E$242,$M$13)+SUMIFS($N$15:$N$74,$D$15:$D$74,$D49)*SUMIFS('GWP &amp; Emission Factors '!$F$154:$F$242,'GWP &amp; Emission Factors '!$E$154:$E$242,$N$13)+SUMIFS($O$15:$O$74,$D$15:$D$74,$D49)*SUMIFS('GWP &amp; Emission Factors '!$F$154:$F$242,'GWP &amp; Emission Factors '!$E$154:$E$242,$O$13)+SUMIFS($P$15:$P$74,$D$15:$D$74,$D49)*SUMIFS('GWP &amp; Emission Factors '!$F$154:$F$242,'GWP &amp; Emission Factors '!$E$154:$E$242,$P$13)+SUMIFS($Q$15:$Q$74,$D$15:$D$74,$D49)*SUMIFS('GWP &amp; Emission Factors '!$F$154:$F$242,'GWP &amp; Emission Factors '!$E$154:$E$242,$Q$13)+SUMIFS($R$15:$R$74,$D$15:$D$74,$D49)*SUMIFS('GWP &amp; Emission Factors '!$F$154:$F$242,'GWP &amp; Emission Factors '!$E$154:$E$242,$R$13)+SUMIFS($S$15:$S$74,$D$15:$D$74,$D49)*SUMIFS('GWP &amp; Emission Factors '!$F$154:$F$242,'GWP &amp; Emission Factors '!$E$154:$E$242,$S$13)+SUMIFS($T$15:$T$74,$D$15:$D$74,$D49)*SUMIFS('GWP &amp; Emission Factors '!$F$154:$F$242,'GWP &amp; Emission Factors '!$E$154:$E$242,$T$13)+SUMIFS($U$15:$U$74,$D$15:$D$74,$D49)*SUMIFS('GWP &amp; Emission Factors '!$F$154:$F$242,'GWP &amp; Emission Factors '!$E$154:$E$242,$U$13)+SUMIFS($V$15:$V$74,$D$15:$D$74,$D49)*SUMIFS('GWP &amp; Emission Factors '!$F$154:$F$242,'GWP &amp; Emission Factors '!$E$154:$E$242,$V$13)+SUMIFS($W$15:$W$74,$D$15:$D$74,$D49)*SUMIFS('GWP &amp; Emission Factors '!$F$154:$F$242,'GWP &amp; Emission Factors '!$E$154:$E$242,$W$13)+SUMIFS($X$15:$X$74,$D$15:$D$74,$D49)*SUMIFS('GWP &amp; Emission Factors '!$F$154:$F$242,'GWP &amp; Emission Factors '!$E$154:$E$242,$X$13)+SUMIFS($Y$15:$Y$74,$D$15:$D$74,$D49)*SUMIFS('GWP &amp; Emission Factors '!$F$154:$F$242,'GWP &amp; Emission Factors '!$E$154:$E$242,$Y$13)+SUMIFS($Z$15:$Z$74,$D$15:$D$74,$D49)*SUMIFS('GWP &amp; Emission Factors '!$F$154:$F$242,'GWP &amp; Emission Factors '!$E$154:$E$242,$Z$13)+SUMIFS($AA$15:$AA$74,$D$15:$D$74,$D49)*SUMIFS('GWP &amp; Emission Factors '!$F$154:$F$242,'GWP &amp; Emission Factors '!$E$154:$E$242,$AA$13)+SUMIFS($AB$15:$AB$74,$D$15:$D$74,$D49)*SUMIFS('GWP &amp; Emission Factors '!$F$154:$F$242,'GWP &amp; Emission Factors '!$E$154:$E$242,$AB$13)/1000+SUMIFS($AC$15:$AC$74,$D$15:$D$74,$D49)*SUMIFS('GWP &amp; Emission Factors '!$F$154:$F$242,'GWP &amp; Emission Factors '!$E$154:$E$242,$AC$13))/1000</f>
        <v>0</v>
      </c>
    </row>
    <row r="50" spans="4:30" x14ac:dyDescent="0.25">
      <c r="D50" s="461" t="str">
        <f>'Project Emission Distribution'!D60</f>
        <v>AN36</v>
      </c>
      <c r="E50" s="710"/>
      <c r="F50" s="710"/>
      <c r="G50" s="710"/>
      <c r="H50" s="710"/>
      <c r="I50" s="710"/>
      <c r="J50" s="710"/>
      <c r="K50" s="710"/>
      <c r="L50" s="466"/>
      <c r="M50" s="466"/>
      <c r="N50" s="710"/>
      <c r="O50" s="710"/>
      <c r="P50" s="710"/>
      <c r="Q50" s="710"/>
      <c r="R50" s="710"/>
      <c r="S50" s="710"/>
      <c r="T50" s="710"/>
      <c r="U50" s="710"/>
      <c r="V50" s="710"/>
      <c r="W50" s="710"/>
      <c r="X50" s="710"/>
      <c r="Y50" s="466"/>
      <c r="Z50" s="466"/>
      <c r="AA50" s="466"/>
      <c r="AB50" s="710"/>
      <c r="AC50" s="710"/>
      <c r="AD50" s="711">
        <f>(SUMIFS($E$15:$E$74,$D$15:$D$74,$D50)*SUMIFS('GWP &amp; Emission Factors '!$F$154:$F$242,'GWP &amp; Emission Factors '!$E$154:$E$242,$E$13)+SUMIFS($F$15:$F$74,$D$15:$D$74,$D50)*SUMIFS('GWP &amp; Emission Factors '!$F$154:$F$242,'GWP &amp; Emission Factors '!$E$154:$E$242,$F$13)+SUMIFS($G$15:$G$74,$D$15:$D$74,$D50)*SUMIFS('GWP &amp; Emission Factors '!$F$154:$F$242,'GWP &amp; Emission Factors '!$E$154:$E$242,$G$13)+SUMIFS($H$15:$H$74,$D$15:$D$74,$D50)*SUMIFS('GWP &amp; Emission Factors '!$F$154:$F$242,'GWP &amp; Emission Factors '!$E$154:$E$242,$H$13)+SUMIFS($I$15:$I$74,$D$15:$D$74,$D50)*SUMIFS('GWP &amp; Emission Factors '!$F$154:$F$242,'GWP &amp; Emission Factors '!$E$154:$E$242,$I$13)+SUMIFS($J$15:$J$74,$D$15:$D$74,$D50)*SUMIFS('GWP &amp; Emission Factors '!$F$154:$F$242,'GWP &amp; Emission Factors '!$E$154:$E$242,$J$13)+SUMIFS($K$15:$K$74,$D$15:$D$74,$D50)*SUMIFS('GWP &amp; Emission Factors '!$F$154:$F$242,'GWP &amp; Emission Factors '!$E$154:$E$242,$K$13)+SUMIFS($L$15:$L$74,$D$15:$D$74,$D50)*SUMIFS('GWP &amp; Emission Factors '!$F$154:$F$242,'GWP &amp; Emission Factors '!$E$154:$E$242,$L$13)+SUMIFS($M$15:$M$74,$D$15:$D$74,$D50)*SUMIFS('GWP &amp; Emission Factors '!$F$154:$F$242,'GWP &amp; Emission Factors '!$E$154:$E$242,$M$13)+SUMIFS($N$15:$N$74,$D$15:$D$74,$D50)*SUMIFS('GWP &amp; Emission Factors '!$F$154:$F$242,'GWP &amp; Emission Factors '!$E$154:$E$242,$N$13)+SUMIFS($O$15:$O$74,$D$15:$D$74,$D50)*SUMIFS('GWP &amp; Emission Factors '!$F$154:$F$242,'GWP &amp; Emission Factors '!$E$154:$E$242,$O$13)+SUMIFS($P$15:$P$74,$D$15:$D$74,$D50)*SUMIFS('GWP &amp; Emission Factors '!$F$154:$F$242,'GWP &amp; Emission Factors '!$E$154:$E$242,$P$13)+SUMIFS($Q$15:$Q$74,$D$15:$D$74,$D50)*SUMIFS('GWP &amp; Emission Factors '!$F$154:$F$242,'GWP &amp; Emission Factors '!$E$154:$E$242,$Q$13)+SUMIFS($R$15:$R$74,$D$15:$D$74,$D50)*SUMIFS('GWP &amp; Emission Factors '!$F$154:$F$242,'GWP &amp; Emission Factors '!$E$154:$E$242,$R$13)+SUMIFS($S$15:$S$74,$D$15:$D$74,$D50)*SUMIFS('GWP &amp; Emission Factors '!$F$154:$F$242,'GWP &amp; Emission Factors '!$E$154:$E$242,$S$13)+SUMIFS($T$15:$T$74,$D$15:$D$74,$D50)*SUMIFS('GWP &amp; Emission Factors '!$F$154:$F$242,'GWP &amp; Emission Factors '!$E$154:$E$242,$T$13)+SUMIFS($U$15:$U$74,$D$15:$D$74,$D50)*SUMIFS('GWP &amp; Emission Factors '!$F$154:$F$242,'GWP &amp; Emission Factors '!$E$154:$E$242,$U$13)+SUMIFS($V$15:$V$74,$D$15:$D$74,$D50)*SUMIFS('GWP &amp; Emission Factors '!$F$154:$F$242,'GWP &amp; Emission Factors '!$E$154:$E$242,$V$13)+SUMIFS($W$15:$W$74,$D$15:$D$74,$D50)*SUMIFS('GWP &amp; Emission Factors '!$F$154:$F$242,'GWP &amp; Emission Factors '!$E$154:$E$242,$W$13)+SUMIFS($X$15:$X$74,$D$15:$D$74,$D50)*SUMIFS('GWP &amp; Emission Factors '!$F$154:$F$242,'GWP &amp; Emission Factors '!$E$154:$E$242,$X$13)+SUMIFS($Y$15:$Y$74,$D$15:$D$74,$D50)*SUMIFS('GWP &amp; Emission Factors '!$F$154:$F$242,'GWP &amp; Emission Factors '!$E$154:$E$242,$Y$13)+SUMIFS($Z$15:$Z$74,$D$15:$D$74,$D50)*SUMIFS('GWP &amp; Emission Factors '!$F$154:$F$242,'GWP &amp; Emission Factors '!$E$154:$E$242,$Z$13)+SUMIFS($AA$15:$AA$74,$D$15:$D$74,$D50)*SUMIFS('GWP &amp; Emission Factors '!$F$154:$F$242,'GWP &amp; Emission Factors '!$E$154:$E$242,$AA$13)+SUMIFS($AB$15:$AB$74,$D$15:$D$74,$D50)*SUMIFS('GWP &amp; Emission Factors '!$F$154:$F$242,'GWP &amp; Emission Factors '!$E$154:$E$242,$AB$13)/1000+SUMIFS($AC$15:$AC$74,$D$15:$D$74,$D50)*SUMIFS('GWP &amp; Emission Factors '!$F$154:$F$242,'GWP &amp; Emission Factors '!$E$154:$E$242,$AC$13))/1000</f>
        <v>0</v>
      </c>
    </row>
    <row r="51" spans="4:30" x14ac:dyDescent="0.25">
      <c r="D51" s="461" t="str">
        <f>'Project Emission Distribution'!D61</f>
        <v>AN37</v>
      </c>
      <c r="E51" s="241"/>
      <c r="F51" s="241"/>
      <c r="G51" s="241"/>
      <c r="H51" s="241"/>
      <c r="I51" s="241"/>
      <c r="J51" s="241"/>
      <c r="K51" s="241"/>
      <c r="L51" s="241"/>
      <c r="M51" s="241"/>
      <c r="N51" s="241"/>
      <c r="O51" s="241"/>
      <c r="P51" s="241"/>
      <c r="Q51" s="241"/>
      <c r="R51" s="241"/>
      <c r="S51" s="241"/>
      <c r="T51" s="241"/>
      <c r="U51" s="241"/>
      <c r="V51" s="241"/>
      <c r="W51" s="241"/>
      <c r="X51" s="241"/>
      <c r="Y51" s="241"/>
      <c r="Z51" s="241"/>
      <c r="AA51" s="241"/>
      <c r="AB51" s="241"/>
      <c r="AC51" s="241"/>
      <c r="AD51" s="711">
        <f>(SUMIFS($E$15:$E$74,$D$15:$D$74,$D51)*SUMIFS('GWP &amp; Emission Factors '!$F$154:$F$242,'GWP &amp; Emission Factors '!$E$154:$E$242,$E$13)+SUMIFS($F$15:$F$74,$D$15:$D$74,$D51)*SUMIFS('GWP &amp; Emission Factors '!$F$154:$F$242,'GWP &amp; Emission Factors '!$E$154:$E$242,$F$13)+SUMIFS($G$15:$G$74,$D$15:$D$74,$D51)*SUMIFS('GWP &amp; Emission Factors '!$F$154:$F$242,'GWP &amp; Emission Factors '!$E$154:$E$242,$G$13)+SUMIFS($H$15:$H$74,$D$15:$D$74,$D51)*SUMIFS('GWP &amp; Emission Factors '!$F$154:$F$242,'GWP &amp; Emission Factors '!$E$154:$E$242,$H$13)+SUMIFS($I$15:$I$74,$D$15:$D$74,$D51)*SUMIFS('GWP &amp; Emission Factors '!$F$154:$F$242,'GWP &amp; Emission Factors '!$E$154:$E$242,$I$13)+SUMIFS($J$15:$J$74,$D$15:$D$74,$D51)*SUMIFS('GWP &amp; Emission Factors '!$F$154:$F$242,'GWP &amp; Emission Factors '!$E$154:$E$242,$J$13)+SUMIFS($K$15:$K$74,$D$15:$D$74,$D51)*SUMIFS('GWP &amp; Emission Factors '!$F$154:$F$242,'GWP &amp; Emission Factors '!$E$154:$E$242,$K$13)+SUMIFS($L$15:$L$74,$D$15:$D$74,$D51)*SUMIFS('GWP &amp; Emission Factors '!$F$154:$F$242,'GWP &amp; Emission Factors '!$E$154:$E$242,$L$13)+SUMIFS($M$15:$M$74,$D$15:$D$74,$D51)*SUMIFS('GWP &amp; Emission Factors '!$F$154:$F$242,'GWP &amp; Emission Factors '!$E$154:$E$242,$M$13)+SUMIFS($N$15:$N$74,$D$15:$D$74,$D51)*SUMIFS('GWP &amp; Emission Factors '!$F$154:$F$242,'GWP &amp; Emission Factors '!$E$154:$E$242,$N$13)+SUMIFS($O$15:$O$74,$D$15:$D$74,$D51)*SUMIFS('GWP &amp; Emission Factors '!$F$154:$F$242,'GWP &amp; Emission Factors '!$E$154:$E$242,$O$13)+SUMIFS($P$15:$P$74,$D$15:$D$74,$D51)*SUMIFS('GWP &amp; Emission Factors '!$F$154:$F$242,'GWP &amp; Emission Factors '!$E$154:$E$242,$P$13)+SUMIFS($Q$15:$Q$74,$D$15:$D$74,$D51)*SUMIFS('GWP &amp; Emission Factors '!$F$154:$F$242,'GWP &amp; Emission Factors '!$E$154:$E$242,$Q$13)+SUMIFS($R$15:$R$74,$D$15:$D$74,$D51)*SUMIFS('GWP &amp; Emission Factors '!$F$154:$F$242,'GWP &amp; Emission Factors '!$E$154:$E$242,$R$13)+SUMIFS($S$15:$S$74,$D$15:$D$74,$D51)*SUMIFS('GWP &amp; Emission Factors '!$F$154:$F$242,'GWP &amp; Emission Factors '!$E$154:$E$242,$S$13)+SUMIFS($T$15:$T$74,$D$15:$D$74,$D51)*SUMIFS('GWP &amp; Emission Factors '!$F$154:$F$242,'GWP &amp; Emission Factors '!$E$154:$E$242,$T$13)+SUMIFS($U$15:$U$74,$D$15:$D$74,$D51)*SUMIFS('GWP &amp; Emission Factors '!$F$154:$F$242,'GWP &amp; Emission Factors '!$E$154:$E$242,$U$13)+SUMIFS($V$15:$V$74,$D$15:$D$74,$D51)*SUMIFS('GWP &amp; Emission Factors '!$F$154:$F$242,'GWP &amp; Emission Factors '!$E$154:$E$242,$V$13)+SUMIFS($W$15:$W$74,$D$15:$D$74,$D51)*SUMIFS('GWP &amp; Emission Factors '!$F$154:$F$242,'GWP &amp; Emission Factors '!$E$154:$E$242,$W$13)+SUMIFS($X$15:$X$74,$D$15:$D$74,$D51)*SUMIFS('GWP &amp; Emission Factors '!$F$154:$F$242,'GWP &amp; Emission Factors '!$E$154:$E$242,$X$13)+SUMIFS($Y$15:$Y$74,$D$15:$D$74,$D51)*SUMIFS('GWP &amp; Emission Factors '!$F$154:$F$242,'GWP &amp; Emission Factors '!$E$154:$E$242,$Y$13)+SUMIFS($Z$15:$Z$74,$D$15:$D$74,$D51)*SUMIFS('GWP &amp; Emission Factors '!$F$154:$F$242,'GWP &amp; Emission Factors '!$E$154:$E$242,$Z$13)+SUMIFS($AA$15:$AA$74,$D$15:$D$74,$D51)*SUMIFS('GWP &amp; Emission Factors '!$F$154:$F$242,'GWP &amp; Emission Factors '!$E$154:$E$242,$AA$13)+SUMIFS($AB$15:$AB$74,$D$15:$D$74,$D51)*SUMIFS('GWP &amp; Emission Factors '!$F$154:$F$242,'GWP &amp; Emission Factors '!$E$154:$E$242,$AB$13)/1000+SUMIFS($AC$15:$AC$74,$D$15:$D$74,$D51)*SUMIFS('GWP &amp; Emission Factors '!$F$154:$F$242,'GWP &amp; Emission Factors '!$E$154:$E$242,$AC$13))/1000</f>
        <v>0</v>
      </c>
    </row>
    <row r="52" spans="4:30" x14ac:dyDescent="0.25">
      <c r="D52" s="461" t="str">
        <f>'Project Emission Distribution'!D62</f>
        <v>AN38</v>
      </c>
      <c r="E52" s="466"/>
      <c r="F52" s="466"/>
      <c r="G52" s="466"/>
      <c r="H52" s="466"/>
      <c r="I52" s="466"/>
      <c r="J52" s="466"/>
      <c r="K52" s="466"/>
      <c r="L52" s="466"/>
      <c r="M52" s="466"/>
      <c r="N52" s="710"/>
      <c r="O52" s="710"/>
      <c r="P52" s="710"/>
      <c r="Q52" s="710"/>
      <c r="R52" s="710"/>
      <c r="S52" s="710"/>
      <c r="T52" s="710"/>
      <c r="U52" s="710"/>
      <c r="V52" s="710"/>
      <c r="W52" s="710"/>
      <c r="X52" s="710"/>
      <c r="Y52" s="710"/>
      <c r="Z52" s="710"/>
      <c r="AA52" s="710"/>
      <c r="AB52" s="710"/>
      <c r="AC52" s="710"/>
      <c r="AD52" s="711">
        <f>(SUMIFS($E$15:$E$74,$D$15:$D$74,$D52)*SUMIFS('GWP &amp; Emission Factors '!$F$154:$F$242,'GWP &amp; Emission Factors '!$E$154:$E$242,$E$13)+SUMIFS($F$15:$F$74,$D$15:$D$74,$D52)*SUMIFS('GWP &amp; Emission Factors '!$F$154:$F$242,'GWP &amp; Emission Factors '!$E$154:$E$242,$F$13)+SUMIFS($G$15:$G$74,$D$15:$D$74,$D52)*SUMIFS('GWP &amp; Emission Factors '!$F$154:$F$242,'GWP &amp; Emission Factors '!$E$154:$E$242,$G$13)+SUMIFS($H$15:$H$74,$D$15:$D$74,$D52)*SUMIFS('GWP &amp; Emission Factors '!$F$154:$F$242,'GWP &amp; Emission Factors '!$E$154:$E$242,$H$13)+SUMIFS($I$15:$I$74,$D$15:$D$74,$D52)*SUMIFS('GWP &amp; Emission Factors '!$F$154:$F$242,'GWP &amp; Emission Factors '!$E$154:$E$242,$I$13)+SUMIFS($J$15:$J$74,$D$15:$D$74,$D52)*SUMIFS('GWP &amp; Emission Factors '!$F$154:$F$242,'GWP &amp; Emission Factors '!$E$154:$E$242,$J$13)+SUMIFS($K$15:$K$74,$D$15:$D$74,$D52)*SUMIFS('GWP &amp; Emission Factors '!$F$154:$F$242,'GWP &amp; Emission Factors '!$E$154:$E$242,$K$13)+SUMIFS($L$15:$L$74,$D$15:$D$74,$D52)*SUMIFS('GWP &amp; Emission Factors '!$F$154:$F$242,'GWP &amp; Emission Factors '!$E$154:$E$242,$L$13)+SUMIFS($M$15:$M$74,$D$15:$D$74,$D52)*SUMIFS('GWP &amp; Emission Factors '!$F$154:$F$242,'GWP &amp; Emission Factors '!$E$154:$E$242,$M$13)+SUMIFS($N$15:$N$74,$D$15:$D$74,$D52)*SUMIFS('GWP &amp; Emission Factors '!$F$154:$F$242,'GWP &amp; Emission Factors '!$E$154:$E$242,$N$13)+SUMIFS($O$15:$O$74,$D$15:$D$74,$D52)*SUMIFS('GWP &amp; Emission Factors '!$F$154:$F$242,'GWP &amp; Emission Factors '!$E$154:$E$242,$O$13)+SUMIFS($P$15:$P$74,$D$15:$D$74,$D52)*SUMIFS('GWP &amp; Emission Factors '!$F$154:$F$242,'GWP &amp; Emission Factors '!$E$154:$E$242,$P$13)+SUMIFS($Q$15:$Q$74,$D$15:$D$74,$D52)*SUMIFS('GWP &amp; Emission Factors '!$F$154:$F$242,'GWP &amp; Emission Factors '!$E$154:$E$242,$Q$13)+SUMIFS($R$15:$R$74,$D$15:$D$74,$D52)*SUMIFS('GWP &amp; Emission Factors '!$F$154:$F$242,'GWP &amp; Emission Factors '!$E$154:$E$242,$R$13)+SUMIFS($S$15:$S$74,$D$15:$D$74,$D52)*SUMIFS('GWP &amp; Emission Factors '!$F$154:$F$242,'GWP &amp; Emission Factors '!$E$154:$E$242,$S$13)+SUMIFS($T$15:$T$74,$D$15:$D$74,$D52)*SUMIFS('GWP &amp; Emission Factors '!$F$154:$F$242,'GWP &amp; Emission Factors '!$E$154:$E$242,$T$13)+SUMIFS($U$15:$U$74,$D$15:$D$74,$D52)*SUMIFS('GWP &amp; Emission Factors '!$F$154:$F$242,'GWP &amp; Emission Factors '!$E$154:$E$242,$U$13)+SUMIFS($V$15:$V$74,$D$15:$D$74,$D52)*SUMIFS('GWP &amp; Emission Factors '!$F$154:$F$242,'GWP &amp; Emission Factors '!$E$154:$E$242,$V$13)+SUMIFS($W$15:$W$74,$D$15:$D$74,$D52)*SUMIFS('GWP &amp; Emission Factors '!$F$154:$F$242,'GWP &amp; Emission Factors '!$E$154:$E$242,$W$13)+SUMIFS($X$15:$X$74,$D$15:$D$74,$D52)*SUMIFS('GWP &amp; Emission Factors '!$F$154:$F$242,'GWP &amp; Emission Factors '!$E$154:$E$242,$X$13)+SUMIFS($Y$15:$Y$74,$D$15:$D$74,$D52)*SUMIFS('GWP &amp; Emission Factors '!$F$154:$F$242,'GWP &amp; Emission Factors '!$E$154:$E$242,$Y$13)+SUMIFS($Z$15:$Z$74,$D$15:$D$74,$D52)*SUMIFS('GWP &amp; Emission Factors '!$F$154:$F$242,'GWP &amp; Emission Factors '!$E$154:$E$242,$Z$13)+SUMIFS($AA$15:$AA$74,$D$15:$D$74,$D52)*SUMIFS('GWP &amp; Emission Factors '!$F$154:$F$242,'GWP &amp; Emission Factors '!$E$154:$E$242,$AA$13)+SUMIFS($AB$15:$AB$74,$D$15:$D$74,$D52)*SUMIFS('GWP &amp; Emission Factors '!$F$154:$F$242,'GWP &amp; Emission Factors '!$E$154:$E$242,$AB$13)/1000+SUMIFS($AC$15:$AC$74,$D$15:$D$74,$D52)*SUMIFS('GWP &amp; Emission Factors '!$F$154:$F$242,'GWP &amp; Emission Factors '!$E$154:$E$242,$AC$13))/1000</f>
        <v>0</v>
      </c>
    </row>
    <row r="53" spans="4:30" x14ac:dyDescent="0.25">
      <c r="D53" s="461" t="str">
        <f>'Project Emission Distribution'!D63</f>
        <v>AN39</v>
      </c>
      <c r="E53" s="241"/>
      <c r="F53" s="241"/>
      <c r="G53" s="241"/>
      <c r="H53" s="241"/>
      <c r="I53" s="241"/>
      <c r="J53" s="241"/>
      <c r="K53" s="241"/>
      <c r="L53" s="241"/>
      <c r="M53" s="241"/>
      <c r="N53" s="241"/>
      <c r="O53" s="241"/>
      <c r="P53" s="241"/>
      <c r="Q53" s="241"/>
      <c r="R53" s="241"/>
      <c r="S53" s="241"/>
      <c r="T53" s="241"/>
      <c r="U53" s="241"/>
      <c r="V53" s="241"/>
      <c r="W53" s="241"/>
      <c r="X53" s="241"/>
      <c r="Y53" s="241"/>
      <c r="Z53" s="241"/>
      <c r="AA53" s="241"/>
      <c r="AB53" s="241"/>
      <c r="AC53" s="241"/>
      <c r="AD53" s="711">
        <f>(SUMIFS($E$15:$E$74,$D$15:$D$74,$D53)*SUMIFS('GWP &amp; Emission Factors '!$F$154:$F$242,'GWP &amp; Emission Factors '!$E$154:$E$242,$E$13)+SUMIFS($F$15:$F$74,$D$15:$D$74,$D53)*SUMIFS('GWP &amp; Emission Factors '!$F$154:$F$242,'GWP &amp; Emission Factors '!$E$154:$E$242,$F$13)+SUMIFS($G$15:$G$74,$D$15:$D$74,$D53)*SUMIFS('GWP &amp; Emission Factors '!$F$154:$F$242,'GWP &amp; Emission Factors '!$E$154:$E$242,$G$13)+SUMIFS($H$15:$H$74,$D$15:$D$74,$D53)*SUMIFS('GWP &amp; Emission Factors '!$F$154:$F$242,'GWP &amp; Emission Factors '!$E$154:$E$242,$H$13)+SUMIFS($I$15:$I$74,$D$15:$D$74,$D53)*SUMIFS('GWP &amp; Emission Factors '!$F$154:$F$242,'GWP &amp; Emission Factors '!$E$154:$E$242,$I$13)+SUMIFS($J$15:$J$74,$D$15:$D$74,$D53)*SUMIFS('GWP &amp; Emission Factors '!$F$154:$F$242,'GWP &amp; Emission Factors '!$E$154:$E$242,$J$13)+SUMIFS($K$15:$K$74,$D$15:$D$74,$D53)*SUMIFS('GWP &amp; Emission Factors '!$F$154:$F$242,'GWP &amp; Emission Factors '!$E$154:$E$242,$K$13)+SUMIFS($L$15:$L$74,$D$15:$D$74,$D53)*SUMIFS('GWP &amp; Emission Factors '!$F$154:$F$242,'GWP &amp; Emission Factors '!$E$154:$E$242,$L$13)+SUMIFS($M$15:$M$74,$D$15:$D$74,$D53)*SUMIFS('GWP &amp; Emission Factors '!$F$154:$F$242,'GWP &amp; Emission Factors '!$E$154:$E$242,$M$13)+SUMIFS($N$15:$N$74,$D$15:$D$74,$D53)*SUMIFS('GWP &amp; Emission Factors '!$F$154:$F$242,'GWP &amp; Emission Factors '!$E$154:$E$242,$N$13)+SUMIFS($O$15:$O$74,$D$15:$D$74,$D53)*SUMIFS('GWP &amp; Emission Factors '!$F$154:$F$242,'GWP &amp; Emission Factors '!$E$154:$E$242,$O$13)+SUMIFS($P$15:$P$74,$D$15:$D$74,$D53)*SUMIFS('GWP &amp; Emission Factors '!$F$154:$F$242,'GWP &amp; Emission Factors '!$E$154:$E$242,$P$13)+SUMIFS($Q$15:$Q$74,$D$15:$D$74,$D53)*SUMIFS('GWP &amp; Emission Factors '!$F$154:$F$242,'GWP &amp; Emission Factors '!$E$154:$E$242,$Q$13)+SUMIFS($R$15:$R$74,$D$15:$D$74,$D53)*SUMIFS('GWP &amp; Emission Factors '!$F$154:$F$242,'GWP &amp; Emission Factors '!$E$154:$E$242,$R$13)+SUMIFS($S$15:$S$74,$D$15:$D$74,$D53)*SUMIFS('GWP &amp; Emission Factors '!$F$154:$F$242,'GWP &amp; Emission Factors '!$E$154:$E$242,$S$13)+SUMIFS($T$15:$T$74,$D$15:$D$74,$D53)*SUMIFS('GWP &amp; Emission Factors '!$F$154:$F$242,'GWP &amp; Emission Factors '!$E$154:$E$242,$T$13)+SUMIFS($U$15:$U$74,$D$15:$D$74,$D53)*SUMIFS('GWP &amp; Emission Factors '!$F$154:$F$242,'GWP &amp; Emission Factors '!$E$154:$E$242,$U$13)+SUMIFS($V$15:$V$74,$D$15:$D$74,$D53)*SUMIFS('GWP &amp; Emission Factors '!$F$154:$F$242,'GWP &amp; Emission Factors '!$E$154:$E$242,$V$13)+SUMIFS($W$15:$W$74,$D$15:$D$74,$D53)*SUMIFS('GWP &amp; Emission Factors '!$F$154:$F$242,'GWP &amp; Emission Factors '!$E$154:$E$242,$W$13)+SUMIFS($X$15:$X$74,$D$15:$D$74,$D53)*SUMIFS('GWP &amp; Emission Factors '!$F$154:$F$242,'GWP &amp; Emission Factors '!$E$154:$E$242,$X$13)+SUMIFS($Y$15:$Y$74,$D$15:$D$74,$D53)*SUMIFS('GWP &amp; Emission Factors '!$F$154:$F$242,'GWP &amp; Emission Factors '!$E$154:$E$242,$Y$13)+SUMIFS($Z$15:$Z$74,$D$15:$D$74,$D53)*SUMIFS('GWP &amp; Emission Factors '!$F$154:$F$242,'GWP &amp; Emission Factors '!$E$154:$E$242,$Z$13)+SUMIFS($AA$15:$AA$74,$D$15:$D$74,$D53)*SUMIFS('GWP &amp; Emission Factors '!$F$154:$F$242,'GWP &amp; Emission Factors '!$E$154:$E$242,$AA$13)+SUMIFS($AB$15:$AB$74,$D$15:$D$74,$D53)*SUMIFS('GWP &amp; Emission Factors '!$F$154:$F$242,'GWP &amp; Emission Factors '!$E$154:$E$242,$AB$13)/1000+SUMIFS($AC$15:$AC$74,$D$15:$D$74,$D53)*SUMIFS('GWP &amp; Emission Factors '!$F$154:$F$242,'GWP &amp; Emission Factors '!$E$154:$E$242,$AC$13))/1000</f>
        <v>0</v>
      </c>
    </row>
    <row r="54" spans="4:30" x14ac:dyDescent="0.25">
      <c r="D54" s="461" t="str">
        <f>'Project Emission Distribution'!D64</f>
        <v>AN40</v>
      </c>
      <c r="E54" s="466"/>
      <c r="F54" s="466"/>
      <c r="G54" s="466"/>
      <c r="H54" s="466"/>
      <c r="I54" s="466"/>
      <c r="J54" s="466"/>
      <c r="K54" s="466"/>
      <c r="L54" s="466"/>
      <c r="M54" s="466"/>
      <c r="N54" s="710"/>
      <c r="O54" s="710"/>
      <c r="P54" s="710"/>
      <c r="Q54" s="710"/>
      <c r="R54" s="710"/>
      <c r="S54" s="710"/>
      <c r="T54" s="710"/>
      <c r="U54" s="710"/>
      <c r="V54" s="710"/>
      <c r="W54" s="710"/>
      <c r="X54" s="710"/>
      <c r="Y54" s="710"/>
      <c r="Z54" s="710"/>
      <c r="AA54" s="710"/>
      <c r="AB54" s="710"/>
      <c r="AC54" s="710"/>
      <c r="AD54" s="711">
        <f>(SUMIFS($E$15:$E$74,$D$15:$D$74,$D54)*SUMIFS('GWP &amp; Emission Factors '!$F$154:$F$242,'GWP &amp; Emission Factors '!$E$154:$E$242,$E$13)+SUMIFS($F$15:$F$74,$D$15:$D$74,$D54)*SUMIFS('GWP &amp; Emission Factors '!$F$154:$F$242,'GWP &amp; Emission Factors '!$E$154:$E$242,$F$13)+SUMIFS($G$15:$G$74,$D$15:$D$74,$D54)*SUMIFS('GWP &amp; Emission Factors '!$F$154:$F$242,'GWP &amp; Emission Factors '!$E$154:$E$242,$G$13)+SUMIFS($H$15:$H$74,$D$15:$D$74,$D54)*SUMIFS('GWP &amp; Emission Factors '!$F$154:$F$242,'GWP &amp; Emission Factors '!$E$154:$E$242,$H$13)+SUMIFS($I$15:$I$74,$D$15:$D$74,$D54)*SUMIFS('GWP &amp; Emission Factors '!$F$154:$F$242,'GWP &amp; Emission Factors '!$E$154:$E$242,$I$13)+SUMIFS($J$15:$J$74,$D$15:$D$74,$D54)*SUMIFS('GWP &amp; Emission Factors '!$F$154:$F$242,'GWP &amp; Emission Factors '!$E$154:$E$242,$J$13)+SUMIFS($K$15:$K$74,$D$15:$D$74,$D54)*SUMIFS('GWP &amp; Emission Factors '!$F$154:$F$242,'GWP &amp; Emission Factors '!$E$154:$E$242,$K$13)+SUMIFS($L$15:$L$74,$D$15:$D$74,$D54)*SUMIFS('GWP &amp; Emission Factors '!$F$154:$F$242,'GWP &amp; Emission Factors '!$E$154:$E$242,$L$13)+SUMIFS($M$15:$M$74,$D$15:$D$74,$D54)*SUMIFS('GWP &amp; Emission Factors '!$F$154:$F$242,'GWP &amp; Emission Factors '!$E$154:$E$242,$M$13)+SUMIFS($N$15:$N$74,$D$15:$D$74,$D54)*SUMIFS('GWP &amp; Emission Factors '!$F$154:$F$242,'GWP &amp; Emission Factors '!$E$154:$E$242,$N$13)+SUMIFS($O$15:$O$74,$D$15:$D$74,$D54)*SUMIFS('GWP &amp; Emission Factors '!$F$154:$F$242,'GWP &amp; Emission Factors '!$E$154:$E$242,$O$13)+SUMIFS($P$15:$P$74,$D$15:$D$74,$D54)*SUMIFS('GWP &amp; Emission Factors '!$F$154:$F$242,'GWP &amp; Emission Factors '!$E$154:$E$242,$P$13)+SUMIFS($Q$15:$Q$74,$D$15:$D$74,$D54)*SUMIFS('GWP &amp; Emission Factors '!$F$154:$F$242,'GWP &amp; Emission Factors '!$E$154:$E$242,$Q$13)+SUMIFS($R$15:$R$74,$D$15:$D$74,$D54)*SUMIFS('GWP &amp; Emission Factors '!$F$154:$F$242,'GWP &amp; Emission Factors '!$E$154:$E$242,$R$13)+SUMIFS($S$15:$S$74,$D$15:$D$74,$D54)*SUMIFS('GWP &amp; Emission Factors '!$F$154:$F$242,'GWP &amp; Emission Factors '!$E$154:$E$242,$S$13)+SUMIFS($T$15:$T$74,$D$15:$D$74,$D54)*SUMIFS('GWP &amp; Emission Factors '!$F$154:$F$242,'GWP &amp; Emission Factors '!$E$154:$E$242,$T$13)+SUMIFS($U$15:$U$74,$D$15:$D$74,$D54)*SUMIFS('GWP &amp; Emission Factors '!$F$154:$F$242,'GWP &amp; Emission Factors '!$E$154:$E$242,$U$13)+SUMIFS($V$15:$V$74,$D$15:$D$74,$D54)*SUMIFS('GWP &amp; Emission Factors '!$F$154:$F$242,'GWP &amp; Emission Factors '!$E$154:$E$242,$V$13)+SUMIFS($W$15:$W$74,$D$15:$D$74,$D54)*SUMIFS('GWP &amp; Emission Factors '!$F$154:$F$242,'GWP &amp; Emission Factors '!$E$154:$E$242,$W$13)+SUMIFS($X$15:$X$74,$D$15:$D$74,$D54)*SUMIFS('GWP &amp; Emission Factors '!$F$154:$F$242,'GWP &amp; Emission Factors '!$E$154:$E$242,$X$13)+SUMIFS($Y$15:$Y$74,$D$15:$D$74,$D54)*SUMIFS('GWP &amp; Emission Factors '!$F$154:$F$242,'GWP &amp; Emission Factors '!$E$154:$E$242,$Y$13)+SUMIFS($Z$15:$Z$74,$D$15:$D$74,$D54)*SUMIFS('GWP &amp; Emission Factors '!$F$154:$F$242,'GWP &amp; Emission Factors '!$E$154:$E$242,$Z$13)+SUMIFS($AA$15:$AA$74,$D$15:$D$74,$D54)*SUMIFS('GWP &amp; Emission Factors '!$F$154:$F$242,'GWP &amp; Emission Factors '!$E$154:$E$242,$AA$13)+SUMIFS($AB$15:$AB$74,$D$15:$D$74,$D54)*SUMIFS('GWP &amp; Emission Factors '!$F$154:$F$242,'GWP &amp; Emission Factors '!$E$154:$E$242,$AB$13)/1000+SUMIFS($AC$15:$AC$74,$D$15:$D$74,$D54)*SUMIFS('GWP &amp; Emission Factors '!$F$154:$F$242,'GWP &amp; Emission Factors '!$E$154:$E$242,$AC$13))/1000</f>
        <v>0</v>
      </c>
    </row>
    <row r="55" spans="4:30" x14ac:dyDescent="0.25">
      <c r="D55" s="461" t="str">
        <f>'Project Emission Distribution'!D65</f>
        <v>AN41</v>
      </c>
      <c r="E55" s="241"/>
      <c r="F55" s="241"/>
      <c r="G55" s="241"/>
      <c r="H55" s="241"/>
      <c r="I55" s="241"/>
      <c r="J55" s="241"/>
      <c r="K55" s="241"/>
      <c r="L55" s="241"/>
      <c r="M55" s="241"/>
      <c r="N55" s="241"/>
      <c r="O55" s="241"/>
      <c r="P55" s="241"/>
      <c r="Q55" s="241"/>
      <c r="R55" s="241"/>
      <c r="S55" s="241"/>
      <c r="T55" s="241"/>
      <c r="U55" s="241"/>
      <c r="V55" s="241"/>
      <c r="W55" s="241"/>
      <c r="X55" s="241"/>
      <c r="Y55" s="241"/>
      <c r="Z55" s="241"/>
      <c r="AA55" s="241"/>
      <c r="AB55" s="241"/>
      <c r="AC55" s="241"/>
      <c r="AD55" s="711">
        <f>(SUMIFS($E$15:$E$74,$D$15:$D$74,$D55)*SUMIFS('GWP &amp; Emission Factors '!$F$154:$F$242,'GWP &amp; Emission Factors '!$E$154:$E$242,$E$13)+SUMIFS($F$15:$F$74,$D$15:$D$74,$D55)*SUMIFS('GWP &amp; Emission Factors '!$F$154:$F$242,'GWP &amp; Emission Factors '!$E$154:$E$242,$F$13)+SUMIFS($G$15:$G$74,$D$15:$D$74,$D55)*SUMIFS('GWP &amp; Emission Factors '!$F$154:$F$242,'GWP &amp; Emission Factors '!$E$154:$E$242,$G$13)+SUMIFS($H$15:$H$74,$D$15:$D$74,$D55)*SUMIFS('GWP &amp; Emission Factors '!$F$154:$F$242,'GWP &amp; Emission Factors '!$E$154:$E$242,$H$13)+SUMIFS($I$15:$I$74,$D$15:$D$74,$D55)*SUMIFS('GWP &amp; Emission Factors '!$F$154:$F$242,'GWP &amp; Emission Factors '!$E$154:$E$242,$I$13)+SUMIFS($J$15:$J$74,$D$15:$D$74,$D55)*SUMIFS('GWP &amp; Emission Factors '!$F$154:$F$242,'GWP &amp; Emission Factors '!$E$154:$E$242,$J$13)+SUMIFS($K$15:$K$74,$D$15:$D$74,$D55)*SUMIFS('GWP &amp; Emission Factors '!$F$154:$F$242,'GWP &amp; Emission Factors '!$E$154:$E$242,$K$13)+SUMIFS($L$15:$L$74,$D$15:$D$74,$D55)*SUMIFS('GWP &amp; Emission Factors '!$F$154:$F$242,'GWP &amp; Emission Factors '!$E$154:$E$242,$L$13)+SUMIFS($M$15:$M$74,$D$15:$D$74,$D55)*SUMIFS('GWP &amp; Emission Factors '!$F$154:$F$242,'GWP &amp; Emission Factors '!$E$154:$E$242,$M$13)+SUMIFS($N$15:$N$74,$D$15:$D$74,$D55)*SUMIFS('GWP &amp; Emission Factors '!$F$154:$F$242,'GWP &amp; Emission Factors '!$E$154:$E$242,$N$13)+SUMIFS($O$15:$O$74,$D$15:$D$74,$D55)*SUMIFS('GWP &amp; Emission Factors '!$F$154:$F$242,'GWP &amp; Emission Factors '!$E$154:$E$242,$O$13)+SUMIFS($P$15:$P$74,$D$15:$D$74,$D55)*SUMIFS('GWP &amp; Emission Factors '!$F$154:$F$242,'GWP &amp; Emission Factors '!$E$154:$E$242,$P$13)+SUMIFS($Q$15:$Q$74,$D$15:$D$74,$D55)*SUMIFS('GWP &amp; Emission Factors '!$F$154:$F$242,'GWP &amp; Emission Factors '!$E$154:$E$242,$Q$13)+SUMIFS($R$15:$R$74,$D$15:$D$74,$D55)*SUMIFS('GWP &amp; Emission Factors '!$F$154:$F$242,'GWP &amp; Emission Factors '!$E$154:$E$242,$R$13)+SUMIFS($S$15:$S$74,$D$15:$D$74,$D55)*SUMIFS('GWP &amp; Emission Factors '!$F$154:$F$242,'GWP &amp; Emission Factors '!$E$154:$E$242,$S$13)+SUMIFS($T$15:$T$74,$D$15:$D$74,$D55)*SUMIFS('GWP &amp; Emission Factors '!$F$154:$F$242,'GWP &amp; Emission Factors '!$E$154:$E$242,$T$13)+SUMIFS($U$15:$U$74,$D$15:$D$74,$D55)*SUMIFS('GWP &amp; Emission Factors '!$F$154:$F$242,'GWP &amp; Emission Factors '!$E$154:$E$242,$U$13)+SUMIFS($V$15:$V$74,$D$15:$D$74,$D55)*SUMIFS('GWP &amp; Emission Factors '!$F$154:$F$242,'GWP &amp; Emission Factors '!$E$154:$E$242,$V$13)+SUMIFS($W$15:$W$74,$D$15:$D$74,$D55)*SUMIFS('GWP &amp; Emission Factors '!$F$154:$F$242,'GWP &amp; Emission Factors '!$E$154:$E$242,$W$13)+SUMIFS($X$15:$X$74,$D$15:$D$74,$D55)*SUMIFS('GWP &amp; Emission Factors '!$F$154:$F$242,'GWP &amp; Emission Factors '!$E$154:$E$242,$X$13)+SUMIFS($Y$15:$Y$74,$D$15:$D$74,$D55)*SUMIFS('GWP &amp; Emission Factors '!$F$154:$F$242,'GWP &amp; Emission Factors '!$E$154:$E$242,$Y$13)+SUMIFS($Z$15:$Z$74,$D$15:$D$74,$D55)*SUMIFS('GWP &amp; Emission Factors '!$F$154:$F$242,'GWP &amp; Emission Factors '!$E$154:$E$242,$Z$13)+SUMIFS($AA$15:$AA$74,$D$15:$D$74,$D55)*SUMIFS('GWP &amp; Emission Factors '!$F$154:$F$242,'GWP &amp; Emission Factors '!$E$154:$E$242,$AA$13)+SUMIFS($AB$15:$AB$74,$D$15:$D$74,$D55)*SUMIFS('GWP &amp; Emission Factors '!$F$154:$F$242,'GWP &amp; Emission Factors '!$E$154:$E$242,$AB$13)/1000+SUMIFS($AC$15:$AC$74,$D$15:$D$74,$D55)*SUMIFS('GWP &amp; Emission Factors '!$F$154:$F$242,'GWP &amp; Emission Factors '!$E$154:$E$242,$AC$13))/1000</f>
        <v>0</v>
      </c>
    </row>
    <row r="56" spans="4:30" x14ac:dyDescent="0.25">
      <c r="D56" s="461" t="str">
        <f>'Project Emission Distribution'!D66</f>
        <v>AN42</v>
      </c>
      <c r="E56" s="466"/>
      <c r="F56" s="466"/>
      <c r="G56" s="466"/>
      <c r="H56" s="466"/>
      <c r="I56" s="466"/>
      <c r="J56" s="466"/>
      <c r="K56" s="466"/>
      <c r="L56" s="466"/>
      <c r="M56" s="466"/>
      <c r="N56" s="710"/>
      <c r="O56" s="710"/>
      <c r="P56" s="710"/>
      <c r="Q56" s="710"/>
      <c r="R56" s="710"/>
      <c r="S56" s="710"/>
      <c r="T56" s="710"/>
      <c r="U56" s="710"/>
      <c r="V56" s="710"/>
      <c r="W56" s="710"/>
      <c r="X56" s="710"/>
      <c r="Y56" s="710"/>
      <c r="Z56" s="710"/>
      <c r="AA56" s="710"/>
      <c r="AB56" s="710"/>
      <c r="AC56" s="710"/>
      <c r="AD56" s="711">
        <f>(SUMIFS($E$15:$E$74,$D$15:$D$74,$D56)*SUMIFS('GWP &amp; Emission Factors '!$F$154:$F$242,'GWP &amp; Emission Factors '!$E$154:$E$242,$E$13)+SUMIFS($F$15:$F$74,$D$15:$D$74,$D56)*SUMIFS('GWP &amp; Emission Factors '!$F$154:$F$242,'GWP &amp; Emission Factors '!$E$154:$E$242,$F$13)+SUMIFS($G$15:$G$74,$D$15:$D$74,$D56)*SUMIFS('GWP &amp; Emission Factors '!$F$154:$F$242,'GWP &amp; Emission Factors '!$E$154:$E$242,$G$13)+SUMIFS($H$15:$H$74,$D$15:$D$74,$D56)*SUMIFS('GWP &amp; Emission Factors '!$F$154:$F$242,'GWP &amp; Emission Factors '!$E$154:$E$242,$H$13)+SUMIFS($I$15:$I$74,$D$15:$D$74,$D56)*SUMIFS('GWP &amp; Emission Factors '!$F$154:$F$242,'GWP &amp; Emission Factors '!$E$154:$E$242,$I$13)+SUMIFS($J$15:$J$74,$D$15:$D$74,$D56)*SUMIFS('GWP &amp; Emission Factors '!$F$154:$F$242,'GWP &amp; Emission Factors '!$E$154:$E$242,$J$13)+SUMIFS($K$15:$K$74,$D$15:$D$74,$D56)*SUMIFS('GWP &amp; Emission Factors '!$F$154:$F$242,'GWP &amp; Emission Factors '!$E$154:$E$242,$K$13)+SUMIFS($L$15:$L$74,$D$15:$D$74,$D56)*SUMIFS('GWP &amp; Emission Factors '!$F$154:$F$242,'GWP &amp; Emission Factors '!$E$154:$E$242,$L$13)+SUMIFS($M$15:$M$74,$D$15:$D$74,$D56)*SUMIFS('GWP &amp; Emission Factors '!$F$154:$F$242,'GWP &amp; Emission Factors '!$E$154:$E$242,$M$13)+SUMIFS($N$15:$N$74,$D$15:$D$74,$D56)*SUMIFS('GWP &amp; Emission Factors '!$F$154:$F$242,'GWP &amp; Emission Factors '!$E$154:$E$242,$N$13)+SUMIFS($O$15:$O$74,$D$15:$D$74,$D56)*SUMIFS('GWP &amp; Emission Factors '!$F$154:$F$242,'GWP &amp; Emission Factors '!$E$154:$E$242,$O$13)+SUMIFS($P$15:$P$74,$D$15:$D$74,$D56)*SUMIFS('GWP &amp; Emission Factors '!$F$154:$F$242,'GWP &amp; Emission Factors '!$E$154:$E$242,$P$13)+SUMIFS($Q$15:$Q$74,$D$15:$D$74,$D56)*SUMIFS('GWP &amp; Emission Factors '!$F$154:$F$242,'GWP &amp; Emission Factors '!$E$154:$E$242,$Q$13)+SUMIFS($R$15:$R$74,$D$15:$D$74,$D56)*SUMIFS('GWP &amp; Emission Factors '!$F$154:$F$242,'GWP &amp; Emission Factors '!$E$154:$E$242,$R$13)+SUMIFS($S$15:$S$74,$D$15:$D$74,$D56)*SUMIFS('GWP &amp; Emission Factors '!$F$154:$F$242,'GWP &amp; Emission Factors '!$E$154:$E$242,$S$13)+SUMIFS($T$15:$T$74,$D$15:$D$74,$D56)*SUMIFS('GWP &amp; Emission Factors '!$F$154:$F$242,'GWP &amp; Emission Factors '!$E$154:$E$242,$T$13)+SUMIFS($U$15:$U$74,$D$15:$D$74,$D56)*SUMIFS('GWP &amp; Emission Factors '!$F$154:$F$242,'GWP &amp; Emission Factors '!$E$154:$E$242,$U$13)+SUMIFS($V$15:$V$74,$D$15:$D$74,$D56)*SUMIFS('GWP &amp; Emission Factors '!$F$154:$F$242,'GWP &amp; Emission Factors '!$E$154:$E$242,$V$13)+SUMIFS($W$15:$W$74,$D$15:$D$74,$D56)*SUMIFS('GWP &amp; Emission Factors '!$F$154:$F$242,'GWP &amp; Emission Factors '!$E$154:$E$242,$W$13)+SUMIFS($X$15:$X$74,$D$15:$D$74,$D56)*SUMIFS('GWP &amp; Emission Factors '!$F$154:$F$242,'GWP &amp; Emission Factors '!$E$154:$E$242,$X$13)+SUMIFS($Y$15:$Y$74,$D$15:$D$74,$D56)*SUMIFS('GWP &amp; Emission Factors '!$F$154:$F$242,'GWP &amp; Emission Factors '!$E$154:$E$242,$Y$13)+SUMIFS($Z$15:$Z$74,$D$15:$D$74,$D56)*SUMIFS('GWP &amp; Emission Factors '!$F$154:$F$242,'GWP &amp; Emission Factors '!$E$154:$E$242,$Z$13)+SUMIFS($AA$15:$AA$74,$D$15:$D$74,$D56)*SUMIFS('GWP &amp; Emission Factors '!$F$154:$F$242,'GWP &amp; Emission Factors '!$E$154:$E$242,$AA$13)+SUMIFS($AB$15:$AB$74,$D$15:$D$74,$D56)*SUMIFS('GWP &amp; Emission Factors '!$F$154:$F$242,'GWP &amp; Emission Factors '!$E$154:$E$242,$AB$13)/1000+SUMIFS($AC$15:$AC$74,$D$15:$D$74,$D56)*SUMIFS('GWP &amp; Emission Factors '!$F$154:$F$242,'GWP &amp; Emission Factors '!$E$154:$E$242,$AC$13))/1000</f>
        <v>0</v>
      </c>
    </row>
    <row r="57" spans="4:30" x14ac:dyDescent="0.25">
      <c r="D57" s="461" t="str">
        <f>'Project Emission Distribution'!D67</f>
        <v>AN43</v>
      </c>
      <c r="E57" s="241"/>
      <c r="F57" s="241"/>
      <c r="G57" s="241"/>
      <c r="H57" s="241"/>
      <c r="I57" s="241"/>
      <c r="J57" s="241"/>
      <c r="K57" s="241"/>
      <c r="L57" s="241"/>
      <c r="M57" s="241"/>
      <c r="N57" s="241"/>
      <c r="O57" s="241"/>
      <c r="P57" s="241"/>
      <c r="Q57" s="241"/>
      <c r="R57" s="241"/>
      <c r="S57" s="241"/>
      <c r="T57" s="241"/>
      <c r="U57" s="241"/>
      <c r="V57" s="241"/>
      <c r="W57" s="241"/>
      <c r="X57" s="241"/>
      <c r="Y57" s="241"/>
      <c r="Z57" s="241"/>
      <c r="AA57" s="241"/>
      <c r="AB57" s="241"/>
      <c r="AC57" s="241"/>
      <c r="AD57" s="711">
        <f>(SUMIFS($E$15:$E$74,$D$15:$D$74,$D57)*SUMIFS('GWP &amp; Emission Factors '!$F$154:$F$242,'GWP &amp; Emission Factors '!$E$154:$E$242,$E$13)+SUMIFS($F$15:$F$74,$D$15:$D$74,$D57)*SUMIFS('GWP &amp; Emission Factors '!$F$154:$F$242,'GWP &amp; Emission Factors '!$E$154:$E$242,$F$13)+SUMIFS($G$15:$G$74,$D$15:$D$74,$D57)*SUMIFS('GWP &amp; Emission Factors '!$F$154:$F$242,'GWP &amp; Emission Factors '!$E$154:$E$242,$G$13)+SUMIFS($H$15:$H$74,$D$15:$D$74,$D57)*SUMIFS('GWP &amp; Emission Factors '!$F$154:$F$242,'GWP &amp; Emission Factors '!$E$154:$E$242,$H$13)+SUMIFS($I$15:$I$74,$D$15:$D$74,$D57)*SUMIFS('GWP &amp; Emission Factors '!$F$154:$F$242,'GWP &amp; Emission Factors '!$E$154:$E$242,$I$13)+SUMIFS($J$15:$J$74,$D$15:$D$74,$D57)*SUMIFS('GWP &amp; Emission Factors '!$F$154:$F$242,'GWP &amp; Emission Factors '!$E$154:$E$242,$J$13)+SUMIFS($K$15:$K$74,$D$15:$D$74,$D57)*SUMIFS('GWP &amp; Emission Factors '!$F$154:$F$242,'GWP &amp; Emission Factors '!$E$154:$E$242,$K$13)+SUMIFS($L$15:$L$74,$D$15:$D$74,$D57)*SUMIFS('GWP &amp; Emission Factors '!$F$154:$F$242,'GWP &amp; Emission Factors '!$E$154:$E$242,$L$13)+SUMIFS($M$15:$M$74,$D$15:$D$74,$D57)*SUMIFS('GWP &amp; Emission Factors '!$F$154:$F$242,'GWP &amp; Emission Factors '!$E$154:$E$242,$M$13)+SUMIFS($N$15:$N$74,$D$15:$D$74,$D57)*SUMIFS('GWP &amp; Emission Factors '!$F$154:$F$242,'GWP &amp; Emission Factors '!$E$154:$E$242,$N$13)+SUMIFS($O$15:$O$74,$D$15:$D$74,$D57)*SUMIFS('GWP &amp; Emission Factors '!$F$154:$F$242,'GWP &amp; Emission Factors '!$E$154:$E$242,$O$13)+SUMIFS($P$15:$P$74,$D$15:$D$74,$D57)*SUMIFS('GWP &amp; Emission Factors '!$F$154:$F$242,'GWP &amp; Emission Factors '!$E$154:$E$242,$P$13)+SUMIFS($Q$15:$Q$74,$D$15:$D$74,$D57)*SUMIFS('GWP &amp; Emission Factors '!$F$154:$F$242,'GWP &amp; Emission Factors '!$E$154:$E$242,$Q$13)+SUMIFS($R$15:$R$74,$D$15:$D$74,$D57)*SUMIFS('GWP &amp; Emission Factors '!$F$154:$F$242,'GWP &amp; Emission Factors '!$E$154:$E$242,$R$13)+SUMIFS($S$15:$S$74,$D$15:$D$74,$D57)*SUMIFS('GWP &amp; Emission Factors '!$F$154:$F$242,'GWP &amp; Emission Factors '!$E$154:$E$242,$S$13)+SUMIFS($T$15:$T$74,$D$15:$D$74,$D57)*SUMIFS('GWP &amp; Emission Factors '!$F$154:$F$242,'GWP &amp; Emission Factors '!$E$154:$E$242,$T$13)+SUMIFS($U$15:$U$74,$D$15:$D$74,$D57)*SUMIFS('GWP &amp; Emission Factors '!$F$154:$F$242,'GWP &amp; Emission Factors '!$E$154:$E$242,$U$13)+SUMIFS($V$15:$V$74,$D$15:$D$74,$D57)*SUMIFS('GWP &amp; Emission Factors '!$F$154:$F$242,'GWP &amp; Emission Factors '!$E$154:$E$242,$V$13)+SUMIFS($W$15:$W$74,$D$15:$D$74,$D57)*SUMIFS('GWP &amp; Emission Factors '!$F$154:$F$242,'GWP &amp; Emission Factors '!$E$154:$E$242,$W$13)+SUMIFS($X$15:$X$74,$D$15:$D$74,$D57)*SUMIFS('GWP &amp; Emission Factors '!$F$154:$F$242,'GWP &amp; Emission Factors '!$E$154:$E$242,$X$13)+SUMIFS($Y$15:$Y$74,$D$15:$D$74,$D57)*SUMIFS('GWP &amp; Emission Factors '!$F$154:$F$242,'GWP &amp; Emission Factors '!$E$154:$E$242,$Y$13)+SUMIFS($Z$15:$Z$74,$D$15:$D$74,$D57)*SUMIFS('GWP &amp; Emission Factors '!$F$154:$F$242,'GWP &amp; Emission Factors '!$E$154:$E$242,$Z$13)+SUMIFS($AA$15:$AA$74,$D$15:$D$74,$D57)*SUMIFS('GWP &amp; Emission Factors '!$F$154:$F$242,'GWP &amp; Emission Factors '!$E$154:$E$242,$AA$13)+SUMIFS($AB$15:$AB$74,$D$15:$D$74,$D57)*SUMIFS('GWP &amp; Emission Factors '!$F$154:$F$242,'GWP &amp; Emission Factors '!$E$154:$E$242,$AB$13)/1000+SUMIFS($AC$15:$AC$74,$D$15:$D$74,$D57)*SUMIFS('GWP &amp; Emission Factors '!$F$154:$F$242,'GWP &amp; Emission Factors '!$E$154:$E$242,$AC$13))/1000</f>
        <v>0</v>
      </c>
    </row>
    <row r="58" spans="4:30" x14ac:dyDescent="0.25">
      <c r="D58" s="461" t="str">
        <f>'Project Emission Distribution'!D68</f>
        <v>AN44</v>
      </c>
      <c r="E58" s="466"/>
      <c r="F58" s="466"/>
      <c r="G58" s="466"/>
      <c r="H58" s="466"/>
      <c r="I58" s="466"/>
      <c r="J58" s="466"/>
      <c r="K58" s="466"/>
      <c r="L58" s="466"/>
      <c r="M58" s="466"/>
      <c r="N58" s="710"/>
      <c r="O58" s="710"/>
      <c r="P58" s="710"/>
      <c r="Q58" s="710"/>
      <c r="R58" s="710"/>
      <c r="S58" s="710"/>
      <c r="T58" s="710"/>
      <c r="U58" s="710"/>
      <c r="V58" s="710"/>
      <c r="W58" s="710"/>
      <c r="X58" s="710"/>
      <c r="Y58" s="710"/>
      <c r="Z58" s="710"/>
      <c r="AA58" s="710"/>
      <c r="AB58" s="710"/>
      <c r="AC58" s="710"/>
      <c r="AD58" s="711">
        <f>(SUMIFS($E$15:$E$74,$D$15:$D$74,$D58)*SUMIFS('GWP &amp; Emission Factors '!$F$154:$F$242,'GWP &amp; Emission Factors '!$E$154:$E$242,$E$13)+SUMIFS($F$15:$F$74,$D$15:$D$74,$D58)*SUMIFS('GWP &amp; Emission Factors '!$F$154:$F$242,'GWP &amp; Emission Factors '!$E$154:$E$242,$F$13)+SUMIFS($G$15:$G$74,$D$15:$D$74,$D58)*SUMIFS('GWP &amp; Emission Factors '!$F$154:$F$242,'GWP &amp; Emission Factors '!$E$154:$E$242,$G$13)+SUMIFS($H$15:$H$74,$D$15:$D$74,$D58)*SUMIFS('GWP &amp; Emission Factors '!$F$154:$F$242,'GWP &amp; Emission Factors '!$E$154:$E$242,$H$13)+SUMIFS($I$15:$I$74,$D$15:$D$74,$D58)*SUMIFS('GWP &amp; Emission Factors '!$F$154:$F$242,'GWP &amp; Emission Factors '!$E$154:$E$242,$I$13)+SUMIFS($J$15:$J$74,$D$15:$D$74,$D58)*SUMIFS('GWP &amp; Emission Factors '!$F$154:$F$242,'GWP &amp; Emission Factors '!$E$154:$E$242,$J$13)+SUMIFS($K$15:$K$74,$D$15:$D$74,$D58)*SUMIFS('GWP &amp; Emission Factors '!$F$154:$F$242,'GWP &amp; Emission Factors '!$E$154:$E$242,$K$13)+SUMIFS($L$15:$L$74,$D$15:$D$74,$D58)*SUMIFS('GWP &amp; Emission Factors '!$F$154:$F$242,'GWP &amp; Emission Factors '!$E$154:$E$242,$L$13)+SUMIFS($M$15:$M$74,$D$15:$D$74,$D58)*SUMIFS('GWP &amp; Emission Factors '!$F$154:$F$242,'GWP &amp; Emission Factors '!$E$154:$E$242,$M$13)+SUMIFS($N$15:$N$74,$D$15:$D$74,$D58)*SUMIFS('GWP &amp; Emission Factors '!$F$154:$F$242,'GWP &amp; Emission Factors '!$E$154:$E$242,$N$13)+SUMIFS($O$15:$O$74,$D$15:$D$74,$D58)*SUMIFS('GWP &amp; Emission Factors '!$F$154:$F$242,'GWP &amp; Emission Factors '!$E$154:$E$242,$O$13)+SUMIFS($P$15:$P$74,$D$15:$D$74,$D58)*SUMIFS('GWP &amp; Emission Factors '!$F$154:$F$242,'GWP &amp; Emission Factors '!$E$154:$E$242,$P$13)+SUMIFS($Q$15:$Q$74,$D$15:$D$74,$D58)*SUMIFS('GWP &amp; Emission Factors '!$F$154:$F$242,'GWP &amp; Emission Factors '!$E$154:$E$242,$Q$13)+SUMIFS($R$15:$R$74,$D$15:$D$74,$D58)*SUMIFS('GWP &amp; Emission Factors '!$F$154:$F$242,'GWP &amp; Emission Factors '!$E$154:$E$242,$R$13)+SUMIFS($S$15:$S$74,$D$15:$D$74,$D58)*SUMIFS('GWP &amp; Emission Factors '!$F$154:$F$242,'GWP &amp; Emission Factors '!$E$154:$E$242,$S$13)+SUMIFS($T$15:$T$74,$D$15:$D$74,$D58)*SUMIFS('GWP &amp; Emission Factors '!$F$154:$F$242,'GWP &amp; Emission Factors '!$E$154:$E$242,$T$13)+SUMIFS($U$15:$U$74,$D$15:$D$74,$D58)*SUMIFS('GWP &amp; Emission Factors '!$F$154:$F$242,'GWP &amp; Emission Factors '!$E$154:$E$242,$U$13)+SUMIFS($V$15:$V$74,$D$15:$D$74,$D58)*SUMIFS('GWP &amp; Emission Factors '!$F$154:$F$242,'GWP &amp; Emission Factors '!$E$154:$E$242,$V$13)+SUMIFS($W$15:$W$74,$D$15:$D$74,$D58)*SUMIFS('GWP &amp; Emission Factors '!$F$154:$F$242,'GWP &amp; Emission Factors '!$E$154:$E$242,$W$13)+SUMIFS($X$15:$X$74,$D$15:$D$74,$D58)*SUMIFS('GWP &amp; Emission Factors '!$F$154:$F$242,'GWP &amp; Emission Factors '!$E$154:$E$242,$X$13)+SUMIFS($Y$15:$Y$74,$D$15:$D$74,$D58)*SUMIFS('GWP &amp; Emission Factors '!$F$154:$F$242,'GWP &amp; Emission Factors '!$E$154:$E$242,$Y$13)+SUMIFS($Z$15:$Z$74,$D$15:$D$74,$D58)*SUMIFS('GWP &amp; Emission Factors '!$F$154:$F$242,'GWP &amp; Emission Factors '!$E$154:$E$242,$Z$13)+SUMIFS($AA$15:$AA$74,$D$15:$D$74,$D58)*SUMIFS('GWP &amp; Emission Factors '!$F$154:$F$242,'GWP &amp; Emission Factors '!$E$154:$E$242,$AA$13)+SUMIFS($AB$15:$AB$74,$D$15:$D$74,$D58)*SUMIFS('GWP &amp; Emission Factors '!$F$154:$F$242,'GWP &amp; Emission Factors '!$E$154:$E$242,$AB$13)/1000+SUMIFS($AC$15:$AC$74,$D$15:$D$74,$D58)*SUMIFS('GWP &amp; Emission Factors '!$F$154:$F$242,'GWP &amp; Emission Factors '!$E$154:$E$242,$AC$13))/1000</f>
        <v>0</v>
      </c>
    </row>
    <row r="59" spans="4:30" x14ac:dyDescent="0.25">
      <c r="D59" s="461" t="str">
        <f>'Project Emission Distribution'!D69</f>
        <v>AN45</v>
      </c>
      <c r="E59" s="241"/>
      <c r="F59" s="241"/>
      <c r="G59" s="241"/>
      <c r="H59" s="241"/>
      <c r="I59" s="241"/>
      <c r="J59" s="241"/>
      <c r="K59" s="241"/>
      <c r="L59" s="241"/>
      <c r="M59" s="241"/>
      <c r="N59" s="241"/>
      <c r="O59" s="241"/>
      <c r="P59" s="241"/>
      <c r="Q59" s="241"/>
      <c r="R59" s="241"/>
      <c r="S59" s="241"/>
      <c r="T59" s="241"/>
      <c r="U59" s="241"/>
      <c r="V59" s="241"/>
      <c r="W59" s="241"/>
      <c r="X59" s="241"/>
      <c r="Y59" s="241"/>
      <c r="Z59" s="241"/>
      <c r="AA59" s="241"/>
      <c r="AB59" s="241"/>
      <c r="AC59" s="241"/>
      <c r="AD59" s="711">
        <f>(SUMIFS($E$15:$E$74,$D$15:$D$74,$D59)*SUMIFS('GWP &amp; Emission Factors '!$F$154:$F$242,'GWP &amp; Emission Factors '!$E$154:$E$242,$E$13)+SUMIFS($F$15:$F$74,$D$15:$D$74,$D59)*SUMIFS('GWP &amp; Emission Factors '!$F$154:$F$242,'GWP &amp; Emission Factors '!$E$154:$E$242,$F$13)+SUMIFS($G$15:$G$74,$D$15:$D$74,$D59)*SUMIFS('GWP &amp; Emission Factors '!$F$154:$F$242,'GWP &amp; Emission Factors '!$E$154:$E$242,$G$13)+SUMIFS($H$15:$H$74,$D$15:$D$74,$D59)*SUMIFS('GWP &amp; Emission Factors '!$F$154:$F$242,'GWP &amp; Emission Factors '!$E$154:$E$242,$H$13)+SUMIFS($I$15:$I$74,$D$15:$D$74,$D59)*SUMIFS('GWP &amp; Emission Factors '!$F$154:$F$242,'GWP &amp; Emission Factors '!$E$154:$E$242,$I$13)+SUMIFS($J$15:$J$74,$D$15:$D$74,$D59)*SUMIFS('GWP &amp; Emission Factors '!$F$154:$F$242,'GWP &amp; Emission Factors '!$E$154:$E$242,$J$13)+SUMIFS($K$15:$K$74,$D$15:$D$74,$D59)*SUMIFS('GWP &amp; Emission Factors '!$F$154:$F$242,'GWP &amp; Emission Factors '!$E$154:$E$242,$K$13)+SUMIFS($L$15:$L$74,$D$15:$D$74,$D59)*SUMIFS('GWP &amp; Emission Factors '!$F$154:$F$242,'GWP &amp; Emission Factors '!$E$154:$E$242,$L$13)+SUMIFS($M$15:$M$74,$D$15:$D$74,$D59)*SUMIFS('GWP &amp; Emission Factors '!$F$154:$F$242,'GWP &amp; Emission Factors '!$E$154:$E$242,$M$13)+SUMIFS($N$15:$N$74,$D$15:$D$74,$D59)*SUMIFS('GWP &amp; Emission Factors '!$F$154:$F$242,'GWP &amp; Emission Factors '!$E$154:$E$242,$N$13)+SUMIFS($O$15:$O$74,$D$15:$D$74,$D59)*SUMIFS('GWP &amp; Emission Factors '!$F$154:$F$242,'GWP &amp; Emission Factors '!$E$154:$E$242,$O$13)+SUMIFS($P$15:$P$74,$D$15:$D$74,$D59)*SUMIFS('GWP &amp; Emission Factors '!$F$154:$F$242,'GWP &amp; Emission Factors '!$E$154:$E$242,$P$13)+SUMIFS($Q$15:$Q$74,$D$15:$D$74,$D59)*SUMIFS('GWP &amp; Emission Factors '!$F$154:$F$242,'GWP &amp; Emission Factors '!$E$154:$E$242,$Q$13)+SUMIFS($R$15:$R$74,$D$15:$D$74,$D59)*SUMIFS('GWP &amp; Emission Factors '!$F$154:$F$242,'GWP &amp; Emission Factors '!$E$154:$E$242,$R$13)+SUMIFS($S$15:$S$74,$D$15:$D$74,$D59)*SUMIFS('GWP &amp; Emission Factors '!$F$154:$F$242,'GWP &amp; Emission Factors '!$E$154:$E$242,$S$13)+SUMIFS($T$15:$T$74,$D$15:$D$74,$D59)*SUMIFS('GWP &amp; Emission Factors '!$F$154:$F$242,'GWP &amp; Emission Factors '!$E$154:$E$242,$T$13)+SUMIFS($U$15:$U$74,$D$15:$D$74,$D59)*SUMIFS('GWP &amp; Emission Factors '!$F$154:$F$242,'GWP &amp; Emission Factors '!$E$154:$E$242,$U$13)+SUMIFS($V$15:$V$74,$D$15:$D$74,$D59)*SUMIFS('GWP &amp; Emission Factors '!$F$154:$F$242,'GWP &amp; Emission Factors '!$E$154:$E$242,$V$13)+SUMIFS($W$15:$W$74,$D$15:$D$74,$D59)*SUMIFS('GWP &amp; Emission Factors '!$F$154:$F$242,'GWP &amp; Emission Factors '!$E$154:$E$242,$W$13)+SUMIFS($X$15:$X$74,$D$15:$D$74,$D59)*SUMIFS('GWP &amp; Emission Factors '!$F$154:$F$242,'GWP &amp; Emission Factors '!$E$154:$E$242,$X$13)+SUMIFS($Y$15:$Y$74,$D$15:$D$74,$D59)*SUMIFS('GWP &amp; Emission Factors '!$F$154:$F$242,'GWP &amp; Emission Factors '!$E$154:$E$242,$Y$13)+SUMIFS($Z$15:$Z$74,$D$15:$D$74,$D59)*SUMIFS('GWP &amp; Emission Factors '!$F$154:$F$242,'GWP &amp; Emission Factors '!$E$154:$E$242,$Z$13)+SUMIFS($AA$15:$AA$74,$D$15:$D$74,$D59)*SUMIFS('GWP &amp; Emission Factors '!$F$154:$F$242,'GWP &amp; Emission Factors '!$E$154:$E$242,$AA$13)+SUMIFS($AB$15:$AB$74,$D$15:$D$74,$D59)*SUMIFS('GWP &amp; Emission Factors '!$F$154:$F$242,'GWP &amp; Emission Factors '!$E$154:$E$242,$AB$13)/1000+SUMIFS($AC$15:$AC$74,$D$15:$D$74,$D59)*SUMIFS('GWP &amp; Emission Factors '!$F$154:$F$242,'GWP &amp; Emission Factors '!$E$154:$E$242,$AC$13))/1000</f>
        <v>0</v>
      </c>
    </row>
    <row r="60" spans="4:30" x14ac:dyDescent="0.25">
      <c r="D60" s="461" t="str">
        <f>'Project Emission Distribution'!D70</f>
        <v>AN46</v>
      </c>
      <c r="E60" s="466"/>
      <c r="F60" s="466"/>
      <c r="G60" s="466"/>
      <c r="H60" s="466"/>
      <c r="I60" s="466"/>
      <c r="J60" s="466"/>
      <c r="K60" s="466"/>
      <c r="L60" s="466"/>
      <c r="M60" s="466"/>
      <c r="N60" s="710"/>
      <c r="O60" s="710"/>
      <c r="P60" s="710"/>
      <c r="Q60" s="710"/>
      <c r="R60" s="710"/>
      <c r="S60" s="710"/>
      <c r="T60" s="710"/>
      <c r="U60" s="710"/>
      <c r="V60" s="710"/>
      <c r="W60" s="710"/>
      <c r="X60" s="710"/>
      <c r="Y60" s="710"/>
      <c r="Z60" s="710"/>
      <c r="AA60" s="710"/>
      <c r="AB60" s="710"/>
      <c r="AC60" s="710"/>
      <c r="AD60" s="711">
        <f>(SUMIFS($E$15:$E$74,$D$15:$D$74,$D60)*SUMIFS('GWP &amp; Emission Factors '!$F$154:$F$242,'GWP &amp; Emission Factors '!$E$154:$E$242,$E$13)+SUMIFS($F$15:$F$74,$D$15:$D$74,$D60)*SUMIFS('GWP &amp; Emission Factors '!$F$154:$F$242,'GWP &amp; Emission Factors '!$E$154:$E$242,$F$13)+SUMIFS($G$15:$G$74,$D$15:$D$74,$D60)*SUMIFS('GWP &amp; Emission Factors '!$F$154:$F$242,'GWP &amp; Emission Factors '!$E$154:$E$242,$G$13)+SUMIFS($H$15:$H$74,$D$15:$D$74,$D60)*SUMIFS('GWP &amp; Emission Factors '!$F$154:$F$242,'GWP &amp; Emission Factors '!$E$154:$E$242,$H$13)+SUMIFS($I$15:$I$74,$D$15:$D$74,$D60)*SUMIFS('GWP &amp; Emission Factors '!$F$154:$F$242,'GWP &amp; Emission Factors '!$E$154:$E$242,$I$13)+SUMIFS($J$15:$J$74,$D$15:$D$74,$D60)*SUMIFS('GWP &amp; Emission Factors '!$F$154:$F$242,'GWP &amp; Emission Factors '!$E$154:$E$242,$J$13)+SUMIFS($K$15:$K$74,$D$15:$D$74,$D60)*SUMIFS('GWP &amp; Emission Factors '!$F$154:$F$242,'GWP &amp; Emission Factors '!$E$154:$E$242,$K$13)+SUMIFS($L$15:$L$74,$D$15:$D$74,$D60)*SUMIFS('GWP &amp; Emission Factors '!$F$154:$F$242,'GWP &amp; Emission Factors '!$E$154:$E$242,$L$13)+SUMIFS($M$15:$M$74,$D$15:$D$74,$D60)*SUMIFS('GWP &amp; Emission Factors '!$F$154:$F$242,'GWP &amp; Emission Factors '!$E$154:$E$242,$M$13)+SUMIFS($N$15:$N$74,$D$15:$D$74,$D60)*SUMIFS('GWP &amp; Emission Factors '!$F$154:$F$242,'GWP &amp; Emission Factors '!$E$154:$E$242,$N$13)+SUMIFS($O$15:$O$74,$D$15:$D$74,$D60)*SUMIFS('GWP &amp; Emission Factors '!$F$154:$F$242,'GWP &amp; Emission Factors '!$E$154:$E$242,$O$13)+SUMIFS($P$15:$P$74,$D$15:$D$74,$D60)*SUMIFS('GWP &amp; Emission Factors '!$F$154:$F$242,'GWP &amp; Emission Factors '!$E$154:$E$242,$P$13)+SUMIFS($Q$15:$Q$74,$D$15:$D$74,$D60)*SUMIFS('GWP &amp; Emission Factors '!$F$154:$F$242,'GWP &amp; Emission Factors '!$E$154:$E$242,$Q$13)+SUMIFS($R$15:$R$74,$D$15:$D$74,$D60)*SUMIFS('GWP &amp; Emission Factors '!$F$154:$F$242,'GWP &amp; Emission Factors '!$E$154:$E$242,$R$13)+SUMIFS($S$15:$S$74,$D$15:$D$74,$D60)*SUMIFS('GWP &amp; Emission Factors '!$F$154:$F$242,'GWP &amp; Emission Factors '!$E$154:$E$242,$S$13)+SUMIFS($T$15:$T$74,$D$15:$D$74,$D60)*SUMIFS('GWP &amp; Emission Factors '!$F$154:$F$242,'GWP &amp; Emission Factors '!$E$154:$E$242,$T$13)+SUMIFS($U$15:$U$74,$D$15:$D$74,$D60)*SUMIFS('GWP &amp; Emission Factors '!$F$154:$F$242,'GWP &amp; Emission Factors '!$E$154:$E$242,$U$13)+SUMIFS($V$15:$V$74,$D$15:$D$74,$D60)*SUMIFS('GWP &amp; Emission Factors '!$F$154:$F$242,'GWP &amp; Emission Factors '!$E$154:$E$242,$V$13)+SUMIFS($W$15:$W$74,$D$15:$D$74,$D60)*SUMIFS('GWP &amp; Emission Factors '!$F$154:$F$242,'GWP &amp; Emission Factors '!$E$154:$E$242,$W$13)+SUMIFS($X$15:$X$74,$D$15:$D$74,$D60)*SUMIFS('GWP &amp; Emission Factors '!$F$154:$F$242,'GWP &amp; Emission Factors '!$E$154:$E$242,$X$13)+SUMIFS($Y$15:$Y$74,$D$15:$D$74,$D60)*SUMIFS('GWP &amp; Emission Factors '!$F$154:$F$242,'GWP &amp; Emission Factors '!$E$154:$E$242,$Y$13)+SUMIFS($Z$15:$Z$74,$D$15:$D$74,$D60)*SUMIFS('GWP &amp; Emission Factors '!$F$154:$F$242,'GWP &amp; Emission Factors '!$E$154:$E$242,$Z$13)+SUMIFS($AA$15:$AA$74,$D$15:$D$74,$D60)*SUMIFS('GWP &amp; Emission Factors '!$F$154:$F$242,'GWP &amp; Emission Factors '!$E$154:$E$242,$AA$13)+SUMIFS($AB$15:$AB$74,$D$15:$D$74,$D60)*SUMIFS('GWP &amp; Emission Factors '!$F$154:$F$242,'GWP &amp; Emission Factors '!$E$154:$E$242,$AB$13)/1000+SUMIFS($AC$15:$AC$74,$D$15:$D$74,$D60)*SUMIFS('GWP &amp; Emission Factors '!$F$154:$F$242,'GWP &amp; Emission Factors '!$E$154:$E$242,$AC$13))/1000</f>
        <v>0</v>
      </c>
    </row>
    <row r="61" spans="4:30" x14ac:dyDescent="0.25">
      <c r="D61" s="461" t="str">
        <f>'Project Emission Distribution'!D71</f>
        <v>AN47</v>
      </c>
      <c r="E61" s="241"/>
      <c r="F61" s="241"/>
      <c r="G61" s="241"/>
      <c r="H61" s="241"/>
      <c r="I61" s="241"/>
      <c r="J61" s="241"/>
      <c r="K61" s="241"/>
      <c r="L61" s="241"/>
      <c r="M61" s="241"/>
      <c r="N61" s="241"/>
      <c r="O61" s="241"/>
      <c r="P61" s="241"/>
      <c r="Q61" s="241"/>
      <c r="R61" s="241"/>
      <c r="S61" s="241"/>
      <c r="T61" s="241"/>
      <c r="U61" s="241"/>
      <c r="V61" s="241"/>
      <c r="W61" s="241"/>
      <c r="X61" s="241"/>
      <c r="Y61" s="241"/>
      <c r="Z61" s="241"/>
      <c r="AA61" s="241"/>
      <c r="AB61" s="241"/>
      <c r="AC61" s="241"/>
      <c r="AD61" s="711">
        <f>(SUMIFS($E$15:$E$74,$D$15:$D$74,$D61)*SUMIFS('GWP &amp; Emission Factors '!$F$154:$F$242,'GWP &amp; Emission Factors '!$E$154:$E$242,$E$13)+SUMIFS($F$15:$F$74,$D$15:$D$74,$D61)*SUMIFS('GWP &amp; Emission Factors '!$F$154:$F$242,'GWP &amp; Emission Factors '!$E$154:$E$242,$F$13)+SUMIFS($G$15:$G$74,$D$15:$D$74,$D61)*SUMIFS('GWP &amp; Emission Factors '!$F$154:$F$242,'GWP &amp; Emission Factors '!$E$154:$E$242,$G$13)+SUMIFS($H$15:$H$74,$D$15:$D$74,$D61)*SUMIFS('GWP &amp; Emission Factors '!$F$154:$F$242,'GWP &amp; Emission Factors '!$E$154:$E$242,$H$13)+SUMIFS($I$15:$I$74,$D$15:$D$74,$D61)*SUMIFS('GWP &amp; Emission Factors '!$F$154:$F$242,'GWP &amp; Emission Factors '!$E$154:$E$242,$I$13)+SUMIFS($J$15:$J$74,$D$15:$D$74,$D61)*SUMIFS('GWP &amp; Emission Factors '!$F$154:$F$242,'GWP &amp; Emission Factors '!$E$154:$E$242,$J$13)+SUMIFS($K$15:$K$74,$D$15:$D$74,$D61)*SUMIFS('GWP &amp; Emission Factors '!$F$154:$F$242,'GWP &amp; Emission Factors '!$E$154:$E$242,$K$13)+SUMIFS($L$15:$L$74,$D$15:$D$74,$D61)*SUMIFS('GWP &amp; Emission Factors '!$F$154:$F$242,'GWP &amp; Emission Factors '!$E$154:$E$242,$L$13)+SUMIFS($M$15:$M$74,$D$15:$D$74,$D61)*SUMIFS('GWP &amp; Emission Factors '!$F$154:$F$242,'GWP &amp; Emission Factors '!$E$154:$E$242,$M$13)+SUMIFS($N$15:$N$74,$D$15:$D$74,$D61)*SUMIFS('GWP &amp; Emission Factors '!$F$154:$F$242,'GWP &amp; Emission Factors '!$E$154:$E$242,$N$13)+SUMIFS($O$15:$O$74,$D$15:$D$74,$D61)*SUMIFS('GWP &amp; Emission Factors '!$F$154:$F$242,'GWP &amp; Emission Factors '!$E$154:$E$242,$O$13)+SUMIFS($P$15:$P$74,$D$15:$D$74,$D61)*SUMIFS('GWP &amp; Emission Factors '!$F$154:$F$242,'GWP &amp; Emission Factors '!$E$154:$E$242,$P$13)+SUMIFS($Q$15:$Q$74,$D$15:$D$74,$D61)*SUMIFS('GWP &amp; Emission Factors '!$F$154:$F$242,'GWP &amp; Emission Factors '!$E$154:$E$242,$Q$13)+SUMIFS($R$15:$R$74,$D$15:$D$74,$D61)*SUMIFS('GWP &amp; Emission Factors '!$F$154:$F$242,'GWP &amp; Emission Factors '!$E$154:$E$242,$R$13)+SUMIFS($S$15:$S$74,$D$15:$D$74,$D61)*SUMIFS('GWP &amp; Emission Factors '!$F$154:$F$242,'GWP &amp; Emission Factors '!$E$154:$E$242,$S$13)+SUMIFS($T$15:$T$74,$D$15:$D$74,$D61)*SUMIFS('GWP &amp; Emission Factors '!$F$154:$F$242,'GWP &amp; Emission Factors '!$E$154:$E$242,$T$13)+SUMIFS($U$15:$U$74,$D$15:$D$74,$D61)*SUMIFS('GWP &amp; Emission Factors '!$F$154:$F$242,'GWP &amp; Emission Factors '!$E$154:$E$242,$U$13)+SUMIFS($V$15:$V$74,$D$15:$D$74,$D61)*SUMIFS('GWP &amp; Emission Factors '!$F$154:$F$242,'GWP &amp; Emission Factors '!$E$154:$E$242,$V$13)+SUMIFS($W$15:$W$74,$D$15:$D$74,$D61)*SUMIFS('GWP &amp; Emission Factors '!$F$154:$F$242,'GWP &amp; Emission Factors '!$E$154:$E$242,$W$13)+SUMIFS($X$15:$X$74,$D$15:$D$74,$D61)*SUMIFS('GWP &amp; Emission Factors '!$F$154:$F$242,'GWP &amp; Emission Factors '!$E$154:$E$242,$X$13)+SUMIFS($Y$15:$Y$74,$D$15:$D$74,$D61)*SUMIFS('GWP &amp; Emission Factors '!$F$154:$F$242,'GWP &amp; Emission Factors '!$E$154:$E$242,$Y$13)+SUMIFS($Z$15:$Z$74,$D$15:$D$74,$D61)*SUMIFS('GWP &amp; Emission Factors '!$F$154:$F$242,'GWP &amp; Emission Factors '!$E$154:$E$242,$Z$13)+SUMIFS($AA$15:$AA$74,$D$15:$D$74,$D61)*SUMIFS('GWP &amp; Emission Factors '!$F$154:$F$242,'GWP &amp; Emission Factors '!$E$154:$E$242,$AA$13)+SUMIFS($AB$15:$AB$74,$D$15:$D$74,$D61)*SUMIFS('GWP &amp; Emission Factors '!$F$154:$F$242,'GWP &amp; Emission Factors '!$E$154:$E$242,$AB$13)/1000+SUMIFS($AC$15:$AC$74,$D$15:$D$74,$D61)*SUMIFS('GWP &amp; Emission Factors '!$F$154:$F$242,'GWP &amp; Emission Factors '!$E$154:$E$242,$AC$13))/1000</f>
        <v>0</v>
      </c>
    </row>
    <row r="62" spans="4:30" x14ac:dyDescent="0.25">
      <c r="D62" s="461" t="str">
        <f>'Project Emission Distribution'!D72</f>
        <v>AN48</v>
      </c>
      <c r="E62" s="466"/>
      <c r="F62" s="466"/>
      <c r="G62" s="466"/>
      <c r="H62" s="466"/>
      <c r="I62" s="466"/>
      <c r="J62" s="466"/>
      <c r="K62" s="466"/>
      <c r="L62" s="466"/>
      <c r="M62" s="466"/>
      <c r="N62" s="710"/>
      <c r="O62" s="710"/>
      <c r="P62" s="710"/>
      <c r="Q62" s="710"/>
      <c r="R62" s="710"/>
      <c r="S62" s="710"/>
      <c r="T62" s="710"/>
      <c r="U62" s="710"/>
      <c r="V62" s="710"/>
      <c r="W62" s="710"/>
      <c r="X62" s="710"/>
      <c r="Y62" s="710"/>
      <c r="Z62" s="710"/>
      <c r="AA62" s="710"/>
      <c r="AB62" s="710"/>
      <c r="AC62" s="710"/>
      <c r="AD62" s="711">
        <f>(SUMIFS($E$15:$E$74,$D$15:$D$74,$D62)*SUMIFS('GWP &amp; Emission Factors '!$F$154:$F$242,'GWP &amp; Emission Factors '!$E$154:$E$242,$E$13)+SUMIFS($F$15:$F$74,$D$15:$D$74,$D62)*SUMIFS('GWP &amp; Emission Factors '!$F$154:$F$242,'GWP &amp; Emission Factors '!$E$154:$E$242,$F$13)+SUMIFS($G$15:$G$74,$D$15:$D$74,$D62)*SUMIFS('GWP &amp; Emission Factors '!$F$154:$F$242,'GWP &amp; Emission Factors '!$E$154:$E$242,$G$13)+SUMIFS($H$15:$H$74,$D$15:$D$74,$D62)*SUMIFS('GWP &amp; Emission Factors '!$F$154:$F$242,'GWP &amp; Emission Factors '!$E$154:$E$242,$H$13)+SUMIFS($I$15:$I$74,$D$15:$D$74,$D62)*SUMIFS('GWP &amp; Emission Factors '!$F$154:$F$242,'GWP &amp; Emission Factors '!$E$154:$E$242,$I$13)+SUMIFS($J$15:$J$74,$D$15:$D$74,$D62)*SUMIFS('GWP &amp; Emission Factors '!$F$154:$F$242,'GWP &amp; Emission Factors '!$E$154:$E$242,$J$13)+SUMIFS($K$15:$K$74,$D$15:$D$74,$D62)*SUMIFS('GWP &amp; Emission Factors '!$F$154:$F$242,'GWP &amp; Emission Factors '!$E$154:$E$242,$K$13)+SUMIFS($L$15:$L$74,$D$15:$D$74,$D62)*SUMIFS('GWP &amp; Emission Factors '!$F$154:$F$242,'GWP &amp; Emission Factors '!$E$154:$E$242,$L$13)+SUMIFS($M$15:$M$74,$D$15:$D$74,$D62)*SUMIFS('GWP &amp; Emission Factors '!$F$154:$F$242,'GWP &amp; Emission Factors '!$E$154:$E$242,$M$13)+SUMIFS($N$15:$N$74,$D$15:$D$74,$D62)*SUMIFS('GWP &amp; Emission Factors '!$F$154:$F$242,'GWP &amp; Emission Factors '!$E$154:$E$242,$N$13)+SUMIFS($O$15:$O$74,$D$15:$D$74,$D62)*SUMIFS('GWP &amp; Emission Factors '!$F$154:$F$242,'GWP &amp; Emission Factors '!$E$154:$E$242,$O$13)+SUMIFS($P$15:$P$74,$D$15:$D$74,$D62)*SUMIFS('GWP &amp; Emission Factors '!$F$154:$F$242,'GWP &amp; Emission Factors '!$E$154:$E$242,$P$13)+SUMIFS($Q$15:$Q$74,$D$15:$D$74,$D62)*SUMIFS('GWP &amp; Emission Factors '!$F$154:$F$242,'GWP &amp; Emission Factors '!$E$154:$E$242,$Q$13)+SUMIFS($R$15:$R$74,$D$15:$D$74,$D62)*SUMIFS('GWP &amp; Emission Factors '!$F$154:$F$242,'GWP &amp; Emission Factors '!$E$154:$E$242,$R$13)+SUMIFS($S$15:$S$74,$D$15:$D$74,$D62)*SUMIFS('GWP &amp; Emission Factors '!$F$154:$F$242,'GWP &amp; Emission Factors '!$E$154:$E$242,$S$13)+SUMIFS($T$15:$T$74,$D$15:$D$74,$D62)*SUMIFS('GWP &amp; Emission Factors '!$F$154:$F$242,'GWP &amp; Emission Factors '!$E$154:$E$242,$T$13)+SUMIFS($U$15:$U$74,$D$15:$D$74,$D62)*SUMIFS('GWP &amp; Emission Factors '!$F$154:$F$242,'GWP &amp; Emission Factors '!$E$154:$E$242,$U$13)+SUMIFS($V$15:$V$74,$D$15:$D$74,$D62)*SUMIFS('GWP &amp; Emission Factors '!$F$154:$F$242,'GWP &amp; Emission Factors '!$E$154:$E$242,$V$13)+SUMIFS($W$15:$W$74,$D$15:$D$74,$D62)*SUMIFS('GWP &amp; Emission Factors '!$F$154:$F$242,'GWP &amp; Emission Factors '!$E$154:$E$242,$W$13)+SUMIFS($X$15:$X$74,$D$15:$D$74,$D62)*SUMIFS('GWP &amp; Emission Factors '!$F$154:$F$242,'GWP &amp; Emission Factors '!$E$154:$E$242,$X$13)+SUMIFS($Y$15:$Y$74,$D$15:$D$74,$D62)*SUMIFS('GWP &amp; Emission Factors '!$F$154:$F$242,'GWP &amp; Emission Factors '!$E$154:$E$242,$Y$13)+SUMIFS($Z$15:$Z$74,$D$15:$D$74,$D62)*SUMIFS('GWP &amp; Emission Factors '!$F$154:$F$242,'GWP &amp; Emission Factors '!$E$154:$E$242,$Z$13)+SUMIFS($AA$15:$AA$74,$D$15:$D$74,$D62)*SUMIFS('GWP &amp; Emission Factors '!$F$154:$F$242,'GWP &amp; Emission Factors '!$E$154:$E$242,$AA$13)+SUMIFS($AB$15:$AB$74,$D$15:$D$74,$D62)*SUMIFS('GWP &amp; Emission Factors '!$F$154:$F$242,'GWP &amp; Emission Factors '!$E$154:$E$242,$AB$13)/1000+SUMIFS($AC$15:$AC$74,$D$15:$D$74,$D62)*SUMIFS('GWP &amp; Emission Factors '!$F$154:$F$242,'GWP &amp; Emission Factors '!$E$154:$E$242,$AC$13))/1000</f>
        <v>0</v>
      </c>
    </row>
    <row r="63" spans="4:30" x14ac:dyDescent="0.25">
      <c r="D63" s="461" t="str">
        <f>'Project Emission Distribution'!D73</f>
        <v>AN49</v>
      </c>
      <c r="E63" s="241"/>
      <c r="F63" s="241"/>
      <c r="G63" s="241"/>
      <c r="H63" s="241"/>
      <c r="I63" s="241"/>
      <c r="J63" s="241"/>
      <c r="K63" s="241"/>
      <c r="L63" s="241"/>
      <c r="M63" s="241"/>
      <c r="N63" s="241"/>
      <c r="O63" s="241"/>
      <c r="P63" s="241"/>
      <c r="Q63" s="241"/>
      <c r="R63" s="241"/>
      <c r="S63" s="241"/>
      <c r="T63" s="241"/>
      <c r="U63" s="241"/>
      <c r="V63" s="241"/>
      <c r="W63" s="241"/>
      <c r="X63" s="241"/>
      <c r="Y63" s="241"/>
      <c r="Z63" s="241"/>
      <c r="AA63" s="241"/>
      <c r="AB63" s="241"/>
      <c r="AC63" s="241"/>
      <c r="AD63" s="711">
        <f>(SUMIFS($E$15:$E$74,$D$15:$D$74,$D63)*SUMIFS('GWP &amp; Emission Factors '!$F$154:$F$242,'GWP &amp; Emission Factors '!$E$154:$E$242,$E$13)+SUMIFS($F$15:$F$74,$D$15:$D$74,$D63)*SUMIFS('GWP &amp; Emission Factors '!$F$154:$F$242,'GWP &amp; Emission Factors '!$E$154:$E$242,$F$13)+SUMIFS($G$15:$G$74,$D$15:$D$74,$D63)*SUMIFS('GWP &amp; Emission Factors '!$F$154:$F$242,'GWP &amp; Emission Factors '!$E$154:$E$242,$G$13)+SUMIFS($H$15:$H$74,$D$15:$D$74,$D63)*SUMIFS('GWP &amp; Emission Factors '!$F$154:$F$242,'GWP &amp; Emission Factors '!$E$154:$E$242,$H$13)+SUMIFS($I$15:$I$74,$D$15:$D$74,$D63)*SUMIFS('GWP &amp; Emission Factors '!$F$154:$F$242,'GWP &amp; Emission Factors '!$E$154:$E$242,$I$13)+SUMIFS($J$15:$J$74,$D$15:$D$74,$D63)*SUMIFS('GWP &amp; Emission Factors '!$F$154:$F$242,'GWP &amp; Emission Factors '!$E$154:$E$242,$J$13)+SUMIFS($K$15:$K$74,$D$15:$D$74,$D63)*SUMIFS('GWP &amp; Emission Factors '!$F$154:$F$242,'GWP &amp; Emission Factors '!$E$154:$E$242,$K$13)+SUMIFS($L$15:$L$74,$D$15:$D$74,$D63)*SUMIFS('GWP &amp; Emission Factors '!$F$154:$F$242,'GWP &amp; Emission Factors '!$E$154:$E$242,$L$13)+SUMIFS($M$15:$M$74,$D$15:$D$74,$D63)*SUMIFS('GWP &amp; Emission Factors '!$F$154:$F$242,'GWP &amp; Emission Factors '!$E$154:$E$242,$M$13)+SUMIFS($N$15:$N$74,$D$15:$D$74,$D63)*SUMIFS('GWP &amp; Emission Factors '!$F$154:$F$242,'GWP &amp; Emission Factors '!$E$154:$E$242,$N$13)+SUMIFS($O$15:$O$74,$D$15:$D$74,$D63)*SUMIFS('GWP &amp; Emission Factors '!$F$154:$F$242,'GWP &amp; Emission Factors '!$E$154:$E$242,$O$13)+SUMIFS($P$15:$P$74,$D$15:$D$74,$D63)*SUMIFS('GWP &amp; Emission Factors '!$F$154:$F$242,'GWP &amp; Emission Factors '!$E$154:$E$242,$P$13)+SUMIFS($Q$15:$Q$74,$D$15:$D$74,$D63)*SUMIFS('GWP &amp; Emission Factors '!$F$154:$F$242,'GWP &amp; Emission Factors '!$E$154:$E$242,$Q$13)+SUMIFS($R$15:$R$74,$D$15:$D$74,$D63)*SUMIFS('GWP &amp; Emission Factors '!$F$154:$F$242,'GWP &amp; Emission Factors '!$E$154:$E$242,$R$13)+SUMIFS($S$15:$S$74,$D$15:$D$74,$D63)*SUMIFS('GWP &amp; Emission Factors '!$F$154:$F$242,'GWP &amp; Emission Factors '!$E$154:$E$242,$S$13)+SUMIFS($T$15:$T$74,$D$15:$D$74,$D63)*SUMIFS('GWP &amp; Emission Factors '!$F$154:$F$242,'GWP &amp; Emission Factors '!$E$154:$E$242,$T$13)+SUMIFS($U$15:$U$74,$D$15:$D$74,$D63)*SUMIFS('GWP &amp; Emission Factors '!$F$154:$F$242,'GWP &amp; Emission Factors '!$E$154:$E$242,$U$13)+SUMIFS($V$15:$V$74,$D$15:$D$74,$D63)*SUMIFS('GWP &amp; Emission Factors '!$F$154:$F$242,'GWP &amp; Emission Factors '!$E$154:$E$242,$V$13)+SUMIFS($W$15:$W$74,$D$15:$D$74,$D63)*SUMIFS('GWP &amp; Emission Factors '!$F$154:$F$242,'GWP &amp; Emission Factors '!$E$154:$E$242,$W$13)+SUMIFS($X$15:$X$74,$D$15:$D$74,$D63)*SUMIFS('GWP &amp; Emission Factors '!$F$154:$F$242,'GWP &amp; Emission Factors '!$E$154:$E$242,$X$13)+SUMIFS($Y$15:$Y$74,$D$15:$D$74,$D63)*SUMIFS('GWP &amp; Emission Factors '!$F$154:$F$242,'GWP &amp; Emission Factors '!$E$154:$E$242,$Y$13)+SUMIFS($Z$15:$Z$74,$D$15:$D$74,$D63)*SUMIFS('GWP &amp; Emission Factors '!$F$154:$F$242,'GWP &amp; Emission Factors '!$E$154:$E$242,$Z$13)+SUMIFS($AA$15:$AA$74,$D$15:$D$74,$D63)*SUMIFS('GWP &amp; Emission Factors '!$F$154:$F$242,'GWP &amp; Emission Factors '!$E$154:$E$242,$AA$13)+SUMIFS($AB$15:$AB$74,$D$15:$D$74,$D63)*SUMIFS('GWP &amp; Emission Factors '!$F$154:$F$242,'GWP &amp; Emission Factors '!$E$154:$E$242,$AB$13)/1000+SUMIFS($AC$15:$AC$74,$D$15:$D$74,$D63)*SUMIFS('GWP &amp; Emission Factors '!$F$154:$F$242,'GWP &amp; Emission Factors '!$E$154:$E$242,$AC$13))/1000</f>
        <v>0</v>
      </c>
    </row>
    <row r="64" spans="4:30" x14ac:dyDescent="0.25">
      <c r="D64" s="461" t="str">
        <f>'Project Emission Distribution'!D74</f>
        <v>AN50</v>
      </c>
      <c r="E64" s="466"/>
      <c r="F64" s="466"/>
      <c r="G64" s="466"/>
      <c r="H64" s="466"/>
      <c r="I64" s="466"/>
      <c r="J64" s="466"/>
      <c r="K64" s="466"/>
      <c r="L64" s="466"/>
      <c r="M64" s="466"/>
      <c r="N64" s="710"/>
      <c r="O64" s="710"/>
      <c r="P64" s="710"/>
      <c r="Q64" s="710"/>
      <c r="R64" s="710"/>
      <c r="S64" s="710"/>
      <c r="T64" s="710"/>
      <c r="U64" s="710"/>
      <c r="V64" s="710"/>
      <c r="W64" s="710"/>
      <c r="X64" s="710"/>
      <c r="Y64" s="710"/>
      <c r="Z64" s="710"/>
      <c r="AA64" s="710"/>
      <c r="AB64" s="710"/>
      <c r="AC64" s="710"/>
      <c r="AD64" s="711">
        <f>(SUMIFS($E$15:$E$74,$D$15:$D$74,$D64)*SUMIFS('GWP &amp; Emission Factors '!$F$154:$F$242,'GWP &amp; Emission Factors '!$E$154:$E$242,$E$13)+SUMIFS($F$15:$F$74,$D$15:$D$74,$D64)*SUMIFS('GWP &amp; Emission Factors '!$F$154:$F$242,'GWP &amp; Emission Factors '!$E$154:$E$242,$F$13)+SUMIFS($G$15:$G$74,$D$15:$D$74,$D64)*SUMIFS('GWP &amp; Emission Factors '!$F$154:$F$242,'GWP &amp; Emission Factors '!$E$154:$E$242,$G$13)+SUMIFS($H$15:$H$74,$D$15:$D$74,$D64)*SUMIFS('GWP &amp; Emission Factors '!$F$154:$F$242,'GWP &amp; Emission Factors '!$E$154:$E$242,$H$13)+SUMIFS($I$15:$I$74,$D$15:$D$74,$D64)*SUMIFS('GWP &amp; Emission Factors '!$F$154:$F$242,'GWP &amp; Emission Factors '!$E$154:$E$242,$I$13)+SUMIFS($J$15:$J$74,$D$15:$D$74,$D64)*SUMIFS('GWP &amp; Emission Factors '!$F$154:$F$242,'GWP &amp; Emission Factors '!$E$154:$E$242,$J$13)+SUMIFS($K$15:$K$74,$D$15:$D$74,$D64)*SUMIFS('GWP &amp; Emission Factors '!$F$154:$F$242,'GWP &amp; Emission Factors '!$E$154:$E$242,$K$13)+SUMIFS($L$15:$L$74,$D$15:$D$74,$D64)*SUMIFS('GWP &amp; Emission Factors '!$F$154:$F$242,'GWP &amp; Emission Factors '!$E$154:$E$242,$L$13)+SUMIFS($M$15:$M$74,$D$15:$D$74,$D64)*SUMIFS('GWP &amp; Emission Factors '!$F$154:$F$242,'GWP &amp; Emission Factors '!$E$154:$E$242,$M$13)+SUMIFS($N$15:$N$74,$D$15:$D$74,$D64)*SUMIFS('GWP &amp; Emission Factors '!$F$154:$F$242,'GWP &amp; Emission Factors '!$E$154:$E$242,$N$13)+SUMIFS($O$15:$O$74,$D$15:$D$74,$D64)*SUMIFS('GWP &amp; Emission Factors '!$F$154:$F$242,'GWP &amp; Emission Factors '!$E$154:$E$242,$O$13)+SUMIFS($P$15:$P$74,$D$15:$D$74,$D64)*SUMIFS('GWP &amp; Emission Factors '!$F$154:$F$242,'GWP &amp; Emission Factors '!$E$154:$E$242,$P$13)+SUMIFS($Q$15:$Q$74,$D$15:$D$74,$D64)*SUMIFS('GWP &amp; Emission Factors '!$F$154:$F$242,'GWP &amp; Emission Factors '!$E$154:$E$242,$Q$13)+SUMIFS($R$15:$R$74,$D$15:$D$74,$D64)*SUMIFS('GWP &amp; Emission Factors '!$F$154:$F$242,'GWP &amp; Emission Factors '!$E$154:$E$242,$R$13)+SUMIFS($S$15:$S$74,$D$15:$D$74,$D64)*SUMIFS('GWP &amp; Emission Factors '!$F$154:$F$242,'GWP &amp; Emission Factors '!$E$154:$E$242,$S$13)+SUMIFS($T$15:$T$74,$D$15:$D$74,$D64)*SUMIFS('GWP &amp; Emission Factors '!$F$154:$F$242,'GWP &amp; Emission Factors '!$E$154:$E$242,$T$13)+SUMIFS($U$15:$U$74,$D$15:$D$74,$D64)*SUMIFS('GWP &amp; Emission Factors '!$F$154:$F$242,'GWP &amp; Emission Factors '!$E$154:$E$242,$U$13)+SUMIFS($V$15:$V$74,$D$15:$D$74,$D64)*SUMIFS('GWP &amp; Emission Factors '!$F$154:$F$242,'GWP &amp; Emission Factors '!$E$154:$E$242,$V$13)+SUMIFS($W$15:$W$74,$D$15:$D$74,$D64)*SUMIFS('GWP &amp; Emission Factors '!$F$154:$F$242,'GWP &amp; Emission Factors '!$E$154:$E$242,$W$13)+SUMIFS($X$15:$X$74,$D$15:$D$74,$D64)*SUMIFS('GWP &amp; Emission Factors '!$F$154:$F$242,'GWP &amp; Emission Factors '!$E$154:$E$242,$X$13)+SUMIFS($Y$15:$Y$74,$D$15:$D$74,$D64)*SUMIFS('GWP &amp; Emission Factors '!$F$154:$F$242,'GWP &amp; Emission Factors '!$E$154:$E$242,$Y$13)+SUMIFS($Z$15:$Z$74,$D$15:$D$74,$D64)*SUMIFS('GWP &amp; Emission Factors '!$F$154:$F$242,'GWP &amp; Emission Factors '!$E$154:$E$242,$Z$13)+SUMIFS($AA$15:$AA$74,$D$15:$D$74,$D64)*SUMIFS('GWP &amp; Emission Factors '!$F$154:$F$242,'GWP &amp; Emission Factors '!$E$154:$E$242,$AA$13)+SUMIFS($AB$15:$AB$74,$D$15:$D$74,$D64)*SUMIFS('GWP &amp; Emission Factors '!$F$154:$F$242,'GWP &amp; Emission Factors '!$E$154:$E$242,$AB$13)/1000+SUMIFS($AC$15:$AC$74,$D$15:$D$74,$D64)*SUMIFS('GWP &amp; Emission Factors '!$F$154:$F$242,'GWP &amp; Emission Factors '!$E$154:$E$242,$AC$13))/1000</f>
        <v>0</v>
      </c>
    </row>
    <row r="65" spans="4:30" x14ac:dyDescent="0.25">
      <c r="D65" s="461" t="str">
        <f>'Project Emission Distribution'!D75</f>
        <v>AN51</v>
      </c>
      <c r="E65" s="241"/>
      <c r="F65" s="241"/>
      <c r="G65" s="241"/>
      <c r="H65" s="241"/>
      <c r="I65" s="241"/>
      <c r="J65" s="241"/>
      <c r="K65" s="241"/>
      <c r="L65" s="241"/>
      <c r="M65" s="241"/>
      <c r="N65" s="241"/>
      <c r="O65" s="241"/>
      <c r="P65" s="241"/>
      <c r="Q65" s="241"/>
      <c r="R65" s="241"/>
      <c r="S65" s="241"/>
      <c r="T65" s="241"/>
      <c r="U65" s="241"/>
      <c r="V65" s="241"/>
      <c r="W65" s="241"/>
      <c r="X65" s="241"/>
      <c r="Y65" s="241"/>
      <c r="Z65" s="241"/>
      <c r="AA65" s="241"/>
      <c r="AB65" s="241"/>
      <c r="AC65" s="241"/>
      <c r="AD65" s="711">
        <f>(SUMIFS($E$15:$E$74,$D$15:$D$74,$D65)*SUMIFS('GWP &amp; Emission Factors '!$F$154:$F$242,'GWP &amp; Emission Factors '!$E$154:$E$242,$E$13)+SUMIFS($F$15:$F$74,$D$15:$D$74,$D65)*SUMIFS('GWP &amp; Emission Factors '!$F$154:$F$242,'GWP &amp; Emission Factors '!$E$154:$E$242,$F$13)+SUMIFS($G$15:$G$74,$D$15:$D$74,$D65)*SUMIFS('GWP &amp; Emission Factors '!$F$154:$F$242,'GWP &amp; Emission Factors '!$E$154:$E$242,$G$13)+SUMIFS($H$15:$H$74,$D$15:$D$74,$D65)*SUMIFS('GWP &amp; Emission Factors '!$F$154:$F$242,'GWP &amp; Emission Factors '!$E$154:$E$242,$H$13)+SUMIFS($I$15:$I$74,$D$15:$D$74,$D65)*SUMIFS('GWP &amp; Emission Factors '!$F$154:$F$242,'GWP &amp; Emission Factors '!$E$154:$E$242,$I$13)+SUMIFS($J$15:$J$74,$D$15:$D$74,$D65)*SUMIFS('GWP &amp; Emission Factors '!$F$154:$F$242,'GWP &amp; Emission Factors '!$E$154:$E$242,$J$13)+SUMIFS($K$15:$K$74,$D$15:$D$74,$D65)*SUMIFS('GWP &amp; Emission Factors '!$F$154:$F$242,'GWP &amp; Emission Factors '!$E$154:$E$242,$K$13)+SUMIFS($L$15:$L$74,$D$15:$D$74,$D65)*SUMIFS('GWP &amp; Emission Factors '!$F$154:$F$242,'GWP &amp; Emission Factors '!$E$154:$E$242,$L$13)+SUMIFS($M$15:$M$74,$D$15:$D$74,$D65)*SUMIFS('GWP &amp; Emission Factors '!$F$154:$F$242,'GWP &amp; Emission Factors '!$E$154:$E$242,$M$13)+SUMIFS($N$15:$N$74,$D$15:$D$74,$D65)*SUMIFS('GWP &amp; Emission Factors '!$F$154:$F$242,'GWP &amp; Emission Factors '!$E$154:$E$242,$N$13)+SUMIFS($O$15:$O$74,$D$15:$D$74,$D65)*SUMIFS('GWP &amp; Emission Factors '!$F$154:$F$242,'GWP &amp; Emission Factors '!$E$154:$E$242,$O$13)+SUMIFS($P$15:$P$74,$D$15:$D$74,$D65)*SUMIFS('GWP &amp; Emission Factors '!$F$154:$F$242,'GWP &amp; Emission Factors '!$E$154:$E$242,$P$13)+SUMIFS($Q$15:$Q$74,$D$15:$D$74,$D65)*SUMIFS('GWP &amp; Emission Factors '!$F$154:$F$242,'GWP &amp; Emission Factors '!$E$154:$E$242,$Q$13)+SUMIFS($R$15:$R$74,$D$15:$D$74,$D65)*SUMIFS('GWP &amp; Emission Factors '!$F$154:$F$242,'GWP &amp; Emission Factors '!$E$154:$E$242,$R$13)+SUMIFS($S$15:$S$74,$D$15:$D$74,$D65)*SUMIFS('GWP &amp; Emission Factors '!$F$154:$F$242,'GWP &amp; Emission Factors '!$E$154:$E$242,$S$13)+SUMIFS($T$15:$T$74,$D$15:$D$74,$D65)*SUMIFS('GWP &amp; Emission Factors '!$F$154:$F$242,'GWP &amp; Emission Factors '!$E$154:$E$242,$T$13)+SUMIFS($U$15:$U$74,$D$15:$D$74,$D65)*SUMIFS('GWP &amp; Emission Factors '!$F$154:$F$242,'GWP &amp; Emission Factors '!$E$154:$E$242,$U$13)+SUMIFS($V$15:$V$74,$D$15:$D$74,$D65)*SUMIFS('GWP &amp; Emission Factors '!$F$154:$F$242,'GWP &amp; Emission Factors '!$E$154:$E$242,$V$13)+SUMIFS($W$15:$W$74,$D$15:$D$74,$D65)*SUMIFS('GWP &amp; Emission Factors '!$F$154:$F$242,'GWP &amp; Emission Factors '!$E$154:$E$242,$W$13)+SUMIFS($X$15:$X$74,$D$15:$D$74,$D65)*SUMIFS('GWP &amp; Emission Factors '!$F$154:$F$242,'GWP &amp; Emission Factors '!$E$154:$E$242,$X$13)+SUMIFS($Y$15:$Y$74,$D$15:$D$74,$D65)*SUMIFS('GWP &amp; Emission Factors '!$F$154:$F$242,'GWP &amp; Emission Factors '!$E$154:$E$242,$Y$13)+SUMIFS($Z$15:$Z$74,$D$15:$D$74,$D65)*SUMIFS('GWP &amp; Emission Factors '!$F$154:$F$242,'GWP &amp; Emission Factors '!$E$154:$E$242,$Z$13)+SUMIFS($AA$15:$AA$74,$D$15:$D$74,$D65)*SUMIFS('GWP &amp; Emission Factors '!$F$154:$F$242,'GWP &amp; Emission Factors '!$E$154:$E$242,$AA$13)+SUMIFS($AB$15:$AB$74,$D$15:$D$74,$D65)*SUMIFS('GWP &amp; Emission Factors '!$F$154:$F$242,'GWP &amp; Emission Factors '!$E$154:$E$242,$AB$13)/1000+SUMIFS($AC$15:$AC$74,$D$15:$D$74,$D65)*SUMIFS('GWP &amp; Emission Factors '!$F$154:$F$242,'GWP &amp; Emission Factors '!$E$154:$E$242,$AC$13))/1000</f>
        <v>0</v>
      </c>
    </row>
    <row r="66" spans="4:30" x14ac:dyDescent="0.25">
      <c r="D66" s="461" t="str">
        <f>'Project Emission Distribution'!D76</f>
        <v>AN52</v>
      </c>
      <c r="E66" s="466"/>
      <c r="F66" s="466"/>
      <c r="G66" s="466"/>
      <c r="H66" s="466"/>
      <c r="I66" s="466"/>
      <c r="J66" s="466"/>
      <c r="K66" s="466"/>
      <c r="L66" s="466"/>
      <c r="M66" s="466"/>
      <c r="N66" s="710"/>
      <c r="O66" s="710"/>
      <c r="P66" s="710"/>
      <c r="Q66" s="710"/>
      <c r="R66" s="710"/>
      <c r="S66" s="710"/>
      <c r="T66" s="710"/>
      <c r="U66" s="710"/>
      <c r="V66" s="710"/>
      <c r="W66" s="710"/>
      <c r="X66" s="710"/>
      <c r="Y66" s="710"/>
      <c r="Z66" s="710"/>
      <c r="AA66" s="710"/>
      <c r="AB66" s="710"/>
      <c r="AC66" s="710"/>
      <c r="AD66" s="711">
        <f>(SUMIFS($E$15:$E$74,$D$15:$D$74,$D66)*SUMIFS('GWP &amp; Emission Factors '!$F$154:$F$242,'GWP &amp; Emission Factors '!$E$154:$E$242,$E$13)+SUMIFS($F$15:$F$74,$D$15:$D$74,$D66)*SUMIFS('GWP &amp; Emission Factors '!$F$154:$F$242,'GWP &amp; Emission Factors '!$E$154:$E$242,$F$13)+SUMIFS($G$15:$G$74,$D$15:$D$74,$D66)*SUMIFS('GWP &amp; Emission Factors '!$F$154:$F$242,'GWP &amp; Emission Factors '!$E$154:$E$242,$G$13)+SUMIFS($H$15:$H$74,$D$15:$D$74,$D66)*SUMIFS('GWP &amp; Emission Factors '!$F$154:$F$242,'GWP &amp; Emission Factors '!$E$154:$E$242,$H$13)+SUMIFS($I$15:$I$74,$D$15:$D$74,$D66)*SUMIFS('GWP &amp; Emission Factors '!$F$154:$F$242,'GWP &amp; Emission Factors '!$E$154:$E$242,$I$13)+SUMIFS($J$15:$J$74,$D$15:$D$74,$D66)*SUMIFS('GWP &amp; Emission Factors '!$F$154:$F$242,'GWP &amp; Emission Factors '!$E$154:$E$242,$J$13)+SUMIFS($K$15:$K$74,$D$15:$D$74,$D66)*SUMIFS('GWP &amp; Emission Factors '!$F$154:$F$242,'GWP &amp; Emission Factors '!$E$154:$E$242,$K$13)+SUMIFS($L$15:$L$74,$D$15:$D$74,$D66)*SUMIFS('GWP &amp; Emission Factors '!$F$154:$F$242,'GWP &amp; Emission Factors '!$E$154:$E$242,$L$13)+SUMIFS($M$15:$M$74,$D$15:$D$74,$D66)*SUMIFS('GWP &amp; Emission Factors '!$F$154:$F$242,'GWP &amp; Emission Factors '!$E$154:$E$242,$M$13)+SUMIFS($N$15:$N$74,$D$15:$D$74,$D66)*SUMIFS('GWP &amp; Emission Factors '!$F$154:$F$242,'GWP &amp; Emission Factors '!$E$154:$E$242,$N$13)+SUMIFS($O$15:$O$74,$D$15:$D$74,$D66)*SUMIFS('GWP &amp; Emission Factors '!$F$154:$F$242,'GWP &amp; Emission Factors '!$E$154:$E$242,$O$13)+SUMIFS($P$15:$P$74,$D$15:$D$74,$D66)*SUMIFS('GWP &amp; Emission Factors '!$F$154:$F$242,'GWP &amp; Emission Factors '!$E$154:$E$242,$P$13)+SUMIFS($Q$15:$Q$74,$D$15:$D$74,$D66)*SUMIFS('GWP &amp; Emission Factors '!$F$154:$F$242,'GWP &amp; Emission Factors '!$E$154:$E$242,$Q$13)+SUMIFS($R$15:$R$74,$D$15:$D$74,$D66)*SUMIFS('GWP &amp; Emission Factors '!$F$154:$F$242,'GWP &amp; Emission Factors '!$E$154:$E$242,$R$13)+SUMIFS($S$15:$S$74,$D$15:$D$74,$D66)*SUMIFS('GWP &amp; Emission Factors '!$F$154:$F$242,'GWP &amp; Emission Factors '!$E$154:$E$242,$S$13)+SUMIFS($T$15:$T$74,$D$15:$D$74,$D66)*SUMIFS('GWP &amp; Emission Factors '!$F$154:$F$242,'GWP &amp; Emission Factors '!$E$154:$E$242,$T$13)+SUMIFS($U$15:$U$74,$D$15:$D$74,$D66)*SUMIFS('GWP &amp; Emission Factors '!$F$154:$F$242,'GWP &amp; Emission Factors '!$E$154:$E$242,$U$13)+SUMIFS($V$15:$V$74,$D$15:$D$74,$D66)*SUMIFS('GWP &amp; Emission Factors '!$F$154:$F$242,'GWP &amp; Emission Factors '!$E$154:$E$242,$V$13)+SUMIFS($W$15:$W$74,$D$15:$D$74,$D66)*SUMIFS('GWP &amp; Emission Factors '!$F$154:$F$242,'GWP &amp; Emission Factors '!$E$154:$E$242,$W$13)+SUMIFS($X$15:$X$74,$D$15:$D$74,$D66)*SUMIFS('GWP &amp; Emission Factors '!$F$154:$F$242,'GWP &amp; Emission Factors '!$E$154:$E$242,$X$13)+SUMIFS($Y$15:$Y$74,$D$15:$D$74,$D66)*SUMIFS('GWP &amp; Emission Factors '!$F$154:$F$242,'GWP &amp; Emission Factors '!$E$154:$E$242,$Y$13)+SUMIFS($Z$15:$Z$74,$D$15:$D$74,$D66)*SUMIFS('GWP &amp; Emission Factors '!$F$154:$F$242,'GWP &amp; Emission Factors '!$E$154:$E$242,$Z$13)+SUMIFS($AA$15:$AA$74,$D$15:$D$74,$D66)*SUMIFS('GWP &amp; Emission Factors '!$F$154:$F$242,'GWP &amp; Emission Factors '!$E$154:$E$242,$AA$13)+SUMIFS($AB$15:$AB$74,$D$15:$D$74,$D66)*SUMIFS('GWP &amp; Emission Factors '!$F$154:$F$242,'GWP &amp; Emission Factors '!$E$154:$E$242,$AB$13)/1000+SUMIFS($AC$15:$AC$74,$D$15:$D$74,$D66)*SUMIFS('GWP &amp; Emission Factors '!$F$154:$F$242,'GWP &amp; Emission Factors '!$E$154:$E$242,$AC$13))/1000</f>
        <v>0</v>
      </c>
    </row>
    <row r="67" spans="4:30" x14ac:dyDescent="0.25">
      <c r="D67" s="461" t="str">
        <f>'Project Emission Distribution'!D77</f>
        <v>AN53</v>
      </c>
      <c r="E67" s="241"/>
      <c r="F67" s="241"/>
      <c r="G67" s="241"/>
      <c r="H67" s="241"/>
      <c r="I67" s="241"/>
      <c r="J67" s="241"/>
      <c r="K67" s="241"/>
      <c r="L67" s="241"/>
      <c r="M67" s="241"/>
      <c r="N67" s="241"/>
      <c r="O67" s="241"/>
      <c r="P67" s="241"/>
      <c r="Q67" s="241"/>
      <c r="R67" s="241"/>
      <c r="S67" s="241"/>
      <c r="T67" s="241"/>
      <c r="U67" s="241"/>
      <c r="V67" s="241"/>
      <c r="W67" s="241"/>
      <c r="X67" s="241"/>
      <c r="Y67" s="241"/>
      <c r="Z67" s="241"/>
      <c r="AA67" s="241"/>
      <c r="AB67" s="241"/>
      <c r="AC67" s="241"/>
      <c r="AD67" s="711">
        <f>(SUMIFS($E$15:$E$74,$D$15:$D$74,$D67)*SUMIFS('GWP &amp; Emission Factors '!$F$154:$F$242,'GWP &amp; Emission Factors '!$E$154:$E$242,$E$13)+SUMIFS($F$15:$F$74,$D$15:$D$74,$D67)*SUMIFS('GWP &amp; Emission Factors '!$F$154:$F$242,'GWP &amp; Emission Factors '!$E$154:$E$242,$F$13)+SUMIFS($G$15:$G$74,$D$15:$D$74,$D67)*SUMIFS('GWP &amp; Emission Factors '!$F$154:$F$242,'GWP &amp; Emission Factors '!$E$154:$E$242,$G$13)+SUMIFS($H$15:$H$74,$D$15:$D$74,$D67)*SUMIFS('GWP &amp; Emission Factors '!$F$154:$F$242,'GWP &amp; Emission Factors '!$E$154:$E$242,$H$13)+SUMIFS($I$15:$I$74,$D$15:$D$74,$D67)*SUMIFS('GWP &amp; Emission Factors '!$F$154:$F$242,'GWP &amp; Emission Factors '!$E$154:$E$242,$I$13)+SUMIFS($J$15:$J$74,$D$15:$D$74,$D67)*SUMIFS('GWP &amp; Emission Factors '!$F$154:$F$242,'GWP &amp; Emission Factors '!$E$154:$E$242,$J$13)+SUMIFS($K$15:$K$74,$D$15:$D$74,$D67)*SUMIFS('GWP &amp; Emission Factors '!$F$154:$F$242,'GWP &amp; Emission Factors '!$E$154:$E$242,$K$13)+SUMIFS($L$15:$L$74,$D$15:$D$74,$D67)*SUMIFS('GWP &amp; Emission Factors '!$F$154:$F$242,'GWP &amp; Emission Factors '!$E$154:$E$242,$L$13)+SUMIFS($M$15:$M$74,$D$15:$D$74,$D67)*SUMIFS('GWP &amp; Emission Factors '!$F$154:$F$242,'GWP &amp; Emission Factors '!$E$154:$E$242,$M$13)+SUMIFS($N$15:$N$74,$D$15:$D$74,$D67)*SUMIFS('GWP &amp; Emission Factors '!$F$154:$F$242,'GWP &amp; Emission Factors '!$E$154:$E$242,$N$13)+SUMIFS($O$15:$O$74,$D$15:$D$74,$D67)*SUMIFS('GWP &amp; Emission Factors '!$F$154:$F$242,'GWP &amp; Emission Factors '!$E$154:$E$242,$O$13)+SUMIFS($P$15:$P$74,$D$15:$D$74,$D67)*SUMIFS('GWP &amp; Emission Factors '!$F$154:$F$242,'GWP &amp; Emission Factors '!$E$154:$E$242,$P$13)+SUMIFS($Q$15:$Q$74,$D$15:$D$74,$D67)*SUMIFS('GWP &amp; Emission Factors '!$F$154:$F$242,'GWP &amp; Emission Factors '!$E$154:$E$242,$Q$13)+SUMIFS($R$15:$R$74,$D$15:$D$74,$D67)*SUMIFS('GWP &amp; Emission Factors '!$F$154:$F$242,'GWP &amp; Emission Factors '!$E$154:$E$242,$R$13)+SUMIFS($S$15:$S$74,$D$15:$D$74,$D67)*SUMIFS('GWP &amp; Emission Factors '!$F$154:$F$242,'GWP &amp; Emission Factors '!$E$154:$E$242,$S$13)+SUMIFS($T$15:$T$74,$D$15:$D$74,$D67)*SUMIFS('GWP &amp; Emission Factors '!$F$154:$F$242,'GWP &amp; Emission Factors '!$E$154:$E$242,$T$13)+SUMIFS($U$15:$U$74,$D$15:$D$74,$D67)*SUMIFS('GWP &amp; Emission Factors '!$F$154:$F$242,'GWP &amp; Emission Factors '!$E$154:$E$242,$U$13)+SUMIFS($V$15:$V$74,$D$15:$D$74,$D67)*SUMIFS('GWP &amp; Emission Factors '!$F$154:$F$242,'GWP &amp; Emission Factors '!$E$154:$E$242,$V$13)+SUMIFS($W$15:$W$74,$D$15:$D$74,$D67)*SUMIFS('GWP &amp; Emission Factors '!$F$154:$F$242,'GWP &amp; Emission Factors '!$E$154:$E$242,$W$13)+SUMIFS($X$15:$X$74,$D$15:$D$74,$D67)*SUMIFS('GWP &amp; Emission Factors '!$F$154:$F$242,'GWP &amp; Emission Factors '!$E$154:$E$242,$X$13)+SUMIFS($Y$15:$Y$74,$D$15:$D$74,$D67)*SUMIFS('GWP &amp; Emission Factors '!$F$154:$F$242,'GWP &amp; Emission Factors '!$E$154:$E$242,$Y$13)+SUMIFS($Z$15:$Z$74,$D$15:$D$74,$D67)*SUMIFS('GWP &amp; Emission Factors '!$F$154:$F$242,'GWP &amp; Emission Factors '!$E$154:$E$242,$Z$13)+SUMIFS($AA$15:$AA$74,$D$15:$D$74,$D67)*SUMIFS('GWP &amp; Emission Factors '!$F$154:$F$242,'GWP &amp; Emission Factors '!$E$154:$E$242,$AA$13)+SUMIFS($AB$15:$AB$74,$D$15:$D$74,$D67)*SUMIFS('GWP &amp; Emission Factors '!$F$154:$F$242,'GWP &amp; Emission Factors '!$E$154:$E$242,$AB$13)/1000+SUMIFS($AC$15:$AC$74,$D$15:$D$74,$D67)*SUMIFS('GWP &amp; Emission Factors '!$F$154:$F$242,'GWP &amp; Emission Factors '!$E$154:$E$242,$AC$13))/1000</f>
        <v>0</v>
      </c>
    </row>
    <row r="68" spans="4:30" x14ac:dyDescent="0.25">
      <c r="D68" s="461" t="str">
        <f>'Project Emission Distribution'!D78</f>
        <v>AN54</v>
      </c>
      <c r="E68" s="466"/>
      <c r="F68" s="466"/>
      <c r="G68" s="466"/>
      <c r="H68" s="466"/>
      <c r="I68" s="466"/>
      <c r="J68" s="466"/>
      <c r="K68" s="466"/>
      <c r="L68" s="466"/>
      <c r="M68" s="466"/>
      <c r="N68" s="710"/>
      <c r="O68" s="710"/>
      <c r="P68" s="710"/>
      <c r="Q68" s="710"/>
      <c r="R68" s="710"/>
      <c r="S68" s="710"/>
      <c r="T68" s="710"/>
      <c r="U68" s="710"/>
      <c r="V68" s="710"/>
      <c r="W68" s="710"/>
      <c r="X68" s="710"/>
      <c r="Y68" s="710"/>
      <c r="Z68" s="710"/>
      <c r="AA68" s="710"/>
      <c r="AB68" s="710"/>
      <c r="AC68" s="710"/>
      <c r="AD68" s="711">
        <f>(SUMIFS($E$15:$E$74,$D$15:$D$74,$D68)*SUMIFS('GWP &amp; Emission Factors '!$F$154:$F$242,'GWP &amp; Emission Factors '!$E$154:$E$242,$E$13)+SUMIFS($F$15:$F$74,$D$15:$D$74,$D68)*SUMIFS('GWP &amp; Emission Factors '!$F$154:$F$242,'GWP &amp; Emission Factors '!$E$154:$E$242,$F$13)+SUMIFS($G$15:$G$74,$D$15:$D$74,$D68)*SUMIFS('GWP &amp; Emission Factors '!$F$154:$F$242,'GWP &amp; Emission Factors '!$E$154:$E$242,$G$13)+SUMIFS($H$15:$H$74,$D$15:$D$74,$D68)*SUMIFS('GWP &amp; Emission Factors '!$F$154:$F$242,'GWP &amp; Emission Factors '!$E$154:$E$242,$H$13)+SUMIFS($I$15:$I$74,$D$15:$D$74,$D68)*SUMIFS('GWP &amp; Emission Factors '!$F$154:$F$242,'GWP &amp; Emission Factors '!$E$154:$E$242,$I$13)+SUMIFS($J$15:$J$74,$D$15:$D$74,$D68)*SUMIFS('GWP &amp; Emission Factors '!$F$154:$F$242,'GWP &amp; Emission Factors '!$E$154:$E$242,$J$13)+SUMIFS($K$15:$K$74,$D$15:$D$74,$D68)*SUMIFS('GWP &amp; Emission Factors '!$F$154:$F$242,'GWP &amp; Emission Factors '!$E$154:$E$242,$K$13)+SUMIFS($L$15:$L$74,$D$15:$D$74,$D68)*SUMIFS('GWP &amp; Emission Factors '!$F$154:$F$242,'GWP &amp; Emission Factors '!$E$154:$E$242,$L$13)+SUMIFS($M$15:$M$74,$D$15:$D$74,$D68)*SUMIFS('GWP &amp; Emission Factors '!$F$154:$F$242,'GWP &amp; Emission Factors '!$E$154:$E$242,$M$13)+SUMIFS($N$15:$N$74,$D$15:$D$74,$D68)*SUMIFS('GWP &amp; Emission Factors '!$F$154:$F$242,'GWP &amp; Emission Factors '!$E$154:$E$242,$N$13)+SUMIFS($O$15:$O$74,$D$15:$D$74,$D68)*SUMIFS('GWP &amp; Emission Factors '!$F$154:$F$242,'GWP &amp; Emission Factors '!$E$154:$E$242,$O$13)+SUMIFS($P$15:$P$74,$D$15:$D$74,$D68)*SUMIFS('GWP &amp; Emission Factors '!$F$154:$F$242,'GWP &amp; Emission Factors '!$E$154:$E$242,$P$13)+SUMIFS($Q$15:$Q$74,$D$15:$D$74,$D68)*SUMIFS('GWP &amp; Emission Factors '!$F$154:$F$242,'GWP &amp; Emission Factors '!$E$154:$E$242,$Q$13)+SUMIFS($R$15:$R$74,$D$15:$D$74,$D68)*SUMIFS('GWP &amp; Emission Factors '!$F$154:$F$242,'GWP &amp; Emission Factors '!$E$154:$E$242,$R$13)+SUMIFS($S$15:$S$74,$D$15:$D$74,$D68)*SUMIFS('GWP &amp; Emission Factors '!$F$154:$F$242,'GWP &amp; Emission Factors '!$E$154:$E$242,$S$13)+SUMIFS($T$15:$T$74,$D$15:$D$74,$D68)*SUMIFS('GWP &amp; Emission Factors '!$F$154:$F$242,'GWP &amp; Emission Factors '!$E$154:$E$242,$T$13)+SUMIFS($U$15:$U$74,$D$15:$D$74,$D68)*SUMIFS('GWP &amp; Emission Factors '!$F$154:$F$242,'GWP &amp; Emission Factors '!$E$154:$E$242,$U$13)+SUMIFS($V$15:$V$74,$D$15:$D$74,$D68)*SUMIFS('GWP &amp; Emission Factors '!$F$154:$F$242,'GWP &amp; Emission Factors '!$E$154:$E$242,$V$13)+SUMIFS($W$15:$W$74,$D$15:$D$74,$D68)*SUMIFS('GWP &amp; Emission Factors '!$F$154:$F$242,'GWP &amp; Emission Factors '!$E$154:$E$242,$W$13)+SUMIFS($X$15:$X$74,$D$15:$D$74,$D68)*SUMIFS('GWP &amp; Emission Factors '!$F$154:$F$242,'GWP &amp; Emission Factors '!$E$154:$E$242,$X$13)+SUMIFS($Y$15:$Y$74,$D$15:$D$74,$D68)*SUMIFS('GWP &amp; Emission Factors '!$F$154:$F$242,'GWP &amp; Emission Factors '!$E$154:$E$242,$Y$13)+SUMIFS($Z$15:$Z$74,$D$15:$D$74,$D68)*SUMIFS('GWP &amp; Emission Factors '!$F$154:$F$242,'GWP &amp; Emission Factors '!$E$154:$E$242,$Z$13)+SUMIFS($AA$15:$AA$74,$D$15:$D$74,$D68)*SUMIFS('GWP &amp; Emission Factors '!$F$154:$F$242,'GWP &amp; Emission Factors '!$E$154:$E$242,$AA$13)+SUMIFS($AB$15:$AB$74,$D$15:$D$74,$D68)*SUMIFS('GWP &amp; Emission Factors '!$F$154:$F$242,'GWP &amp; Emission Factors '!$E$154:$E$242,$AB$13)/1000+SUMIFS($AC$15:$AC$74,$D$15:$D$74,$D68)*SUMIFS('GWP &amp; Emission Factors '!$F$154:$F$242,'GWP &amp; Emission Factors '!$E$154:$E$242,$AC$13))/1000</f>
        <v>0</v>
      </c>
    </row>
    <row r="69" spans="4:30" x14ac:dyDescent="0.25">
      <c r="D69" s="461" t="str">
        <f>'Project Emission Distribution'!D79</f>
        <v>AN55</v>
      </c>
      <c r="E69" s="241"/>
      <c r="F69" s="241"/>
      <c r="G69" s="241"/>
      <c r="H69" s="241"/>
      <c r="I69" s="241"/>
      <c r="J69" s="241"/>
      <c r="K69" s="241"/>
      <c r="L69" s="241"/>
      <c r="M69" s="241"/>
      <c r="N69" s="241"/>
      <c r="O69" s="241"/>
      <c r="P69" s="241"/>
      <c r="Q69" s="241"/>
      <c r="R69" s="241"/>
      <c r="S69" s="241"/>
      <c r="T69" s="241"/>
      <c r="U69" s="241"/>
      <c r="V69" s="241"/>
      <c r="W69" s="241"/>
      <c r="X69" s="241"/>
      <c r="Y69" s="241"/>
      <c r="Z69" s="241"/>
      <c r="AA69" s="241"/>
      <c r="AB69" s="241"/>
      <c r="AC69" s="241"/>
      <c r="AD69" s="711">
        <f>(SUMIFS($E$15:$E$74,$D$15:$D$74,$D69)*SUMIFS('GWP &amp; Emission Factors '!$F$154:$F$242,'GWP &amp; Emission Factors '!$E$154:$E$242,$E$13)+SUMIFS($F$15:$F$74,$D$15:$D$74,$D69)*SUMIFS('GWP &amp; Emission Factors '!$F$154:$F$242,'GWP &amp; Emission Factors '!$E$154:$E$242,$F$13)+SUMIFS($G$15:$G$74,$D$15:$D$74,$D69)*SUMIFS('GWP &amp; Emission Factors '!$F$154:$F$242,'GWP &amp; Emission Factors '!$E$154:$E$242,$G$13)+SUMIFS($H$15:$H$74,$D$15:$D$74,$D69)*SUMIFS('GWP &amp; Emission Factors '!$F$154:$F$242,'GWP &amp; Emission Factors '!$E$154:$E$242,$H$13)+SUMIFS($I$15:$I$74,$D$15:$D$74,$D69)*SUMIFS('GWP &amp; Emission Factors '!$F$154:$F$242,'GWP &amp; Emission Factors '!$E$154:$E$242,$I$13)+SUMIFS($J$15:$J$74,$D$15:$D$74,$D69)*SUMIFS('GWP &amp; Emission Factors '!$F$154:$F$242,'GWP &amp; Emission Factors '!$E$154:$E$242,$J$13)+SUMIFS($K$15:$K$74,$D$15:$D$74,$D69)*SUMIFS('GWP &amp; Emission Factors '!$F$154:$F$242,'GWP &amp; Emission Factors '!$E$154:$E$242,$K$13)+SUMIFS($L$15:$L$74,$D$15:$D$74,$D69)*SUMIFS('GWP &amp; Emission Factors '!$F$154:$F$242,'GWP &amp; Emission Factors '!$E$154:$E$242,$L$13)+SUMIFS($M$15:$M$74,$D$15:$D$74,$D69)*SUMIFS('GWP &amp; Emission Factors '!$F$154:$F$242,'GWP &amp; Emission Factors '!$E$154:$E$242,$M$13)+SUMIFS($N$15:$N$74,$D$15:$D$74,$D69)*SUMIFS('GWP &amp; Emission Factors '!$F$154:$F$242,'GWP &amp; Emission Factors '!$E$154:$E$242,$N$13)+SUMIFS($O$15:$O$74,$D$15:$D$74,$D69)*SUMIFS('GWP &amp; Emission Factors '!$F$154:$F$242,'GWP &amp; Emission Factors '!$E$154:$E$242,$O$13)+SUMIFS($P$15:$P$74,$D$15:$D$74,$D69)*SUMIFS('GWP &amp; Emission Factors '!$F$154:$F$242,'GWP &amp; Emission Factors '!$E$154:$E$242,$P$13)+SUMIFS($Q$15:$Q$74,$D$15:$D$74,$D69)*SUMIFS('GWP &amp; Emission Factors '!$F$154:$F$242,'GWP &amp; Emission Factors '!$E$154:$E$242,$Q$13)+SUMIFS($R$15:$R$74,$D$15:$D$74,$D69)*SUMIFS('GWP &amp; Emission Factors '!$F$154:$F$242,'GWP &amp; Emission Factors '!$E$154:$E$242,$R$13)+SUMIFS($S$15:$S$74,$D$15:$D$74,$D69)*SUMIFS('GWP &amp; Emission Factors '!$F$154:$F$242,'GWP &amp; Emission Factors '!$E$154:$E$242,$S$13)+SUMIFS($T$15:$T$74,$D$15:$D$74,$D69)*SUMIFS('GWP &amp; Emission Factors '!$F$154:$F$242,'GWP &amp; Emission Factors '!$E$154:$E$242,$T$13)+SUMIFS($U$15:$U$74,$D$15:$D$74,$D69)*SUMIFS('GWP &amp; Emission Factors '!$F$154:$F$242,'GWP &amp; Emission Factors '!$E$154:$E$242,$U$13)+SUMIFS($V$15:$V$74,$D$15:$D$74,$D69)*SUMIFS('GWP &amp; Emission Factors '!$F$154:$F$242,'GWP &amp; Emission Factors '!$E$154:$E$242,$V$13)+SUMIFS($W$15:$W$74,$D$15:$D$74,$D69)*SUMIFS('GWP &amp; Emission Factors '!$F$154:$F$242,'GWP &amp; Emission Factors '!$E$154:$E$242,$W$13)+SUMIFS($X$15:$X$74,$D$15:$D$74,$D69)*SUMIFS('GWP &amp; Emission Factors '!$F$154:$F$242,'GWP &amp; Emission Factors '!$E$154:$E$242,$X$13)+SUMIFS($Y$15:$Y$74,$D$15:$D$74,$D69)*SUMIFS('GWP &amp; Emission Factors '!$F$154:$F$242,'GWP &amp; Emission Factors '!$E$154:$E$242,$Y$13)+SUMIFS($Z$15:$Z$74,$D$15:$D$74,$D69)*SUMIFS('GWP &amp; Emission Factors '!$F$154:$F$242,'GWP &amp; Emission Factors '!$E$154:$E$242,$Z$13)+SUMIFS($AA$15:$AA$74,$D$15:$D$74,$D69)*SUMIFS('GWP &amp; Emission Factors '!$F$154:$F$242,'GWP &amp; Emission Factors '!$E$154:$E$242,$AA$13)+SUMIFS($AB$15:$AB$74,$D$15:$D$74,$D69)*SUMIFS('GWP &amp; Emission Factors '!$F$154:$F$242,'GWP &amp; Emission Factors '!$E$154:$E$242,$AB$13)/1000+SUMIFS($AC$15:$AC$74,$D$15:$D$74,$D69)*SUMIFS('GWP &amp; Emission Factors '!$F$154:$F$242,'GWP &amp; Emission Factors '!$E$154:$E$242,$AC$13))/1000</f>
        <v>0</v>
      </c>
    </row>
    <row r="70" spans="4:30" x14ac:dyDescent="0.25">
      <c r="D70" s="461" t="str">
        <f>'Project Emission Distribution'!D80</f>
        <v>AN56</v>
      </c>
      <c r="E70" s="466"/>
      <c r="F70" s="466"/>
      <c r="G70" s="466"/>
      <c r="H70" s="466"/>
      <c r="I70" s="466"/>
      <c r="J70" s="466"/>
      <c r="K70" s="466"/>
      <c r="L70" s="466"/>
      <c r="M70" s="466"/>
      <c r="N70" s="710"/>
      <c r="O70" s="710"/>
      <c r="P70" s="710"/>
      <c r="Q70" s="710"/>
      <c r="R70" s="710"/>
      <c r="S70" s="710"/>
      <c r="T70" s="710"/>
      <c r="U70" s="710"/>
      <c r="V70" s="710"/>
      <c r="W70" s="710"/>
      <c r="X70" s="710"/>
      <c r="Y70" s="710"/>
      <c r="Z70" s="710"/>
      <c r="AA70" s="710"/>
      <c r="AB70" s="710"/>
      <c r="AC70" s="710"/>
      <c r="AD70" s="711">
        <f>(SUMIFS($E$15:$E$74,$D$15:$D$74,$D70)*SUMIFS('GWP &amp; Emission Factors '!$F$154:$F$242,'GWP &amp; Emission Factors '!$E$154:$E$242,$E$13)+SUMIFS($F$15:$F$74,$D$15:$D$74,$D70)*SUMIFS('GWP &amp; Emission Factors '!$F$154:$F$242,'GWP &amp; Emission Factors '!$E$154:$E$242,$F$13)+SUMIFS($G$15:$G$74,$D$15:$D$74,$D70)*SUMIFS('GWP &amp; Emission Factors '!$F$154:$F$242,'GWP &amp; Emission Factors '!$E$154:$E$242,$G$13)+SUMIFS($H$15:$H$74,$D$15:$D$74,$D70)*SUMIFS('GWP &amp; Emission Factors '!$F$154:$F$242,'GWP &amp; Emission Factors '!$E$154:$E$242,$H$13)+SUMIFS($I$15:$I$74,$D$15:$D$74,$D70)*SUMIFS('GWP &amp; Emission Factors '!$F$154:$F$242,'GWP &amp; Emission Factors '!$E$154:$E$242,$I$13)+SUMIFS($J$15:$J$74,$D$15:$D$74,$D70)*SUMIFS('GWP &amp; Emission Factors '!$F$154:$F$242,'GWP &amp; Emission Factors '!$E$154:$E$242,$J$13)+SUMIFS($K$15:$K$74,$D$15:$D$74,$D70)*SUMIFS('GWP &amp; Emission Factors '!$F$154:$F$242,'GWP &amp; Emission Factors '!$E$154:$E$242,$K$13)+SUMIFS($L$15:$L$74,$D$15:$D$74,$D70)*SUMIFS('GWP &amp; Emission Factors '!$F$154:$F$242,'GWP &amp; Emission Factors '!$E$154:$E$242,$L$13)+SUMIFS($M$15:$M$74,$D$15:$D$74,$D70)*SUMIFS('GWP &amp; Emission Factors '!$F$154:$F$242,'GWP &amp; Emission Factors '!$E$154:$E$242,$M$13)+SUMIFS($N$15:$N$74,$D$15:$D$74,$D70)*SUMIFS('GWP &amp; Emission Factors '!$F$154:$F$242,'GWP &amp; Emission Factors '!$E$154:$E$242,$N$13)+SUMIFS($O$15:$O$74,$D$15:$D$74,$D70)*SUMIFS('GWP &amp; Emission Factors '!$F$154:$F$242,'GWP &amp; Emission Factors '!$E$154:$E$242,$O$13)+SUMIFS($P$15:$P$74,$D$15:$D$74,$D70)*SUMIFS('GWP &amp; Emission Factors '!$F$154:$F$242,'GWP &amp; Emission Factors '!$E$154:$E$242,$P$13)+SUMIFS($Q$15:$Q$74,$D$15:$D$74,$D70)*SUMIFS('GWP &amp; Emission Factors '!$F$154:$F$242,'GWP &amp; Emission Factors '!$E$154:$E$242,$Q$13)+SUMIFS($R$15:$R$74,$D$15:$D$74,$D70)*SUMIFS('GWP &amp; Emission Factors '!$F$154:$F$242,'GWP &amp; Emission Factors '!$E$154:$E$242,$R$13)+SUMIFS($S$15:$S$74,$D$15:$D$74,$D70)*SUMIFS('GWP &amp; Emission Factors '!$F$154:$F$242,'GWP &amp; Emission Factors '!$E$154:$E$242,$S$13)+SUMIFS($T$15:$T$74,$D$15:$D$74,$D70)*SUMIFS('GWP &amp; Emission Factors '!$F$154:$F$242,'GWP &amp; Emission Factors '!$E$154:$E$242,$T$13)+SUMIFS($U$15:$U$74,$D$15:$D$74,$D70)*SUMIFS('GWP &amp; Emission Factors '!$F$154:$F$242,'GWP &amp; Emission Factors '!$E$154:$E$242,$U$13)+SUMIFS($V$15:$V$74,$D$15:$D$74,$D70)*SUMIFS('GWP &amp; Emission Factors '!$F$154:$F$242,'GWP &amp; Emission Factors '!$E$154:$E$242,$V$13)+SUMIFS($W$15:$W$74,$D$15:$D$74,$D70)*SUMIFS('GWP &amp; Emission Factors '!$F$154:$F$242,'GWP &amp; Emission Factors '!$E$154:$E$242,$W$13)+SUMIFS($X$15:$X$74,$D$15:$D$74,$D70)*SUMIFS('GWP &amp; Emission Factors '!$F$154:$F$242,'GWP &amp; Emission Factors '!$E$154:$E$242,$X$13)+SUMIFS($Y$15:$Y$74,$D$15:$D$74,$D70)*SUMIFS('GWP &amp; Emission Factors '!$F$154:$F$242,'GWP &amp; Emission Factors '!$E$154:$E$242,$Y$13)+SUMIFS($Z$15:$Z$74,$D$15:$D$74,$D70)*SUMIFS('GWP &amp; Emission Factors '!$F$154:$F$242,'GWP &amp; Emission Factors '!$E$154:$E$242,$Z$13)+SUMIFS($AA$15:$AA$74,$D$15:$D$74,$D70)*SUMIFS('GWP &amp; Emission Factors '!$F$154:$F$242,'GWP &amp; Emission Factors '!$E$154:$E$242,$AA$13)+SUMIFS($AB$15:$AB$74,$D$15:$D$74,$D70)*SUMIFS('GWP &amp; Emission Factors '!$F$154:$F$242,'GWP &amp; Emission Factors '!$E$154:$E$242,$AB$13)/1000+SUMIFS($AC$15:$AC$74,$D$15:$D$74,$D70)*SUMIFS('GWP &amp; Emission Factors '!$F$154:$F$242,'GWP &amp; Emission Factors '!$E$154:$E$242,$AC$13))/1000</f>
        <v>0</v>
      </c>
    </row>
    <row r="71" spans="4:30" x14ac:dyDescent="0.25">
      <c r="D71" s="461" t="str">
        <f>'Project Emission Distribution'!D81</f>
        <v>AN57</v>
      </c>
      <c r="E71" s="241"/>
      <c r="F71" s="241"/>
      <c r="G71" s="241"/>
      <c r="H71" s="241"/>
      <c r="I71" s="241"/>
      <c r="J71" s="241"/>
      <c r="K71" s="241"/>
      <c r="L71" s="241"/>
      <c r="M71" s="241"/>
      <c r="N71" s="241"/>
      <c r="O71" s="241"/>
      <c r="P71" s="241"/>
      <c r="Q71" s="241"/>
      <c r="R71" s="241"/>
      <c r="S71" s="241"/>
      <c r="T71" s="241"/>
      <c r="U71" s="241"/>
      <c r="V71" s="241"/>
      <c r="W71" s="241"/>
      <c r="X71" s="241"/>
      <c r="Y71" s="241"/>
      <c r="Z71" s="241"/>
      <c r="AA71" s="241"/>
      <c r="AB71" s="241"/>
      <c r="AC71" s="241"/>
      <c r="AD71" s="711">
        <f>(SUMIFS($E$15:$E$74,$D$15:$D$74,$D71)*SUMIFS('GWP &amp; Emission Factors '!$F$154:$F$242,'GWP &amp; Emission Factors '!$E$154:$E$242,$E$13)+SUMIFS($F$15:$F$74,$D$15:$D$74,$D71)*SUMIFS('GWP &amp; Emission Factors '!$F$154:$F$242,'GWP &amp; Emission Factors '!$E$154:$E$242,$F$13)+SUMIFS($G$15:$G$74,$D$15:$D$74,$D71)*SUMIFS('GWP &amp; Emission Factors '!$F$154:$F$242,'GWP &amp; Emission Factors '!$E$154:$E$242,$G$13)+SUMIFS($H$15:$H$74,$D$15:$D$74,$D71)*SUMIFS('GWP &amp; Emission Factors '!$F$154:$F$242,'GWP &amp; Emission Factors '!$E$154:$E$242,$H$13)+SUMIFS($I$15:$I$74,$D$15:$D$74,$D71)*SUMIFS('GWP &amp; Emission Factors '!$F$154:$F$242,'GWP &amp; Emission Factors '!$E$154:$E$242,$I$13)+SUMIFS($J$15:$J$74,$D$15:$D$74,$D71)*SUMIFS('GWP &amp; Emission Factors '!$F$154:$F$242,'GWP &amp; Emission Factors '!$E$154:$E$242,$J$13)+SUMIFS($K$15:$K$74,$D$15:$D$74,$D71)*SUMIFS('GWP &amp; Emission Factors '!$F$154:$F$242,'GWP &amp; Emission Factors '!$E$154:$E$242,$K$13)+SUMIFS($L$15:$L$74,$D$15:$D$74,$D71)*SUMIFS('GWP &amp; Emission Factors '!$F$154:$F$242,'GWP &amp; Emission Factors '!$E$154:$E$242,$L$13)+SUMIFS($M$15:$M$74,$D$15:$D$74,$D71)*SUMIFS('GWP &amp; Emission Factors '!$F$154:$F$242,'GWP &amp; Emission Factors '!$E$154:$E$242,$M$13)+SUMIFS($N$15:$N$74,$D$15:$D$74,$D71)*SUMIFS('GWP &amp; Emission Factors '!$F$154:$F$242,'GWP &amp; Emission Factors '!$E$154:$E$242,$N$13)+SUMIFS($O$15:$O$74,$D$15:$D$74,$D71)*SUMIFS('GWP &amp; Emission Factors '!$F$154:$F$242,'GWP &amp; Emission Factors '!$E$154:$E$242,$O$13)+SUMIFS($P$15:$P$74,$D$15:$D$74,$D71)*SUMIFS('GWP &amp; Emission Factors '!$F$154:$F$242,'GWP &amp; Emission Factors '!$E$154:$E$242,$P$13)+SUMIFS($Q$15:$Q$74,$D$15:$D$74,$D71)*SUMIFS('GWP &amp; Emission Factors '!$F$154:$F$242,'GWP &amp; Emission Factors '!$E$154:$E$242,$Q$13)+SUMIFS($R$15:$R$74,$D$15:$D$74,$D71)*SUMIFS('GWP &amp; Emission Factors '!$F$154:$F$242,'GWP &amp; Emission Factors '!$E$154:$E$242,$R$13)+SUMIFS($S$15:$S$74,$D$15:$D$74,$D71)*SUMIFS('GWP &amp; Emission Factors '!$F$154:$F$242,'GWP &amp; Emission Factors '!$E$154:$E$242,$S$13)+SUMIFS($T$15:$T$74,$D$15:$D$74,$D71)*SUMIFS('GWP &amp; Emission Factors '!$F$154:$F$242,'GWP &amp; Emission Factors '!$E$154:$E$242,$T$13)+SUMIFS($U$15:$U$74,$D$15:$D$74,$D71)*SUMIFS('GWP &amp; Emission Factors '!$F$154:$F$242,'GWP &amp; Emission Factors '!$E$154:$E$242,$U$13)+SUMIFS($V$15:$V$74,$D$15:$D$74,$D71)*SUMIFS('GWP &amp; Emission Factors '!$F$154:$F$242,'GWP &amp; Emission Factors '!$E$154:$E$242,$V$13)+SUMIFS($W$15:$W$74,$D$15:$D$74,$D71)*SUMIFS('GWP &amp; Emission Factors '!$F$154:$F$242,'GWP &amp; Emission Factors '!$E$154:$E$242,$W$13)+SUMIFS($X$15:$X$74,$D$15:$D$74,$D71)*SUMIFS('GWP &amp; Emission Factors '!$F$154:$F$242,'GWP &amp; Emission Factors '!$E$154:$E$242,$X$13)+SUMIFS($Y$15:$Y$74,$D$15:$D$74,$D71)*SUMIFS('GWP &amp; Emission Factors '!$F$154:$F$242,'GWP &amp; Emission Factors '!$E$154:$E$242,$Y$13)+SUMIFS($Z$15:$Z$74,$D$15:$D$74,$D71)*SUMIFS('GWP &amp; Emission Factors '!$F$154:$F$242,'GWP &amp; Emission Factors '!$E$154:$E$242,$Z$13)+SUMIFS($AA$15:$AA$74,$D$15:$D$74,$D71)*SUMIFS('GWP &amp; Emission Factors '!$F$154:$F$242,'GWP &amp; Emission Factors '!$E$154:$E$242,$AA$13)+SUMIFS($AB$15:$AB$74,$D$15:$D$74,$D71)*SUMIFS('GWP &amp; Emission Factors '!$F$154:$F$242,'GWP &amp; Emission Factors '!$E$154:$E$242,$AB$13)/1000+SUMIFS($AC$15:$AC$74,$D$15:$D$74,$D71)*SUMIFS('GWP &amp; Emission Factors '!$F$154:$F$242,'GWP &amp; Emission Factors '!$E$154:$E$242,$AC$13))/1000</f>
        <v>0</v>
      </c>
    </row>
    <row r="72" spans="4:30" x14ac:dyDescent="0.25">
      <c r="D72" s="461" t="str">
        <f>'Project Emission Distribution'!D82</f>
        <v>AN58</v>
      </c>
      <c r="E72" s="466"/>
      <c r="F72" s="466"/>
      <c r="G72" s="466"/>
      <c r="H72" s="466"/>
      <c r="I72" s="466"/>
      <c r="J72" s="466"/>
      <c r="K72" s="466"/>
      <c r="L72" s="466"/>
      <c r="M72" s="466"/>
      <c r="N72" s="710"/>
      <c r="O72" s="710"/>
      <c r="P72" s="710"/>
      <c r="Q72" s="710"/>
      <c r="R72" s="710"/>
      <c r="S72" s="710"/>
      <c r="T72" s="710"/>
      <c r="U72" s="710"/>
      <c r="V72" s="710"/>
      <c r="W72" s="710"/>
      <c r="X72" s="710"/>
      <c r="Y72" s="710"/>
      <c r="Z72" s="710"/>
      <c r="AA72" s="710"/>
      <c r="AB72" s="710"/>
      <c r="AC72" s="710"/>
      <c r="AD72" s="711">
        <f>(SUMIFS($E$15:$E$74,$D$15:$D$74,$D72)*SUMIFS('GWP &amp; Emission Factors '!$F$154:$F$242,'GWP &amp; Emission Factors '!$E$154:$E$242,$E$13)+SUMIFS($F$15:$F$74,$D$15:$D$74,$D72)*SUMIFS('GWP &amp; Emission Factors '!$F$154:$F$242,'GWP &amp; Emission Factors '!$E$154:$E$242,$F$13)+SUMIFS($G$15:$G$74,$D$15:$D$74,$D72)*SUMIFS('GWP &amp; Emission Factors '!$F$154:$F$242,'GWP &amp; Emission Factors '!$E$154:$E$242,$G$13)+SUMIFS($H$15:$H$74,$D$15:$D$74,$D72)*SUMIFS('GWP &amp; Emission Factors '!$F$154:$F$242,'GWP &amp; Emission Factors '!$E$154:$E$242,$H$13)+SUMIFS($I$15:$I$74,$D$15:$D$74,$D72)*SUMIFS('GWP &amp; Emission Factors '!$F$154:$F$242,'GWP &amp; Emission Factors '!$E$154:$E$242,$I$13)+SUMIFS($J$15:$J$74,$D$15:$D$74,$D72)*SUMIFS('GWP &amp; Emission Factors '!$F$154:$F$242,'GWP &amp; Emission Factors '!$E$154:$E$242,$J$13)+SUMIFS($K$15:$K$74,$D$15:$D$74,$D72)*SUMIFS('GWP &amp; Emission Factors '!$F$154:$F$242,'GWP &amp; Emission Factors '!$E$154:$E$242,$K$13)+SUMIFS($L$15:$L$74,$D$15:$D$74,$D72)*SUMIFS('GWP &amp; Emission Factors '!$F$154:$F$242,'GWP &amp; Emission Factors '!$E$154:$E$242,$L$13)+SUMIFS($M$15:$M$74,$D$15:$D$74,$D72)*SUMIFS('GWP &amp; Emission Factors '!$F$154:$F$242,'GWP &amp; Emission Factors '!$E$154:$E$242,$M$13)+SUMIFS($N$15:$N$74,$D$15:$D$74,$D72)*SUMIFS('GWP &amp; Emission Factors '!$F$154:$F$242,'GWP &amp; Emission Factors '!$E$154:$E$242,$N$13)+SUMIFS($O$15:$O$74,$D$15:$D$74,$D72)*SUMIFS('GWP &amp; Emission Factors '!$F$154:$F$242,'GWP &amp; Emission Factors '!$E$154:$E$242,$O$13)+SUMIFS($P$15:$P$74,$D$15:$D$74,$D72)*SUMIFS('GWP &amp; Emission Factors '!$F$154:$F$242,'GWP &amp; Emission Factors '!$E$154:$E$242,$P$13)+SUMIFS($Q$15:$Q$74,$D$15:$D$74,$D72)*SUMIFS('GWP &amp; Emission Factors '!$F$154:$F$242,'GWP &amp; Emission Factors '!$E$154:$E$242,$Q$13)+SUMIFS($R$15:$R$74,$D$15:$D$74,$D72)*SUMIFS('GWP &amp; Emission Factors '!$F$154:$F$242,'GWP &amp; Emission Factors '!$E$154:$E$242,$R$13)+SUMIFS($S$15:$S$74,$D$15:$D$74,$D72)*SUMIFS('GWP &amp; Emission Factors '!$F$154:$F$242,'GWP &amp; Emission Factors '!$E$154:$E$242,$S$13)+SUMIFS($T$15:$T$74,$D$15:$D$74,$D72)*SUMIFS('GWP &amp; Emission Factors '!$F$154:$F$242,'GWP &amp; Emission Factors '!$E$154:$E$242,$T$13)+SUMIFS($U$15:$U$74,$D$15:$D$74,$D72)*SUMIFS('GWP &amp; Emission Factors '!$F$154:$F$242,'GWP &amp; Emission Factors '!$E$154:$E$242,$U$13)+SUMIFS($V$15:$V$74,$D$15:$D$74,$D72)*SUMIFS('GWP &amp; Emission Factors '!$F$154:$F$242,'GWP &amp; Emission Factors '!$E$154:$E$242,$V$13)+SUMIFS($W$15:$W$74,$D$15:$D$74,$D72)*SUMIFS('GWP &amp; Emission Factors '!$F$154:$F$242,'GWP &amp; Emission Factors '!$E$154:$E$242,$W$13)+SUMIFS($X$15:$X$74,$D$15:$D$74,$D72)*SUMIFS('GWP &amp; Emission Factors '!$F$154:$F$242,'GWP &amp; Emission Factors '!$E$154:$E$242,$X$13)+SUMIFS($Y$15:$Y$74,$D$15:$D$74,$D72)*SUMIFS('GWP &amp; Emission Factors '!$F$154:$F$242,'GWP &amp; Emission Factors '!$E$154:$E$242,$Y$13)+SUMIFS($Z$15:$Z$74,$D$15:$D$74,$D72)*SUMIFS('GWP &amp; Emission Factors '!$F$154:$F$242,'GWP &amp; Emission Factors '!$E$154:$E$242,$Z$13)+SUMIFS($AA$15:$AA$74,$D$15:$D$74,$D72)*SUMIFS('GWP &amp; Emission Factors '!$F$154:$F$242,'GWP &amp; Emission Factors '!$E$154:$E$242,$AA$13)+SUMIFS($AB$15:$AB$74,$D$15:$D$74,$D72)*SUMIFS('GWP &amp; Emission Factors '!$F$154:$F$242,'GWP &amp; Emission Factors '!$E$154:$E$242,$AB$13)/1000+SUMIFS($AC$15:$AC$74,$D$15:$D$74,$D72)*SUMIFS('GWP &amp; Emission Factors '!$F$154:$F$242,'GWP &amp; Emission Factors '!$E$154:$E$242,$AC$13))/1000</f>
        <v>0</v>
      </c>
    </row>
    <row r="73" spans="4:30" x14ac:dyDescent="0.25">
      <c r="D73" s="461" t="str">
        <f>'Project Emission Distribution'!D83</f>
        <v>AN59</v>
      </c>
      <c r="E73" s="241"/>
      <c r="F73" s="241"/>
      <c r="G73" s="241"/>
      <c r="H73" s="241"/>
      <c r="I73" s="241"/>
      <c r="J73" s="241"/>
      <c r="K73" s="241"/>
      <c r="L73" s="241"/>
      <c r="M73" s="241"/>
      <c r="N73" s="241"/>
      <c r="O73" s="241"/>
      <c r="P73" s="241"/>
      <c r="Q73" s="241"/>
      <c r="R73" s="241"/>
      <c r="S73" s="241"/>
      <c r="T73" s="241"/>
      <c r="U73" s="241"/>
      <c r="V73" s="241"/>
      <c r="W73" s="241"/>
      <c r="X73" s="241"/>
      <c r="Y73" s="241"/>
      <c r="Z73" s="241"/>
      <c r="AA73" s="241"/>
      <c r="AB73" s="241"/>
      <c r="AC73" s="241"/>
      <c r="AD73" s="711">
        <f>(SUMIFS($E$15:$E$74,$D$15:$D$74,$D73)*SUMIFS('GWP &amp; Emission Factors '!$F$154:$F$242,'GWP &amp; Emission Factors '!$E$154:$E$242,$E$13)+SUMIFS($F$15:$F$74,$D$15:$D$74,$D73)*SUMIFS('GWP &amp; Emission Factors '!$F$154:$F$242,'GWP &amp; Emission Factors '!$E$154:$E$242,$F$13)+SUMIFS($G$15:$G$74,$D$15:$D$74,$D73)*SUMIFS('GWP &amp; Emission Factors '!$F$154:$F$242,'GWP &amp; Emission Factors '!$E$154:$E$242,$G$13)+SUMIFS($H$15:$H$74,$D$15:$D$74,$D73)*SUMIFS('GWP &amp; Emission Factors '!$F$154:$F$242,'GWP &amp; Emission Factors '!$E$154:$E$242,$H$13)+SUMIFS($I$15:$I$74,$D$15:$D$74,$D73)*SUMIFS('GWP &amp; Emission Factors '!$F$154:$F$242,'GWP &amp; Emission Factors '!$E$154:$E$242,$I$13)+SUMIFS($J$15:$J$74,$D$15:$D$74,$D73)*SUMIFS('GWP &amp; Emission Factors '!$F$154:$F$242,'GWP &amp; Emission Factors '!$E$154:$E$242,$J$13)+SUMIFS($K$15:$K$74,$D$15:$D$74,$D73)*SUMIFS('GWP &amp; Emission Factors '!$F$154:$F$242,'GWP &amp; Emission Factors '!$E$154:$E$242,$K$13)+SUMIFS($L$15:$L$74,$D$15:$D$74,$D73)*SUMIFS('GWP &amp; Emission Factors '!$F$154:$F$242,'GWP &amp; Emission Factors '!$E$154:$E$242,$L$13)+SUMIFS($M$15:$M$74,$D$15:$D$74,$D73)*SUMIFS('GWP &amp; Emission Factors '!$F$154:$F$242,'GWP &amp; Emission Factors '!$E$154:$E$242,$M$13)+SUMIFS($N$15:$N$74,$D$15:$D$74,$D73)*SUMIFS('GWP &amp; Emission Factors '!$F$154:$F$242,'GWP &amp; Emission Factors '!$E$154:$E$242,$N$13)+SUMIFS($O$15:$O$74,$D$15:$D$74,$D73)*SUMIFS('GWP &amp; Emission Factors '!$F$154:$F$242,'GWP &amp; Emission Factors '!$E$154:$E$242,$O$13)+SUMIFS($P$15:$P$74,$D$15:$D$74,$D73)*SUMIFS('GWP &amp; Emission Factors '!$F$154:$F$242,'GWP &amp; Emission Factors '!$E$154:$E$242,$P$13)+SUMIFS($Q$15:$Q$74,$D$15:$D$74,$D73)*SUMIFS('GWP &amp; Emission Factors '!$F$154:$F$242,'GWP &amp; Emission Factors '!$E$154:$E$242,$Q$13)+SUMIFS($R$15:$R$74,$D$15:$D$74,$D73)*SUMIFS('GWP &amp; Emission Factors '!$F$154:$F$242,'GWP &amp; Emission Factors '!$E$154:$E$242,$R$13)+SUMIFS($S$15:$S$74,$D$15:$D$74,$D73)*SUMIFS('GWP &amp; Emission Factors '!$F$154:$F$242,'GWP &amp; Emission Factors '!$E$154:$E$242,$S$13)+SUMIFS($T$15:$T$74,$D$15:$D$74,$D73)*SUMIFS('GWP &amp; Emission Factors '!$F$154:$F$242,'GWP &amp; Emission Factors '!$E$154:$E$242,$T$13)+SUMIFS($U$15:$U$74,$D$15:$D$74,$D73)*SUMIFS('GWP &amp; Emission Factors '!$F$154:$F$242,'GWP &amp; Emission Factors '!$E$154:$E$242,$U$13)+SUMIFS($V$15:$V$74,$D$15:$D$74,$D73)*SUMIFS('GWP &amp; Emission Factors '!$F$154:$F$242,'GWP &amp; Emission Factors '!$E$154:$E$242,$V$13)+SUMIFS($W$15:$W$74,$D$15:$D$74,$D73)*SUMIFS('GWP &amp; Emission Factors '!$F$154:$F$242,'GWP &amp; Emission Factors '!$E$154:$E$242,$W$13)+SUMIFS($X$15:$X$74,$D$15:$D$74,$D73)*SUMIFS('GWP &amp; Emission Factors '!$F$154:$F$242,'GWP &amp; Emission Factors '!$E$154:$E$242,$X$13)+SUMIFS($Y$15:$Y$74,$D$15:$D$74,$D73)*SUMIFS('GWP &amp; Emission Factors '!$F$154:$F$242,'GWP &amp; Emission Factors '!$E$154:$E$242,$Y$13)+SUMIFS($Z$15:$Z$74,$D$15:$D$74,$D73)*SUMIFS('GWP &amp; Emission Factors '!$F$154:$F$242,'GWP &amp; Emission Factors '!$E$154:$E$242,$Z$13)+SUMIFS($AA$15:$AA$74,$D$15:$D$74,$D73)*SUMIFS('GWP &amp; Emission Factors '!$F$154:$F$242,'GWP &amp; Emission Factors '!$E$154:$E$242,$AA$13)+SUMIFS($AB$15:$AB$74,$D$15:$D$74,$D73)*SUMIFS('GWP &amp; Emission Factors '!$F$154:$F$242,'GWP &amp; Emission Factors '!$E$154:$E$242,$AB$13)/1000+SUMIFS($AC$15:$AC$74,$D$15:$D$74,$D73)*SUMIFS('GWP &amp; Emission Factors '!$F$154:$F$242,'GWP &amp; Emission Factors '!$E$154:$E$242,$AC$13))/1000</f>
        <v>0</v>
      </c>
    </row>
    <row r="74" spans="4:30" x14ac:dyDescent="0.25">
      <c r="D74" s="653" t="str">
        <f>'Project Emission Distribution'!D84</f>
        <v>AN60</v>
      </c>
      <c r="E74" s="466"/>
      <c r="F74" s="466"/>
      <c r="G74" s="466"/>
      <c r="H74" s="466"/>
      <c r="I74" s="466"/>
      <c r="J74" s="466"/>
      <c r="K74" s="466"/>
      <c r="L74" s="466"/>
      <c r="M74" s="466"/>
      <c r="N74" s="710"/>
      <c r="O74" s="710"/>
      <c r="P74" s="710"/>
      <c r="Q74" s="710"/>
      <c r="R74" s="710"/>
      <c r="S74" s="710"/>
      <c r="T74" s="710"/>
      <c r="U74" s="710"/>
      <c r="V74" s="710"/>
      <c r="W74" s="710"/>
      <c r="X74" s="710"/>
      <c r="Y74" s="710"/>
      <c r="Z74" s="710"/>
      <c r="AA74" s="710"/>
      <c r="AB74" s="710"/>
      <c r="AC74" s="710"/>
      <c r="AD74" s="711">
        <f>(SUMIFS($E$15:$E$74,$D$15:$D$74,$D74)*SUMIFS('GWP &amp; Emission Factors '!$F$154:$F$242,'GWP &amp; Emission Factors '!$E$154:$E$242,$E$13)+SUMIFS($F$15:$F$74,$D$15:$D$74,$D74)*SUMIFS('GWP &amp; Emission Factors '!$F$154:$F$242,'GWP &amp; Emission Factors '!$E$154:$E$242,$F$13)+SUMIFS($G$15:$G$74,$D$15:$D$74,$D74)*SUMIFS('GWP &amp; Emission Factors '!$F$154:$F$242,'GWP &amp; Emission Factors '!$E$154:$E$242,$G$13)+SUMIFS($H$15:$H$74,$D$15:$D$74,$D74)*SUMIFS('GWP &amp; Emission Factors '!$F$154:$F$242,'GWP &amp; Emission Factors '!$E$154:$E$242,$H$13)+SUMIFS($I$15:$I$74,$D$15:$D$74,$D74)*SUMIFS('GWP &amp; Emission Factors '!$F$154:$F$242,'GWP &amp; Emission Factors '!$E$154:$E$242,$I$13)+SUMIFS($J$15:$J$74,$D$15:$D$74,$D74)*SUMIFS('GWP &amp; Emission Factors '!$F$154:$F$242,'GWP &amp; Emission Factors '!$E$154:$E$242,$J$13)+SUMIFS($K$15:$K$74,$D$15:$D$74,$D74)*SUMIFS('GWP &amp; Emission Factors '!$F$154:$F$242,'GWP &amp; Emission Factors '!$E$154:$E$242,$K$13)+SUMIFS($L$15:$L$74,$D$15:$D$74,$D74)*SUMIFS('GWP &amp; Emission Factors '!$F$154:$F$242,'GWP &amp; Emission Factors '!$E$154:$E$242,$L$13)+SUMIFS($M$15:$M$74,$D$15:$D$74,$D74)*SUMIFS('GWP &amp; Emission Factors '!$F$154:$F$242,'GWP &amp; Emission Factors '!$E$154:$E$242,$M$13)+SUMIFS($N$15:$N$74,$D$15:$D$74,$D74)*SUMIFS('GWP &amp; Emission Factors '!$F$154:$F$242,'GWP &amp; Emission Factors '!$E$154:$E$242,$N$13)+SUMIFS($O$15:$O$74,$D$15:$D$74,$D74)*SUMIFS('GWP &amp; Emission Factors '!$F$154:$F$242,'GWP &amp; Emission Factors '!$E$154:$E$242,$O$13)+SUMIFS($P$15:$P$74,$D$15:$D$74,$D74)*SUMIFS('GWP &amp; Emission Factors '!$F$154:$F$242,'GWP &amp; Emission Factors '!$E$154:$E$242,$P$13)+SUMIFS($Q$15:$Q$74,$D$15:$D$74,$D74)*SUMIFS('GWP &amp; Emission Factors '!$F$154:$F$242,'GWP &amp; Emission Factors '!$E$154:$E$242,$Q$13)+SUMIFS($R$15:$R$74,$D$15:$D$74,$D74)*SUMIFS('GWP &amp; Emission Factors '!$F$154:$F$242,'GWP &amp; Emission Factors '!$E$154:$E$242,$R$13)+SUMIFS($S$15:$S$74,$D$15:$D$74,$D74)*SUMIFS('GWP &amp; Emission Factors '!$F$154:$F$242,'GWP &amp; Emission Factors '!$E$154:$E$242,$S$13)+SUMIFS($T$15:$T$74,$D$15:$D$74,$D74)*SUMIFS('GWP &amp; Emission Factors '!$F$154:$F$242,'GWP &amp; Emission Factors '!$E$154:$E$242,$T$13)+SUMIFS($U$15:$U$74,$D$15:$D$74,$D74)*SUMIFS('GWP &amp; Emission Factors '!$F$154:$F$242,'GWP &amp; Emission Factors '!$E$154:$E$242,$U$13)+SUMIFS($V$15:$V$74,$D$15:$D$74,$D74)*SUMIFS('GWP &amp; Emission Factors '!$F$154:$F$242,'GWP &amp; Emission Factors '!$E$154:$E$242,$V$13)+SUMIFS($W$15:$W$74,$D$15:$D$74,$D74)*SUMIFS('GWP &amp; Emission Factors '!$F$154:$F$242,'GWP &amp; Emission Factors '!$E$154:$E$242,$W$13)+SUMIFS($X$15:$X$74,$D$15:$D$74,$D74)*SUMIFS('GWP &amp; Emission Factors '!$F$154:$F$242,'GWP &amp; Emission Factors '!$E$154:$E$242,$X$13)+SUMIFS($Y$15:$Y$74,$D$15:$D$74,$D74)*SUMIFS('GWP &amp; Emission Factors '!$F$154:$F$242,'GWP &amp; Emission Factors '!$E$154:$E$242,$Y$13)+SUMIFS($Z$15:$Z$74,$D$15:$D$74,$D74)*SUMIFS('GWP &amp; Emission Factors '!$F$154:$F$242,'GWP &amp; Emission Factors '!$E$154:$E$242,$Z$13)+SUMIFS($AA$15:$AA$74,$D$15:$D$74,$D74)*SUMIFS('GWP &amp; Emission Factors '!$F$154:$F$242,'GWP &amp; Emission Factors '!$E$154:$E$242,$AA$13)+SUMIFS($AB$15:$AB$74,$D$15:$D$74,$D74)*SUMIFS('GWP &amp; Emission Factors '!$F$154:$F$242,'GWP &amp; Emission Factors '!$E$154:$E$242,$AB$13)/1000+SUMIFS($AC$15:$AC$74,$D$15:$D$74,$D74)*SUMIFS('GWP &amp; Emission Factors '!$F$154:$F$242,'GWP &amp; Emission Factors '!$E$154:$E$242,$AC$13))/1000</f>
        <v>0</v>
      </c>
    </row>
    <row r="75" spans="4:30" x14ac:dyDescent="0.25">
      <c r="D75" s="712" t="s">
        <v>116</v>
      </c>
      <c r="E75" s="654">
        <f>SUM(E15:E74)</f>
        <v>0</v>
      </c>
      <c r="F75" s="654">
        <f t="shared" ref="F75:AC75" si="0">SUM(F15:F74)</f>
        <v>0</v>
      </c>
      <c r="G75" s="654">
        <f t="shared" si="0"/>
        <v>0</v>
      </c>
      <c r="H75" s="654">
        <f t="shared" si="0"/>
        <v>0</v>
      </c>
      <c r="I75" s="654">
        <f t="shared" si="0"/>
        <v>0</v>
      </c>
      <c r="J75" s="654">
        <f t="shared" si="0"/>
        <v>0</v>
      </c>
      <c r="K75" s="654">
        <f t="shared" si="0"/>
        <v>0</v>
      </c>
      <c r="L75" s="654">
        <f t="shared" si="0"/>
        <v>0</v>
      </c>
      <c r="M75" s="654">
        <f t="shared" si="0"/>
        <v>0</v>
      </c>
      <c r="N75" s="654">
        <f t="shared" si="0"/>
        <v>0</v>
      </c>
      <c r="O75" s="654">
        <f t="shared" si="0"/>
        <v>0</v>
      </c>
      <c r="P75" s="654">
        <f t="shared" si="0"/>
        <v>0</v>
      </c>
      <c r="Q75" s="654">
        <f t="shared" si="0"/>
        <v>0</v>
      </c>
      <c r="R75" s="654">
        <f t="shared" si="0"/>
        <v>0</v>
      </c>
      <c r="S75" s="654">
        <f t="shared" si="0"/>
        <v>0</v>
      </c>
      <c r="T75" s="654">
        <f t="shared" si="0"/>
        <v>0</v>
      </c>
      <c r="U75" s="654">
        <f t="shared" si="0"/>
        <v>0</v>
      </c>
      <c r="V75" s="654">
        <f t="shared" si="0"/>
        <v>0</v>
      </c>
      <c r="W75" s="654">
        <f t="shared" si="0"/>
        <v>0</v>
      </c>
      <c r="X75" s="654">
        <f t="shared" si="0"/>
        <v>0</v>
      </c>
      <c r="Y75" s="654">
        <f t="shared" si="0"/>
        <v>0</v>
      </c>
      <c r="Z75" s="654">
        <f t="shared" si="0"/>
        <v>0</v>
      </c>
      <c r="AA75" s="654">
        <f t="shared" si="0"/>
        <v>0</v>
      </c>
      <c r="AB75" s="654">
        <f t="shared" si="0"/>
        <v>0</v>
      </c>
      <c r="AC75" s="654">
        <f t="shared" si="0"/>
        <v>0</v>
      </c>
      <c r="AD75" s="654"/>
    </row>
    <row r="77" spans="4:30" x14ac:dyDescent="0.25">
      <c r="D77" s="111"/>
      <c r="N77" s="392"/>
    </row>
    <row r="78" spans="4:30" x14ac:dyDescent="0.25">
      <c r="D78" s="111"/>
      <c r="N78" s="392"/>
    </row>
    <row r="79" spans="4:30" x14ac:dyDescent="0.25">
      <c r="D79" s="111"/>
      <c r="E79" s="111"/>
      <c r="N79" s="392"/>
    </row>
    <row r="80" spans="4:30" x14ac:dyDescent="0.25">
      <c r="D80" s="111"/>
      <c r="E80" s="111"/>
      <c r="N80" s="392"/>
    </row>
    <row r="81" spans="4:14" x14ac:dyDescent="0.25">
      <c r="D81" s="111"/>
      <c r="E81" s="111"/>
      <c r="N81" s="392"/>
    </row>
    <row r="82" spans="4:14" x14ac:dyDescent="0.25">
      <c r="D82" s="111"/>
      <c r="E82" s="111"/>
      <c r="N82" s="392"/>
    </row>
    <row r="83" spans="4:14" hidden="1" x14ac:dyDescent="0.25">
      <c r="D83" s="51"/>
      <c r="E83" s="51"/>
      <c r="F83" s="51" t="s">
        <v>439</v>
      </c>
      <c r="N83" s="392"/>
    </row>
    <row r="84" spans="4:14" hidden="1" x14ac:dyDescent="0.25">
      <c r="D84" s="51" t="s">
        <v>438</v>
      </c>
      <c r="E84" s="51"/>
      <c r="F84" s="51">
        <f>1/1000</f>
        <v>1E-3</v>
      </c>
      <c r="N84" s="392"/>
    </row>
    <row r="85" spans="4:14" hidden="1" x14ac:dyDescent="0.25">
      <c r="D85" s="51" t="s">
        <v>442</v>
      </c>
      <c r="E85" s="51"/>
      <c r="F85" s="51">
        <v>1</v>
      </c>
      <c r="N85" s="392"/>
    </row>
    <row r="86" spans="4:14" hidden="1" x14ac:dyDescent="0.25">
      <c r="D86" s="452" t="s">
        <v>441</v>
      </c>
      <c r="E86" s="452"/>
      <c r="F86" s="51">
        <f>12*25.4/1000</f>
        <v>0.30479999999999996</v>
      </c>
      <c r="N86" s="392"/>
    </row>
    <row r="87" spans="4:14" hidden="1" x14ac:dyDescent="0.25">
      <c r="D87" s="51" t="s">
        <v>440</v>
      </c>
      <c r="E87" s="51"/>
      <c r="F87" s="51">
        <f>25.4*1/1000</f>
        <v>2.5399999999999999E-2</v>
      </c>
      <c r="N87" s="392"/>
    </row>
    <row r="88" spans="4:14" x14ac:dyDescent="0.25">
      <c r="D88" s="111"/>
      <c r="E88" s="111"/>
      <c r="N88" s="392"/>
    </row>
    <row r="89" spans="4:14" x14ac:dyDescent="0.25">
      <c r="D89" s="111"/>
      <c r="E89" s="111"/>
      <c r="N89" s="392"/>
    </row>
    <row r="90" spans="4:14" x14ac:dyDescent="0.25">
      <c r="D90" s="111"/>
      <c r="E90" s="111"/>
      <c r="N90" s="392"/>
    </row>
    <row r="91" spans="4:14" x14ac:dyDescent="0.25">
      <c r="D91" s="111"/>
      <c r="E91" s="111"/>
      <c r="N91" s="392"/>
    </row>
    <row r="92" spans="4:14" x14ac:dyDescent="0.25">
      <c r="D92" s="111"/>
      <c r="E92" s="111"/>
      <c r="N92" s="392"/>
    </row>
    <row r="93" spans="4:14" x14ac:dyDescent="0.25">
      <c r="D93" s="111"/>
      <c r="E93" s="111"/>
      <c r="N93" s="392"/>
    </row>
    <row r="94" spans="4:14" x14ac:dyDescent="0.25">
      <c r="D94" s="111"/>
      <c r="E94" s="111"/>
      <c r="N94" s="392"/>
    </row>
    <row r="95" spans="4:14" x14ac:dyDescent="0.25">
      <c r="D95" s="111"/>
      <c r="E95" s="111"/>
      <c r="N95" s="392"/>
    </row>
    <row r="96" spans="4:14" x14ac:dyDescent="0.25">
      <c r="D96" s="111"/>
      <c r="E96" s="111"/>
      <c r="N96" s="392"/>
    </row>
    <row r="97" spans="4:14" x14ac:dyDescent="0.25">
      <c r="D97" s="111"/>
      <c r="E97" s="111"/>
      <c r="N97" s="392"/>
    </row>
    <row r="98" spans="4:14" x14ac:dyDescent="0.25">
      <c r="D98" s="111"/>
      <c r="E98" s="111"/>
      <c r="N98" s="392"/>
    </row>
    <row r="99" spans="4:14" x14ac:dyDescent="0.25">
      <c r="D99" s="111"/>
      <c r="E99" s="111"/>
      <c r="N99" s="392"/>
    </row>
    <row r="100" spans="4:14" x14ac:dyDescent="0.25">
      <c r="D100" s="111"/>
      <c r="E100" s="111"/>
      <c r="N100" s="392"/>
    </row>
    <row r="101" spans="4:14" x14ac:dyDescent="0.25">
      <c r="D101" s="111"/>
      <c r="E101" s="111"/>
      <c r="N101" s="392"/>
    </row>
    <row r="102" spans="4:14" x14ac:dyDescent="0.25">
      <c r="D102" s="111"/>
      <c r="E102" s="111"/>
      <c r="N102" s="392"/>
    </row>
    <row r="103" spans="4:14" x14ac:dyDescent="0.25">
      <c r="D103" s="111"/>
      <c r="E103" s="111"/>
      <c r="N103" s="392"/>
    </row>
    <row r="104" spans="4:14" x14ac:dyDescent="0.25">
      <c r="D104" s="111"/>
      <c r="E104" s="111"/>
      <c r="N104" s="392"/>
    </row>
    <row r="105" spans="4:14" x14ac:dyDescent="0.25">
      <c r="D105" s="111"/>
      <c r="E105" s="111"/>
      <c r="N105" s="392"/>
    </row>
    <row r="106" spans="4:14" x14ac:dyDescent="0.25">
      <c r="D106" s="111"/>
      <c r="E106" s="111"/>
      <c r="N106" s="392"/>
    </row>
    <row r="107" spans="4:14" x14ac:dyDescent="0.25">
      <c r="D107" s="111"/>
      <c r="E107" s="111"/>
      <c r="N107" s="392"/>
    </row>
    <row r="108" spans="4:14" x14ac:dyDescent="0.25">
      <c r="D108" s="111"/>
      <c r="E108" s="111"/>
      <c r="N108" s="392"/>
    </row>
    <row r="109" spans="4:14" x14ac:dyDescent="0.25">
      <c r="D109" s="111"/>
      <c r="E109" s="111"/>
      <c r="N109" s="392"/>
    </row>
    <row r="110" spans="4:14" x14ac:dyDescent="0.25">
      <c r="D110" s="111"/>
      <c r="E110" s="111"/>
      <c r="N110" s="392"/>
    </row>
    <row r="111" spans="4:14" x14ac:dyDescent="0.25">
      <c r="D111" s="111"/>
      <c r="E111" s="111"/>
      <c r="N111" s="392"/>
    </row>
    <row r="112" spans="4:14" x14ac:dyDescent="0.25">
      <c r="D112" s="111"/>
      <c r="E112" s="111"/>
      <c r="N112" s="392"/>
    </row>
    <row r="113" spans="4:14" x14ac:dyDescent="0.25">
      <c r="D113" s="111"/>
      <c r="E113" s="111"/>
      <c r="N113" s="392"/>
    </row>
    <row r="114" spans="4:14" x14ac:dyDescent="0.25">
      <c r="D114" s="111"/>
      <c r="E114" s="111"/>
      <c r="N114" s="392"/>
    </row>
    <row r="115" spans="4:14" x14ac:dyDescent="0.25">
      <c r="D115" s="111"/>
      <c r="E115" s="111"/>
      <c r="N115" s="392"/>
    </row>
    <row r="116" spans="4:14" x14ac:dyDescent="0.25">
      <c r="D116" s="111"/>
      <c r="E116" s="111"/>
      <c r="N116" s="392"/>
    </row>
    <row r="117" spans="4:14" x14ac:dyDescent="0.25">
      <c r="D117" s="111"/>
      <c r="E117" s="111"/>
      <c r="N117" s="392"/>
    </row>
    <row r="118" spans="4:14" x14ac:dyDescent="0.25">
      <c r="D118" s="111"/>
      <c r="E118" s="111"/>
      <c r="N118" s="392"/>
    </row>
    <row r="119" spans="4:14" x14ac:dyDescent="0.25">
      <c r="D119" s="111"/>
      <c r="E119" s="111"/>
      <c r="N119" s="392"/>
    </row>
    <row r="120" spans="4:14" x14ac:dyDescent="0.25">
      <c r="D120" s="111"/>
      <c r="E120" s="111"/>
      <c r="N120" s="392"/>
    </row>
    <row r="121" spans="4:14" x14ac:dyDescent="0.25">
      <c r="D121" s="111"/>
      <c r="E121" s="111"/>
      <c r="N121" s="392"/>
    </row>
    <row r="122" spans="4:14" x14ac:dyDescent="0.25">
      <c r="D122" s="111"/>
      <c r="E122" s="111"/>
      <c r="N122" s="392"/>
    </row>
    <row r="123" spans="4:14" x14ac:dyDescent="0.25">
      <c r="D123" s="111"/>
      <c r="E123" s="111"/>
      <c r="N123" s="392"/>
    </row>
    <row r="124" spans="4:14" x14ac:dyDescent="0.25">
      <c r="D124" s="111"/>
      <c r="E124" s="111"/>
      <c r="N124" s="392"/>
    </row>
    <row r="125" spans="4:14" x14ac:dyDescent="0.25">
      <c r="D125" s="111"/>
      <c r="E125" s="111"/>
      <c r="N125" s="392"/>
    </row>
    <row r="126" spans="4:14" x14ac:dyDescent="0.25">
      <c r="D126" s="111"/>
      <c r="E126" s="111"/>
      <c r="N126" s="392"/>
    </row>
    <row r="127" spans="4:14" x14ac:dyDescent="0.25">
      <c r="D127" s="111"/>
      <c r="E127" s="111"/>
      <c r="N127" s="392"/>
    </row>
    <row r="128" spans="4:14" x14ac:dyDescent="0.25">
      <c r="D128" s="111"/>
      <c r="E128" s="111"/>
      <c r="N128" s="392"/>
    </row>
    <row r="129" spans="4:14" x14ac:dyDescent="0.25">
      <c r="D129" s="111"/>
      <c r="E129" s="111"/>
      <c r="N129" s="392"/>
    </row>
    <row r="130" spans="4:14" x14ac:dyDescent="0.25">
      <c r="D130" s="111"/>
      <c r="E130" s="111"/>
      <c r="N130" s="392"/>
    </row>
    <row r="131" spans="4:14" x14ac:dyDescent="0.25">
      <c r="D131" s="111"/>
      <c r="E131" s="111"/>
      <c r="N131" s="392"/>
    </row>
    <row r="132" spans="4:14" x14ac:dyDescent="0.25">
      <c r="D132" s="111"/>
      <c r="E132" s="111"/>
      <c r="N132" s="392"/>
    </row>
    <row r="133" spans="4:14" x14ac:dyDescent="0.25">
      <c r="D133" s="111"/>
      <c r="E133" s="111"/>
      <c r="N133" s="392"/>
    </row>
    <row r="134" spans="4:14" x14ac:dyDescent="0.25">
      <c r="D134" s="111"/>
      <c r="E134" s="111"/>
      <c r="N134" s="392"/>
    </row>
    <row r="135" spans="4:14" x14ac:dyDescent="0.25">
      <c r="D135" s="111"/>
      <c r="E135" s="111"/>
      <c r="N135" s="392"/>
    </row>
    <row r="136" spans="4:14" x14ac:dyDescent="0.25">
      <c r="D136" s="111"/>
      <c r="E136" s="111"/>
      <c r="N136" s="392"/>
    </row>
    <row r="137" spans="4:14" x14ac:dyDescent="0.25">
      <c r="D137" s="111"/>
      <c r="E137" s="111"/>
      <c r="N137" s="392"/>
    </row>
    <row r="138" spans="4:14" x14ac:dyDescent="0.25">
      <c r="D138" s="111"/>
      <c r="E138" s="111"/>
      <c r="N138" s="392"/>
    </row>
    <row r="139" spans="4:14" x14ac:dyDescent="0.25">
      <c r="D139" s="111"/>
      <c r="E139" s="111"/>
      <c r="N139" s="392"/>
    </row>
    <row r="140" spans="4:14" x14ac:dyDescent="0.25">
      <c r="D140" s="111"/>
      <c r="E140" s="111"/>
      <c r="N140" s="392"/>
    </row>
    <row r="141" spans="4:14" x14ac:dyDescent="0.25">
      <c r="D141" s="111"/>
      <c r="E141" s="111"/>
      <c r="N141" s="392"/>
    </row>
    <row r="142" spans="4:14" x14ac:dyDescent="0.25">
      <c r="D142" s="111"/>
      <c r="E142" s="111"/>
      <c r="N142" s="392"/>
    </row>
    <row r="143" spans="4:14" x14ac:dyDescent="0.25">
      <c r="D143" s="111"/>
      <c r="E143" s="111"/>
      <c r="N143" s="392"/>
    </row>
    <row r="144" spans="4:14" x14ac:dyDescent="0.25">
      <c r="D144" s="111"/>
      <c r="E144" s="111"/>
      <c r="N144" s="392"/>
    </row>
    <row r="145" spans="4:14" x14ac:dyDescent="0.25">
      <c r="D145" s="111"/>
      <c r="E145" s="111"/>
      <c r="N145" s="392"/>
    </row>
    <row r="146" spans="4:14" x14ac:dyDescent="0.25">
      <c r="D146" s="111"/>
      <c r="E146" s="111"/>
      <c r="N146" s="392"/>
    </row>
    <row r="147" spans="4:14" x14ac:dyDescent="0.25">
      <c r="D147" s="111"/>
      <c r="E147" s="111"/>
      <c r="N147" s="392"/>
    </row>
    <row r="148" spans="4:14" x14ac:dyDescent="0.25">
      <c r="D148" s="111"/>
      <c r="E148" s="111"/>
      <c r="N148" s="392"/>
    </row>
    <row r="149" spans="4:14" x14ac:dyDescent="0.25">
      <c r="D149" s="111"/>
      <c r="E149" s="111"/>
      <c r="N149" s="392"/>
    </row>
    <row r="150" spans="4:14" x14ac:dyDescent="0.25">
      <c r="D150" s="111"/>
      <c r="E150" s="111"/>
      <c r="N150" s="392"/>
    </row>
    <row r="151" spans="4:14" x14ac:dyDescent="0.25">
      <c r="D151" s="111"/>
      <c r="E151" s="111"/>
      <c r="N151" s="392"/>
    </row>
    <row r="152" spans="4:14" x14ac:dyDescent="0.25">
      <c r="D152" s="111"/>
      <c r="E152" s="111"/>
      <c r="N152" s="392"/>
    </row>
    <row r="153" spans="4:14" x14ac:dyDescent="0.25">
      <c r="D153" s="111"/>
      <c r="E153" s="111"/>
      <c r="N153" s="392"/>
    </row>
    <row r="154" spans="4:14" x14ac:dyDescent="0.25">
      <c r="D154" s="111"/>
      <c r="E154" s="111"/>
      <c r="N154" s="392"/>
    </row>
    <row r="155" spans="4:14" x14ac:dyDescent="0.25">
      <c r="D155" s="111"/>
      <c r="E155" s="111"/>
      <c r="N155" s="392"/>
    </row>
    <row r="156" spans="4:14" x14ac:dyDescent="0.25">
      <c r="D156" s="111"/>
      <c r="E156" s="111"/>
      <c r="N156" s="392"/>
    </row>
    <row r="157" spans="4:14" x14ac:dyDescent="0.25">
      <c r="D157" s="111"/>
      <c r="E157" s="111"/>
      <c r="N157" s="392"/>
    </row>
    <row r="158" spans="4:14" x14ac:dyDescent="0.25">
      <c r="D158" s="111"/>
      <c r="E158" s="111"/>
      <c r="N158" s="392"/>
    </row>
    <row r="159" spans="4:14" x14ac:dyDescent="0.25">
      <c r="D159" s="111"/>
      <c r="E159" s="111"/>
      <c r="N159" s="392"/>
    </row>
    <row r="160" spans="4:14" x14ac:dyDescent="0.25">
      <c r="D160" s="111"/>
      <c r="E160" s="111"/>
      <c r="N160" s="392"/>
    </row>
    <row r="161" spans="4:14" x14ac:dyDescent="0.25">
      <c r="D161" s="111"/>
      <c r="E161" s="111"/>
      <c r="N161" s="392"/>
    </row>
    <row r="162" spans="4:14" x14ac:dyDescent="0.25">
      <c r="D162" s="111"/>
      <c r="E162" s="111"/>
      <c r="N162" s="392"/>
    </row>
    <row r="163" spans="4:14" x14ac:dyDescent="0.25">
      <c r="D163" s="111"/>
      <c r="E163" s="111"/>
      <c r="N163" s="392"/>
    </row>
    <row r="164" spans="4:14" x14ac:dyDescent="0.25">
      <c r="D164" s="111"/>
      <c r="E164" s="111"/>
      <c r="N164" s="392"/>
    </row>
    <row r="165" spans="4:14" x14ac:dyDescent="0.25">
      <c r="D165" s="111"/>
      <c r="E165" s="111"/>
      <c r="N165" s="392"/>
    </row>
    <row r="166" spans="4:14" x14ac:dyDescent="0.25">
      <c r="D166" s="111"/>
      <c r="E166" s="111"/>
      <c r="N166" s="392"/>
    </row>
    <row r="167" spans="4:14" x14ac:dyDescent="0.25">
      <c r="D167" s="111"/>
      <c r="E167" s="111"/>
      <c r="N167" s="392"/>
    </row>
    <row r="168" spans="4:14" x14ac:dyDescent="0.25">
      <c r="D168" s="111"/>
      <c r="E168" s="111"/>
      <c r="N168" s="392"/>
    </row>
    <row r="169" spans="4:14" x14ac:dyDescent="0.25">
      <c r="D169" s="111"/>
      <c r="E169" s="111"/>
      <c r="N169" s="392"/>
    </row>
    <row r="170" spans="4:14" x14ac:dyDescent="0.25">
      <c r="D170" s="111"/>
      <c r="E170" s="111"/>
      <c r="N170" s="392"/>
    </row>
    <row r="171" spans="4:14" x14ac:dyDescent="0.25">
      <c r="D171" s="111"/>
      <c r="E171" s="111"/>
      <c r="N171" s="392"/>
    </row>
    <row r="172" spans="4:14" x14ac:dyDescent="0.25">
      <c r="D172" s="111"/>
      <c r="E172" s="111"/>
      <c r="N172" s="392"/>
    </row>
    <row r="173" spans="4:14" x14ac:dyDescent="0.25">
      <c r="D173" s="111"/>
      <c r="E173" s="111"/>
      <c r="N173" s="392"/>
    </row>
    <row r="174" spans="4:14" x14ac:dyDescent="0.25">
      <c r="D174" s="111"/>
      <c r="E174" s="111"/>
      <c r="N174" s="392"/>
    </row>
    <row r="175" spans="4:14" x14ac:dyDescent="0.25">
      <c r="D175" s="111"/>
      <c r="E175" s="111"/>
      <c r="N175" s="392"/>
    </row>
    <row r="176" spans="4:14" x14ac:dyDescent="0.25">
      <c r="D176" s="111"/>
      <c r="E176" s="111"/>
      <c r="N176" s="392"/>
    </row>
    <row r="177" spans="4:14" x14ac:dyDescent="0.25">
      <c r="D177" s="111"/>
      <c r="E177" s="111"/>
      <c r="N177" s="392"/>
    </row>
    <row r="178" spans="4:14" x14ac:dyDescent="0.25">
      <c r="D178" s="111"/>
      <c r="E178" s="111"/>
      <c r="N178" s="392"/>
    </row>
    <row r="179" spans="4:14" x14ac:dyDescent="0.25">
      <c r="D179" s="111"/>
      <c r="E179" s="111"/>
      <c r="N179" s="392"/>
    </row>
    <row r="180" spans="4:14" x14ac:dyDescent="0.25">
      <c r="D180" s="111"/>
      <c r="E180" s="111"/>
      <c r="N180" s="392"/>
    </row>
    <row r="181" spans="4:14" x14ac:dyDescent="0.25">
      <c r="D181" s="111"/>
      <c r="E181" s="111"/>
      <c r="N181" s="392"/>
    </row>
    <row r="182" spans="4:14" x14ac:dyDescent="0.25">
      <c r="D182" s="111"/>
      <c r="E182" s="111"/>
      <c r="N182" s="392"/>
    </row>
    <row r="183" spans="4:14" x14ac:dyDescent="0.25">
      <c r="D183" s="111"/>
      <c r="E183" s="111"/>
      <c r="N183" s="392"/>
    </row>
    <row r="184" spans="4:14" x14ac:dyDescent="0.25">
      <c r="D184" s="111"/>
      <c r="E184" s="111"/>
      <c r="N184" s="392"/>
    </row>
    <row r="185" spans="4:14" x14ac:dyDescent="0.25">
      <c r="D185" s="111"/>
      <c r="E185" s="111"/>
      <c r="N185" s="392"/>
    </row>
    <row r="186" spans="4:14" x14ac:dyDescent="0.25">
      <c r="D186" s="111"/>
      <c r="E186" s="111"/>
      <c r="N186" s="392"/>
    </row>
    <row r="187" spans="4:14" x14ac:dyDescent="0.25">
      <c r="D187" s="111"/>
      <c r="E187" s="111"/>
      <c r="N187" s="392"/>
    </row>
    <row r="188" spans="4:14" x14ac:dyDescent="0.25">
      <c r="D188" s="111"/>
      <c r="E188" s="111"/>
      <c r="N188" s="392"/>
    </row>
    <row r="189" spans="4:14" x14ac:dyDescent="0.25">
      <c r="D189" s="111"/>
      <c r="E189" s="111"/>
      <c r="N189" s="392"/>
    </row>
    <row r="190" spans="4:14" x14ac:dyDescent="0.25">
      <c r="D190" s="111"/>
      <c r="E190" s="111"/>
      <c r="N190" s="392"/>
    </row>
    <row r="191" spans="4:14" x14ac:dyDescent="0.25">
      <c r="D191" s="111"/>
      <c r="E191" s="111"/>
      <c r="N191" s="392"/>
    </row>
    <row r="192" spans="4:14" x14ac:dyDescent="0.25">
      <c r="D192" s="111"/>
      <c r="E192" s="111"/>
      <c r="N192" s="392"/>
    </row>
    <row r="193" spans="4:14" x14ac:dyDescent="0.25">
      <c r="D193" s="111"/>
      <c r="E193" s="111"/>
      <c r="N193" s="392"/>
    </row>
    <row r="194" spans="4:14" x14ac:dyDescent="0.25">
      <c r="D194" s="111"/>
      <c r="E194" s="111"/>
      <c r="N194" s="392"/>
    </row>
    <row r="195" spans="4:14" x14ac:dyDescent="0.25">
      <c r="D195" s="111"/>
      <c r="E195" s="111"/>
      <c r="N195" s="392"/>
    </row>
    <row r="196" spans="4:14" x14ac:dyDescent="0.25">
      <c r="D196" s="111"/>
      <c r="E196" s="111"/>
      <c r="N196" s="392"/>
    </row>
    <row r="197" spans="4:14" x14ac:dyDescent="0.25">
      <c r="D197" s="111"/>
      <c r="E197" s="111"/>
      <c r="N197" s="392"/>
    </row>
    <row r="198" spans="4:14" x14ac:dyDescent="0.25">
      <c r="D198" s="111"/>
      <c r="E198" s="111"/>
      <c r="N198" s="392"/>
    </row>
    <row r="199" spans="4:14" x14ac:dyDescent="0.25">
      <c r="D199" s="111"/>
      <c r="E199" s="111"/>
      <c r="N199" s="392"/>
    </row>
    <row r="200" spans="4:14" x14ac:dyDescent="0.25">
      <c r="D200" s="111"/>
      <c r="E200" s="111"/>
      <c r="N200" s="392"/>
    </row>
    <row r="201" spans="4:14" x14ac:dyDescent="0.25">
      <c r="D201" s="111"/>
      <c r="E201" s="111"/>
      <c r="N201" s="392"/>
    </row>
    <row r="202" spans="4:14" x14ac:dyDescent="0.25">
      <c r="D202" s="111"/>
      <c r="E202" s="111"/>
      <c r="N202" s="392"/>
    </row>
    <row r="203" spans="4:14" x14ac:dyDescent="0.25">
      <c r="D203" s="111"/>
      <c r="E203" s="111"/>
      <c r="N203" s="392"/>
    </row>
    <row r="204" spans="4:14" x14ac:dyDescent="0.25">
      <c r="D204" s="111"/>
      <c r="E204" s="111"/>
      <c r="N204" s="392"/>
    </row>
    <row r="205" spans="4:14" x14ac:dyDescent="0.25">
      <c r="D205" s="111"/>
      <c r="E205" s="111"/>
      <c r="N205" s="392"/>
    </row>
    <row r="206" spans="4:14" x14ac:dyDescent="0.25">
      <c r="D206" s="111"/>
      <c r="E206" s="111"/>
      <c r="N206" s="392"/>
    </row>
    <row r="207" spans="4:14" x14ac:dyDescent="0.25">
      <c r="D207" s="111"/>
      <c r="E207" s="111"/>
      <c r="N207" s="392"/>
    </row>
    <row r="208" spans="4:14" x14ac:dyDescent="0.25">
      <c r="D208" s="111"/>
      <c r="E208" s="111"/>
      <c r="N208" s="392"/>
    </row>
    <row r="209" spans="4:14" x14ac:dyDescent="0.25">
      <c r="D209" s="111"/>
      <c r="E209" s="111"/>
      <c r="N209" s="392"/>
    </row>
    <row r="210" spans="4:14" x14ac:dyDescent="0.25">
      <c r="D210" s="111"/>
      <c r="E210" s="111"/>
      <c r="N210" s="392"/>
    </row>
    <row r="211" spans="4:14" x14ac:dyDescent="0.25">
      <c r="D211" s="111"/>
      <c r="E211" s="111"/>
      <c r="N211" s="392"/>
    </row>
    <row r="212" spans="4:14" x14ac:dyDescent="0.25">
      <c r="D212" s="111"/>
      <c r="E212" s="111"/>
      <c r="N212" s="392"/>
    </row>
    <row r="213" spans="4:14" x14ac:dyDescent="0.25">
      <c r="D213" s="111"/>
      <c r="E213" s="111"/>
      <c r="N213" s="392"/>
    </row>
    <row r="214" spans="4:14" x14ac:dyDescent="0.25">
      <c r="D214" s="111"/>
      <c r="E214" s="111"/>
      <c r="N214" s="392"/>
    </row>
    <row r="215" spans="4:14" x14ac:dyDescent="0.25">
      <c r="D215" s="111"/>
      <c r="E215" s="111"/>
      <c r="N215" s="392"/>
    </row>
    <row r="216" spans="4:14" x14ac:dyDescent="0.25">
      <c r="D216" s="111"/>
      <c r="E216" s="111"/>
      <c r="N216" s="392"/>
    </row>
    <row r="217" spans="4:14" x14ac:dyDescent="0.25">
      <c r="D217" s="111"/>
      <c r="E217" s="111"/>
      <c r="N217" s="392"/>
    </row>
    <row r="218" spans="4:14" x14ac:dyDescent="0.25">
      <c r="D218" s="111"/>
      <c r="E218" s="111"/>
      <c r="N218" s="392"/>
    </row>
    <row r="219" spans="4:14" x14ac:dyDescent="0.25">
      <c r="D219" s="111"/>
      <c r="E219" s="111"/>
      <c r="N219" s="392"/>
    </row>
    <row r="220" spans="4:14" x14ac:dyDescent="0.25">
      <c r="D220" s="111"/>
      <c r="E220" s="111"/>
      <c r="N220" s="392"/>
    </row>
    <row r="221" spans="4:14" x14ac:dyDescent="0.25">
      <c r="D221" s="111"/>
      <c r="E221" s="111"/>
      <c r="N221" s="392"/>
    </row>
    <row r="222" spans="4:14" x14ac:dyDescent="0.25">
      <c r="D222" s="111"/>
      <c r="E222" s="111"/>
      <c r="N222" s="392"/>
    </row>
    <row r="223" spans="4:14" x14ac:dyDescent="0.25">
      <c r="D223" s="111"/>
      <c r="E223" s="111"/>
      <c r="N223" s="392"/>
    </row>
    <row r="224" spans="4:14" x14ac:dyDescent="0.25">
      <c r="D224" s="111"/>
      <c r="E224" s="111"/>
      <c r="N224" s="392"/>
    </row>
    <row r="225" spans="4:14" x14ac:dyDescent="0.25">
      <c r="D225" s="111"/>
      <c r="E225" s="111"/>
      <c r="N225" s="392"/>
    </row>
    <row r="226" spans="4:14" x14ac:dyDescent="0.25">
      <c r="D226" s="111"/>
      <c r="E226" s="111"/>
      <c r="N226" s="392"/>
    </row>
    <row r="227" spans="4:14" x14ac:dyDescent="0.25">
      <c r="D227" s="111"/>
      <c r="E227" s="111"/>
      <c r="N227" s="392"/>
    </row>
    <row r="228" spans="4:14" x14ac:dyDescent="0.25">
      <c r="D228" s="111"/>
      <c r="E228" s="111"/>
      <c r="N228" s="392"/>
    </row>
    <row r="229" spans="4:14" x14ac:dyDescent="0.25">
      <c r="D229" s="111"/>
      <c r="E229" s="111"/>
      <c r="N229" s="392"/>
    </row>
    <row r="230" spans="4:14" x14ac:dyDescent="0.25">
      <c r="D230" s="111"/>
      <c r="E230" s="111"/>
      <c r="N230" s="392"/>
    </row>
    <row r="231" spans="4:14" x14ac:dyDescent="0.25">
      <c r="D231" s="111"/>
      <c r="E231" s="111"/>
      <c r="N231" s="392"/>
    </row>
    <row r="232" spans="4:14" x14ac:dyDescent="0.25">
      <c r="D232" s="111"/>
      <c r="E232" s="111"/>
      <c r="N232" s="392"/>
    </row>
    <row r="233" spans="4:14" x14ac:dyDescent="0.25">
      <c r="D233" s="111"/>
      <c r="E233" s="111"/>
      <c r="N233" s="392"/>
    </row>
    <row r="234" spans="4:14" x14ac:dyDescent="0.25">
      <c r="D234" s="111"/>
      <c r="E234" s="111"/>
      <c r="N234" s="392"/>
    </row>
    <row r="235" spans="4:14" x14ac:dyDescent="0.25">
      <c r="D235" s="111"/>
      <c r="E235" s="111"/>
      <c r="N235" s="392"/>
    </row>
    <row r="236" spans="4:14" x14ac:dyDescent="0.25">
      <c r="D236" s="111"/>
      <c r="E236" s="111"/>
      <c r="N236" s="392"/>
    </row>
    <row r="237" spans="4:14" x14ac:dyDescent="0.25">
      <c r="D237" s="111"/>
      <c r="E237" s="111"/>
      <c r="N237" s="392"/>
    </row>
    <row r="238" spans="4:14" x14ac:dyDescent="0.25">
      <c r="D238" s="111"/>
      <c r="E238" s="111"/>
      <c r="N238" s="392"/>
    </row>
    <row r="239" spans="4:14" x14ac:dyDescent="0.25">
      <c r="D239" s="111"/>
      <c r="E239" s="111"/>
      <c r="N239" s="392"/>
    </row>
    <row r="240" spans="4:14" x14ac:dyDescent="0.25">
      <c r="D240" s="111"/>
      <c r="E240" s="111"/>
      <c r="N240" s="392"/>
    </row>
    <row r="241" spans="4:14" x14ac:dyDescent="0.25">
      <c r="D241" s="111"/>
      <c r="E241" s="111"/>
      <c r="N241" s="392"/>
    </row>
    <row r="242" spans="4:14" x14ac:dyDescent="0.25">
      <c r="D242" s="111"/>
      <c r="E242" s="111"/>
      <c r="N242" s="392"/>
    </row>
    <row r="243" spans="4:14" x14ac:dyDescent="0.25">
      <c r="D243" s="111"/>
      <c r="E243" s="111"/>
      <c r="N243" s="392"/>
    </row>
    <row r="244" spans="4:14" x14ac:dyDescent="0.25">
      <c r="D244" s="111"/>
      <c r="E244" s="111"/>
      <c r="N244" s="392"/>
    </row>
    <row r="245" spans="4:14" x14ac:dyDescent="0.25">
      <c r="D245" s="111"/>
      <c r="E245" s="111"/>
      <c r="N245" s="392"/>
    </row>
    <row r="246" spans="4:14" x14ac:dyDescent="0.25">
      <c r="D246" s="111"/>
      <c r="E246" s="111"/>
      <c r="N246" s="392"/>
    </row>
    <row r="247" spans="4:14" x14ac:dyDescent="0.25">
      <c r="D247" s="111"/>
      <c r="E247" s="111"/>
      <c r="N247" s="392"/>
    </row>
    <row r="248" spans="4:14" x14ac:dyDescent="0.25">
      <c r="D248" s="111"/>
      <c r="E248" s="111"/>
      <c r="N248" s="392"/>
    </row>
    <row r="249" spans="4:14" x14ac:dyDescent="0.25">
      <c r="D249" s="111"/>
      <c r="E249" s="111"/>
      <c r="N249" s="392"/>
    </row>
    <row r="250" spans="4:14" x14ac:dyDescent="0.25">
      <c r="D250" s="111"/>
      <c r="E250" s="111"/>
      <c r="N250" s="392"/>
    </row>
    <row r="251" spans="4:14" x14ac:dyDescent="0.25">
      <c r="D251" s="111"/>
      <c r="E251" s="111"/>
      <c r="N251" s="392"/>
    </row>
    <row r="252" spans="4:14" x14ac:dyDescent="0.25">
      <c r="D252" s="111"/>
      <c r="E252" s="111"/>
      <c r="N252" s="392"/>
    </row>
    <row r="253" spans="4:14" x14ac:dyDescent="0.25">
      <c r="D253" s="111"/>
      <c r="E253" s="111"/>
      <c r="N253" s="392"/>
    </row>
    <row r="254" spans="4:14" x14ac:dyDescent="0.25">
      <c r="D254" s="111"/>
      <c r="E254" s="111"/>
      <c r="N254" s="392"/>
    </row>
    <row r="255" spans="4:14" x14ac:dyDescent="0.25">
      <c r="D255" s="111"/>
      <c r="E255" s="111"/>
      <c r="N255" s="392"/>
    </row>
    <row r="256" spans="4:14" x14ac:dyDescent="0.25">
      <c r="D256" s="111"/>
      <c r="E256" s="111"/>
      <c r="N256" s="392"/>
    </row>
    <row r="257" spans="4:14" x14ac:dyDescent="0.25">
      <c r="D257" s="111"/>
      <c r="E257" s="111"/>
      <c r="N257" s="392"/>
    </row>
    <row r="258" spans="4:14" x14ac:dyDescent="0.25">
      <c r="D258" s="111"/>
      <c r="E258" s="111"/>
      <c r="N258" s="392"/>
    </row>
    <row r="259" spans="4:14" x14ac:dyDescent="0.25">
      <c r="D259" s="111"/>
      <c r="E259" s="111"/>
      <c r="N259" s="392"/>
    </row>
    <row r="260" spans="4:14" x14ac:dyDescent="0.25">
      <c r="D260" s="111"/>
      <c r="E260" s="111"/>
      <c r="N260" s="392"/>
    </row>
    <row r="261" spans="4:14" x14ac:dyDescent="0.25">
      <c r="D261" s="111"/>
      <c r="E261" s="111"/>
      <c r="N261" s="392"/>
    </row>
    <row r="262" spans="4:14" x14ac:dyDescent="0.25">
      <c r="D262" s="111"/>
      <c r="E262" s="111"/>
      <c r="N262" s="392"/>
    </row>
    <row r="263" spans="4:14" x14ac:dyDescent="0.25">
      <c r="D263" s="111"/>
      <c r="E263" s="111"/>
      <c r="N263" s="392"/>
    </row>
    <row r="264" spans="4:14" x14ac:dyDescent="0.25">
      <c r="D264" s="111"/>
      <c r="E264" s="111"/>
      <c r="N264" s="392"/>
    </row>
    <row r="265" spans="4:14" x14ac:dyDescent="0.25">
      <c r="D265" s="111"/>
      <c r="E265" s="111"/>
      <c r="N265" s="392"/>
    </row>
    <row r="266" spans="4:14" x14ac:dyDescent="0.25">
      <c r="D266" s="111"/>
      <c r="E266" s="111"/>
      <c r="N266" s="392"/>
    </row>
    <row r="267" spans="4:14" x14ac:dyDescent="0.25">
      <c r="D267" s="111"/>
      <c r="E267" s="111"/>
      <c r="N267" s="392"/>
    </row>
    <row r="268" spans="4:14" x14ac:dyDescent="0.25">
      <c r="D268" s="111"/>
      <c r="E268" s="111"/>
      <c r="N268" s="392"/>
    </row>
    <row r="269" spans="4:14" x14ac:dyDescent="0.25">
      <c r="D269" s="111"/>
      <c r="E269" s="111"/>
      <c r="N269" s="392"/>
    </row>
    <row r="270" spans="4:14" x14ac:dyDescent="0.25">
      <c r="D270" s="111"/>
      <c r="E270" s="111"/>
      <c r="N270" s="392"/>
    </row>
    <row r="271" spans="4:14" x14ac:dyDescent="0.25">
      <c r="D271" s="111"/>
      <c r="E271" s="111"/>
      <c r="N271" s="392"/>
    </row>
    <row r="272" spans="4:14" x14ac:dyDescent="0.25">
      <c r="D272" s="111"/>
      <c r="E272" s="111"/>
      <c r="N272" s="392"/>
    </row>
    <row r="273" spans="4:14" x14ac:dyDescent="0.25">
      <c r="D273" s="111"/>
      <c r="E273" s="111"/>
      <c r="N273" s="392"/>
    </row>
    <row r="274" spans="4:14" x14ac:dyDescent="0.25">
      <c r="D274" s="111"/>
      <c r="E274" s="111"/>
      <c r="N274" s="392"/>
    </row>
    <row r="275" spans="4:14" x14ac:dyDescent="0.25">
      <c r="D275" s="111"/>
      <c r="E275" s="111"/>
      <c r="N275" s="392"/>
    </row>
    <row r="276" spans="4:14" x14ac:dyDescent="0.25">
      <c r="D276" s="111"/>
      <c r="E276" s="111"/>
      <c r="N276" s="392"/>
    </row>
    <row r="277" spans="4:14" x14ac:dyDescent="0.25">
      <c r="D277" s="111"/>
      <c r="E277" s="111"/>
      <c r="N277" s="392"/>
    </row>
    <row r="278" spans="4:14" x14ac:dyDescent="0.25">
      <c r="D278" s="111"/>
      <c r="E278" s="111"/>
      <c r="N278" s="392"/>
    </row>
    <row r="279" spans="4:14" x14ac:dyDescent="0.25">
      <c r="D279" s="111"/>
      <c r="E279" s="111"/>
      <c r="N279" s="392"/>
    </row>
    <row r="280" spans="4:14" x14ac:dyDescent="0.25">
      <c r="D280" s="111"/>
      <c r="E280" s="111"/>
      <c r="N280" s="392"/>
    </row>
    <row r="281" spans="4:14" x14ac:dyDescent="0.25">
      <c r="D281" s="111"/>
      <c r="E281" s="111"/>
      <c r="N281" s="392"/>
    </row>
    <row r="282" spans="4:14" x14ac:dyDescent="0.25">
      <c r="D282" s="111"/>
      <c r="E282" s="111"/>
      <c r="N282" s="392"/>
    </row>
    <row r="283" spans="4:14" x14ac:dyDescent="0.25">
      <c r="D283" s="111"/>
      <c r="E283" s="111"/>
      <c r="N283" s="392"/>
    </row>
    <row r="284" spans="4:14" x14ac:dyDescent="0.25">
      <c r="D284" s="111"/>
      <c r="E284" s="111"/>
      <c r="N284" s="392"/>
    </row>
    <row r="285" spans="4:14" x14ac:dyDescent="0.25">
      <c r="D285" s="111"/>
      <c r="E285" s="111"/>
      <c r="N285" s="392"/>
    </row>
    <row r="286" spans="4:14" x14ac:dyDescent="0.25">
      <c r="D286" s="111"/>
      <c r="E286" s="111"/>
      <c r="N286" s="392"/>
    </row>
    <row r="287" spans="4:14" x14ac:dyDescent="0.25">
      <c r="D287" s="111"/>
      <c r="E287" s="111"/>
      <c r="N287" s="392"/>
    </row>
    <row r="288" spans="4:14" x14ac:dyDescent="0.25">
      <c r="D288" s="111"/>
      <c r="E288" s="111"/>
      <c r="N288" s="392"/>
    </row>
    <row r="289" spans="4:14" x14ac:dyDescent="0.25">
      <c r="D289" s="111"/>
      <c r="E289" s="111"/>
      <c r="N289" s="392"/>
    </row>
    <row r="290" spans="4:14" x14ac:dyDescent="0.25">
      <c r="D290" s="111"/>
      <c r="E290" s="111"/>
      <c r="N290" s="392"/>
    </row>
    <row r="291" spans="4:14" x14ac:dyDescent="0.25">
      <c r="D291" s="111"/>
      <c r="E291" s="111"/>
      <c r="N291" s="392"/>
    </row>
    <row r="292" spans="4:14" x14ac:dyDescent="0.25">
      <c r="D292" s="111"/>
      <c r="E292" s="111"/>
      <c r="N292" s="392"/>
    </row>
    <row r="293" spans="4:14" x14ac:dyDescent="0.25">
      <c r="D293" s="111"/>
      <c r="E293" s="111"/>
      <c r="N293" s="392"/>
    </row>
    <row r="294" spans="4:14" x14ac:dyDescent="0.25">
      <c r="D294" s="111"/>
      <c r="E294" s="111"/>
      <c r="N294" s="392"/>
    </row>
    <row r="295" spans="4:14" x14ac:dyDescent="0.25">
      <c r="D295" s="111"/>
      <c r="E295" s="111"/>
      <c r="N295" s="392"/>
    </row>
    <row r="296" spans="4:14" x14ac:dyDescent="0.25">
      <c r="D296" s="111"/>
      <c r="E296" s="111"/>
      <c r="N296" s="392"/>
    </row>
    <row r="297" spans="4:14" x14ac:dyDescent="0.25">
      <c r="D297" s="111"/>
      <c r="E297" s="111"/>
      <c r="N297" s="392"/>
    </row>
    <row r="298" spans="4:14" x14ac:dyDescent="0.25">
      <c r="D298" s="111"/>
      <c r="E298" s="111"/>
      <c r="N298" s="392"/>
    </row>
    <row r="299" spans="4:14" x14ac:dyDescent="0.25">
      <c r="D299" s="111"/>
      <c r="E299" s="111"/>
      <c r="N299" s="392"/>
    </row>
    <row r="300" spans="4:14" x14ac:dyDescent="0.25">
      <c r="D300" s="111"/>
      <c r="E300" s="111"/>
      <c r="N300" s="392"/>
    </row>
    <row r="301" spans="4:14" x14ac:dyDescent="0.25">
      <c r="D301" s="111"/>
      <c r="E301" s="111"/>
      <c r="N301" s="392"/>
    </row>
    <row r="302" spans="4:14" x14ac:dyDescent="0.25">
      <c r="D302" s="111"/>
      <c r="E302" s="111"/>
      <c r="N302" s="392"/>
    </row>
    <row r="303" spans="4:14" x14ac:dyDescent="0.25">
      <c r="D303" s="111"/>
      <c r="E303" s="111"/>
      <c r="N303" s="392"/>
    </row>
    <row r="304" spans="4:14" x14ac:dyDescent="0.25">
      <c r="D304" s="111"/>
      <c r="E304" s="111"/>
      <c r="N304" s="392"/>
    </row>
    <row r="305" spans="4:14" x14ac:dyDescent="0.25">
      <c r="D305" s="111"/>
      <c r="E305" s="111"/>
      <c r="N305" s="392"/>
    </row>
    <row r="306" spans="4:14" x14ac:dyDescent="0.25">
      <c r="D306" s="111"/>
      <c r="E306" s="111"/>
      <c r="N306" s="392"/>
    </row>
    <row r="307" spans="4:14" x14ac:dyDescent="0.25">
      <c r="D307" s="111"/>
      <c r="E307" s="111"/>
      <c r="N307" s="392"/>
    </row>
    <row r="308" spans="4:14" x14ac:dyDescent="0.25">
      <c r="D308" s="111"/>
      <c r="E308" s="111"/>
      <c r="N308" s="392"/>
    </row>
    <row r="309" spans="4:14" x14ac:dyDescent="0.25">
      <c r="D309" s="111"/>
      <c r="E309" s="111"/>
      <c r="N309" s="392"/>
    </row>
    <row r="310" spans="4:14" x14ac:dyDescent="0.25">
      <c r="D310" s="111"/>
      <c r="E310" s="111"/>
      <c r="N310" s="392"/>
    </row>
    <row r="311" spans="4:14" x14ac:dyDescent="0.25">
      <c r="D311" s="111"/>
      <c r="E311" s="111"/>
      <c r="N311" s="392"/>
    </row>
    <row r="312" spans="4:14" x14ac:dyDescent="0.25">
      <c r="D312" s="111"/>
      <c r="E312" s="111"/>
      <c r="N312" s="392"/>
    </row>
    <row r="313" spans="4:14" x14ac:dyDescent="0.25">
      <c r="D313" s="111"/>
      <c r="E313" s="111"/>
      <c r="N313" s="392"/>
    </row>
    <row r="314" spans="4:14" x14ac:dyDescent="0.25">
      <c r="D314" s="111"/>
      <c r="E314" s="111"/>
      <c r="N314" s="392"/>
    </row>
    <row r="315" spans="4:14" x14ac:dyDescent="0.25">
      <c r="D315" s="111"/>
      <c r="E315" s="111"/>
      <c r="N315" s="392"/>
    </row>
    <row r="316" spans="4:14" x14ac:dyDescent="0.25">
      <c r="D316" s="111"/>
      <c r="E316" s="111"/>
      <c r="N316" s="392"/>
    </row>
    <row r="317" spans="4:14" x14ac:dyDescent="0.25">
      <c r="D317" s="111"/>
      <c r="E317" s="111"/>
      <c r="N317" s="392"/>
    </row>
    <row r="318" spans="4:14" x14ac:dyDescent="0.25">
      <c r="D318" s="111"/>
      <c r="E318" s="111"/>
      <c r="N318" s="392"/>
    </row>
    <row r="319" spans="4:14" x14ac:dyDescent="0.25">
      <c r="D319" s="111"/>
      <c r="E319" s="111"/>
      <c r="N319" s="392"/>
    </row>
    <row r="320" spans="4:14" x14ac:dyDescent="0.25">
      <c r="D320" s="111"/>
      <c r="E320" s="111"/>
      <c r="N320" s="392"/>
    </row>
    <row r="321" spans="4:14" x14ac:dyDescent="0.25">
      <c r="D321" s="111"/>
      <c r="E321" s="111"/>
      <c r="N321" s="392"/>
    </row>
    <row r="322" spans="4:14" x14ac:dyDescent="0.25">
      <c r="D322" s="111"/>
      <c r="E322" s="111"/>
      <c r="N322" s="392"/>
    </row>
    <row r="323" spans="4:14" x14ac:dyDescent="0.25">
      <c r="D323" s="111"/>
      <c r="E323" s="111"/>
      <c r="N323" s="392"/>
    </row>
    <row r="324" spans="4:14" x14ac:dyDescent="0.25">
      <c r="D324" s="111"/>
      <c r="E324" s="111"/>
      <c r="N324" s="392"/>
    </row>
    <row r="325" spans="4:14" x14ac:dyDescent="0.25">
      <c r="D325" s="111"/>
      <c r="E325" s="111"/>
      <c r="N325" s="392"/>
    </row>
    <row r="326" spans="4:14" x14ac:dyDescent="0.25">
      <c r="D326" s="111"/>
      <c r="E326" s="111"/>
      <c r="N326" s="392"/>
    </row>
    <row r="327" spans="4:14" x14ac:dyDescent="0.25">
      <c r="D327" s="111"/>
      <c r="E327" s="111"/>
      <c r="N327" s="392"/>
    </row>
    <row r="328" spans="4:14" x14ac:dyDescent="0.25">
      <c r="D328" s="111"/>
      <c r="E328" s="111"/>
      <c r="N328" s="392"/>
    </row>
    <row r="329" spans="4:14" x14ac:dyDescent="0.25">
      <c r="D329" s="111"/>
      <c r="E329" s="111"/>
      <c r="N329" s="392"/>
    </row>
    <row r="330" spans="4:14" x14ac:dyDescent="0.25">
      <c r="D330" s="111"/>
      <c r="E330" s="111"/>
      <c r="N330" s="392"/>
    </row>
    <row r="331" spans="4:14" x14ac:dyDescent="0.25">
      <c r="D331" s="111"/>
      <c r="E331" s="111"/>
      <c r="N331" s="392"/>
    </row>
    <row r="332" spans="4:14" x14ac:dyDescent="0.25">
      <c r="D332" s="111"/>
      <c r="E332" s="111"/>
      <c r="N332" s="392"/>
    </row>
    <row r="333" spans="4:14" x14ac:dyDescent="0.25">
      <c r="D333" s="111"/>
      <c r="E333" s="111"/>
      <c r="N333" s="392"/>
    </row>
    <row r="334" spans="4:14" x14ac:dyDescent="0.25">
      <c r="D334" s="111"/>
      <c r="E334" s="111"/>
      <c r="N334" s="392"/>
    </row>
    <row r="335" spans="4:14" x14ac:dyDescent="0.25">
      <c r="D335" s="111"/>
      <c r="E335" s="111"/>
      <c r="N335" s="392"/>
    </row>
    <row r="336" spans="4:14" x14ac:dyDescent="0.25">
      <c r="D336" s="111"/>
      <c r="E336" s="111"/>
      <c r="N336" s="392"/>
    </row>
    <row r="337" spans="4:14" x14ac:dyDescent="0.25">
      <c r="D337" s="111"/>
      <c r="E337" s="111"/>
      <c r="N337" s="392"/>
    </row>
    <row r="338" spans="4:14" x14ac:dyDescent="0.25">
      <c r="D338" s="111"/>
      <c r="E338" s="111"/>
      <c r="N338" s="392"/>
    </row>
    <row r="339" spans="4:14" x14ac:dyDescent="0.25">
      <c r="D339" s="111"/>
      <c r="E339" s="111"/>
      <c r="N339" s="392"/>
    </row>
    <row r="340" spans="4:14" x14ac:dyDescent="0.25">
      <c r="D340" s="111"/>
      <c r="E340" s="111"/>
      <c r="N340" s="392"/>
    </row>
    <row r="341" spans="4:14" x14ac:dyDescent="0.25">
      <c r="D341" s="111"/>
      <c r="E341" s="111"/>
      <c r="N341" s="392"/>
    </row>
    <row r="342" spans="4:14" x14ac:dyDescent="0.25">
      <c r="D342" s="111"/>
      <c r="E342" s="111"/>
      <c r="N342" s="392"/>
    </row>
    <row r="343" spans="4:14" x14ac:dyDescent="0.25">
      <c r="D343" s="111"/>
      <c r="E343" s="111"/>
      <c r="N343" s="392"/>
    </row>
    <row r="344" spans="4:14" x14ac:dyDescent="0.25">
      <c r="D344" s="111"/>
      <c r="E344" s="111"/>
      <c r="N344" s="392"/>
    </row>
    <row r="345" spans="4:14" x14ac:dyDescent="0.25">
      <c r="D345" s="111"/>
      <c r="E345" s="111"/>
      <c r="N345" s="392"/>
    </row>
    <row r="346" spans="4:14" x14ac:dyDescent="0.25">
      <c r="D346" s="111"/>
      <c r="E346" s="111"/>
      <c r="N346" s="392"/>
    </row>
    <row r="347" spans="4:14" x14ac:dyDescent="0.25">
      <c r="D347" s="111"/>
      <c r="E347" s="111"/>
      <c r="N347" s="392"/>
    </row>
    <row r="348" spans="4:14" x14ac:dyDescent="0.25">
      <c r="D348" s="111"/>
      <c r="E348" s="111"/>
      <c r="N348" s="392"/>
    </row>
    <row r="349" spans="4:14" x14ac:dyDescent="0.25">
      <c r="D349" s="111"/>
      <c r="E349" s="111"/>
      <c r="N349" s="392"/>
    </row>
    <row r="350" spans="4:14" x14ac:dyDescent="0.25">
      <c r="D350" s="111"/>
      <c r="E350" s="111"/>
      <c r="N350" s="392"/>
    </row>
    <row r="351" spans="4:14" x14ac:dyDescent="0.25">
      <c r="D351" s="111"/>
      <c r="E351" s="111"/>
      <c r="N351" s="392"/>
    </row>
    <row r="352" spans="4:14" x14ac:dyDescent="0.25">
      <c r="D352" s="111"/>
      <c r="E352" s="111"/>
      <c r="N352" s="392"/>
    </row>
    <row r="353" spans="4:14" x14ac:dyDescent="0.25">
      <c r="D353" s="111"/>
      <c r="E353" s="111"/>
      <c r="N353" s="392"/>
    </row>
    <row r="354" spans="4:14" x14ac:dyDescent="0.25">
      <c r="D354" s="111"/>
      <c r="E354" s="111"/>
      <c r="N354" s="392"/>
    </row>
    <row r="355" spans="4:14" x14ac:dyDescent="0.25">
      <c r="D355" s="111"/>
      <c r="E355" s="111"/>
      <c r="N355" s="392"/>
    </row>
    <row r="356" spans="4:14" x14ac:dyDescent="0.25">
      <c r="D356" s="111"/>
      <c r="E356" s="111"/>
      <c r="N356" s="392"/>
    </row>
    <row r="357" spans="4:14" x14ac:dyDescent="0.25">
      <c r="D357" s="111"/>
      <c r="E357" s="111"/>
      <c r="N357" s="392"/>
    </row>
    <row r="358" spans="4:14" x14ac:dyDescent="0.25">
      <c r="D358" s="111"/>
      <c r="E358" s="111"/>
      <c r="N358" s="392"/>
    </row>
    <row r="359" spans="4:14" x14ac:dyDescent="0.25">
      <c r="D359" s="111"/>
      <c r="E359" s="111"/>
      <c r="N359" s="392"/>
    </row>
    <row r="360" spans="4:14" x14ac:dyDescent="0.25">
      <c r="D360" s="111"/>
      <c r="E360" s="111"/>
      <c r="N360" s="392"/>
    </row>
    <row r="361" spans="4:14" x14ac:dyDescent="0.25">
      <c r="D361" s="111"/>
      <c r="E361" s="111"/>
      <c r="N361" s="392"/>
    </row>
    <row r="362" spans="4:14" x14ac:dyDescent="0.25">
      <c r="D362" s="111"/>
      <c r="E362" s="111"/>
      <c r="N362" s="392"/>
    </row>
    <row r="363" spans="4:14" x14ac:dyDescent="0.25">
      <c r="D363" s="111"/>
      <c r="E363" s="111"/>
      <c r="N363" s="392"/>
    </row>
    <row r="364" spans="4:14" x14ac:dyDescent="0.25">
      <c r="D364" s="111"/>
      <c r="E364" s="111"/>
      <c r="N364" s="392"/>
    </row>
    <row r="365" spans="4:14" x14ac:dyDescent="0.25">
      <c r="D365" s="111"/>
      <c r="E365" s="111"/>
      <c r="N365" s="392"/>
    </row>
    <row r="366" spans="4:14" x14ac:dyDescent="0.25">
      <c r="D366" s="111"/>
      <c r="E366" s="111"/>
      <c r="N366" s="392"/>
    </row>
    <row r="367" spans="4:14" x14ac:dyDescent="0.25">
      <c r="D367" s="111"/>
      <c r="E367" s="111"/>
      <c r="N367" s="392"/>
    </row>
    <row r="368" spans="4:14" x14ac:dyDescent="0.25">
      <c r="D368" s="111"/>
      <c r="E368" s="111"/>
      <c r="N368" s="392"/>
    </row>
    <row r="369" spans="4:14" x14ac:dyDescent="0.25">
      <c r="D369" s="111"/>
      <c r="E369" s="111"/>
      <c r="N369" s="392"/>
    </row>
    <row r="370" spans="4:14" x14ac:dyDescent="0.25">
      <c r="D370" s="111"/>
      <c r="E370" s="111"/>
      <c r="N370" s="392"/>
    </row>
    <row r="371" spans="4:14" x14ac:dyDescent="0.25">
      <c r="D371" s="111"/>
      <c r="E371" s="111"/>
      <c r="N371" s="392"/>
    </row>
    <row r="372" spans="4:14" x14ac:dyDescent="0.25">
      <c r="D372" s="111"/>
      <c r="E372" s="111"/>
      <c r="N372" s="392"/>
    </row>
    <row r="373" spans="4:14" x14ac:dyDescent="0.25">
      <c r="D373" s="111"/>
      <c r="E373" s="111"/>
      <c r="N373" s="392"/>
    </row>
    <row r="374" spans="4:14" x14ac:dyDescent="0.25">
      <c r="D374" s="111"/>
      <c r="E374" s="111"/>
      <c r="N374" s="392"/>
    </row>
    <row r="375" spans="4:14" x14ac:dyDescent="0.25">
      <c r="D375" s="111"/>
      <c r="E375" s="111"/>
      <c r="N375" s="392"/>
    </row>
    <row r="376" spans="4:14" x14ac:dyDescent="0.25">
      <c r="D376" s="111"/>
      <c r="E376" s="111"/>
      <c r="N376" s="392"/>
    </row>
    <row r="377" spans="4:14" x14ac:dyDescent="0.25">
      <c r="D377" s="111"/>
      <c r="E377" s="111"/>
      <c r="N377" s="392"/>
    </row>
    <row r="378" spans="4:14" x14ac:dyDescent="0.25">
      <c r="D378" s="111"/>
      <c r="E378" s="111"/>
      <c r="N378" s="392"/>
    </row>
    <row r="379" spans="4:14" x14ac:dyDescent="0.25">
      <c r="D379" s="111"/>
      <c r="E379" s="111"/>
      <c r="N379" s="392"/>
    </row>
    <row r="380" spans="4:14" x14ac:dyDescent="0.25">
      <c r="D380" s="111"/>
      <c r="E380" s="111"/>
      <c r="N380" s="392"/>
    </row>
    <row r="381" spans="4:14" x14ac:dyDescent="0.25">
      <c r="D381" s="111"/>
      <c r="E381" s="111"/>
      <c r="N381" s="392"/>
    </row>
    <row r="382" spans="4:14" x14ac:dyDescent="0.25">
      <c r="D382" s="111"/>
      <c r="E382" s="111"/>
      <c r="N382" s="392"/>
    </row>
    <row r="383" spans="4:14" x14ac:dyDescent="0.25">
      <c r="D383" s="111"/>
      <c r="E383" s="111"/>
      <c r="N383" s="392"/>
    </row>
    <row r="384" spans="4:14" x14ac:dyDescent="0.25">
      <c r="D384" s="111"/>
      <c r="E384" s="111"/>
      <c r="N384" s="392"/>
    </row>
    <row r="385" spans="4:14" x14ac:dyDescent="0.25">
      <c r="D385" s="111"/>
      <c r="E385" s="111"/>
      <c r="N385" s="392"/>
    </row>
    <row r="386" spans="4:14" x14ac:dyDescent="0.25">
      <c r="D386" s="111"/>
      <c r="E386" s="111"/>
      <c r="N386" s="392"/>
    </row>
    <row r="387" spans="4:14" x14ac:dyDescent="0.25">
      <c r="D387" s="111"/>
      <c r="E387" s="111"/>
      <c r="N387" s="392"/>
    </row>
    <row r="388" spans="4:14" x14ac:dyDescent="0.25">
      <c r="D388" s="111"/>
      <c r="E388" s="111"/>
      <c r="N388" s="392"/>
    </row>
    <row r="389" spans="4:14" x14ac:dyDescent="0.25">
      <c r="D389" s="111"/>
      <c r="E389" s="111"/>
      <c r="N389" s="392"/>
    </row>
    <row r="390" spans="4:14" x14ac:dyDescent="0.25">
      <c r="D390" s="111"/>
      <c r="E390" s="111"/>
      <c r="N390" s="392"/>
    </row>
    <row r="391" spans="4:14" x14ac:dyDescent="0.25">
      <c r="D391" s="111"/>
      <c r="E391" s="111"/>
      <c r="N391" s="392"/>
    </row>
    <row r="392" spans="4:14" x14ac:dyDescent="0.25">
      <c r="D392" s="111"/>
      <c r="E392" s="111"/>
      <c r="N392" s="392"/>
    </row>
    <row r="393" spans="4:14" x14ac:dyDescent="0.25">
      <c r="D393" s="111"/>
      <c r="E393" s="111"/>
      <c r="N393" s="392"/>
    </row>
    <row r="394" spans="4:14" x14ac:dyDescent="0.25">
      <c r="D394" s="111"/>
      <c r="E394" s="111"/>
      <c r="N394" s="392"/>
    </row>
    <row r="395" spans="4:14" x14ac:dyDescent="0.25">
      <c r="D395" s="111"/>
      <c r="E395" s="111"/>
      <c r="N395" s="392"/>
    </row>
    <row r="396" spans="4:14" x14ac:dyDescent="0.25">
      <c r="D396" s="111"/>
      <c r="E396" s="111"/>
      <c r="N396" s="392"/>
    </row>
    <row r="397" spans="4:14" x14ac:dyDescent="0.25">
      <c r="D397" s="111"/>
      <c r="E397" s="111"/>
      <c r="N397" s="392"/>
    </row>
    <row r="398" spans="4:14" x14ac:dyDescent="0.25">
      <c r="D398" s="111"/>
      <c r="E398" s="111"/>
      <c r="N398" s="392"/>
    </row>
    <row r="399" spans="4:14" x14ac:dyDescent="0.25">
      <c r="D399" s="111"/>
      <c r="E399" s="111"/>
      <c r="N399" s="392"/>
    </row>
    <row r="400" spans="4:14" x14ac:dyDescent="0.25">
      <c r="D400" s="111"/>
      <c r="E400" s="111"/>
      <c r="N400" s="392"/>
    </row>
    <row r="401" spans="4:14" x14ac:dyDescent="0.25">
      <c r="D401" s="111"/>
      <c r="E401" s="111"/>
      <c r="N401" s="392"/>
    </row>
    <row r="402" spans="4:14" x14ac:dyDescent="0.25">
      <c r="D402" s="111"/>
      <c r="E402" s="111"/>
      <c r="N402" s="392"/>
    </row>
    <row r="403" spans="4:14" x14ac:dyDescent="0.25">
      <c r="D403" s="111"/>
      <c r="E403" s="111"/>
      <c r="N403" s="392"/>
    </row>
    <row r="404" spans="4:14" x14ac:dyDescent="0.25">
      <c r="D404" s="111"/>
      <c r="E404" s="111"/>
      <c r="N404" s="392"/>
    </row>
    <row r="405" spans="4:14" x14ac:dyDescent="0.25">
      <c r="D405" s="111"/>
      <c r="E405" s="111"/>
      <c r="N405" s="392"/>
    </row>
    <row r="406" spans="4:14" x14ac:dyDescent="0.25">
      <c r="D406" s="111"/>
      <c r="E406" s="111"/>
      <c r="N406" s="392"/>
    </row>
    <row r="407" spans="4:14" x14ac:dyDescent="0.25">
      <c r="D407" s="111"/>
      <c r="E407" s="111"/>
      <c r="N407" s="392"/>
    </row>
    <row r="408" spans="4:14" x14ac:dyDescent="0.25">
      <c r="D408" s="111"/>
      <c r="E408" s="111"/>
      <c r="N408" s="392"/>
    </row>
    <row r="409" spans="4:14" x14ac:dyDescent="0.25">
      <c r="D409" s="111"/>
      <c r="E409" s="111"/>
      <c r="N409" s="392"/>
    </row>
    <row r="410" spans="4:14" x14ac:dyDescent="0.25">
      <c r="D410" s="111"/>
      <c r="E410" s="111"/>
      <c r="N410" s="392"/>
    </row>
    <row r="411" spans="4:14" x14ac:dyDescent="0.25">
      <c r="D411" s="111"/>
      <c r="E411" s="111"/>
      <c r="N411" s="392"/>
    </row>
    <row r="412" spans="4:14" x14ac:dyDescent="0.25">
      <c r="D412" s="111"/>
      <c r="E412" s="111"/>
      <c r="N412" s="392"/>
    </row>
    <row r="413" spans="4:14" x14ac:dyDescent="0.25">
      <c r="D413" s="111"/>
      <c r="E413" s="111"/>
      <c r="N413" s="392"/>
    </row>
    <row r="414" spans="4:14" x14ac:dyDescent="0.25">
      <c r="D414" s="111"/>
      <c r="E414" s="111"/>
      <c r="N414" s="392"/>
    </row>
    <row r="415" spans="4:14" x14ac:dyDescent="0.25">
      <c r="D415" s="111"/>
      <c r="E415" s="111"/>
      <c r="N415" s="392"/>
    </row>
    <row r="416" spans="4:14" x14ac:dyDescent="0.25">
      <c r="D416" s="111"/>
      <c r="E416" s="111"/>
      <c r="N416" s="392"/>
    </row>
    <row r="417" spans="4:14" x14ac:dyDescent="0.25">
      <c r="D417" s="111"/>
      <c r="E417" s="111"/>
      <c r="N417" s="392"/>
    </row>
    <row r="418" spans="4:14" x14ac:dyDescent="0.25">
      <c r="D418" s="111"/>
      <c r="E418" s="111"/>
      <c r="N418" s="392"/>
    </row>
    <row r="419" spans="4:14" x14ac:dyDescent="0.25">
      <c r="D419" s="111"/>
      <c r="E419" s="111"/>
      <c r="N419" s="392"/>
    </row>
    <row r="420" spans="4:14" x14ac:dyDescent="0.25">
      <c r="D420" s="111"/>
      <c r="E420" s="111"/>
      <c r="N420" s="392"/>
    </row>
    <row r="421" spans="4:14" x14ac:dyDescent="0.25">
      <c r="D421" s="111"/>
      <c r="E421" s="111"/>
      <c r="N421" s="392"/>
    </row>
    <row r="422" spans="4:14" x14ac:dyDescent="0.25">
      <c r="D422" s="111"/>
      <c r="E422" s="111"/>
      <c r="N422" s="392"/>
    </row>
    <row r="423" spans="4:14" x14ac:dyDescent="0.25">
      <c r="D423" s="111"/>
      <c r="E423" s="111"/>
      <c r="N423" s="392"/>
    </row>
    <row r="424" spans="4:14" x14ac:dyDescent="0.25">
      <c r="D424" s="111"/>
      <c r="E424" s="111"/>
      <c r="N424" s="392"/>
    </row>
    <row r="425" spans="4:14" x14ac:dyDescent="0.25">
      <c r="D425" s="111"/>
      <c r="E425" s="111"/>
      <c r="N425" s="392"/>
    </row>
    <row r="426" spans="4:14" x14ac:dyDescent="0.25">
      <c r="D426" s="111"/>
      <c r="E426" s="111"/>
      <c r="N426" s="392"/>
    </row>
    <row r="427" spans="4:14" x14ac:dyDescent="0.25">
      <c r="D427" s="111"/>
      <c r="E427" s="111"/>
      <c r="N427" s="392"/>
    </row>
    <row r="428" spans="4:14" x14ac:dyDescent="0.25">
      <c r="D428" s="111"/>
      <c r="E428" s="111"/>
      <c r="N428" s="392"/>
    </row>
    <row r="429" spans="4:14" x14ac:dyDescent="0.25">
      <c r="D429" s="111"/>
      <c r="E429" s="111"/>
      <c r="N429" s="392"/>
    </row>
    <row r="430" spans="4:14" x14ac:dyDescent="0.25">
      <c r="D430" s="111"/>
      <c r="E430" s="111"/>
      <c r="N430" s="392"/>
    </row>
    <row r="431" spans="4:14" x14ac:dyDescent="0.25">
      <c r="D431" s="111"/>
      <c r="E431" s="111"/>
      <c r="N431" s="392"/>
    </row>
    <row r="432" spans="4:14" x14ac:dyDescent="0.25">
      <c r="D432" s="111"/>
      <c r="E432" s="111"/>
      <c r="N432" s="392"/>
    </row>
    <row r="433" spans="4:14" x14ac:dyDescent="0.25">
      <c r="D433" s="111"/>
      <c r="E433" s="111"/>
      <c r="N433" s="392"/>
    </row>
    <row r="434" spans="4:14" x14ac:dyDescent="0.25">
      <c r="D434" s="111"/>
      <c r="E434" s="111"/>
      <c r="N434" s="392"/>
    </row>
    <row r="435" spans="4:14" x14ac:dyDescent="0.25">
      <c r="D435" s="111"/>
      <c r="E435" s="111"/>
      <c r="N435" s="392"/>
    </row>
    <row r="436" spans="4:14" x14ac:dyDescent="0.25">
      <c r="D436" s="111"/>
      <c r="E436" s="111"/>
      <c r="N436" s="392"/>
    </row>
    <row r="437" spans="4:14" x14ac:dyDescent="0.25">
      <c r="D437" s="111"/>
      <c r="E437" s="111"/>
      <c r="N437" s="392"/>
    </row>
    <row r="438" spans="4:14" x14ac:dyDescent="0.25">
      <c r="D438" s="111"/>
      <c r="E438" s="111"/>
      <c r="N438" s="392"/>
    </row>
    <row r="439" spans="4:14" x14ac:dyDescent="0.25">
      <c r="D439" s="111"/>
      <c r="E439" s="111"/>
      <c r="N439" s="392"/>
    </row>
    <row r="440" spans="4:14" x14ac:dyDescent="0.25">
      <c r="D440" s="111"/>
      <c r="E440" s="111"/>
      <c r="N440" s="392"/>
    </row>
    <row r="441" spans="4:14" x14ac:dyDescent="0.25">
      <c r="D441" s="111"/>
      <c r="E441" s="111"/>
      <c r="N441" s="392"/>
    </row>
    <row r="442" spans="4:14" x14ac:dyDescent="0.25">
      <c r="D442" s="111"/>
      <c r="E442" s="111"/>
      <c r="N442" s="392"/>
    </row>
    <row r="443" spans="4:14" x14ac:dyDescent="0.25">
      <c r="D443" s="111"/>
      <c r="E443" s="111"/>
      <c r="N443" s="392"/>
    </row>
    <row r="444" spans="4:14" x14ac:dyDescent="0.25">
      <c r="D444" s="111"/>
      <c r="E444" s="111"/>
      <c r="N444" s="392"/>
    </row>
    <row r="445" spans="4:14" x14ac:dyDescent="0.25">
      <c r="D445" s="111"/>
      <c r="E445" s="111"/>
      <c r="N445" s="392"/>
    </row>
    <row r="446" spans="4:14" x14ac:dyDescent="0.25">
      <c r="D446" s="111"/>
      <c r="E446" s="111"/>
      <c r="N446" s="392"/>
    </row>
    <row r="447" spans="4:14" x14ac:dyDescent="0.25">
      <c r="D447" s="111"/>
      <c r="E447" s="111"/>
      <c r="N447" s="392"/>
    </row>
    <row r="448" spans="4:14" x14ac:dyDescent="0.25">
      <c r="D448" s="111"/>
      <c r="E448" s="111"/>
      <c r="N448" s="392"/>
    </row>
  </sheetData>
  <mergeCells count="3">
    <mergeCell ref="D10:F10"/>
    <mergeCell ref="D11:AD11"/>
    <mergeCell ref="D12:D14"/>
  </mergeCells>
  <dataValidations count="2">
    <dataValidation type="decimal" operator="greaterThanOrEqual" allowBlank="1" showInputMessage="1" showErrorMessage="1" error="Please enter Numbers more than 0." prompt="Please enter Material Consumption Quantity in Kg" sqref="E15:AC74" xr:uid="{ED90DB16-ADD1-4EFD-B1AC-68562D29E6AA}">
      <formula1>0</formula1>
    </dataValidation>
    <dataValidation operator="greaterThanOrEqual" allowBlank="1" error="Please enter Numbers more than 0." prompt="Please enter Material Consumption Quantity in Kg" sqref="AD15:AD74" xr:uid="{5D0BABCC-3B49-4990-BBFA-26578E823575}"/>
  </dataValidation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B6B1A-AF00-43C3-8BFD-A86FCD9E0892}">
  <dimension ref="A1:V448"/>
  <sheetViews>
    <sheetView topLeftCell="A7" zoomScaleNormal="100" workbookViewId="0">
      <selection activeCell="D15" sqref="D15"/>
    </sheetView>
  </sheetViews>
  <sheetFormatPr defaultRowHeight="15" x14ac:dyDescent="0.25"/>
  <cols>
    <col min="1" max="1" width="2.28515625" style="259" customWidth="1"/>
    <col min="2" max="2" width="2.28515625" style="1" customWidth="1"/>
    <col min="3" max="3" width="6.5703125" style="1" customWidth="1"/>
    <col min="4" max="4" width="8.42578125" style="1" customWidth="1"/>
    <col min="5" max="5" width="12" style="1" customWidth="1"/>
    <col min="6" max="6" width="11.42578125" style="1" customWidth="1"/>
    <col min="7" max="7" width="10.42578125" style="1" customWidth="1"/>
    <col min="8" max="8" width="11.5703125" style="1" customWidth="1"/>
    <col min="9" max="9" width="10.7109375" style="1" customWidth="1"/>
    <col min="10" max="11" width="11.28515625" style="1" customWidth="1"/>
    <col min="12" max="12" width="9.7109375" style="1" customWidth="1"/>
    <col min="13" max="13" width="11.85546875" style="1" customWidth="1"/>
    <col min="14" max="14" width="11.42578125" style="1" customWidth="1"/>
    <col min="15" max="15" width="13" style="1" customWidth="1"/>
    <col min="16" max="16" width="10.5703125" style="1" customWidth="1"/>
    <col min="17" max="17" width="8.85546875" style="1" customWidth="1"/>
    <col min="18" max="18" width="9.7109375" style="1" customWidth="1"/>
    <col min="19" max="19" width="4.5703125" style="1" customWidth="1"/>
    <col min="20" max="20" width="3" style="1" customWidth="1"/>
    <col min="21" max="43" width="9.7109375" style="1" customWidth="1"/>
    <col min="44" max="16384" width="9.140625" style="1"/>
  </cols>
  <sheetData>
    <row r="1" spans="1:22" ht="24.95" customHeight="1" x14ac:dyDescent="0.25">
      <c r="A1" s="382"/>
      <c r="B1" s="375"/>
      <c r="C1" s="375"/>
      <c r="D1" s="375"/>
      <c r="E1" s="375"/>
      <c r="F1" s="375"/>
      <c r="G1" s="375"/>
      <c r="H1" s="375"/>
      <c r="I1" s="376"/>
      <c r="J1" s="376" t="s">
        <v>1599</v>
      </c>
      <c r="K1" s="376"/>
      <c r="L1" s="375"/>
      <c r="M1" s="375"/>
      <c r="N1" s="375"/>
      <c r="O1" s="375"/>
      <c r="P1" s="375"/>
      <c r="Q1" s="375"/>
      <c r="R1" s="375"/>
      <c r="S1" s="375"/>
      <c r="T1" s="375"/>
      <c r="U1" s="375"/>
      <c r="V1" s="375"/>
    </row>
    <row r="4" spans="1:22" x14ac:dyDescent="0.25">
      <c r="E4" s="258"/>
      <c r="F4" s="137"/>
      <c r="G4" s="137"/>
      <c r="H4" s="137"/>
      <c r="I4" s="137"/>
      <c r="K4" s="453"/>
      <c r="L4" s="453"/>
      <c r="M4" s="453"/>
      <c r="N4" s="453"/>
      <c r="O4" s="453"/>
      <c r="P4" s="453"/>
    </row>
    <row r="5" spans="1:22" x14ac:dyDescent="0.25">
      <c r="E5" s="258"/>
      <c r="F5" s="137"/>
      <c r="G5" s="137"/>
      <c r="H5" s="137"/>
      <c r="I5" s="137"/>
      <c r="J5" s="463"/>
    </row>
    <row r="6" spans="1:22" x14ac:dyDescent="0.25">
      <c r="E6" s="65"/>
      <c r="F6" s="137"/>
      <c r="G6" s="137"/>
      <c r="H6" s="137"/>
      <c r="I6" s="137"/>
      <c r="J6" s="464"/>
    </row>
    <row r="7" spans="1:22" x14ac:dyDescent="0.25">
      <c r="E7" s="65"/>
      <c r="F7" s="137"/>
      <c r="G7" s="137"/>
      <c r="H7" s="137"/>
      <c r="I7" s="137"/>
      <c r="J7" s="464"/>
    </row>
    <row r="8" spans="1:22" x14ac:dyDescent="0.25">
      <c r="E8" s="65"/>
      <c r="F8" s="137"/>
      <c r="G8" s="137"/>
      <c r="H8" s="137"/>
      <c r="I8" s="137"/>
      <c r="J8" s="465"/>
    </row>
    <row r="9" spans="1:22" x14ac:dyDescent="0.25">
      <c r="E9" s="65"/>
      <c r="F9" s="137"/>
      <c r="G9" s="137"/>
      <c r="H9" s="137"/>
      <c r="I9" s="137"/>
      <c r="J9" s="258"/>
      <c r="K9" s="474"/>
      <c r="L9" s="474"/>
      <c r="M9" s="474"/>
      <c r="N9" s="474"/>
      <c r="O9" s="465"/>
      <c r="P9" s="465"/>
    </row>
    <row r="10" spans="1:22" x14ac:dyDescent="0.25">
      <c r="D10" s="959"/>
      <c r="E10" s="959"/>
      <c r="F10" s="959"/>
      <c r="G10" s="137"/>
      <c r="H10" s="137"/>
      <c r="I10" s="137"/>
      <c r="J10" s="135"/>
      <c r="K10" s="135"/>
      <c r="L10" s="135"/>
      <c r="M10" s="135"/>
      <c r="N10" s="135"/>
      <c r="O10" s="135"/>
      <c r="P10" s="135"/>
      <c r="Q10" s="135"/>
      <c r="R10" s="135"/>
    </row>
    <row r="11" spans="1:22" s="132" customFormat="1" ht="30" customHeight="1" x14ac:dyDescent="0.25">
      <c r="A11" s="260"/>
      <c r="D11" s="462"/>
      <c r="E11" s="456" t="s">
        <v>127</v>
      </c>
      <c r="F11" s="457"/>
      <c r="G11" s="457"/>
      <c r="H11" s="457"/>
      <c r="I11" s="457"/>
      <c r="J11" s="457"/>
      <c r="K11" s="952" t="s">
        <v>1606</v>
      </c>
    </row>
    <row r="12" spans="1:22" x14ac:dyDescent="0.25">
      <c r="D12" s="454"/>
      <c r="E12" s="1008" t="s">
        <v>456</v>
      </c>
      <c r="F12" s="1009"/>
      <c r="G12" s="1009"/>
      <c r="H12" s="1009"/>
      <c r="I12" s="1009"/>
      <c r="J12" s="1010"/>
      <c r="K12" s="982"/>
    </row>
    <row r="13" spans="1:22" s="26" customFormat="1" ht="75" x14ac:dyDescent="0.25">
      <c r="A13" s="73"/>
      <c r="D13" s="454" t="s">
        <v>447</v>
      </c>
      <c r="E13" s="538" t="s">
        <v>355</v>
      </c>
      <c r="F13" s="539" t="s">
        <v>357</v>
      </c>
      <c r="G13" s="540" t="s">
        <v>359</v>
      </c>
      <c r="H13" s="541" t="s">
        <v>453</v>
      </c>
      <c r="I13" s="542" t="s">
        <v>1796</v>
      </c>
      <c r="J13" s="543" t="s">
        <v>455</v>
      </c>
      <c r="K13" s="953"/>
    </row>
    <row r="14" spans="1:22" x14ac:dyDescent="0.25">
      <c r="D14" s="454"/>
      <c r="E14" s="445" t="s">
        <v>423</v>
      </c>
      <c r="F14" s="445" t="s">
        <v>424</v>
      </c>
      <c r="G14" s="445" t="s">
        <v>424</v>
      </c>
      <c r="H14" s="445" t="s">
        <v>423</v>
      </c>
      <c r="I14" s="445" t="s">
        <v>423</v>
      </c>
      <c r="J14" s="445" t="s">
        <v>423</v>
      </c>
      <c r="K14" s="445" t="s">
        <v>449</v>
      </c>
    </row>
    <row r="15" spans="1:22" x14ac:dyDescent="0.25">
      <c r="D15" s="461" t="str">
        <f>'Project Emission Distribution'!D25</f>
        <v>A201</v>
      </c>
      <c r="E15" s="241"/>
      <c r="F15" s="241"/>
      <c r="G15" s="241"/>
      <c r="H15" s="241"/>
      <c r="I15" s="241"/>
      <c r="J15" s="241"/>
      <c r="K15" s="573">
        <f>(SUMIFS($E$15:$E$74,$D$15:$D$74,$D15)*SUMIFS('GWP &amp; Emission Factors '!$F$154:$F$242,'GWP &amp; Emission Factors '!$E$154:$E$242,$E$13)+SUMIFS($F$15:$F$74,$D$15:$D$74,$D15)*SUMIFS('GWP &amp; Emission Factors '!$F$154:$F$242,'GWP &amp; Emission Factors '!$E$154:$E$242,$F$13)+SUMIFS($G$15:$G$74,$D$15:$D$74,$D15)*SUMIFS('GWP &amp; Emission Factors '!$F$154:$F$242,'GWP &amp; Emission Factors '!$E$154:$E$242,$G$13)+SUMIFS($H$15:$H$74,$D$15:$D$74,$D15)*SUMIFS('GWP &amp; Emission Factors '!$F$154:$F$242,'GWP &amp; Emission Factors '!$E$154:$E$242,$H$13)+SUMIFS($I$15:$I$74,$D$15:$D$74,$D15)*SUMIFS('GWP &amp; Emission Factors '!$F$154:$F$242,'GWP &amp; Emission Factors '!$E$154:$E$242,$I$13)+SUMIFS($J$15:$J$74,$D$15:$D$74,$D15)*SUMIFS('GWP &amp; Emission Factors '!$F$154:$F$242,'GWP &amp; Emission Factors '!$E$154:$E$242,$J$13))/1000</f>
        <v>0</v>
      </c>
    </row>
    <row r="16" spans="1:22" x14ac:dyDescent="0.25">
      <c r="D16" s="461" t="str">
        <f>'Project Emission Distribution'!D26</f>
        <v>AN02</v>
      </c>
      <c r="E16" s="466"/>
      <c r="F16" s="466"/>
      <c r="G16" s="466"/>
      <c r="H16" s="466"/>
      <c r="I16" s="466"/>
      <c r="J16" s="466"/>
      <c r="K16" s="573">
        <f>(SUMIFS($E$15:$E$74,$D$15:$D$74,$D16)*SUMIFS('GWP &amp; Emission Factors '!$F$154:$F$242,'GWP &amp; Emission Factors '!$E$154:$E$242,$E$13)+SUMIFS($F$15:$F$74,$D$15:$D$74,$D16)*SUMIFS('GWP &amp; Emission Factors '!$F$154:$F$242,'GWP &amp; Emission Factors '!$E$154:$E$242,$F$13)+SUMIFS($G$15:$G$74,$D$15:$D$74,$D16)*SUMIFS('GWP &amp; Emission Factors '!$F$154:$F$242,'GWP &amp; Emission Factors '!$E$154:$E$242,$G$13)+SUMIFS($H$15:$H$74,$D$15:$D$74,$D16)*SUMIFS('GWP &amp; Emission Factors '!$F$154:$F$242,'GWP &amp; Emission Factors '!$E$154:$E$242,$H$13)+SUMIFS($I$15:$I$74,$D$15:$D$74,$D16)*SUMIFS('GWP &amp; Emission Factors '!$F$154:$F$242,'GWP &amp; Emission Factors '!$E$154:$E$242,$I$13)+SUMIFS($J$15:$J$74,$D$15:$D$74,$D16)*SUMIFS('GWP &amp; Emission Factors '!$F$154:$F$242,'GWP &amp; Emission Factors '!$E$154:$E$242,$J$13))/1000</f>
        <v>0</v>
      </c>
    </row>
    <row r="17" spans="4:11" x14ac:dyDescent="0.25">
      <c r="D17" s="461" t="str">
        <f>'Project Emission Distribution'!D27</f>
        <v>AN03</v>
      </c>
      <c r="E17" s="241"/>
      <c r="F17" s="241"/>
      <c r="G17" s="241"/>
      <c r="H17" s="241"/>
      <c r="I17" s="241"/>
      <c r="J17" s="241"/>
      <c r="K17" s="573">
        <f>(SUMIFS($E$15:$E$74,$D$15:$D$74,$D17)*SUMIFS('GWP &amp; Emission Factors '!$F$154:$F$242,'GWP &amp; Emission Factors '!$E$154:$E$242,$E$13)+SUMIFS($F$15:$F$74,$D$15:$D$74,$D17)*SUMIFS('GWP &amp; Emission Factors '!$F$154:$F$242,'GWP &amp; Emission Factors '!$E$154:$E$242,$F$13)+SUMIFS($G$15:$G$74,$D$15:$D$74,$D17)*SUMIFS('GWP &amp; Emission Factors '!$F$154:$F$242,'GWP &amp; Emission Factors '!$E$154:$E$242,$G$13)+SUMIFS($H$15:$H$74,$D$15:$D$74,$D17)*SUMIFS('GWP &amp; Emission Factors '!$F$154:$F$242,'GWP &amp; Emission Factors '!$E$154:$E$242,$H$13)+SUMIFS($I$15:$I$74,$D$15:$D$74,$D17)*SUMIFS('GWP &amp; Emission Factors '!$F$154:$F$242,'GWP &amp; Emission Factors '!$E$154:$E$242,$I$13)+SUMIFS($J$15:$J$74,$D$15:$D$74,$D17)*SUMIFS('GWP &amp; Emission Factors '!$F$154:$F$242,'GWP &amp; Emission Factors '!$E$154:$E$242,$J$13))/1000</f>
        <v>0</v>
      </c>
    </row>
    <row r="18" spans="4:11" x14ac:dyDescent="0.25">
      <c r="D18" s="461" t="str">
        <f>'Project Emission Distribution'!D28</f>
        <v>AN04</v>
      </c>
      <c r="E18" s="466"/>
      <c r="F18" s="466"/>
      <c r="G18" s="466"/>
      <c r="H18" s="466"/>
      <c r="I18" s="466"/>
      <c r="J18" s="466"/>
      <c r="K18" s="573">
        <f>(SUMIFS($E$15:$E$74,$D$15:$D$74,$D18)*SUMIFS('GWP &amp; Emission Factors '!$F$154:$F$242,'GWP &amp; Emission Factors '!$E$154:$E$242,$E$13)+SUMIFS($F$15:$F$74,$D$15:$D$74,$D18)*SUMIFS('GWP &amp; Emission Factors '!$F$154:$F$242,'GWP &amp; Emission Factors '!$E$154:$E$242,$F$13)+SUMIFS($G$15:$G$74,$D$15:$D$74,$D18)*SUMIFS('GWP &amp; Emission Factors '!$F$154:$F$242,'GWP &amp; Emission Factors '!$E$154:$E$242,$G$13)+SUMIFS($H$15:$H$74,$D$15:$D$74,$D18)*SUMIFS('GWP &amp; Emission Factors '!$F$154:$F$242,'GWP &amp; Emission Factors '!$E$154:$E$242,$H$13)+SUMIFS($I$15:$I$74,$D$15:$D$74,$D18)*SUMIFS('GWP &amp; Emission Factors '!$F$154:$F$242,'GWP &amp; Emission Factors '!$E$154:$E$242,$I$13)+SUMIFS($J$15:$J$74,$D$15:$D$74,$D18)*SUMIFS('GWP &amp; Emission Factors '!$F$154:$F$242,'GWP &amp; Emission Factors '!$E$154:$E$242,$J$13))/1000</f>
        <v>0</v>
      </c>
    </row>
    <row r="19" spans="4:11" x14ac:dyDescent="0.25">
      <c r="D19" s="461" t="str">
        <f>'Project Emission Distribution'!D29</f>
        <v>AN05</v>
      </c>
      <c r="E19" s="241"/>
      <c r="F19" s="241"/>
      <c r="G19" s="241"/>
      <c r="H19" s="241"/>
      <c r="I19" s="241"/>
      <c r="J19" s="241"/>
      <c r="K19" s="573">
        <f>(SUMIFS($E$15:$E$74,$D$15:$D$74,$D19)*SUMIFS('GWP &amp; Emission Factors '!$F$154:$F$242,'GWP &amp; Emission Factors '!$E$154:$E$242,$E$13)+SUMIFS($F$15:$F$74,$D$15:$D$74,$D19)*SUMIFS('GWP &amp; Emission Factors '!$F$154:$F$242,'GWP &amp; Emission Factors '!$E$154:$E$242,$F$13)+SUMIFS($G$15:$G$74,$D$15:$D$74,$D19)*SUMIFS('GWP &amp; Emission Factors '!$F$154:$F$242,'GWP &amp; Emission Factors '!$E$154:$E$242,$G$13)+SUMIFS($H$15:$H$74,$D$15:$D$74,$D19)*SUMIFS('GWP &amp; Emission Factors '!$F$154:$F$242,'GWP &amp; Emission Factors '!$E$154:$E$242,$H$13)+SUMIFS($I$15:$I$74,$D$15:$D$74,$D19)*SUMIFS('GWP &amp; Emission Factors '!$F$154:$F$242,'GWP &amp; Emission Factors '!$E$154:$E$242,$I$13)+SUMIFS($J$15:$J$74,$D$15:$D$74,$D19)*SUMIFS('GWP &amp; Emission Factors '!$F$154:$F$242,'GWP &amp; Emission Factors '!$E$154:$E$242,$J$13))/1000</f>
        <v>0</v>
      </c>
    </row>
    <row r="20" spans="4:11" x14ac:dyDescent="0.25">
      <c r="D20" s="461" t="str">
        <f>'Project Emission Distribution'!D30</f>
        <v>AN06</v>
      </c>
      <c r="E20" s="466"/>
      <c r="F20" s="466"/>
      <c r="G20" s="466"/>
      <c r="H20" s="466"/>
      <c r="I20" s="466"/>
      <c r="J20" s="466"/>
      <c r="K20" s="573">
        <f>(SUMIFS($E$15:$E$74,$D$15:$D$74,$D20)*SUMIFS('GWP &amp; Emission Factors '!$F$154:$F$242,'GWP &amp; Emission Factors '!$E$154:$E$242,$E$13)+SUMIFS($F$15:$F$74,$D$15:$D$74,$D20)*SUMIFS('GWP &amp; Emission Factors '!$F$154:$F$242,'GWP &amp; Emission Factors '!$E$154:$E$242,$F$13)+SUMIFS($G$15:$G$74,$D$15:$D$74,$D20)*SUMIFS('GWP &amp; Emission Factors '!$F$154:$F$242,'GWP &amp; Emission Factors '!$E$154:$E$242,$G$13)+SUMIFS($H$15:$H$74,$D$15:$D$74,$D20)*SUMIFS('GWP &amp; Emission Factors '!$F$154:$F$242,'GWP &amp; Emission Factors '!$E$154:$E$242,$H$13)+SUMIFS($I$15:$I$74,$D$15:$D$74,$D20)*SUMIFS('GWP &amp; Emission Factors '!$F$154:$F$242,'GWP &amp; Emission Factors '!$E$154:$E$242,$I$13)+SUMIFS($J$15:$J$74,$D$15:$D$74,$D20)*SUMIFS('GWP &amp; Emission Factors '!$F$154:$F$242,'GWP &amp; Emission Factors '!$E$154:$E$242,$J$13))/1000</f>
        <v>0</v>
      </c>
    </row>
    <row r="21" spans="4:11" x14ac:dyDescent="0.25">
      <c r="D21" s="461" t="str">
        <f>'Project Emission Distribution'!D31</f>
        <v>AN07</v>
      </c>
      <c r="E21" s="241"/>
      <c r="F21" s="241"/>
      <c r="G21" s="241"/>
      <c r="H21" s="241"/>
      <c r="I21" s="241"/>
      <c r="J21" s="241"/>
      <c r="K21" s="573">
        <f>(SUMIFS($E$15:$E$74,$D$15:$D$74,$D21)*SUMIFS('GWP &amp; Emission Factors '!$F$154:$F$242,'GWP &amp; Emission Factors '!$E$154:$E$242,$E$13)+SUMIFS($F$15:$F$74,$D$15:$D$74,$D21)*SUMIFS('GWP &amp; Emission Factors '!$F$154:$F$242,'GWP &amp; Emission Factors '!$E$154:$E$242,$F$13)+SUMIFS($G$15:$G$74,$D$15:$D$74,$D21)*SUMIFS('GWP &amp; Emission Factors '!$F$154:$F$242,'GWP &amp; Emission Factors '!$E$154:$E$242,$G$13)+SUMIFS($H$15:$H$74,$D$15:$D$74,$D21)*SUMIFS('GWP &amp; Emission Factors '!$F$154:$F$242,'GWP &amp; Emission Factors '!$E$154:$E$242,$H$13)+SUMIFS($I$15:$I$74,$D$15:$D$74,$D21)*SUMIFS('GWP &amp; Emission Factors '!$F$154:$F$242,'GWP &amp; Emission Factors '!$E$154:$E$242,$I$13)+SUMIFS($J$15:$J$74,$D$15:$D$74,$D21)*SUMIFS('GWP &amp; Emission Factors '!$F$154:$F$242,'GWP &amp; Emission Factors '!$E$154:$E$242,$J$13))/1000</f>
        <v>0</v>
      </c>
    </row>
    <row r="22" spans="4:11" x14ac:dyDescent="0.25">
      <c r="D22" s="461" t="str">
        <f>'Project Emission Distribution'!D32</f>
        <v>AN08</v>
      </c>
      <c r="E22" s="466"/>
      <c r="F22" s="466"/>
      <c r="G22" s="466"/>
      <c r="H22" s="466"/>
      <c r="I22" s="466"/>
      <c r="J22" s="466"/>
      <c r="K22" s="573">
        <f>(SUMIFS($E$15:$E$74,$D$15:$D$74,$D22)*SUMIFS('GWP &amp; Emission Factors '!$F$154:$F$242,'GWP &amp; Emission Factors '!$E$154:$E$242,$E$13)+SUMIFS($F$15:$F$74,$D$15:$D$74,$D22)*SUMIFS('GWP &amp; Emission Factors '!$F$154:$F$242,'GWP &amp; Emission Factors '!$E$154:$E$242,$F$13)+SUMIFS($G$15:$G$74,$D$15:$D$74,$D22)*SUMIFS('GWP &amp; Emission Factors '!$F$154:$F$242,'GWP &amp; Emission Factors '!$E$154:$E$242,$G$13)+SUMIFS($H$15:$H$74,$D$15:$D$74,$D22)*SUMIFS('GWP &amp; Emission Factors '!$F$154:$F$242,'GWP &amp; Emission Factors '!$E$154:$E$242,$H$13)+SUMIFS($I$15:$I$74,$D$15:$D$74,$D22)*SUMIFS('GWP &amp; Emission Factors '!$F$154:$F$242,'GWP &amp; Emission Factors '!$E$154:$E$242,$I$13)+SUMIFS($J$15:$J$74,$D$15:$D$74,$D22)*SUMIFS('GWP &amp; Emission Factors '!$F$154:$F$242,'GWP &amp; Emission Factors '!$E$154:$E$242,$J$13))/1000</f>
        <v>0</v>
      </c>
    </row>
    <row r="23" spans="4:11" x14ac:dyDescent="0.25">
      <c r="D23" s="461" t="str">
        <f>'Project Emission Distribution'!D33</f>
        <v>AN09</v>
      </c>
      <c r="E23" s="241"/>
      <c r="F23" s="241"/>
      <c r="G23" s="241"/>
      <c r="H23" s="241"/>
      <c r="I23" s="241"/>
      <c r="J23" s="241"/>
      <c r="K23" s="573">
        <f>(SUMIFS($E$15:$E$74,$D$15:$D$74,$D23)*SUMIFS('GWP &amp; Emission Factors '!$F$154:$F$242,'GWP &amp; Emission Factors '!$E$154:$E$242,$E$13)+SUMIFS($F$15:$F$74,$D$15:$D$74,$D23)*SUMIFS('GWP &amp; Emission Factors '!$F$154:$F$242,'GWP &amp; Emission Factors '!$E$154:$E$242,$F$13)+SUMIFS($G$15:$G$74,$D$15:$D$74,$D23)*SUMIFS('GWP &amp; Emission Factors '!$F$154:$F$242,'GWP &amp; Emission Factors '!$E$154:$E$242,$G$13)+SUMIFS($H$15:$H$74,$D$15:$D$74,$D23)*SUMIFS('GWP &amp; Emission Factors '!$F$154:$F$242,'GWP &amp; Emission Factors '!$E$154:$E$242,$H$13)+SUMIFS($I$15:$I$74,$D$15:$D$74,$D23)*SUMIFS('GWP &amp; Emission Factors '!$F$154:$F$242,'GWP &amp; Emission Factors '!$E$154:$E$242,$I$13)+SUMIFS($J$15:$J$74,$D$15:$D$74,$D23)*SUMIFS('GWP &amp; Emission Factors '!$F$154:$F$242,'GWP &amp; Emission Factors '!$E$154:$E$242,$J$13))/1000</f>
        <v>0</v>
      </c>
    </row>
    <row r="24" spans="4:11" x14ac:dyDescent="0.25">
      <c r="D24" s="461" t="str">
        <f>'Project Emission Distribution'!D34</f>
        <v>AN10</v>
      </c>
      <c r="E24" s="466"/>
      <c r="F24" s="466"/>
      <c r="G24" s="466"/>
      <c r="H24" s="466"/>
      <c r="I24" s="466"/>
      <c r="J24" s="466"/>
      <c r="K24" s="573">
        <f>(SUMIFS($E$15:$E$74,$D$15:$D$74,$D24)*SUMIFS('GWP &amp; Emission Factors '!$F$154:$F$242,'GWP &amp; Emission Factors '!$E$154:$E$242,$E$13)+SUMIFS($F$15:$F$74,$D$15:$D$74,$D24)*SUMIFS('GWP &amp; Emission Factors '!$F$154:$F$242,'GWP &amp; Emission Factors '!$E$154:$E$242,$F$13)+SUMIFS($G$15:$G$74,$D$15:$D$74,$D24)*SUMIFS('GWP &amp; Emission Factors '!$F$154:$F$242,'GWP &amp; Emission Factors '!$E$154:$E$242,$G$13)+SUMIFS($H$15:$H$74,$D$15:$D$74,$D24)*SUMIFS('GWP &amp; Emission Factors '!$F$154:$F$242,'GWP &amp; Emission Factors '!$E$154:$E$242,$H$13)+SUMIFS($I$15:$I$74,$D$15:$D$74,$D24)*SUMIFS('GWP &amp; Emission Factors '!$F$154:$F$242,'GWP &amp; Emission Factors '!$E$154:$E$242,$I$13)+SUMIFS($J$15:$J$74,$D$15:$D$74,$D24)*SUMIFS('GWP &amp; Emission Factors '!$F$154:$F$242,'GWP &amp; Emission Factors '!$E$154:$E$242,$J$13))/1000</f>
        <v>0</v>
      </c>
    </row>
    <row r="25" spans="4:11" x14ac:dyDescent="0.25">
      <c r="D25" s="461" t="str">
        <f>'Project Emission Distribution'!D35</f>
        <v>AN11</v>
      </c>
      <c r="E25" s="241"/>
      <c r="F25" s="241"/>
      <c r="G25" s="241"/>
      <c r="H25" s="241"/>
      <c r="I25" s="241"/>
      <c r="J25" s="241"/>
      <c r="K25" s="573">
        <f>(SUMIFS($E$15:$E$74,$D$15:$D$74,$D25)*SUMIFS('GWP &amp; Emission Factors '!$F$154:$F$242,'GWP &amp; Emission Factors '!$E$154:$E$242,$E$13)+SUMIFS($F$15:$F$74,$D$15:$D$74,$D25)*SUMIFS('GWP &amp; Emission Factors '!$F$154:$F$242,'GWP &amp; Emission Factors '!$E$154:$E$242,$F$13)+SUMIFS($G$15:$G$74,$D$15:$D$74,$D25)*SUMIFS('GWP &amp; Emission Factors '!$F$154:$F$242,'GWP &amp; Emission Factors '!$E$154:$E$242,$G$13)+SUMIFS($H$15:$H$74,$D$15:$D$74,$D25)*SUMIFS('GWP &amp; Emission Factors '!$F$154:$F$242,'GWP &amp; Emission Factors '!$E$154:$E$242,$H$13)+SUMIFS($I$15:$I$74,$D$15:$D$74,$D25)*SUMIFS('GWP &amp; Emission Factors '!$F$154:$F$242,'GWP &amp; Emission Factors '!$E$154:$E$242,$I$13)+SUMIFS($J$15:$J$74,$D$15:$D$74,$D25)*SUMIFS('GWP &amp; Emission Factors '!$F$154:$F$242,'GWP &amp; Emission Factors '!$E$154:$E$242,$J$13))/1000</f>
        <v>0</v>
      </c>
    </row>
    <row r="26" spans="4:11" x14ac:dyDescent="0.25">
      <c r="D26" s="461" t="str">
        <f>'Project Emission Distribution'!D36</f>
        <v>AN12</v>
      </c>
      <c r="E26" s="466"/>
      <c r="F26" s="466"/>
      <c r="G26" s="466"/>
      <c r="H26" s="466"/>
      <c r="I26" s="466"/>
      <c r="J26" s="466"/>
      <c r="K26" s="573">
        <f>(SUMIFS($E$15:$E$74,$D$15:$D$74,$D26)*SUMIFS('GWP &amp; Emission Factors '!$F$154:$F$242,'GWP &amp; Emission Factors '!$E$154:$E$242,$E$13)+SUMIFS($F$15:$F$74,$D$15:$D$74,$D26)*SUMIFS('GWP &amp; Emission Factors '!$F$154:$F$242,'GWP &amp; Emission Factors '!$E$154:$E$242,$F$13)+SUMIFS($G$15:$G$74,$D$15:$D$74,$D26)*SUMIFS('GWP &amp; Emission Factors '!$F$154:$F$242,'GWP &amp; Emission Factors '!$E$154:$E$242,$G$13)+SUMIFS($H$15:$H$74,$D$15:$D$74,$D26)*SUMIFS('GWP &amp; Emission Factors '!$F$154:$F$242,'GWP &amp; Emission Factors '!$E$154:$E$242,$H$13)+SUMIFS($I$15:$I$74,$D$15:$D$74,$D26)*SUMIFS('GWP &amp; Emission Factors '!$F$154:$F$242,'GWP &amp; Emission Factors '!$E$154:$E$242,$I$13)+SUMIFS($J$15:$J$74,$D$15:$D$74,$D26)*SUMIFS('GWP &amp; Emission Factors '!$F$154:$F$242,'GWP &amp; Emission Factors '!$E$154:$E$242,$J$13))/1000</f>
        <v>0</v>
      </c>
    </row>
    <row r="27" spans="4:11" x14ac:dyDescent="0.25">
      <c r="D27" s="461" t="str">
        <f>'Project Emission Distribution'!D37</f>
        <v>AN13</v>
      </c>
      <c r="E27" s="241"/>
      <c r="F27" s="241"/>
      <c r="G27" s="241"/>
      <c r="H27" s="241"/>
      <c r="I27" s="241"/>
      <c r="J27" s="241"/>
      <c r="K27" s="573">
        <f>(SUMIFS($E$15:$E$74,$D$15:$D$74,$D27)*SUMIFS('GWP &amp; Emission Factors '!$F$154:$F$242,'GWP &amp; Emission Factors '!$E$154:$E$242,$E$13)+SUMIFS($F$15:$F$74,$D$15:$D$74,$D27)*SUMIFS('GWP &amp; Emission Factors '!$F$154:$F$242,'GWP &amp; Emission Factors '!$E$154:$E$242,$F$13)+SUMIFS($G$15:$G$74,$D$15:$D$74,$D27)*SUMIFS('GWP &amp; Emission Factors '!$F$154:$F$242,'GWP &amp; Emission Factors '!$E$154:$E$242,$G$13)+SUMIFS($H$15:$H$74,$D$15:$D$74,$D27)*SUMIFS('GWP &amp; Emission Factors '!$F$154:$F$242,'GWP &amp; Emission Factors '!$E$154:$E$242,$H$13)+SUMIFS($I$15:$I$74,$D$15:$D$74,$D27)*SUMIFS('GWP &amp; Emission Factors '!$F$154:$F$242,'GWP &amp; Emission Factors '!$E$154:$E$242,$I$13)+SUMIFS($J$15:$J$74,$D$15:$D$74,$D27)*SUMIFS('GWP &amp; Emission Factors '!$F$154:$F$242,'GWP &amp; Emission Factors '!$E$154:$E$242,$J$13))/1000</f>
        <v>0</v>
      </c>
    </row>
    <row r="28" spans="4:11" x14ac:dyDescent="0.25">
      <c r="D28" s="461" t="str">
        <f>'Project Emission Distribution'!D38</f>
        <v>AN14</v>
      </c>
      <c r="E28" s="466"/>
      <c r="F28" s="466"/>
      <c r="G28" s="466"/>
      <c r="H28" s="466"/>
      <c r="I28" s="466"/>
      <c r="J28" s="466"/>
      <c r="K28" s="573">
        <f>(SUMIFS($E$15:$E$74,$D$15:$D$74,$D28)*SUMIFS('GWP &amp; Emission Factors '!$F$154:$F$242,'GWP &amp; Emission Factors '!$E$154:$E$242,$E$13)+SUMIFS($F$15:$F$74,$D$15:$D$74,$D28)*SUMIFS('GWP &amp; Emission Factors '!$F$154:$F$242,'GWP &amp; Emission Factors '!$E$154:$E$242,$F$13)+SUMIFS($G$15:$G$74,$D$15:$D$74,$D28)*SUMIFS('GWP &amp; Emission Factors '!$F$154:$F$242,'GWP &amp; Emission Factors '!$E$154:$E$242,$G$13)+SUMIFS($H$15:$H$74,$D$15:$D$74,$D28)*SUMIFS('GWP &amp; Emission Factors '!$F$154:$F$242,'GWP &amp; Emission Factors '!$E$154:$E$242,$H$13)+SUMIFS($I$15:$I$74,$D$15:$D$74,$D28)*SUMIFS('GWP &amp; Emission Factors '!$F$154:$F$242,'GWP &amp; Emission Factors '!$E$154:$E$242,$I$13)+SUMIFS($J$15:$J$74,$D$15:$D$74,$D28)*SUMIFS('GWP &amp; Emission Factors '!$F$154:$F$242,'GWP &amp; Emission Factors '!$E$154:$E$242,$J$13))/1000</f>
        <v>0</v>
      </c>
    </row>
    <row r="29" spans="4:11" x14ac:dyDescent="0.25">
      <c r="D29" s="461" t="str">
        <f>'Project Emission Distribution'!D39</f>
        <v>AN15</v>
      </c>
      <c r="E29" s="241"/>
      <c r="F29" s="241"/>
      <c r="G29" s="241"/>
      <c r="H29" s="241"/>
      <c r="I29" s="241"/>
      <c r="J29" s="241"/>
      <c r="K29" s="573">
        <f>(SUMIFS($E$15:$E$74,$D$15:$D$74,$D29)*SUMIFS('GWP &amp; Emission Factors '!$F$154:$F$242,'GWP &amp; Emission Factors '!$E$154:$E$242,$E$13)+SUMIFS($F$15:$F$74,$D$15:$D$74,$D29)*SUMIFS('GWP &amp; Emission Factors '!$F$154:$F$242,'GWP &amp; Emission Factors '!$E$154:$E$242,$F$13)+SUMIFS($G$15:$G$74,$D$15:$D$74,$D29)*SUMIFS('GWP &amp; Emission Factors '!$F$154:$F$242,'GWP &amp; Emission Factors '!$E$154:$E$242,$G$13)+SUMIFS($H$15:$H$74,$D$15:$D$74,$D29)*SUMIFS('GWP &amp; Emission Factors '!$F$154:$F$242,'GWP &amp; Emission Factors '!$E$154:$E$242,$H$13)+SUMIFS($I$15:$I$74,$D$15:$D$74,$D29)*SUMIFS('GWP &amp; Emission Factors '!$F$154:$F$242,'GWP &amp; Emission Factors '!$E$154:$E$242,$I$13)+SUMIFS($J$15:$J$74,$D$15:$D$74,$D29)*SUMIFS('GWP &amp; Emission Factors '!$F$154:$F$242,'GWP &amp; Emission Factors '!$E$154:$E$242,$J$13))/1000</f>
        <v>0</v>
      </c>
    </row>
    <row r="30" spans="4:11" x14ac:dyDescent="0.25">
      <c r="D30" s="461" t="str">
        <f>'Project Emission Distribution'!D40</f>
        <v>AN16</v>
      </c>
      <c r="E30" s="466"/>
      <c r="F30" s="466"/>
      <c r="G30" s="466"/>
      <c r="H30" s="466"/>
      <c r="I30" s="466"/>
      <c r="J30" s="466"/>
      <c r="K30" s="573">
        <f>(SUMIFS($E$15:$E$74,$D$15:$D$74,$D30)*SUMIFS('GWP &amp; Emission Factors '!$F$154:$F$242,'GWP &amp; Emission Factors '!$E$154:$E$242,$E$13)+SUMIFS($F$15:$F$74,$D$15:$D$74,$D30)*SUMIFS('GWP &amp; Emission Factors '!$F$154:$F$242,'GWP &amp; Emission Factors '!$E$154:$E$242,$F$13)+SUMIFS($G$15:$G$74,$D$15:$D$74,$D30)*SUMIFS('GWP &amp; Emission Factors '!$F$154:$F$242,'GWP &amp; Emission Factors '!$E$154:$E$242,$G$13)+SUMIFS($H$15:$H$74,$D$15:$D$74,$D30)*SUMIFS('GWP &amp; Emission Factors '!$F$154:$F$242,'GWP &amp; Emission Factors '!$E$154:$E$242,$H$13)+SUMIFS($I$15:$I$74,$D$15:$D$74,$D30)*SUMIFS('GWP &amp; Emission Factors '!$F$154:$F$242,'GWP &amp; Emission Factors '!$E$154:$E$242,$I$13)+SUMIFS($J$15:$J$74,$D$15:$D$74,$D30)*SUMIFS('GWP &amp; Emission Factors '!$F$154:$F$242,'GWP &amp; Emission Factors '!$E$154:$E$242,$J$13))/1000</f>
        <v>0</v>
      </c>
    </row>
    <row r="31" spans="4:11" x14ac:dyDescent="0.25">
      <c r="D31" s="461" t="str">
        <f>'Project Emission Distribution'!D41</f>
        <v>AN17</v>
      </c>
      <c r="E31" s="241"/>
      <c r="F31" s="241"/>
      <c r="G31" s="241"/>
      <c r="H31" s="241"/>
      <c r="I31" s="241"/>
      <c r="J31" s="241"/>
      <c r="K31" s="573">
        <f>(SUMIFS($E$15:$E$74,$D$15:$D$74,$D31)*SUMIFS('GWP &amp; Emission Factors '!$F$154:$F$242,'GWP &amp; Emission Factors '!$E$154:$E$242,$E$13)+SUMIFS($F$15:$F$74,$D$15:$D$74,$D31)*SUMIFS('GWP &amp; Emission Factors '!$F$154:$F$242,'GWP &amp; Emission Factors '!$E$154:$E$242,$F$13)+SUMIFS($G$15:$G$74,$D$15:$D$74,$D31)*SUMIFS('GWP &amp; Emission Factors '!$F$154:$F$242,'GWP &amp; Emission Factors '!$E$154:$E$242,$G$13)+SUMIFS($H$15:$H$74,$D$15:$D$74,$D31)*SUMIFS('GWP &amp; Emission Factors '!$F$154:$F$242,'GWP &amp; Emission Factors '!$E$154:$E$242,$H$13)+SUMIFS($I$15:$I$74,$D$15:$D$74,$D31)*SUMIFS('GWP &amp; Emission Factors '!$F$154:$F$242,'GWP &amp; Emission Factors '!$E$154:$E$242,$I$13)+SUMIFS($J$15:$J$74,$D$15:$D$74,$D31)*SUMIFS('GWP &amp; Emission Factors '!$F$154:$F$242,'GWP &amp; Emission Factors '!$E$154:$E$242,$J$13))/1000</f>
        <v>0</v>
      </c>
    </row>
    <row r="32" spans="4:11" x14ac:dyDescent="0.25">
      <c r="D32" s="461" t="str">
        <f>'Project Emission Distribution'!D42</f>
        <v>AN18</v>
      </c>
      <c r="E32" s="466"/>
      <c r="F32" s="466"/>
      <c r="G32" s="466"/>
      <c r="H32" s="466"/>
      <c r="I32" s="466"/>
      <c r="J32" s="466"/>
      <c r="K32" s="573">
        <f>(SUMIFS($E$15:$E$74,$D$15:$D$74,$D32)*SUMIFS('GWP &amp; Emission Factors '!$F$154:$F$242,'GWP &amp; Emission Factors '!$E$154:$E$242,$E$13)+SUMIFS($F$15:$F$74,$D$15:$D$74,$D32)*SUMIFS('GWP &amp; Emission Factors '!$F$154:$F$242,'GWP &amp; Emission Factors '!$E$154:$E$242,$F$13)+SUMIFS($G$15:$G$74,$D$15:$D$74,$D32)*SUMIFS('GWP &amp; Emission Factors '!$F$154:$F$242,'GWP &amp; Emission Factors '!$E$154:$E$242,$G$13)+SUMIFS($H$15:$H$74,$D$15:$D$74,$D32)*SUMIFS('GWP &amp; Emission Factors '!$F$154:$F$242,'GWP &amp; Emission Factors '!$E$154:$E$242,$H$13)+SUMIFS($I$15:$I$74,$D$15:$D$74,$D32)*SUMIFS('GWP &amp; Emission Factors '!$F$154:$F$242,'GWP &amp; Emission Factors '!$E$154:$E$242,$I$13)+SUMIFS($J$15:$J$74,$D$15:$D$74,$D32)*SUMIFS('GWP &amp; Emission Factors '!$F$154:$F$242,'GWP &amp; Emission Factors '!$E$154:$E$242,$J$13))/1000</f>
        <v>0</v>
      </c>
    </row>
    <row r="33" spans="4:11" x14ac:dyDescent="0.25">
      <c r="D33" s="461" t="str">
        <f>'Project Emission Distribution'!D43</f>
        <v>AN19</v>
      </c>
      <c r="E33" s="241"/>
      <c r="F33" s="241"/>
      <c r="G33" s="241"/>
      <c r="H33" s="241"/>
      <c r="I33" s="241"/>
      <c r="J33" s="241"/>
      <c r="K33" s="573">
        <f>(SUMIFS($E$15:$E$74,$D$15:$D$74,$D33)*SUMIFS('GWP &amp; Emission Factors '!$F$154:$F$242,'GWP &amp; Emission Factors '!$E$154:$E$242,$E$13)+SUMIFS($F$15:$F$74,$D$15:$D$74,$D33)*SUMIFS('GWP &amp; Emission Factors '!$F$154:$F$242,'GWP &amp; Emission Factors '!$E$154:$E$242,$F$13)+SUMIFS($G$15:$G$74,$D$15:$D$74,$D33)*SUMIFS('GWP &amp; Emission Factors '!$F$154:$F$242,'GWP &amp; Emission Factors '!$E$154:$E$242,$G$13)+SUMIFS($H$15:$H$74,$D$15:$D$74,$D33)*SUMIFS('GWP &amp; Emission Factors '!$F$154:$F$242,'GWP &amp; Emission Factors '!$E$154:$E$242,$H$13)+SUMIFS($I$15:$I$74,$D$15:$D$74,$D33)*SUMIFS('GWP &amp; Emission Factors '!$F$154:$F$242,'GWP &amp; Emission Factors '!$E$154:$E$242,$I$13)+SUMIFS($J$15:$J$74,$D$15:$D$74,$D33)*SUMIFS('GWP &amp; Emission Factors '!$F$154:$F$242,'GWP &amp; Emission Factors '!$E$154:$E$242,$J$13))/1000</f>
        <v>0</v>
      </c>
    </row>
    <row r="34" spans="4:11" x14ac:dyDescent="0.25">
      <c r="D34" s="461" t="str">
        <f>'Project Emission Distribution'!D44</f>
        <v>AN20</v>
      </c>
      <c r="E34" s="466"/>
      <c r="F34" s="466"/>
      <c r="G34" s="466"/>
      <c r="H34" s="466"/>
      <c r="I34" s="466"/>
      <c r="J34" s="466"/>
      <c r="K34" s="573">
        <f>(SUMIFS($E$15:$E$74,$D$15:$D$74,$D34)*SUMIFS('GWP &amp; Emission Factors '!$F$154:$F$242,'GWP &amp; Emission Factors '!$E$154:$E$242,$E$13)+SUMIFS($F$15:$F$74,$D$15:$D$74,$D34)*SUMIFS('GWP &amp; Emission Factors '!$F$154:$F$242,'GWP &amp; Emission Factors '!$E$154:$E$242,$F$13)+SUMIFS($G$15:$G$74,$D$15:$D$74,$D34)*SUMIFS('GWP &amp; Emission Factors '!$F$154:$F$242,'GWP &amp; Emission Factors '!$E$154:$E$242,$G$13)+SUMIFS($H$15:$H$74,$D$15:$D$74,$D34)*SUMIFS('GWP &amp; Emission Factors '!$F$154:$F$242,'GWP &amp; Emission Factors '!$E$154:$E$242,$H$13)+SUMIFS($I$15:$I$74,$D$15:$D$74,$D34)*SUMIFS('GWP &amp; Emission Factors '!$F$154:$F$242,'GWP &amp; Emission Factors '!$E$154:$E$242,$I$13)+SUMIFS($J$15:$J$74,$D$15:$D$74,$D34)*SUMIFS('GWP &amp; Emission Factors '!$F$154:$F$242,'GWP &amp; Emission Factors '!$E$154:$E$242,$J$13))/1000</f>
        <v>0</v>
      </c>
    </row>
    <row r="35" spans="4:11" x14ac:dyDescent="0.25">
      <c r="D35" s="461" t="str">
        <f>'Project Emission Distribution'!D45</f>
        <v>AN21</v>
      </c>
      <c r="E35" s="241"/>
      <c r="F35" s="241"/>
      <c r="G35" s="241"/>
      <c r="H35" s="241"/>
      <c r="I35" s="241"/>
      <c r="J35" s="241"/>
      <c r="K35" s="573">
        <f>(SUMIFS($E$15:$E$74,$D$15:$D$74,$D35)*SUMIFS('GWP &amp; Emission Factors '!$F$154:$F$242,'GWP &amp; Emission Factors '!$E$154:$E$242,$E$13)+SUMIFS($F$15:$F$74,$D$15:$D$74,$D35)*SUMIFS('GWP &amp; Emission Factors '!$F$154:$F$242,'GWP &amp; Emission Factors '!$E$154:$E$242,$F$13)+SUMIFS($G$15:$G$74,$D$15:$D$74,$D35)*SUMIFS('GWP &amp; Emission Factors '!$F$154:$F$242,'GWP &amp; Emission Factors '!$E$154:$E$242,$G$13)+SUMIFS($H$15:$H$74,$D$15:$D$74,$D35)*SUMIFS('GWP &amp; Emission Factors '!$F$154:$F$242,'GWP &amp; Emission Factors '!$E$154:$E$242,$H$13)+SUMIFS($I$15:$I$74,$D$15:$D$74,$D35)*SUMIFS('GWP &amp; Emission Factors '!$F$154:$F$242,'GWP &amp; Emission Factors '!$E$154:$E$242,$I$13)+SUMIFS($J$15:$J$74,$D$15:$D$74,$D35)*SUMIFS('GWP &amp; Emission Factors '!$F$154:$F$242,'GWP &amp; Emission Factors '!$E$154:$E$242,$J$13))/1000</f>
        <v>0</v>
      </c>
    </row>
    <row r="36" spans="4:11" x14ac:dyDescent="0.25">
      <c r="D36" s="461" t="str">
        <f>'Project Emission Distribution'!D46</f>
        <v>AN22</v>
      </c>
      <c r="E36" s="466"/>
      <c r="F36" s="466"/>
      <c r="G36" s="466"/>
      <c r="H36" s="466"/>
      <c r="I36" s="466"/>
      <c r="J36" s="466"/>
      <c r="K36" s="573">
        <f>(SUMIFS($E$15:$E$74,$D$15:$D$74,$D36)*SUMIFS('GWP &amp; Emission Factors '!$F$154:$F$242,'GWP &amp; Emission Factors '!$E$154:$E$242,$E$13)+SUMIFS($F$15:$F$74,$D$15:$D$74,$D36)*SUMIFS('GWP &amp; Emission Factors '!$F$154:$F$242,'GWP &amp; Emission Factors '!$E$154:$E$242,$F$13)+SUMIFS($G$15:$G$74,$D$15:$D$74,$D36)*SUMIFS('GWP &amp; Emission Factors '!$F$154:$F$242,'GWP &amp; Emission Factors '!$E$154:$E$242,$G$13)+SUMIFS($H$15:$H$74,$D$15:$D$74,$D36)*SUMIFS('GWP &amp; Emission Factors '!$F$154:$F$242,'GWP &amp; Emission Factors '!$E$154:$E$242,$H$13)+SUMIFS($I$15:$I$74,$D$15:$D$74,$D36)*SUMIFS('GWP &amp; Emission Factors '!$F$154:$F$242,'GWP &amp; Emission Factors '!$E$154:$E$242,$I$13)+SUMIFS($J$15:$J$74,$D$15:$D$74,$D36)*SUMIFS('GWP &amp; Emission Factors '!$F$154:$F$242,'GWP &amp; Emission Factors '!$E$154:$E$242,$J$13))/1000</f>
        <v>0</v>
      </c>
    </row>
    <row r="37" spans="4:11" x14ac:dyDescent="0.25">
      <c r="D37" s="461" t="str">
        <f>'Project Emission Distribution'!D47</f>
        <v>AN23</v>
      </c>
      <c r="E37" s="241"/>
      <c r="F37" s="241"/>
      <c r="G37" s="241"/>
      <c r="H37" s="241"/>
      <c r="I37" s="241"/>
      <c r="J37" s="241"/>
      <c r="K37" s="573">
        <f>(SUMIFS($E$15:$E$74,$D$15:$D$74,$D37)*SUMIFS('GWP &amp; Emission Factors '!$F$154:$F$242,'GWP &amp; Emission Factors '!$E$154:$E$242,$E$13)+SUMIFS($F$15:$F$74,$D$15:$D$74,$D37)*SUMIFS('GWP &amp; Emission Factors '!$F$154:$F$242,'GWP &amp; Emission Factors '!$E$154:$E$242,$F$13)+SUMIFS($G$15:$G$74,$D$15:$D$74,$D37)*SUMIFS('GWP &amp; Emission Factors '!$F$154:$F$242,'GWP &amp; Emission Factors '!$E$154:$E$242,$G$13)+SUMIFS($H$15:$H$74,$D$15:$D$74,$D37)*SUMIFS('GWP &amp; Emission Factors '!$F$154:$F$242,'GWP &amp; Emission Factors '!$E$154:$E$242,$H$13)+SUMIFS($I$15:$I$74,$D$15:$D$74,$D37)*SUMIFS('GWP &amp; Emission Factors '!$F$154:$F$242,'GWP &amp; Emission Factors '!$E$154:$E$242,$I$13)+SUMIFS($J$15:$J$74,$D$15:$D$74,$D37)*SUMIFS('GWP &amp; Emission Factors '!$F$154:$F$242,'GWP &amp; Emission Factors '!$E$154:$E$242,$J$13))/1000</f>
        <v>0</v>
      </c>
    </row>
    <row r="38" spans="4:11" x14ac:dyDescent="0.25">
      <c r="D38" s="461" t="str">
        <f>'Project Emission Distribution'!D48</f>
        <v>AN24</v>
      </c>
      <c r="E38" s="466"/>
      <c r="F38" s="466"/>
      <c r="G38" s="466"/>
      <c r="H38" s="466"/>
      <c r="I38" s="466"/>
      <c r="J38" s="466"/>
      <c r="K38" s="573">
        <f>(SUMIFS($E$15:$E$74,$D$15:$D$74,$D38)*SUMIFS('GWP &amp; Emission Factors '!$F$154:$F$242,'GWP &amp; Emission Factors '!$E$154:$E$242,$E$13)+SUMIFS($F$15:$F$74,$D$15:$D$74,$D38)*SUMIFS('GWP &amp; Emission Factors '!$F$154:$F$242,'GWP &amp; Emission Factors '!$E$154:$E$242,$F$13)+SUMIFS($G$15:$G$74,$D$15:$D$74,$D38)*SUMIFS('GWP &amp; Emission Factors '!$F$154:$F$242,'GWP &amp; Emission Factors '!$E$154:$E$242,$G$13)+SUMIFS($H$15:$H$74,$D$15:$D$74,$D38)*SUMIFS('GWP &amp; Emission Factors '!$F$154:$F$242,'GWP &amp; Emission Factors '!$E$154:$E$242,$H$13)+SUMIFS($I$15:$I$74,$D$15:$D$74,$D38)*SUMIFS('GWP &amp; Emission Factors '!$F$154:$F$242,'GWP &amp; Emission Factors '!$E$154:$E$242,$I$13)+SUMIFS($J$15:$J$74,$D$15:$D$74,$D38)*SUMIFS('GWP &amp; Emission Factors '!$F$154:$F$242,'GWP &amp; Emission Factors '!$E$154:$E$242,$J$13))/1000</f>
        <v>0</v>
      </c>
    </row>
    <row r="39" spans="4:11" x14ac:dyDescent="0.25">
      <c r="D39" s="461" t="str">
        <f>'Project Emission Distribution'!D49</f>
        <v>AN25</v>
      </c>
      <c r="E39" s="241"/>
      <c r="F39" s="241"/>
      <c r="G39" s="241"/>
      <c r="H39" s="241"/>
      <c r="I39" s="241"/>
      <c r="J39" s="241"/>
      <c r="K39" s="573">
        <f>(SUMIFS($E$15:$E$74,$D$15:$D$74,$D39)*SUMIFS('GWP &amp; Emission Factors '!$F$154:$F$242,'GWP &amp; Emission Factors '!$E$154:$E$242,$E$13)+SUMIFS($F$15:$F$74,$D$15:$D$74,$D39)*SUMIFS('GWP &amp; Emission Factors '!$F$154:$F$242,'GWP &amp; Emission Factors '!$E$154:$E$242,$F$13)+SUMIFS($G$15:$G$74,$D$15:$D$74,$D39)*SUMIFS('GWP &amp; Emission Factors '!$F$154:$F$242,'GWP &amp; Emission Factors '!$E$154:$E$242,$G$13)+SUMIFS($H$15:$H$74,$D$15:$D$74,$D39)*SUMIFS('GWP &amp; Emission Factors '!$F$154:$F$242,'GWP &amp; Emission Factors '!$E$154:$E$242,$H$13)+SUMIFS($I$15:$I$74,$D$15:$D$74,$D39)*SUMIFS('GWP &amp; Emission Factors '!$F$154:$F$242,'GWP &amp; Emission Factors '!$E$154:$E$242,$I$13)+SUMIFS($J$15:$J$74,$D$15:$D$74,$D39)*SUMIFS('GWP &amp; Emission Factors '!$F$154:$F$242,'GWP &amp; Emission Factors '!$E$154:$E$242,$J$13))/1000</f>
        <v>0</v>
      </c>
    </row>
    <row r="40" spans="4:11" x14ac:dyDescent="0.25">
      <c r="D40" s="461" t="str">
        <f>'Project Emission Distribution'!D50</f>
        <v>AN26</v>
      </c>
      <c r="E40" s="466"/>
      <c r="F40" s="466"/>
      <c r="G40" s="466"/>
      <c r="H40" s="466"/>
      <c r="I40" s="466"/>
      <c r="J40" s="466"/>
      <c r="K40" s="573">
        <f>(SUMIFS($E$15:$E$74,$D$15:$D$74,$D40)*SUMIFS('GWP &amp; Emission Factors '!$F$154:$F$242,'GWP &amp; Emission Factors '!$E$154:$E$242,$E$13)+SUMIFS($F$15:$F$74,$D$15:$D$74,$D40)*SUMIFS('GWP &amp; Emission Factors '!$F$154:$F$242,'GWP &amp; Emission Factors '!$E$154:$E$242,$F$13)+SUMIFS($G$15:$G$74,$D$15:$D$74,$D40)*SUMIFS('GWP &amp; Emission Factors '!$F$154:$F$242,'GWP &amp; Emission Factors '!$E$154:$E$242,$G$13)+SUMIFS($H$15:$H$74,$D$15:$D$74,$D40)*SUMIFS('GWP &amp; Emission Factors '!$F$154:$F$242,'GWP &amp; Emission Factors '!$E$154:$E$242,$H$13)+SUMIFS($I$15:$I$74,$D$15:$D$74,$D40)*SUMIFS('GWP &amp; Emission Factors '!$F$154:$F$242,'GWP &amp; Emission Factors '!$E$154:$E$242,$I$13)+SUMIFS($J$15:$J$74,$D$15:$D$74,$D40)*SUMIFS('GWP &amp; Emission Factors '!$F$154:$F$242,'GWP &amp; Emission Factors '!$E$154:$E$242,$J$13))/1000</f>
        <v>0</v>
      </c>
    </row>
    <row r="41" spans="4:11" x14ac:dyDescent="0.25">
      <c r="D41" s="461" t="str">
        <f>'Project Emission Distribution'!D51</f>
        <v>AN27</v>
      </c>
      <c r="E41" s="241"/>
      <c r="F41" s="241"/>
      <c r="G41" s="241"/>
      <c r="H41" s="241"/>
      <c r="I41" s="241"/>
      <c r="J41" s="241"/>
      <c r="K41" s="573">
        <f>(SUMIFS($E$15:$E$74,$D$15:$D$74,$D41)*SUMIFS('GWP &amp; Emission Factors '!$F$154:$F$242,'GWP &amp; Emission Factors '!$E$154:$E$242,$E$13)+SUMIFS($F$15:$F$74,$D$15:$D$74,$D41)*SUMIFS('GWP &amp; Emission Factors '!$F$154:$F$242,'GWP &amp; Emission Factors '!$E$154:$E$242,$F$13)+SUMIFS($G$15:$G$74,$D$15:$D$74,$D41)*SUMIFS('GWP &amp; Emission Factors '!$F$154:$F$242,'GWP &amp; Emission Factors '!$E$154:$E$242,$G$13)+SUMIFS($H$15:$H$74,$D$15:$D$74,$D41)*SUMIFS('GWP &amp; Emission Factors '!$F$154:$F$242,'GWP &amp; Emission Factors '!$E$154:$E$242,$H$13)+SUMIFS($I$15:$I$74,$D$15:$D$74,$D41)*SUMIFS('GWP &amp; Emission Factors '!$F$154:$F$242,'GWP &amp; Emission Factors '!$E$154:$E$242,$I$13)+SUMIFS($J$15:$J$74,$D$15:$D$74,$D41)*SUMIFS('GWP &amp; Emission Factors '!$F$154:$F$242,'GWP &amp; Emission Factors '!$E$154:$E$242,$J$13))/1000</f>
        <v>0</v>
      </c>
    </row>
    <row r="42" spans="4:11" x14ac:dyDescent="0.25">
      <c r="D42" s="461" t="str">
        <f>'Project Emission Distribution'!D52</f>
        <v>AN28</v>
      </c>
      <c r="E42" s="466"/>
      <c r="F42" s="466"/>
      <c r="G42" s="466"/>
      <c r="H42" s="466"/>
      <c r="I42" s="466"/>
      <c r="J42" s="466"/>
      <c r="K42" s="573">
        <f>(SUMIFS($E$15:$E$74,$D$15:$D$74,$D42)*SUMIFS('GWP &amp; Emission Factors '!$F$154:$F$242,'GWP &amp; Emission Factors '!$E$154:$E$242,$E$13)+SUMIFS($F$15:$F$74,$D$15:$D$74,$D42)*SUMIFS('GWP &amp; Emission Factors '!$F$154:$F$242,'GWP &amp; Emission Factors '!$E$154:$E$242,$F$13)+SUMIFS($G$15:$G$74,$D$15:$D$74,$D42)*SUMIFS('GWP &amp; Emission Factors '!$F$154:$F$242,'GWP &amp; Emission Factors '!$E$154:$E$242,$G$13)+SUMIFS($H$15:$H$74,$D$15:$D$74,$D42)*SUMIFS('GWP &amp; Emission Factors '!$F$154:$F$242,'GWP &amp; Emission Factors '!$E$154:$E$242,$H$13)+SUMIFS($I$15:$I$74,$D$15:$D$74,$D42)*SUMIFS('GWP &amp; Emission Factors '!$F$154:$F$242,'GWP &amp; Emission Factors '!$E$154:$E$242,$I$13)+SUMIFS($J$15:$J$74,$D$15:$D$74,$D42)*SUMIFS('GWP &amp; Emission Factors '!$F$154:$F$242,'GWP &amp; Emission Factors '!$E$154:$E$242,$J$13))/1000</f>
        <v>0</v>
      </c>
    </row>
    <row r="43" spans="4:11" x14ac:dyDescent="0.25">
      <c r="D43" s="461" t="str">
        <f>'Project Emission Distribution'!D53</f>
        <v>AN29</v>
      </c>
      <c r="E43" s="241"/>
      <c r="F43" s="241"/>
      <c r="G43" s="241"/>
      <c r="H43" s="241"/>
      <c r="I43" s="241"/>
      <c r="J43" s="241"/>
      <c r="K43" s="573">
        <f>(SUMIFS($E$15:$E$74,$D$15:$D$74,$D43)*SUMIFS('GWP &amp; Emission Factors '!$F$154:$F$242,'GWP &amp; Emission Factors '!$E$154:$E$242,$E$13)+SUMIFS($F$15:$F$74,$D$15:$D$74,$D43)*SUMIFS('GWP &amp; Emission Factors '!$F$154:$F$242,'GWP &amp; Emission Factors '!$E$154:$E$242,$F$13)+SUMIFS($G$15:$G$74,$D$15:$D$74,$D43)*SUMIFS('GWP &amp; Emission Factors '!$F$154:$F$242,'GWP &amp; Emission Factors '!$E$154:$E$242,$G$13)+SUMIFS($H$15:$H$74,$D$15:$D$74,$D43)*SUMIFS('GWP &amp; Emission Factors '!$F$154:$F$242,'GWP &amp; Emission Factors '!$E$154:$E$242,$H$13)+SUMIFS($I$15:$I$74,$D$15:$D$74,$D43)*SUMIFS('GWP &amp; Emission Factors '!$F$154:$F$242,'GWP &amp; Emission Factors '!$E$154:$E$242,$I$13)+SUMIFS($J$15:$J$74,$D$15:$D$74,$D43)*SUMIFS('GWP &amp; Emission Factors '!$F$154:$F$242,'GWP &amp; Emission Factors '!$E$154:$E$242,$J$13))/1000</f>
        <v>0</v>
      </c>
    </row>
    <row r="44" spans="4:11" x14ac:dyDescent="0.25">
      <c r="D44" s="461" t="str">
        <f>'Project Emission Distribution'!D54</f>
        <v>AN30</v>
      </c>
      <c r="E44" s="466"/>
      <c r="F44" s="466"/>
      <c r="G44" s="466"/>
      <c r="H44" s="466"/>
      <c r="I44" s="466"/>
      <c r="J44" s="466"/>
      <c r="K44" s="573">
        <f>(SUMIFS($E$15:$E$74,$D$15:$D$74,$D44)*SUMIFS('GWP &amp; Emission Factors '!$F$154:$F$242,'GWP &amp; Emission Factors '!$E$154:$E$242,$E$13)+SUMIFS($F$15:$F$74,$D$15:$D$74,$D44)*SUMIFS('GWP &amp; Emission Factors '!$F$154:$F$242,'GWP &amp; Emission Factors '!$E$154:$E$242,$F$13)+SUMIFS($G$15:$G$74,$D$15:$D$74,$D44)*SUMIFS('GWP &amp; Emission Factors '!$F$154:$F$242,'GWP &amp; Emission Factors '!$E$154:$E$242,$G$13)+SUMIFS($H$15:$H$74,$D$15:$D$74,$D44)*SUMIFS('GWP &amp; Emission Factors '!$F$154:$F$242,'GWP &amp; Emission Factors '!$E$154:$E$242,$H$13)+SUMIFS($I$15:$I$74,$D$15:$D$74,$D44)*SUMIFS('GWP &amp; Emission Factors '!$F$154:$F$242,'GWP &amp; Emission Factors '!$E$154:$E$242,$I$13)+SUMIFS($J$15:$J$74,$D$15:$D$74,$D44)*SUMIFS('GWP &amp; Emission Factors '!$F$154:$F$242,'GWP &amp; Emission Factors '!$E$154:$E$242,$J$13))/1000</f>
        <v>0</v>
      </c>
    </row>
    <row r="45" spans="4:11" x14ac:dyDescent="0.25">
      <c r="D45" s="461" t="str">
        <f>'Project Emission Distribution'!D55</f>
        <v>AN31</v>
      </c>
      <c r="E45" s="241"/>
      <c r="F45" s="241"/>
      <c r="G45" s="241"/>
      <c r="H45" s="241"/>
      <c r="I45" s="241"/>
      <c r="J45" s="241"/>
      <c r="K45" s="573">
        <f>(SUMIFS($E$15:$E$74,$D$15:$D$74,$D45)*SUMIFS('GWP &amp; Emission Factors '!$F$154:$F$242,'GWP &amp; Emission Factors '!$E$154:$E$242,$E$13)+SUMIFS($F$15:$F$74,$D$15:$D$74,$D45)*SUMIFS('GWP &amp; Emission Factors '!$F$154:$F$242,'GWP &amp; Emission Factors '!$E$154:$E$242,$F$13)+SUMIFS($G$15:$G$74,$D$15:$D$74,$D45)*SUMIFS('GWP &amp; Emission Factors '!$F$154:$F$242,'GWP &amp; Emission Factors '!$E$154:$E$242,$G$13)+SUMIFS($H$15:$H$74,$D$15:$D$74,$D45)*SUMIFS('GWP &amp; Emission Factors '!$F$154:$F$242,'GWP &amp; Emission Factors '!$E$154:$E$242,$H$13)+SUMIFS($I$15:$I$74,$D$15:$D$74,$D45)*SUMIFS('GWP &amp; Emission Factors '!$F$154:$F$242,'GWP &amp; Emission Factors '!$E$154:$E$242,$I$13)+SUMIFS($J$15:$J$74,$D$15:$D$74,$D45)*SUMIFS('GWP &amp; Emission Factors '!$F$154:$F$242,'GWP &amp; Emission Factors '!$E$154:$E$242,$J$13))/1000</f>
        <v>0</v>
      </c>
    </row>
    <row r="46" spans="4:11" x14ac:dyDescent="0.25">
      <c r="D46" s="461" t="str">
        <f>'Project Emission Distribution'!D56</f>
        <v>AN32</v>
      </c>
      <c r="E46" s="466"/>
      <c r="F46" s="466"/>
      <c r="G46" s="466"/>
      <c r="H46" s="466"/>
      <c r="I46" s="466"/>
      <c r="J46" s="466"/>
      <c r="K46" s="573">
        <f>(SUMIFS($E$15:$E$74,$D$15:$D$74,$D46)*SUMIFS('GWP &amp; Emission Factors '!$F$154:$F$242,'GWP &amp; Emission Factors '!$E$154:$E$242,$E$13)+SUMIFS($F$15:$F$74,$D$15:$D$74,$D46)*SUMIFS('GWP &amp; Emission Factors '!$F$154:$F$242,'GWP &amp; Emission Factors '!$E$154:$E$242,$F$13)+SUMIFS($G$15:$G$74,$D$15:$D$74,$D46)*SUMIFS('GWP &amp; Emission Factors '!$F$154:$F$242,'GWP &amp; Emission Factors '!$E$154:$E$242,$G$13)+SUMIFS($H$15:$H$74,$D$15:$D$74,$D46)*SUMIFS('GWP &amp; Emission Factors '!$F$154:$F$242,'GWP &amp; Emission Factors '!$E$154:$E$242,$H$13)+SUMIFS($I$15:$I$74,$D$15:$D$74,$D46)*SUMIFS('GWP &amp; Emission Factors '!$F$154:$F$242,'GWP &amp; Emission Factors '!$E$154:$E$242,$I$13)+SUMIFS($J$15:$J$74,$D$15:$D$74,$D46)*SUMIFS('GWP &amp; Emission Factors '!$F$154:$F$242,'GWP &amp; Emission Factors '!$E$154:$E$242,$J$13))/1000</f>
        <v>0</v>
      </c>
    </row>
    <row r="47" spans="4:11" x14ac:dyDescent="0.25">
      <c r="D47" s="461" t="str">
        <f>'Project Emission Distribution'!D57</f>
        <v>AN33</v>
      </c>
      <c r="E47" s="241"/>
      <c r="F47" s="241"/>
      <c r="G47" s="241"/>
      <c r="H47" s="241"/>
      <c r="I47" s="241"/>
      <c r="J47" s="241"/>
      <c r="K47" s="573">
        <f>(SUMIFS($E$15:$E$74,$D$15:$D$74,$D47)*SUMIFS('GWP &amp; Emission Factors '!$F$154:$F$242,'GWP &amp; Emission Factors '!$E$154:$E$242,$E$13)+SUMIFS($F$15:$F$74,$D$15:$D$74,$D47)*SUMIFS('GWP &amp; Emission Factors '!$F$154:$F$242,'GWP &amp; Emission Factors '!$E$154:$E$242,$F$13)+SUMIFS($G$15:$G$74,$D$15:$D$74,$D47)*SUMIFS('GWP &amp; Emission Factors '!$F$154:$F$242,'GWP &amp; Emission Factors '!$E$154:$E$242,$G$13)+SUMIFS($H$15:$H$74,$D$15:$D$74,$D47)*SUMIFS('GWP &amp; Emission Factors '!$F$154:$F$242,'GWP &amp; Emission Factors '!$E$154:$E$242,$H$13)+SUMIFS($I$15:$I$74,$D$15:$D$74,$D47)*SUMIFS('GWP &amp; Emission Factors '!$F$154:$F$242,'GWP &amp; Emission Factors '!$E$154:$E$242,$I$13)+SUMIFS($J$15:$J$74,$D$15:$D$74,$D47)*SUMIFS('GWP &amp; Emission Factors '!$F$154:$F$242,'GWP &amp; Emission Factors '!$E$154:$E$242,$J$13))/1000</f>
        <v>0</v>
      </c>
    </row>
    <row r="48" spans="4:11" x14ac:dyDescent="0.25">
      <c r="D48" s="461" t="str">
        <f>'Project Emission Distribution'!D58</f>
        <v>AN34</v>
      </c>
      <c r="E48" s="466"/>
      <c r="F48" s="466"/>
      <c r="G48" s="466"/>
      <c r="H48" s="466"/>
      <c r="I48" s="466"/>
      <c r="J48" s="466"/>
      <c r="K48" s="573">
        <f>(SUMIFS($E$15:$E$74,$D$15:$D$74,$D48)*SUMIFS('GWP &amp; Emission Factors '!$F$154:$F$242,'GWP &amp; Emission Factors '!$E$154:$E$242,$E$13)+SUMIFS($F$15:$F$74,$D$15:$D$74,$D48)*SUMIFS('GWP &amp; Emission Factors '!$F$154:$F$242,'GWP &amp; Emission Factors '!$E$154:$E$242,$F$13)+SUMIFS($G$15:$G$74,$D$15:$D$74,$D48)*SUMIFS('GWP &amp; Emission Factors '!$F$154:$F$242,'GWP &amp; Emission Factors '!$E$154:$E$242,$G$13)+SUMIFS($H$15:$H$74,$D$15:$D$74,$D48)*SUMIFS('GWP &amp; Emission Factors '!$F$154:$F$242,'GWP &amp; Emission Factors '!$E$154:$E$242,$H$13)+SUMIFS($I$15:$I$74,$D$15:$D$74,$D48)*SUMIFS('GWP &amp; Emission Factors '!$F$154:$F$242,'GWP &amp; Emission Factors '!$E$154:$E$242,$I$13)+SUMIFS($J$15:$J$74,$D$15:$D$74,$D48)*SUMIFS('GWP &amp; Emission Factors '!$F$154:$F$242,'GWP &amp; Emission Factors '!$E$154:$E$242,$J$13))/1000</f>
        <v>0</v>
      </c>
    </row>
    <row r="49" spans="4:11" x14ac:dyDescent="0.25">
      <c r="D49" s="461" t="str">
        <f>'Project Emission Distribution'!D59</f>
        <v>AN35</v>
      </c>
      <c r="E49" s="241"/>
      <c r="F49" s="241"/>
      <c r="G49" s="241"/>
      <c r="H49" s="241"/>
      <c r="I49" s="241"/>
      <c r="J49" s="241"/>
      <c r="K49" s="573">
        <f>(SUMIFS($E$15:$E$74,$D$15:$D$74,$D49)*SUMIFS('GWP &amp; Emission Factors '!$F$154:$F$242,'GWP &amp; Emission Factors '!$E$154:$E$242,$E$13)+SUMIFS($F$15:$F$74,$D$15:$D$74,$D49)*SUMIFS('GWP &amp; Emission Factors '!$F$154:$F$242,'GWP &amp; Emission Factors '!$E$154:$E$242,$F$13)+SUMIFS($G$15:$G$74,$D$15:$D$74,$D49)*SUMIFS('GWP &amp; Emission Factors '!$F$154:$F$242,'GWP &amp; Emission Factors '!$E$154:$E$242,$G$13)+SUMIFS($H$15:$H$74,$D$15:$D$74,$D49)*SUMIFS('GWP &amp; Emission Factors '!$F$154:$F$242,'GWP &amp; Emission Factors '!$E$154:$E$242,$H$13)+SUMIFS($I$15:$I$74,$D$15:$D$74,$D49)*SUMIFS('GWP &amp; Emission Factors '!$F$154:$F$242,'GWP &amp; Emission Factors '!$E$154:$E$242,$I$13)+SUMIFS($J$15:$J$74,$D$15:$D$74,$D49)*SUMIFS('GWP &amp; Emission Factors '!$F$154:$F$242,'GWP &amp; Emission Factors '!$E$154:$E$242,$J$13))/1000</f>
        <v>0</v>
      </c>
    </row>
    <row r="50" spans="4:11" x14ac:dyDescent="0.25">
      <c r="D50" s="461" t="str">
        <f>'Project Emission Distribution'!D60</f>
        <v>AN36</v>
      </c>
      <c r="E50" s="466"/>
      <c r="F50" s="466"/>
      <c r="G50" s="466"/>
      <c r="H50" s="466"/>
      <c r="I50" s="466"/>
      <c r="J50" s="466"/>
      <c r="K50" s="573">
        <f>(SUMIFS($E$15:$E$74,$D$15:$D$74,$D50)*SUMIFS('GWP &amp; Emission Factors '!$F$154:$F$242,'GWP &amp; Emission Factors '!$E$154:$E$242,$E$13)+SUMIFS($F$15:$F$74,$D$15:$D$74,$D50)*SUMIFS('GWP &amp; Emission Factors '!$F$154:$F$242,'GWP &amp; Emission Factors '!$E$154:$E$242,$F$13)+SUMIFS($G$15:$G$74,$D$15:$D$74,$D50)*SUMIFS('GWP &amp; Emission Factors '!$F$154:$F$242,'GWP &amp; Emission Factors '!$E$154:$E$242,$G$13)+SUMIFS($H$15:$H$74,$D$15:$D$74,$D50)*SUMIFS('GWP &amp; Emission Factors '!$F$154:$F$242,'GWP &amp; Emission Factors '!$E$154:$E$242,$H$13)+SUMIFS($I$15:$I$74,$D$15:$D$74,$D50)*SUMIFS('GWP &amp; Emission Factors '!$F$154:$F$242,'GWP &amp; Emission Factors '!$E$154:$E$242,$I$13)+SUMIFS($J$15:$J$74,$D$15:$D$74,$D50)*SUMIFS('GWP &amp; Emission Factors '!$F$154:$F$242,'GWP &amp; Emission Factors '!$E$154:$E$242,$J$13))/1000</f>
        <v>0</v>
      </c>
    </row>
    <row r="51" spans="4:11" x14ac:dyDescent="0.25">
      <c r="D51" s="461" t="str">
        <f>'Project Emission Distribution'!D61</f>
        <v>AN37</v>
      </c>
      <c r="E51" s="241"/>
      <c r="F51" s="241"/>
      <c r="G51" s="241"/>
      <c r="H51" s="241"/>
      <c r="I51" s="241"/>
      <c r="J51" s="241"/>
      <c r="K51" s="573">
        <f>(SUMIFS($E$15:$E$74,$D$15:$D$74,$D51)*SUMIFS('GWP &amp; Emission Factors '!$F$154:$F$242,'GWP &amp; Emission Factors '!$E$154:$E$242,$E$13)+SUMIFS($F$15:$F$74,$D$15:$D$74,$D51)*SUMIFS('GWP &amp; Emission Factors '!$F$154:$F$242,'GWP &amp; Emission Factors '!$E$154:$E$242,$F$13)+SUMIFS($G$15:$G$74,$D$15:$D$74,$D51)*SUMIFS('GWP &amp; Emission Factors '!$F$154:$F$242,'GWP &amp; Emission Factors '!$E$154:$E$242,$G$13)+SUMIFS($H$15:$H$74,$D$15:$D$74,$D51)*SUMIFS('GWP &amp; Emission Factors '!$F$154:$F$242,'GWP &amp; Emission Factors '!$E$154:$E$242,$H$13)+SUMIFS($I$15:$I$74,$D$15:$D$74,$D51)*SUMIFS('GWP &amp; Emission Factors '!$F$154:$F$242,'GWP &amp; Emission Factors '!$E$154:$E$242,$I$13)+SUMIFS($J$15:$J$74,$D$15:$D$74,$D51)*SUMIFS('GWP &amp; Emission Factors '!$F$154:$F$242,'GWP &amp; Emission Factors '!$E$154:$E$242,$J$13))/1000</f>
        <v>0</v>
      </c>
    </row>
    <row r="52" spans="4:11" x14ac:dyDescent="0.25">
      <c r="D52" s="461" t="str">
        <f>'Project Emission Distribution'!D62</f>
        <v>AN38</v>
      </c>
      <c r="E52" s="466"/>
      <c r="F52" s="466"/>
      <c r="G52" s="466"/>
      <c r="H52" s="466"/>
      <c r="I52" s="466"/>
      <c r="J52" s="466"/>
      <c r="K52" s="573">
        <f>(SUMIFS($E$15:$E$74,$D$15:$D$74,$D52)*SUMIFS('GWP &amp; Emission Factors '!$F$154:$F$242,'GWP &amp; Emission Factors '!$E$154:$E$242,$E$13)+SUMIFS($F$15:$F$74,$D$15:$D$74,$D52)*SUMIFS('GWP &amp; Emission Factors '!$F$154:$F$242,'GWP &amp; Emission Factors '!$E$154:$E$242,$F$13)+SUMIFS($G$15:$G$74,$D$15:$D$74,$D52)*SUMIFS('GWP &amp; Emission Factors '!$F$154:$F$242,'GWP &amp; Emission Factors '!$E$154:$E$242,$G$13)+SUMIFS($H$15:$H$74,$D$15:$D$74,$D52)*SUMIFS('GWP &amp; Emission Factors '!$F$154:$F$242,'GWP &amp; Emission Factors '!$E$154:$E$242,$H$13)+SUMIFS($I$15:$I$74,$D$15:$D$74,$D52)*SUMIFS('GWP &amp; Emission Factors '!$F$154:$F$242,'GWP &amp; Emission Factors '!$E$154:$E$242,$I$13)+SUMIFS($J$15:$J$74,$D$15:$D$74,$D52)*SUMIFS('GWP &amp; Emission Factors '!$F$154:$F$242,'GWP &amp; Emission Factors '!$E$154:$E$242,$J$13))/1000</f>
        <v>0</v>
      </c>
    </row>
    <row r="53" spans="4:11" x14ac:dyDescent="0.25">
      <c r="D53" s="461" t="str">
        <f>'Project Emission Distribution'!D63</f>
        <v>AN39</v>
      </c>
      <c r="E53" s="241"/>
      <c r="F53" s="241"/>
      <c r="G53" s="241"/>
      <c r="H53" s="241"/>
      <c r="I53" s="241"/>
      <c r="J53" s="241"/>
      <c r="K53" s="573">
        <f>(SUMIFS($E$15:$E$74,$D$15:$D$74,$D53)*SUMIFS('GWP &amp; Emission Factors '!$F$154:$F$242,'GWP &amp; Emission Factors '!$E$154:$E$242,$E$13)+SUMIFS($F$15:$F$74,$D$15:$D$74,$D53)*SUMIFS('GWP &amp; Emission Factors '!$F$154:$F$242,'GWP &amp; Emission Factors '!$E$154:$E$242,$F$13)+SUMIFS($G$15:$G$74,$D$15:$D$74,$D53)*SUMIFS('GWP &amp; Emission Factors '!$F$154:$F$242,'GWP &amp; Emission Factors '!$E$154:$E$242,$G$13)+SUMIFS($H$15:$H$74,$D$15:$D$74,$D53)*SUMIFS('GWP &amp; Emission Factors '!$F$154:$F$242,'GWP &amp; Emission Factors '!$E$154:$E$242,$H$13)+SUMIFS($I$15:$I$74,$D$15:$D$74,$D53)*SUMIFS('GWP &amp; Emission Factors '!$F$154:$F$242,'GWP &amp; Emission Factors '!$E$154:$E$242,$I$13)+SUMIFS($J$15:$J$74,$D$15:$D$74,$D53)*SUMIFS('GWP &amp; Emission Factors '!$F$154:$F$242,'GWP &amp; Emission Factors '!$E$154:$E$242,$J$13))/1000</f>
        <v>0</v>
      </c>
    </row>
    <row r="54" spans="4:11" x14ac:dyDescent="0.25">
      <c r="D54" s="461" t="str">
        <f>'Project Emission Distribution'!D64</f>
        <v>AN40</v>
      </c>
      <c r="E54" s="466"/>
      <c r="F54" s="466"/>
      <c r="G54" s="466"/>
      <c r="H54" s="466"/>
      <c r="I54" s="466"/>
      <c r="J54" s="466"/>
      <c r="K54" s="573">
        <f>(SUMIFS($E$15:$E$74,$D$15:$D$74,$D54)*SUMIFS('GWP &amp; Emission Factors '!$F$154:$F$242,'GWP &amp; Emission Factors '!$E$154:$E$242,$E$13)+SUMIFS($F$15:$F$74,$D$15:$D$74,$D54)*SUMIFS('GWP &amp; Emission Factors '!$F$154:$F$242,'GWP &amp; Emission Factors '!$E$154:$E$242,$F$13)+SUMIFS($G$15:$G$74,$D$15:$D$74,$D54)*SUMIFS('GWP &amp; Emission Factors '!$F$154:$F$242,'GWP &amp; Emission Factors '!$E$154:$E$242,$G$13)+SUMIFS($H$15:$H$74,$D$15:$D$74,$D54)*SUMIFS('GWP &amp; Emission Factors '!$F$154:$F$242,'GWP &amp; Emission Factors '!$E$154:$E$242,$H$13)+SUMIFS($I$15:$I$74,$D$15:$D$74,$D54)*SUMIFS('GWP &amp; Emission Factors '!$F$154:$F$242,'GWP &amp; Emission Factors '!$E$154:$E$242,$I$13)+SUMIFS($J$15:$J$74,$D$15:$D$74,$D54)*SUMIFS('GWP &amp; Emission Factors '!$F$154:$F$242,'GWP &amp; Emission Factors '!$E$154:$E$242,$J$13))/1000</f>
        <v>0</v>
      </c>
    </row>
    <row r="55" spans="4:11" x14ac:dyDescent="0.25">
      <c r="D55" s="461" t="str">
        <f>'Project Emission Distribution'!D65</f>
        <v>AN41</v>
      </c>
      <c r="E55" s="241"/>
      <c r="F55" s="241"/>
      <c r="G55" s="241"/>
      <c r="H55" s="241"/>
      <c r="I55" s="241"/>
      <c r="J55" s="241"/>
      <c r="K55" s="573">
        <f>(SUMIFS($E$15:$E$74,$D$15:$D$74,$D55)*SUMIFS('GWP &amp; Emission Factors '!$F$154:$F$242,'GWP &amp; Emission Factors '!$E$154:$E$242,$E$13)+SUMIFS($F$15:$F$74,$D$15:$D$74,$D55)*SUMIFS('GWP &amp; Emission Factors '!$F$154:$F$242,'GWP &amp; Emission Factors '!$E$154:$E$242,$F$13)+SUMIFS($G$15:$G$74,$D$15:$D$74,$D55)*SUMIFS('GWP &amp; Emission Factors '!$F$154:$F$242,'GWP &amp; Emission Factors '!$E$154:$E$242,$G$13)+SUMIFS($H$15:$H$74,$D$15:$D$74,$D55)*SUMIFS('GWP &amp; Emission Factors '!$F$154:$F$242,'GWP &amp; Emission Factors '!$E$154:$E$242,$H$13)+SUMIFS($I$15:$I$74,$D$15:$D$74,$D55)*SUMIFS('GWP &amp; Emission Factors '!$F$154:$F$242,'GWP &amp; Emission Factors '!$E$154:$E$242,$I$13)+SUMIFS($J$15:$J$74,$D$15:$D$74,$D55)*SUMIFS('GWP &amp; Emission Factors '!$F$154:$F$242,'GWP &amp; Emission Factors '!$E$154:$E$242,$J$13))/1000</f>
        <v>0</v>
      </c>
    </row>
    <row r="56" spans="4:11" x14ac:dyDescent="0.25">
      <c r="D56" s="461" t="str">
        <f>'Project Emission Distribution'!D66</f>
        <v>AN42</v>
      </c>
      <c r="E56" s="466"/>
      <c r="F56" s="466"/>
      <c r="G56" s="466"/>
      <c r="H56" s="466"/>
      <c r="I56" s="466"/>
      <c r="J56" s="466"/>
      <c r="K56" s="573">
        <f>(SUMIFS($E$15:$E$74,$D$15:$D$74,$D56)*SUMIFS('GWP &amp; Emission Factors '!$F$154:$F$242,'GWP &amp; Emission Factors '!$E$154:$E$242,$E$13)+SUMIFS($F$15:$F$74,$D$15:$D$74,$D56)*SUMIFS('GWP &amp; Emission Factors '!$F$154:$F$242,'GWP &amp; Emission Factors '!$E$154:$E$242,$F$13)+SUMIFS($G$15:$G$74,$D$15:$D$74,$D56)*SUMIFS('GWP &amp; Emission Factors '!$F$154:$F$242,'GWP &amp; Emission Factors '!$E$154:$E$242,$G$13)+SUMIFS($H$15:$H$74,$D$15:$D$74,$D56)*SUMIFS('GWP &amp; Emission Factors '!$F$154:$F$242,'GWP &amp; Emission Factors '!$E$154:$E$242,$H$13)+SUMIFS($I$15:$I$74,$D$15:$D$74,$D56)*SUMIFS('GWP &amp; Emission Factors '!$F$154:$F$242,'GWP &amp; Emission Factors '!$E$154:$E$242,$I$13)+SUMIFS($J$15:$J$74,$D$15:$D$74,$D56)*SUMIFS('GWP &amp; Emission Factors '!$F$154:$F$242,'GWP &amp; Emission Factors '!$E$154:$E$242,$J$13))/1000</f>
        <v>0</v>
      </c>
    </row>
    <row r="57" spans="4:11" x14ac:dyDescent="0.25">
      <c r="D57" s="461" t="str">
        <f>'Project Emission Distribution'!D67</f>
        <v>AN43</v>
      </c>
      <c r="E57" s="241"/>
      <c r="F57" s="241"/>
      <c r="G57" s="241"/>
      <c r="H57" s="241"/>
      <c r="I57" s="241"/>
      <c r="J57" s="241"/>
      <c r="K57" s="573">
        <f>(SUMIFS($E$15:$E$74,$D$15:$D$74,$D57)*SUMIFS('GWP &amp; Emission Factors '!$F$154:$F$242,'GWP &amp; Emission Factors '!$E$154:$E$242,$E$13)+SUMIFS($F$15:$F$74,$D$15:$D$74,$D57)*SUMIFS('GWP &amp; Emission Factors '!$F$154:$F$242,'GWP &amp; Emission Factors '!$E$154:$E$242,$F$13)+SUMIFS($G$15:$G$74,$D$15:$D$74,$D57)*SUMIFS('GWP &amp; Emission Factors '!$F$154:$F$242,'GWP &amp; Emission Factors '!$E$154:$E$242,$G$13)+SUMIFS($H$15:$H$74,$D$15:$D$74,$D57)*SUMIFS('GWP &amp; Emission Factors '!$F$154:$F$242,'GWP &amp; Emission Factors '!$E$154:$E$242,$H$13)+SUMIFS($I$15:$I$74,$D$15:$D$74,$D57)*SUMIFS('GWP &amp; Emission Factors '!$F$154:$F$242,'GWP &amp; Emission Factors '!$E$154:$E$242,$I$13)+SUMIFS($J$15:$J$74,$D$15:$D$74,$D57)*SUMIFS('GWP &amp; Emission Factors '!$F$154:$F$242,'GWP &amp; Emission Factors '!$E$154:$E$242,$J$13))/1000</f>
        <v>0</v>
      </c>
    </row>
    <row r="58" spans="4:11" x14ac:dyDescent="0.25">
      <c r="D58" s="461" t="str">
        <f>'Project Emission Distribution'!D68</f>
        <v>AN44</v>
      </c>
      <c r="E58" s="466"/>
      <c r="F58" s="466"/>
      <c r="G58" s="466"/>
      <c r="H58" s="466"/>
      <c r="I58" s="466"/>
      <c r="J58" s="466"/>
      <c r="K58" s="573">
        <f>(SUMIFS($E$15:$E$74,$D$15:$D$74,$D58)*SUMIFS('GWP &amp; Emission Factors '!$F$154:$F$242,'GWP &amp; Emission Factors '!$E$154:$E$242,$E$13)+SUMIFS($F$15:$F$74,$D$15:$D$74,$D58)*SUMIFS('GWP &amp; Emission Factors '!$F$154:$F$242,'GWP &amp; Emission Factors '!$E$154:$E$242,$F$13)+SUMIFS($G$15:$G$74,$D$15:$D$74,$D58)*SUMIFS('GWP &amp; Emission Factors '!$F$154:$F$242,'GWP &amp; Emission Factors '!$E$154:$E$242,$G$13)+SUMIFS($H$15:$H$74,$D$15:$D$74,$D58)*SUMIFS('GWP &amp; Emission Factors '!$F$154:$F$242,'GWP &amp; Emission Factors '!$E$154:$E$242,$H$13)+SUMIFS($I$15:$I$74,$D$15:$D$74,$D58)*SUMIFS('GWP &amp; Emission Factors '!$F$154:$F$242,'GWP &amp; Emission Factors '!$E$154:$E$242,$I$13)+SUMIFS($J$15:$J$74,$D$15:$D$74,$D58)*SUMIFS('GWP &amp; Emission Factors '!$F$154:$F$242,'GWP &amp; Emission Factors '!$E$154:$E$242,$J$13))/1000</f>
        <v>0</v>
      </c>
    </row>
    <row r="59" spans="4:11" x14ac:dyDescent="0.25">
      <c r="D59" s="461" t="str">
        <f>'Project Emission Distribution'!D69</f>
        <v>AN45</v>
      </c>
      <c r="E59" s="241"/>
      <c r="F59" s="241"/>
      <c r="G59" s="241"/>
      <c r="H59" s="241"/>
      <c r="I59" s="241"/>
      <c r="J59" s="241"/>
      <c r="K59" s="573">
        <f>(SUMIFS($E$15:$E$74,$D$15:$D$74,$D59)*SUMIFS('GWP &amp; Emission Factors '!$F$154:$F$242,'GWP &amp; Emission Factors '!$E$154:$E$242,$E$13)+SUMIFS($F$15:$F$74,$D$15:$D$74,$D59)*SUMIFS('GWP &amp; Emission Factors '!$F$154:$F$242,'GWP &amp; Emission Factors '!$E$154:$E$242,$F$13)+SUMIFS($G$15:$G$74,$D$15:$D$74,$D59)*SUMIFS('GWP &amp; Emission Factors '!$F$154:$F$242,'GWP &amp; Emission Factors '!$E$154:$E$242,$G$13)+SUMIFS($H$15:$H$74,$D$15:$D$74,$D59)*SUMIFS('GWP &amp; Emission Factors '!$F$154:$F$242,'GWP &amp; Emission Factors '!$E$154:$E$242,$H$13)+SUMIFS($I$15:$I$74,$D$15:$D$74,$D59)*SUMIFS('GWP &amp; Emission Factors '!$F$154:$F$242,'GWP &amp; Emission Factors '!$E$154:$E$242,$I$13)+SUMIFS($J$15:$J$74,$D$15:$D$74,$D59)*SUMIFS('GWP &amp; Emission Factors '!$F$154:$F$242,'GWP &amp; Emission Factors '!$E$154:$E$242,$J$13))/1000</f>
        <v>0</v>
      </c>
    </row>
    <row r="60" spans="4:11" x14ac:dyDescent="0.25">
      <c r="D60" s="461" t="str">
        <f>'Project Emission Distribution'!D70</f>
        <v>AN46</v>
      </c>
      <c r="E60" s="466"/>
      <c r="F60" s="466"/>
      <c r="G60" s="466"/>
      <c r="H60" s="466"/>
      <c r="I60" s="466"/>
      <c r="J60" s="466"/>
      <c r="K60" s="573">
        <f>(SUMIFS($E$15:$E$74,$D$15:$D$74,$D60)*SUMIFS('GWP &amp; Emission Factors '!$F$154:$F$242,'GWP &amp; Emission Factors '!$E$154:$E$242,$E$13)+SUMIFS($F$15:$F$74,$D$15:$D$74,$D60)*SUMIFS('GWP &amp; Emission Factors '!$F$154:$F$242,'GWP &amp; Emission Factors '!$E$154:$E$242,$F$13)+SUMIFS($G$15:$G$74,$D$15:$D$74,$D60)*SUMIFS('GWP &amp; Emission Factors '!$F$154:$F$242,'GWP &amp; Emission Factors '!$E$154:$E$242,$G$13)+SUMIFS($H$15:$H$74,$D$15:$D$74,$D60)*SUMIFS('GWP &amp; Emission Factors '!$F$154:$F$242,'GWP &amp; Emission Factors '!$E$154:$E$242,$H$13)+SUMIFS($I$15:$I$74,$D$15:$D$74,$D60)*SUMIFS('GWP &amp; Emission Factors '!$F$154:$F$242,'GWP &amp; Emission Factors '!$E$154:$E$242,$I$13)+SUMIFS($J$15:$J$74,$D$15:$D$74,$D60)*SUMIFS('GWP &amp; Emission Factors '!$F$154:$F$242,'GWP &amp; Emission Factors '!$E$154:$E$242,$J$13))/1000</f>
        <v>0</v>
      </c>
    </row>
    <row r="61" spans="4:11" x14ac:dyDescent="0.25">
      <c r="D61" s="461" t="str">
        <f>'Project Emission Distribution'!D71</f>
        <v>AN47</v>
      </c>
      <c r="E61" s="241"/>
      <c r="F61" s="241"/>
      <c r="G61" s="241"/>
      <c r="H61" s="241"/>
      <c r="I61" s="241"/>
      <c r="J61" s="241"/>
      <c r="K61" s="573">
        <f>(SUMIFS($E$15:$E$74,$D$15:$D$74,$D61)*SUMIFS('GWP &amp; Emission Factors '!$F$154:$F$242,'GWP &amp; Emission Factors '!$E$154:$E$242,$E$13)+SUMIFS($F$15:$F$74,$D$15:$D$74,$D61)*SUMIFS('GWP &amp; Emission Factors '!$F$154:$F$242,'GWP &amp; Emission Factors '!$E$154:$E$242,$F$13)+SUMIFS($G$15:$G$74,$D$15:$D$74,$D61)*SUMIFS('GWP &amp; Emission Factors '!$F$154:$F$242,'GWP &amp; Emission Factors '!$E$154:$E$242,$G$13)+SUMIFS($H$15:$H$74,$D$15:$D$74,$D61)*SUMIFS('GWP &amp; Emission Factors '!$F$154:$F$242,'GWP &amp; Emission Factors '!$E$154:$E$242,$H$13)+SUMIFS($I$15:$I$74,$D$15:$D$74,$D61)*SUMIFS('GWP &amp; Emission Factors '!$F$154:$F$242,'GWP &amp; Emission Factors '!$E$154:$E$242,$I$13)+SUMIFS($J$15:$J$74,$D$15:$D$74,$D61)*SUMIFS('GWP &amp; Emission Factors '!$F$154:$F$242,'GWP &amp; Emission Factors '!$E$154:$E$242,$J$13))/1000</f>
        <v>0</v>
      </c>
    </row>
    <row r="62" spans="4:11" x14ac:dyDescent="0.25">
      <c r="D62" s="461" t="str">
        <f>'Project Emission Distribution'!D72</f>
        <v>AN48</v>
      </c>
      <c r="E62" s="466"/>
      <c r="F62" s="466"/>
      <c r="G62" s="466"/>
      <c r="H62" s="466"/>
      <c r="I62" s="466"/>
      <c r="J62" s="466"/>
      <c r="K62" s="573">
        <f>(SUMIFS($E$15:$E$74,$D$15:$D$74,$D62)*SUMIFS('GWP &amp; Emission Factors '!$F$154:$F$242,'GWP &amp; Emission Factors '!$E$154:$E$242,$E$13)+SUMIFS($F$15:$F$74,$D$15:$D$74,$D62)*SUMIFS('GWP &amp; Emission Factors '!$F$154:$F$242,'GWP &amp; Emission Factors '!$E$154:$E$242,$F$13)+SUMIFS($G$15:$G$74,$D$15:$D$74,$D62)*SUMIFS('GWP &amp; Emission Factors '!$F$154:$F$242,'GWP &amp; Emission Factors '!$E$154:$E$242,$G$13)+SUMIFS($H$15:$H$74,$D$15:$D$74,$D62)*SUMIFS('GWP &amp; Emission Factors '!$F$154:$F$242,'GWP &amp; Emission Factors '!$E$154:$E$242,$H$13)+SUMIFS($I$15:$I$74,$D$15:$D$74,$D62)*SUMIFS('GWP &amp; Emission Factors '!$F$154:$F$242,'GWP &amp; Emission Factors '!$E$154:$E$242,$I$13)+SUMIFS($J$15:$J$74,$D$15:$D$74,$D62)*SUMIFS('GWP &amp; Emission Factors '!$F$154:$F$242,'GWP &amp; Emission Factors '!$E$154:$E$242,$J$13))/1000</f>
        <v>0</v>
      </c>
    </row>
    <row r="63" spans="4:11" x14ac:dyDescent="0.25">
      <c r="D63" s="461" t="str">
        <f>'Project Emission Distribution'!D73</f>
        <v>AN49</v>
      </c>
      <c r="E63" s="241"/>
      <c r="F63" s="241"/>
      <c r="G63" s="241"/>
      <c r="H63" s="241"/>
      <c r="I63" s="241"/>
      <c r="J63" s="241"/>
      <c r="K63" s="573">
        <f>(SUMIFS($E$15:$E$74,$D$15:$D$74,$D63)*SUMIFS('GWP &amp; Emission Factors '!$F$154:$F$242,'GWP &amp; Emission Factors '!$E$154:$E$242,$E$13)+SUMIFS($F$15:$F$74,$D$15:$D$74,$D63)*SUMIFS('GWP &amp; Emission Factors '!$F$154:$F$242,'GWP &amp; Emission Factors '!$E$154:$E$242,$F$13)+SUMIFS($G$15:$G$74,$D$15:$D$74,$D63)*SUMIFS('GWP &amp; Emission Factors '!$F$154:$F$242,'GWP &amp; Emission Factors '!$E$154:$E$242,$G$13)+SUMIFS($H$15:$H$74,$D$15:$D$74,$D63)*SUMIFS('GWP &amp; Emission Factors '!$F$154:$F$242,'GWP &amp; Emission Factors '!$E$154:$E$242,$H$13)+SUMIFS($I$15:$I$74,$D$15:$D$74,$D63)*SUMIFS('GWP &amp; Emission Factors '!$F$154:$F$242,'GWP &amp; Emission Factors '!$E$154:$E$242,$I$13)+SUMIFS($J$15:$J$74,$D$15:$D$74,$D63)*SUMIFS('GWP &amp; Emission Factors '!$F$154:$F$242,'GWP &amp; Emission Factors '!$E$154:$E$242,$J$13))/1000</f>
        <v>0</v>
      </c>
    </row>
    <row r="64" spans="4:11" x14ac:dyDescent="0.25">
      <c r="D64" s="461" t="str">
        <f>'Project Emission Distribution'!D74</f>
        <v>AN50</v>
      </c>
      <c r="E64" s="466"/>
      <c r="F64" s="466"/>
      <c r="G64" s="466"/>
      <c r="H64" s="466"/>
      <c r="I64" s="466"/>
      <c r="J64" s="466"/>
      <c r="K64" s="573">
        <f>(SUMIFS($E$15:$E$74,$D$15:$D$74,$D64)*SUMIFS('GWP &amp; Emission Factors '!$F$154:$F$242,'GWP &amp; Emission Factors '!$E$154:$E$242,$E$13)+SUMIFS($F$15:$F$74,$D$15:$D$74,$D64)*SUMIFS('GWP &amp; Emission Factors '!$F$154:$F$242,'GWP &amp; Emission Factors '!$E$154:$E$242,$F$13)+SUMIFS($G$15:$G$74,$D$15:$D$74,$D64)*SUMIFS('GWP &amp; Emission Factors '!$F$154:$F$242,'GWP &amp; Emission Factors '!$E$154:$E$242,$G$13)+SUMIFS($H$15:$H$74,$D$15:$D$74,$D64)*SUMIFS('GWP &amp; Emission Factors '!$F$154:$F$242,'GWP &amp; Emission Factors '!$E$154:$E$242,$H$13)+SUMIFS($I$15:$I$74,$D$15:$D$74,$D64)*SUMIFS('GWP &amp; Emission Factors '!$F$154:$F$242,'GWP &amp; Emission Factors '!$E$154:$E$242,$I$13)+SUMIFS($J$15:$J$74,$D$15:$D$74,$D64)*SUMIFS('GWP &amp; Emission Factors '!$F$154:$F$242,'GWP &amp; Emission Factors '!$E$154:$E$242,$J$13))/1000</f>
        <v>0</v>
      </c>
    </row>
    <row r="65" spans="4:14" x14ac:dyDescent="0.25">
      <c r="D65" s="461" t="str">
        <f>'Project Emission Distribution'!D75</f>
        <v>AN51</v>
      </c>
      <c r="E65" s="241"/>
      <c r="F65" s="241"/>
      <c r="G65" s="241"/>
      <c r="H65" s="241"/>
      <c r="I65" s="241"/>
      <c r="J65" s="241"/>
      <c r="K65" s="573">
        <f>(SUMIFS($E$15:$E$74,$D$15:$D$74,$D65)*SUMIFS('GWP &amp; Emission Factors '!$F$154:$F$242,'GWP &amp; Emission Factors '!$E$154:$E$242,$E$13)+SUMIFS($F$15:$F$74,$D$15:$D$74,$D65)*SUMIFS('GWP &amp; Emission Factors '!$F$154:$F$242,'GWP &amp; Emission Factors '!$E$154:$E$242,$F$13)+SUMIFS($G$15:$G$74,$D$15:$D$74,$D65)*SUMIFS('GWP &amp; Emission Factors '!$F$154:$F$242,'GWP &amp; Emission Factors '!$E$154:$E$242,$G$13)+SUMIFS($H$15:$H$74,$D$15:$D$74,$D65)*SUMIFS('GWP &amp; Emission Factors '!$F$154:$F$242,'GWP &amp; Emission Factors '!$E$154:$E$242,$H$13)+SUMIFS($I$15:$I$74,$D$15:$D$74,$D65)*SUMIFS('GWP &amp; Emission Factors '!$F$154:$F$242,'GWP &amp; Emission Factors '!$E$154:$E$242,$I$13)+SUMIFS($J$15:$J$74,$D$15:$D$74,$D65)*SUMIFS('GWP &amp; Emission Factors '!$F$154:$F$242,'GWP &amp; Emission Factors '!$E$154:$E$242,$J$13))/1000</f>
        <v>0</v>
      </c>
    </row>
    <row r="66" spans="4:14" x14ac:dyDescent="0.25">
      <c r="D66" s="461" t="str">
        <f>'Project Emission Distribution'!D76</f>
        <v>AN52</v>
      </c>
      <c r="E66" s="466"/>
      <c r="F66" s="466"/>
      <c r="G66" s="466"/>
      <c r="H66" s="466"/>
      <c r="I66" s="466"/>
      <c r="J66" s="466"/>
      <c r="K66" s="573">
        <f>(SUMIFS($E$15:$E$74,$D$15:$D$74,$D66)*SUMIFS('GWP &amp; Emission Factors '!$F$154:$F$242,'GWP &amp; Emission Factors '!$E$154:$E$242,$E$13)+SUMIFS($F$15:$F$74,$D$15:$D$74,$D66)*SUMIFS('GWP &amp; Emission Factors '!$F$154:$F$242,'GWP &amp; Emission Factors '!$E$154:$E$242,$F$13)+SUMIFS($G$15:$G$74,$D$15:$D$74,$D66)*SUMIFS('GWP &amp; Emission Factors '!$F$154:$F$242,'GWP &amp; Emission Factors '!$E$154:$E$242,$G$13)+SUMIFS($H$15:$H$74,$D$15:$D$74,$D66)*SUMIFS('GWP &amp; Emission Factors '!$F$154:$F$242,'GWP &amp; Emission Factors '!$E$154:$E$242,$H$13)+SUMIFS($I$15:$I$74,$D$15:$D$74,$D66)*SUMIFS('GWP &amp; Emission Factors '!$F$154:$F$242,'GWP &amp; Emission Factors '!$E$154:$E$242,$I$13)+SUMIFS($J$15:$J$74,$D$15:$D$74,$D66)*SUMIFS('GWP &amp; Emission Factors '!$F$154:$F$242,'GWP &amp; Emission Factors '!$E$154:$E$242,$J$13))/1000</f>
        <v>0</v>
      </c>
    </row>
    <row r="67" spans="4:14" x14ac:dyDescent="0.25">
      <c r="D67" s="461" t="str">
        <f>'Project Emission Distribution'!D77</f>
        <v>AN53</v>
      </c>
      <c r="E67" s="241"/>
      <c r="F67" s="241"/>
      <c r="G67" s="241"/>
      <c r="H67" s="241"/>
      <c r="I67" s="241"/>
      <c r="J67" s="241"/>
      <c r="K67" s="573">
        <f>(SUMIFS($E$15:$E$74,$D$15:$D$74,$D67)*SUMIFS('GWP &amp; Emission Factors '!$F$154:$F$242,'GWP &amp; Emission Factors '!$E$154:$E$242,$E$13)+SUMIFS($F$15:$F$74,$D$15:$D$74,$D67)*SUMIFS('GWP &amp; Emission Factors '!$F$154:$F$242,'GWP &amp; Emission Factors '!$E$154:$E$242,$F$13)+SUMIFS($G$15:$G$74,$D$15:$D$74,$D67)*SUMIFS('GWP &amp; Emission Factors '!$F$154:$F$242,'GWP &amp; Emission Factors '!$E$154:$E$242,$G$13)+SUMIFS($H$15:$H$74,$D$15:$D$74,$D67)*SUMIFS('GWP &amp; Emission Factors '!$F$154:$F$242,'GWP &amp; Emission Factors '!$E$154:$E$242,$H$13)+SUMIFS($I$15:$I$74,$D$15:$D$74,$D67)*SUMIFS('GWP &amp; Emission Factors '!$F$154:$F$242,'GWP &amp; Emission Factors '!$E$154:$E$242,$I$13)+SUMIFS($J$15:$J$74,$D$15:$D$74,$D67)*SUMIFS('GWP &amp; Emission Factors '!$F$154:$F$242,'GWP &amp; Emission Factors '!$E$154:$E$242,$J$13))/1000</f>
        <v>0</v>
      </c>
    </row>
    <row r="68" spans="4:14" x14ac:dyDescent="0.25">
      <c r="D68" s="461" t="str">
        <f>'Project Emission Distribution'!D78</f>
        <v>AN54</v>
      </c>
      <c r="E68" s="466"/>
      <c r="F68" s="466"/>
      <c r="G68" s="466"/>
      <c r="H68" s="466"/>
      <c r="I68" s="466"/>
      <c r="J68" s="466"/>
      <c r="K68" s="573">
        <f>(SUMIFS($E$15:$E$74,$D$15:$D$74,$D68)*SUMIFS('GWP &amp; Emission Factors '!$F$154:$F$242,'GWP &amp; Emission Factors '!$E$154:$E$242,$E$13)+SUMIFS($F$15:$F$74,$D$15:$D$74,$D68)*SUMIFS('GWP &amp; Emission Factors '!$F$154:$F$242,'GWP &amp; Emission Factors '!$E$154:$E$242,$F$13)+SUMIFS($G$15:$G$74,$D$15:$D$74,$D68)*SUMIFS('GWP &amp; Emission Factors '!$F$154:$F$242,'GWP &amp; Emission Factors '!$E$154:$E$242,$G$13)+SUMIFS($H$15:$H$74,$D$15:$D$74,$D68)*SUMIFS('GWP &amp; Emission Factors '!$F$154:$F$242,'GWP &amp; Emission Factors '!$E$154:$E$242,$H$13)+SUMIFS($I$15:$I$74,$D$15:$D$74,$D68)*SUMIFS('GWP &amp; Emission Factors '!$F$154:$F$242,'GWP &amp; Emission Factors '!$E$154:$E$242,$I$13)+SUMIFS($J$15:$J$74,$D$15:$D$74,$D68)*SUMIFS('GWP &amp; Emission Factors '!$F$154:$F$242,'GWP &amp; Emission Factors '!$E$154:$E$242,$J$13))/1000</f>
        <v>0</v>
      </c>
    </row>
    <row r="69" spans="4:14" x14ac:dyDescent="0.25">
      <c r="D69" s="461" t="str">
        <f>'Project Emission Distribution'!D79</f>
        <v>AN55</v>
      </c>
      <c r="E69" s="241"/>
      <c r="F69" s="241"/>
      <c r="G69" s="241"/>
      <c r="H69" s="241"/>
      <c r="I69" s="241"/>
      <c r="J69" s="241"/>
      <c r="K69" s="573">
        <f>(SUMIFS($E$15:$E$74,$D$15:$D$74,$D69)*SUMIFS('GWP &amp; Emission Factors '!$F$154:$F$242,'GWP &amp; Emission Factors '!$E$154:$E$242,$E$13)+SUMIFS($F$15:$F$74,$D$15:$D$74,$D69)*SUMIFS('GWP &amp; Emission Factors '!$F$154:$F$242,'GWP &amp; Emission Factors '!$E$154:$E$242,$F$13)+SUMIFS($G$15:$G$74,$D$15:$D$74,$D69)*SUMIFS('GWP &amp; Emission Factors '!$F$154:$F$242,'GWP &amp; Emission Factors '!$E$154:$E$242,$G$13)+SUMIFS($H$15:$H$74,$D$15:$D$74,$D69)*SUMIFS('GWP &amp; Emission Factors '!$F$154:$F$242,'GWP &amp; Emission Factors '!$E$154:$E$242,$H$13)+SUMIFS($I$15:$I$74,$D$15:$D$74,$D69)*SUMIFS('GWP &amp; Emission Factors '!$F$154:$F$242,'GWP &amp; Emission Factors '!$E$154:$E$242,$I$13)+SUMIFS($J$15:$J$74,$D$15:$D$74,$D69)*SUMIFS('GWP &amp; Emission Factors '!$F$154:$F$242,'GWP &amp; Emission Factors '!$E$154:$E$242,$J$13))/1000</f>
        <v>0</v>
      </c>
    </row>
    <row r="70" spans="4:14" x14ac:dyDescent="0.25">
      <c r="D70" s="461" t="str">
        <f>'Project Emission Distribution'!D80</f>
        <v>AN56</v>
      </c>
      <c r="E70" s="466"/>
      <c r="F70" s="466"/>
      <c r="G70" s="466"/>
      <c r="H70" s="466"/>
      <c r="I70" s="466"/>
      <c r="J70" s="466"/>
      <c r="K70" s="573">
        <f>(SUMIFS($E$15:$E$74,$D$15:$D$74,$D70)*SUMIFS('GWP &amp; Emission Factors '!$F$154:$F$242,'GWP &amp; Emission Factors '!$E$154:$E$242,$E$13)+SUMIFS($F$15:$F$74,$D$15:$D$74,$D70)*SUMIFS('GWP &amp; Emission Factors '!$F$154:$F$242,'GWP &amp; Emission Factors '!$E$154:$E$242,$F$13)+SUMIFS($G$15:$G$74,$D$15:$D$74,$D70)*SUMIFS('GWP &amp; Emission Factors '!$F$154:$F$242,'GWP &amp; Emission Factors '!$E$154:$E$242,$G$13)+SUMIFS($H$15:$H$74,$D$15:$D$74,$D70)*SUMIFS('GWP &amp; Emission Factors '!$F$154:$F$242,'GWP &amp; Emission Factors '!$E$154:$E$242,$H$13)+SUMIFS($I$15:$I$74,$D$15:$D$74,$D70)*SUMIFS('GWP &amp; Emission Factors '!$F$154:$F$242,'GWP &amp; Emission Factors '!$E$154:$E$242,$I$13)+SUMIFS($J$15:$J$74,$D$15:$D$74,$D70)*SUMIFS('GWP &amp; Emission Factors '!$F$154:$F$242,'GWP &amp; Emission Factors '!$E$154:$E$242,$J$13))/1000</f>
        <v>0</v>
      </c>
    </row>
    <row r="71" spans="4:14" x14ac:dyDescent="0.25">
      <c r="D71" s="461" t="str">
        <f>'Project Emission Distribution'!D81</f>
        <v>AN57</v>
      </c>
      <c r="E71" s="241"/>
      <c r="F71" s="241"/>
      <c r="G71" s="241"/>
      <c r="H71" s="241"/>
      <c r="I71" s="241"/>
      <c r="J71" s="241"/>
      <c r="K71" s="573">
        <f>(SUMIFS($E$15:$E$74,$D$15:$D$74,$D71)*SUMIFS('GWP &amp; Emission Factors '!$F$154:$F$242,'GWP &amp; Emission Factors '!$E$154:$E$242,$E$13)+SUMIFS($F$15:$F$74,$D$15:$D$74,$D71)*SUMIFS('GWP &amp; Emission Factors '!$F$154:$F$242,'GWP &amp; Emission Factors '!$E$154:$E$242,$F$13)+SUMIFS($G$15:$G$74,$D$15:$D$74,$D71)*SUMIFS('GWP &amp; Emission Factors '!$F$154:$F$242,'GWP &amp; Emission Factors '!$E$154:$E$242,$G$13)+SUMIFS($H$15:$H$74,$D$15:$D$74,$D71)*SUMIFS('GWP &amp; Emission Factors '!$F$154:$F$242,'GWP &amp; Emission Factors '!$E$154:$E$242,$H$13)+SUMIFS($I$15:$I$74,$D$15:$D$74,$D71)*SUMIFS('GWP &amp; Emission Factors '!$F$154:$F$242,'GWP &amp; Emission Factors '!$E$154:$E$242,$I$13)+SUMIFS($J$15:$J$74,$D$15:$D$74,$D71)*SUMIFS('GWP &amp; Emission Factors '!$F$154:$F$242,'GWP &amp; Emission Factors '!$E$154:$E$242,$J$13))/1000</f>
        <v>0</v>
      </c>
    </row>
    <row r="72" spans="4:14" x14ac:dyDescent="0.25">
      <c r="D72" s="461" t="str">
        <f>'Project Emission Distribution'!D82</f>
        <v>AN58</v>
      </c>
      <c r="E72" s="466"/>
      <c r="F72" s="466"/>
      <c r="G72" s="466"/>
      <c r="H72" s="466"/>
      <c r="I72" s="466"/>
      <c r="J72" s="466"/>
      <c r="K72" s="573">
        <f>(SUMIFS($E$15:$E$74,$D$15:$D$74,$D72)*SUMIFS('GWP &amp; Emission Factors '!$F$154:$F$242,'GWP &amp; Emission Factors '!$E$154:$E$242,$E$13)+SUMIFS($F$15:$F$74,$D$15:$D$74,$D72)*SUMIFS('GWP &amp; Emission Factors '!$F$154:$F$242,'GWP &amp; Emission Factors '!$E$154:$E$242,$F$13)+SUMIFS($G$15:$G$74,$D$15:$D$74,$D72)*SUMIFS('GWP &amp; Emission Factors '!$F$154:$F$242,'GWP &amp; Emission Factors '!$E$154:$E$242,$G$13)+SUMIFS($H$15:$H$74,$D$15:$D$74,$D72)*SUMIFS('GWP &amp; Emission Factors '!$F$154:$F$242,'GWP &amp; Emission Factors '!$E$154:$E$242,$H$13)+SUMIFS($I$15:$I$74,$D$15:$D$74,$D72)*SUMIFS('GWP &amp; Emission Factors '!$F$154:$F$242,'GWP &amp; Emission Factors '!$E$154:$E$242,$I$13)+SUMIFS($J$15:$J$74,$D$15:$D$74,$D72)*SUMIFS('GWP &amp; Emission Factors '!$F$154:$F$242,'GWP &amp; Emission Factors '!$E$154:$E$242,$J$13))/1000</f>
        <v>0</v>
      </c>
    </row>
    <row r="73" spans="4:14" x14ac:dyDescent="0.25">
      <c r="D73" s="461" t="str">
        <f>'Project Emission Distribution'!D83</f>
        <v>AN59</v>
      </c>
      <c r="E73" s="241"/>
      <c r="F73" s="241"/>
      <c r="G73" s="241"/>
      <c r="H73" s="241"/>
      <c r="I73" s="241"/>
      <c r="J73" s="241"/>
      <c r="K73" s="573">
        <f>(SUMIFS($E$15:$E$74,$D$15:$D$74,$D73)*SUMIFS('GWP &amp; Emission Factors '!$F$154:$F$242,'GWP &amp; Emission Factors '!$E$154:$E$242,$E$13)+SUMIFS($F$15:$F$74,$D$15:$D$74,$D73)*SUMIFS('GWP &amp; Emission Factors '!$F$154:$F$242,'GWP &amp; Emission Factors '!$E$154:$E$242,$F$13)+SUMIFS($G$15:$G$74,$D$15:$D$74,$D73)*SUMIFS('GWP &amp; Emission Factors '!$F$154:$F$242,'GWP &amp; Emission Factors '!$E$154:$E$242,$G$13)+SUMIFS($H$15:$H$74,$D$15:$D$74,$D73)*SUMIFS('GWP &amp; Emission Factors '!$F$154:$F$242,'GWP &amp; Emission Factors '!$E$154:$E$242,$H$13)+SUMIFS($I$15:$I$74,$D$15:$D$74,$D73)*SUMIFS('GWP &amp; Emission Factors '!$F$154:$F$242,'GWP &amp; Emission Factors '!$E$154:$E$242,$I$13)+SUMIFS($J$15:$J$74,$D$15:$D$74,$D73)*SUMIFS('GWP &amp; Emission Factors '!$F$154:$F$242,'GWP &amp; Emission Factors '!$E$154:$E$242,$J$13))/1000</f>
        <v>0</v>
      </c>
    </row>
    <row r="74" spans="4:14" x14ac:dyDescent="0.25">
      <c r="D74" s="461" t="str">
        <f>'Project Emission Distribution'!D84</f>
        <v>AN60</v>
      </c>
      <c r="E74" s="466"/>
      <c r="F74" s="466"/>
      <c r="G74" s="466"/>
      <c r="H74" s="466"/>
      <c r="I74" s="466"/>
      <c r="J74" s="466"/>
      <c r="K74" s="573">
        <f>(SUMIFS($E$15:$E$74,$D$15:$D$74,$D74)*SUMIFS('GWP &amp; Emission Factors '!$F$154:$F$242,'GWP &amp; Emission Factors '!$E$154:$E$242,$E$13)+SUMIFS($F$15:$F$74,$D$15:$D$74,$D74)*SUMIFS('GWP &amp; Emission Factors '!$F$154:$F$242,'GWP &amp; Emission Factors '!$E$154:$E$242,$F$13)+SUMIFS($G$15:$G$74,$D$15:$D$74,$D74)*SUMIFS('GWP &amp; Emission Factors '!$F$154:$F$242,'GWP &amp; Emission Factors '!$E$154:$E$242,$G$13)+SUMIFS($H$15:$H$74,$D$15:$D$74,$D74)*SUMIFS('GWP &amp; Emission Factors '!$F$154:$F$242,'GWP &amp; Emission Factors '!$E$154:$E$242,$H$13)+SUMIFS($I$15:$I$74,$D$15:$D$74,$D74)*SUMIFS('GWP &amp; Emission Factors '!$F$154:$F$242,'GWP &amp; Emission Factors '!$E$154:$E$242,$I$13)+SUMIFS($J$15:$J$74,$D$15:$D$74,$D74)*SUMIFS('GWP &amp; Emission Factors '!$F$154:$F$242,'GWP &amp; Emission Factors '!$E$154:$E$242,$J$13))/1000</f>
        <v>0</v>
      </c>
    </row>
    <row r="75" spans="4:14" x14ac:dyDescent="0.25">
      <c r="D75" s="461" t="s">
        <v>116</v>
      </c>
      <c r="E75" s="567">
        <f>SUM(E15:E74)</f>
        <v>0</v>
      </c>
      <c r="F75" s="567">
        <f t="shared" ref="F75:J75" si="0">SUM(F15:F74)</f>
        <v>0</v>
      </c>
      <c r="G75" s="567">
        <f t="shared" si="0"/>
        <v>0</v>
      </c>
      <c r="H75" s="567">
        <f t="shared" si="0"/>
        <v>0</v>
      </c>
      <c r="I75" s="567">
        <f t="shared" si="0"/>
        <v>0</v>
      </c>
      <c r="J75" s="567">
        <f t="shared" si="0"/>
        <v>0</v>
      </c>
      <c r="K75" s="567"/>
    </row>
    <row r="77" spans="4:14" x14ac:dyDescent="0.25">
      <c r="D77" s="111"/>
      <c r="N77" s="392"/>
    </row>
    <row r="78" spans="4:14" x14ac:dyDescent="0.25">
      <c r="D78" s="111"/>
      <c r="N78" s="392"/>
    </row>
    <row r="79" spans="4:14" x14ac:dyDescent="0.25">
      <c r="D79" s="111"/>
      <c r="E79" s="111"/>
      <c r="N79" s="392"/>
    </row>
    <row r="80" spans="4:14" x14ac:dyDescent="0.25">
      <c r="D80" s="111"/>
      <c r="E80" s="111"/>
      <c r="N80" s="392"/>
    </row>
    <row r="81" spans="4:14" x14ac:dyDescent="0.25">
      <c r="D81" s="111"/>
      <c r="E81" s="111"/>
      <c r="N81" s="392"/>
    </row>
    <row r="82" spans="4:14" hidden="1" x14ac:dyDescent="0.25">
      <c r="D82" s="111"/>
      <c r="E82" s="111"/>
      <c r="N82" s="392"/>
    </row>
    <row r="83" spans="4:14" hidden="1" x14ac:dyDescent="0.25">
      <c r="D83" s="51"/>
      <c r="E83" s="51"/>
      <c r="F83" s="51" t="s">
        <v>439</v>
      </c>
      <c r="N83" s="392"/>
    </row>
    <row r="84" spans="4:14" hidden="1" x14ac:dyDescent="0.25">
      <c r="D84" s="51" t="s">
        <v>438</v>
      </c>
      <c r="E84" s="51"/>
      <c r="F84" s="51">
        <f>1/1000</f>
        <v>1E-3</v>
      </c>
      <c r="N84" s="392"/>
    </row>
    <row r="85" spans="4:14" hidden="1" x14ac:dyDescent="0.25">
      <c r="D85" s="51" t="s">
        <v>442</v>
      </c>
      <c r="E85" s="51"/>
      <c r="F85" s="51">
        <v>1</v>
      </c>
      <c r="N85" s="392"/>
    </row>
    <row r="86" spans="4:14" hidden="1" x14ac:dyDescent="0.25">
      <c r="D86" s="452" t="s">
        <v>441</v>
      </c>
      <c r="E86" s="452"/>
      <c r="F86" s="51">
        <f>12*25.4/1000</f>
        <v>0.30479999999999996</v>
      </c>
      <c r="N86" s="392"/>
    </row>
    <row r="87" spans="4:14" hidden="1" x14ac:dyDescent="0.25">
      <c r="D87" s="51" t="s">
        <v>440</v>
      </c>
      <c r="E87" s="51"/>
      <c r="F87" s="51">
        <f>25.4*1/1000</f>
        <v>2.5399999999999999E-2</v>
      </c>
      <c r="N87" s="392"/>
    </row>
    <row r="88" spans="4:14" x14ac:dyDescent="0.25">
      <c r="D88" s="111"/>
      <c r="E88" s="111"/>
      <c r="N88" s="392"/>
    </row>
    <row r="89" spans="4:14" x14ac:dyDescent="0.25">
      <c r="D89" s="111"/>
      <c r="E89" s="111"/>
      <c r="N89" s="392"/>
    </row>
    <row r="90" spans="4:14" x14ac:dyDescent="0.25">
      <c r="D90" s="111"/>
      <c r="E90" s="111"/>
      <c r="N90" s="392"/>
    </row>
    <row r="91" spans="4:14" x14ac:dyDescent="0.25">
      <c r="D91" s="111"/>
      <c r="E91" s="111"/>
      <c r="N91" s="392"/>
    </row>
    <row r="92" spans="4:14" x14ac:dyDescent="0.25">
      <c r="D92" s="111"/>
      <c r="E92" s="111"/>
      <c r="N92" s="392"/>
    </row>
    <row r="93" spans="4:14" x14ac:dyDescent="0.25">
      <c r="D93" s="111"/>
      <c r="E93" s="111"/>
      <c r="N93" s="392"/>
    </row>
    <row r="94" spans="4:14" x14ac:dyDescent="0.25">
      <c r="D94" s="111"/>
      <c r="E94" s="111"/>
      <c r="N94" s="392"/>
    </row>
    <row r="95" spans="4:14" x14ac:dyDescent="0.25">
      <c r="D95" s="111"/>
      <c r="E95" s="111"/>
      <c r="N95" s="392"/>
    </row>
    <row r="96" spans="4:14" x14ac:dyDescent="0.25">
      <c r="D96" s="111"/>
      <c r="E96" s="111"/>
      <c r="N96" s="392"/>
    </row>
    <row r="97" spans="4:14" x14ac:dyDescent="0.25">
      <c r="D97" s="111"/>
      <c r="E97" s="111"/>
      <c r="N97" s="392"/>
    </row>
    <row r="98" spans="4:14" x14ac:dyDescent="0.25">
      <c r="D98" s="111"/>
      <c r="E98" s="111"/>
      <c r="N98" s="392"/>
    </row>
    <row r="99" spans="4:14" x14ac:dyDescent="0.25">
      <c r="D99" s="111"/>
      <c r="E99" s="111"/>
      <c r="N99" s="392"/>
    </row>
    <row r="100" spans="4:14" x14ac:dyDescent="0.25">
      <c r="D100" s="111"/>
      <c r="E100" s="111"/>
      <c r="N100" s="392"/>
    </row>
    <row r="101" spans="4:14" x14ac:dyDescent="0.25">
      <c r="D101" s="111"/>
      <c r="E101" s="111"/>
      <c r="N101" s="392"/>
    </row>
    <row r="102" spans="4:14" x14ac:dyDescent="0.25">
      <c r="D102" s="111"/>
      <c r="E102" s="111"/>
      <c r="N102" s="392"/>
    </row>
    <row r="103" spans="4:14" x14ac:dyDescent="0.25">
      <c r="D103" s="111"/>
      <c r="E103" s="111"/>
      <c r="N103" s="392"/>
    </row>
    <row r="104" spans="4:14" x14ac:dyDescent="0.25">
      <c r="D104" s="111"/>
      <c r="E104" s="111"/>
      <c r="N104" s="392"/>
    </row>
    <row r="105" spans="4:14" x14ac:dyDescent="0.25">
      <c r="D105" s="111"/>
      <c r="E105" s="111"/>
      <c r="N105" s="392"/>
    </row>
    <row r="106" spans="4:14" x14ac:dyDescent="0.25">
      <c r="D106" s="111"/>
      <c r="E106" s="111"/>
      <c r="N106" s="392"/>
    </row>
    <row r="107" spans="4:14" x14ac:dyDescent="0.25">
      <c r="D107" s="111"/>
      <c r="E107" s="111"/>
      <c r="N107" s="392"/>
    </row>
    <row r="108" spans="4:14" x14ac:dyDescent="0.25">
      <c r="D108" s="111"/>
      <c r="E108" s="111"/>
      <c r="N108" s="392"/>
    </row>
    <row r="109" spans="4:14" x14ac:dyDescent="0.25">
      <c r="D109" s="111"/>
      <c r="E109" s="111"/>
      <c r="N109" s="392"/>
    </row>
    <row r="110" spans="4:14" x14ac:dyDescent="0.25">
      <c r="D110" s="111"/>
      <c r="E110" s="111"/>
      <c r="N110" s="392"/>
    </row>
    <row r="111" spans="4:14" x14ac:dyDescent="0.25">
      <c r="D111" s="111"/>
      <c r="E111" s="111"/>
      <c r="N111" s="392"/>
    </row>
    <row r="112" spans="4:14" x14ac:dyDescent="0.25">
      <c r="D112" s="111"/>
      <c r="E112" s="111"/>
      <c r="N112" s="392"/>
    </row>
    <row r="113" spans="4:14" x14ac:dyDescent="0.25">
      <c r="D113" s="111"/>
      <c r="E113" s="111"/>
      <c r="N113" s="392"/>
    </row>
    <row r="114" spans="4:14" x14ac:dyDescent="0.25">
      <c r="D114" s="111"/>
      <c r="E114" s="111"/>
      <c r="N114" s="392"/>
    </row>
    <row r="115" spans="4:14" x14ac:dyDescent="0.25">
      <c r="D115" s="111"/>
      <c r="E115" s="111"/>
      <c r="N115" s="392"/>
    </row>
    <row r="116" spans="4:14" x14ac:dyDescent="0.25">
      <c r="D116" s="111"/>
      <c r="E116" s="111"/>
      <c r="N116" s="392"/>
    </row>
    <row r="117" spans="4:14" x14ac:dyDescent="0.25">
      <c r="D117" s="111"/>
      <c r="E117" s="111"/>
      <c r="N117" s="392"/>
    </row>
    <row r="118" spans="4:14" x14ac:dyDescent="0.25">
      <c r="D118" s="111"/>
      <c r="E118" s="111"/>
      <c r="N118" s="392"/>
    </row>
    <row r="119" spans="4:14" x14ac:dyDescent="0.25">
      <c r="D119" s="111"/>
      <c r="E119" s="111"/>
      <c r="N119" s="392"/>
    </row>
    <row r="120" spans="4:14" x14ac:dyDescent="0.25">
      <c r="D120" s="111"/>
      <c r="E120" s="111"/>
      <c r="N120" s="392"/>
    </row>
    <row r="121" spans="4:14" x14ac:dyDescent="0.25">
      <c r="D121" s="111"/>
      <c r="E121" s="111"/>
      <c r="N121" s="392"/>
    </row>
    <row r="122" spans="4:14" x14ac:dyDescent="0.25">
      <c r="D122" s="111"/>
      <c r="E122" s="111"/>
      <c r="N122" s="392"/>
    </row>
    <row r="123" spans="4:14" x14ac:dyDescent="0.25">
      <c r="D123" s="111"/>
      <c r="E123" s="111"/>
      <c r="N123" s="392"/>
    </row>
    <row r="124" spans="4:14" x14ac:dyDescent="0.25">
      <c r="D124" s="111"/>
      <c r="E124" s="111"/>
      <c r="N124" s="392"/>
    </row>
    <row r="125" spans="4:14" x14ac:dyDescent="0.25">
      <c r="D125" s="111"/>
      <c r="E125" s="111"/>
      <c r="N125" s="392"/>
    </row>
    <row r="126" spans="4:14" x14ac:dyDescent="0.25">
      <c r="D126" s="111"/>
      <c r="E126" s="111"/>
      <c r="N126" s="392"/>
    </row>
    <row r="127" spans="4:14" x14ac:dyDescent="0.25">
      <c r="D127" s="111"/>
      <c r="E127" s="111"/>
      <c r="N127" s="392"/>
    </row>
    <row r="128" spans="4:14" x14ac:dyDescent="0.25">
      <c r="D128" s="111"/>
      <c r="E128" s="111"/>
      <c r="N128" s="392"/>
    </row>
    <row r="129" spans="4:14" x14ac:dyDescent="0.25">
      <c r="D129" s="111"/>
      <c r="E129" s="111"/>
      <c r="N129" s="392"/>
    </row>
    <row r="130" spans="4:14" x14ac:dyDescent="0.25">
      <c r="D130" s="111"/>
      <c r="E130" s="111"/>
      <c r="N130" s="392"/>
    </row>
    <row r="131" spans="4:14" x14ac:dyDescent="0.25">
      <c r="D131" s="111"/>
      <c r="E131" s="111"/>
      <c r="N131" s="392"/>
    </row>
    <row r="132" spans="4:14" x14ac:dyDescent="0.25">
      <c r="D132" s="111"/>
      <c r="E132" s="111"/>
      <c r="N132" s="392"/>
    </row>
    <row r="133" spans="4:14" x14ac:dyDescent="0.25">
      <c r="D133" s="111"/>
      <c r="E133" s="111"/>
      <c r="N133" s="392"/>
    </row>
    <row r="134" spans="4:14" x14ac:dyDescent="0.25">
      <c r="D134" s="111"/>
      <c r="E134" s="111"/>
      <c r="N134" s="392"/>
    </row>
    <row r="135" spans="4:14" x14ac:dyDescent="0.25">
      <c r="D135" s="111"/>
      <c r="E135" s="111"/>
      <c r="N135" s="392"/>
    </row>
    <row r="136" spans="4:14" x14ac:dyDescent="0.25">
      <c r="D136" s="111"/>
      <c r="E136" s="111"/>
      <c r="N136" s="392"/>
    </row>
    <row r="137" spans="4:14" x14ac:dyDescent="0.25">
      <c r="D137" s="111"/>
      <c r="E137" s="111"/>
      <c r="N137" s="392"/>
    </row>
    <row r="138" spans="4:14" x14ac:dyDescent="0.25">
      <c r="D138" s="111"/>
      <c r="E138" s="111"/>
      <c r="N138" s="392"/>
    </row>
    <row r="139" spans="4:14" x14ac:dyDescent="0.25">
      <c r="D139" s="111"/>
      <c r="E139" s="111"/>
      <c r="N139" s="392"/>
    </row>
    <row r="140" spans="4:14" x14ac:dyDescent="0.25">
      <c r="D140" s="111"/>
      <c r="E140" s="111"/>
      <c r="N140" s="392"/>
    </row>
    <row r="141" spans="4:14" x14ac:dyDescent="0.25">
      <c r="D141" s="111"/>
      <c r="E141" s="111"/>
      <c r="N141" s="392"/>
    </row>
    <row r="142" spans="4:14" x14ac:dyDescent="0.25">
      <c r="D142" s="111"/>
      <c r="E142" s="111"/>
      <c r="N142" s="392"/>
    </row>
    <row r="143" spans="4:14" x14ac:dyDescent="0.25">
      <c r="D143" s="111"/>
      <c r="E143" s="111"/>
      <c r="N143" s="392"/>
    </row>
    <row r="144" spans="4:14" x14ac:dyDescent="0.25">
      <c r="D144" s="111"/>
      <c r="E144" s="111"/>
      <c r="N144" s="392"/>
    </row>
    <row r="145" spans="4:14" x14ac:dyDescent="0.25">
      <c r="D145" s="111"/>
      <c r="E145" s="111"/>
      <c r="N145" s="392"/>
    </row>
    <row r="146" spans="4:14" x14ac:dyDescent="0.25">
      <c r="D146" s="111"/>
      <c r="E146" s="111"/>
      <c r="N146" s="392"/>
    </row>
    <row r="147" spans="4:14" x14ac:dyDescent="0.25">
      <c r="D147" s="111"/>
      <c r="E147" s="111"/>
      <c r="N147" s="392"/>
    </row>
    <row r="148" spans="4:14" x14ac:dyDescent="0.25">
      <c r="D148" s="111"/>
      <c r="E148" s="111"/>
      <c r="N148" s="392"/>
    </row>
    <row r="149" spans="4:14" x14ac:dyDescent="0.25">
      <c r="D149" s="111"/>
      <c r="E149" s="111"/>
      <c r="N149" s="392"/>
    </row>
    <row r="150" spans="4:14" x14ac:dyDescent="0.25">
      <c r="D150" s="111"/>
      <c r="E150" s="111"/>
      <c r="N150" s="392"/>
    </row>
    <row r="151" spans="4:14" x14ac:dyDescent="0.25">
      <c r="D151" s="111"/>
      <c r="E151" s="111"/>
      <c r="N151" s="392"/>
    </row>
    <row r="152" spans="4:14" x14ac:dyDescent="0.25">
      <c r="D152" s="111"/>
      <c r="E152" s="111"/>
      <c r="N152" s="392"/>
    </row>
    <row r="153" spans="4:14" x14ac:dyDescent="0.25">
      <c r="D153" s="111"/>
      <c r="E153" s="111"/>
      <c r="N153" s="392"/>
    </row>
    <row r="154" spans="4:14" x14ac:dyDescent="0.25">
      <c r="D154" s="111"/>
      <c r="E154" s="111"/>
      <c r="N154" s="392"/>
    </row>
    <row r="155" spans="4:14" x14ac:dyDescent="0.25">
      <c r="D155" s="111"/>
      <c r="E155" s="111"/>
      <c r="N155" s="392"/>
    </row>
    <row r="156" spans="4:14" x14ac:dyDescent="0.25">
      <c r="D156" s="111"/>
      <c r="E156" s="111"/>
      <c r="N156" s="392"/>
    </row>
    <row r="157" spans="4:14" x14ac:dyDescent="0.25">
      <c r="D157" s="111"/>
      <c r="E157" s="111"/>
      <c r="N157" s="392"/>
    </row>
    <row r="158" spans="4:14" x14ac:dyDescent="0.25">
      <c r="D158" s="111"/>
      <c r="E158" s="111"/>
      <c r="N158" s="392"/>
    </row>
    <row r="159" spans="4:14" x14ac:dyDescent="0.25">
      <c r="D159" s="111"/>
      <c r="E159" s="111"/>
      <c r="N159" s="392"/>
    </row>
    <row r="160" spans="4:14" x14ac:dyDescent="0.25">
      <c r="D160" s="111"/>
      <c r="E160" s="111"/>
      <c r="N160" s="392"/>
    </row>
    <row r="161" spans="4:14" x14ac:dyDescent="0.25">
      <c r="D161" s="111"/>
      <c r="E161" s="111"/>
      <c r="N161" s="392"/>
    </row>
    <row r="162" spans="4:14" x14ac:dyDescent="0.25">
      <c r="D162" s="111"/>
      <c r="E162" s="111"/>
      <c r="N162" s="392"/>
    </row>
    <row r="163" spans="4:14" x14ac:dyDescent="0.25">
      <c r="D163" s="111"/>
      <c r="E163" s="111"/>
      <c r="N163" s="392"/>
    </row>
    <row r="164" spans="4:14" x14ac:dyDescent="0.25">
      <c r="D164" s="111"/>
      <c r="E164" s="111"/>
      <c r="N164" s="392"/>
    </row>
    <row r="165" spans="4:14" x14ac:dyDescent="0.25">
      <c r="D165" s="111"/>
      <c r="E165" s="111"/>
      <c r="N165" s="392"/>
    </row>
    <row r="166" spans="4:14" x14ac:dyDescent="0.25">
      <c r="D166" s="111"/>
      <c r="E166" s="111"/>
      <c r="N166" s="392"/>
    </row>
    <row r="167" spans="4:14" x14ac:dyDescent="0.25">
      <c r="D167" s="111"/>
      <c r="E167" s="111"/>
      <c r="N167" s="392"/>
    </row>
    <row r="168" spans="4:14" x14ac:dyDescent="0.25">
      <c r="D168" s="111"/>
      <c r="E168" s="111"/>
      <c r="N168" s="392"/>
    </row>
    <row r="169" spans="4:14" x14ac:dyDescent="0.25">
      <c r="D169" s="111"/>
      <c r="E169" s="111"/>
      <c r="N169" s="392"/>
    </row>
    <row r="170" spans="4:14" x14ac:dyDescent="0.25">
      <c r="D170" s="111"/>
      <c r="E170" s="111"/>
      <c r="N170" s="392"/>
    </row>
    <row r="171" spans="4:14" x14ac:dyDescent="0.25">
      <c r="D171" s="111"/>
      <c r="E171" s="111"/>
      <c r="N171" s="392"/>
    </row>
    <row r="172" spans="4:14" x14ac:dyDescent="0.25">
      <c r="D172" s="111"/>
      <c r="E172" s="111"/>
      <c r="N172" s="392"/>
    </row>
    <row r="173" spans="4:14" x14ac:dyDescent="0.25">
      <c r="D173" s="111"/>
      <c r="E173" s="111"/>
      <c r="N173" s="392"/>
    </row>
    <row r="174" spans="4:14" x14ac:dyDescent="0.25">
      <c r="D174" s="111"/>
      <c r="E174" s="111"/>
      <c r="N174" s="392"/>
    </row>
    <row r="175" spans="4:14" x14ac:dyDescent="0.25">
      <c r="D175" s="111"/>
      <c r="E175" s="111"/>
      <c r="N175" s="392"/>
    </row>
    <row r="176" spans="4:14" x14ac:dyDescent="0.25">
      <c r="D176" s="111"/>
      <c r="E176" s="111"/>
      <c r="N176" s="392"/>
    </row>
    <row r="177" spans="4:14" x14ac:dyDescent="0.25">
      <c r="D177" s="111"/>
      <c r="E177" s="111"/>
      <c r="N177" s="392"/>
    </row>
    <row r="178" spans="4:14" x14ac:dyDescent="0.25">
      <c r="D178" s="111"/>
      <c r="E178" s="111"/>
      <c r="N178" s="392"/>
    </row>
    <row r="179" spans="4:14" x14ac:dyDescent="0.25">
      <c r="D179" s="111"/>
      <c r="E179" s="111"/>
      <c r="N179" s="392"/>
    </row>
    <row r="180" spans="4:14" x14ac:dyDescent="0.25">
      <c r="D180" s="111"/>
      <c r="E180" s="111"/>
      <c r="N180" s="392"/>
    </row>
    <row r="181" spans="4:14" x14ac:dyDescent="0.25">
      <c r="D181" s="111"/>
      <c r="E181" s="111"/>
      <c r="N181" s="392"/>
    </row>
    <row r="182" spans="4:14" x14ac:dyDescent="0.25">
      <c r="D182" s="111"/>
      <c r="E182" s="111"/>
      <c r="N182" s="392"/>
    </row>
    <row r="183" spans="4:14" x14ac:dyDescent="0.25">
      <c r="D183" s="111"/>
      <c r="E183" s="111"/>
      <c r="N183" s="392"/>
    </row>
    <row r="184" spans="4:14" x14ac:dyDescent="0.25">
      <c r="D184" s="111"/>
      <c r="E184" s="111"/>
      <c r="N184" s="392"/>
    </row>
    <row r="185" spans="4:14" x14ac:dyDescent="0.25">
      <c r="D185" s="111"/>
      <c r="E185" s="111"/>
      <c r="N185" s="392"/>
    </row>
    <row r="186" spans="4:14" x14ac:dyDescent="0.25">
      <c r="D186" s="111"/>
      <c r="E186" s="111"/>
      <c r="N186" s="392"/>
    </row>
    <row r="187" spans="4:14" x14ac:dyDescent="0.25">
      <c r="D187" s="111"/>
      <c r="E187" s="111"/>
      <c r="N187" s="392"/>
    </row>
    <row r="188" spans="4:14" x14ac:dyDescent="0.25">
      <c r="D188" s="111"/>
      <c r="E188" s="111"/>
      <c r="N188" s="392"/>
    </row>
    <row r="189" spans="4:14" x14ac:dyDescent="0.25">
      <c r="D189" s="111"/>
      <c r="E189" s="111"/>
      <c r="N189" s="392"/>
    </row>
    <row r="190" spans="4:14" x14ac:dyDescent="0.25">
      <c r="D190" s="111"/>
      <c r="E190" s="111"/>
      <c r="N190" s="392"/>
    </row>
    <row r="191" spans="4:14" x14ac:dyDescent="0.25">
      <c r="D191" s="111"/>
      <c r="E191" s="111"/>
      <c r="N191" s="392"/>
    </row>
    <row r="192" spans="4:14" x14ac:dyDescent="0.25">
      <c r="D192" s="111"/>
      <c r="E192" s="111"/>
      <c r="N192" s="392"/>
    </row>
    <row r="193" spans="4:14" x14ac:dyDescent="0.25">
      <c r="D193" s="111"/>
      <c r="E193" s="111"/>
      <c r="N193" s="392"/>
    </row>
    <row r="194" spans="4:14" x14ac:dyDescent="0.25">
      <c r="D194" s="111"/>
      <c r="E194" s="111"/>
      <c r="N194" s="392"/>
    </row>
    <row r="195" spans="4:14" x14ac:dyDescent="0.25">
      <c r="D195" s="111"/>
      <c r="E195" s="111"/>
      <c r="N195" s="392"/>
    </row>
    <row r="196" spans="4:14" x14ac:dyDescent="0.25">
      <c r="D196" s="111"/>
      <c r="E196" s="111"/>
      <c r="N196" s="392"/>
    </row>
    <row r="197" spans="4:14" x14ac:dyDescent="0.25">
      <c r="D197" s="111"/>
      <c r="E197" s="111"/>
      <c r="N197" s="392"/>
    </row>
    <row r="198" spans="4:14" x14ac:dyDescent="0.25">
      <c r="D198" s="111"/>
      <c r="E198" s="111"/>
      <c r="N198" s="392"/>
    </row>
    <row r="199" spans="4:14" x14ac:dyDescent="0.25">
      <c r="D199" s="111"/>
      <c r="E199" s="111"/>
      <c r="N199" s="392"/>
    </row>
    <row r="200" spans="4:14" x14ac:dyDescent="0.25">
      <c r="D200" s="111"/>
      <c r="E200" s="111"/>
      <c r="N200" s="392"/>
    </row>
    <row r="201" spans="4:14" x14ac:dyDescent="0.25">
      <c r="D201" s="111"/>
      <c r="E201" s="111"/>
      <c r="N201" s="392"/>
    </row>
    <row r="202" spans="4:14" x14ac:dyDescent="0.25">
      <c r="D202" s="111"/>
      <c r="E202" s="111"/>
      <c r="N202" s="392"/>
    </row>
    <row r="203" spans="4:14" x14ac:dyDescent="0.25">
      <c r="D203" s="111"/>
      <c r="E203" s="111"/>
      <c r="N203" s="392"/>
    </row>
    <row r="204" spans="4:14" x14ac:dyDescent="0.25">
      <c r="D204" s="111"/>
      <c r="E204" s="111"/>
      <c r="N204" s="392"/>
    </row>
    <row r="205" spans="4:14" x14ac:dyDescent="0.25">
      <c r="D205" s="111"/>
      <c r="E205" s="111"/>
      <c r="N205" s="392"/>
    </row>
    <row r="206" spans="4:14" x14ac:dyDescent="0.25">
      <c r="D206" s="111"/>
      <c r="E206" s="111"/>
      <c r="N206" s="392"/>
    </row>
    <row r="207" spans="4:14" x14ac:dyDescent="0.25">
      <c r="D207" s="111"/>
      <c r="E207" s="111"/>
      <c r="N207" s="392"/>
    </row>
    <row r="208" spans="4:14" x14ac:dyDescent="0.25">
      <c r="D208" s="111"/>
      <c r="E208" s="111"/>
      <c r="N208" s="392"/>
    </row>
    <row r="209" spans="4:14" x14ac:dyDescent="0.25">
      <c r="D209" s="111"/>
      <c r="E209" s="111"/>
      <c r="N209" s="392"/>
    </row>
    <row r="210" spans="4:14" x14ac:dyDescent="0.25">
      <c r="D210" s="111"/>
      <c r="E210" s="111"/>
      <c r="N210" s="392"/>
    </row>
    <row r="211" spans="4:14" x14ac:dyDescent="0.25">
      <c r="D211" s="111"/>
      <c r="E211" s="111"/>
      <c r="N211" s="392"/>
    </row>
    <row r="212" spans="4:14" x14ac:dyDescent="0.25">
      <c r="D212" s="111"/>
      <c r="E212" s="111"/>
      <c r="N212" s="392"/>
    </row>
    <row r="213" spans="4:14" x14ac:dyDescent="0.25">
      <c r="D213" s="111"/>
      <c r="E213" s="111"/>
      <c r="N213" s="392"/>
    </row>
    <row r="214" spans="4:14" x14ac:dyDescent="0.25">
      <c r="D214" s="111"/>
      <c r="E214" s="111"/>
      <c r="N214" s="392"/>
    </row>
    <row r="215" spans="4:14" x14ac:dyDescent="0.25">
      <c r="D215" s="111"/>
      <c r="E215" s="111"/>
      <c r="N215" s="392"/>
    </row>
    <row r="216" spans="4:14" x14ac:dyDescent="0.25">
      <c r="D216" s="111"/>
      <c r="E216" s="111"/>
      <c r="N216" s="392"/>
    </row>
    <row r="217" spans="4:14" x14ac:dyDescent="0.25">
      <c r="D217" s="111"/>
      <c r="E217" s="111"/>
      <c r="N217" s="392"/>
    </row>
    <row r="218" spans="4:14" x14ac:dyDescent="0.25">
      <c r="D218" s="111"/>
      <c r="E218" s="111"/>
      <c r="N218" s="392"/>
    </row>
    <row r="219" spans="4:14" x14ac:dyDescent="0.25">
      <c r="D219" s="111"/>
      <c r="E219" s="111"/>
      <c r="N219" s="392"/>
    </row>
    <row r="220" spans="4:14" x14ac:dyDescent="0.25">
      <c r="D220" s="111"/>
      <c r="E220" s="111"/>
      <c r="N220" s="392"/>
    </row>
    <row r="221" spans="4:14" x14ac:dyDescent="0.25">
      <c r="D221" s="111"/>
      <c r="E221" s="111"/>
      <c r="N221" s="392"/>
    </row>
    <row r="222" spans="4:14" x14ac:dyDescent="0.25">
      <c r="D222" s="111"/>
      <c r="E222" s="111"/>
      <c r="N222" s="392"/>
    </row>
    <row r="223" spans="4:14" x14ac:dyDescent="0.25">
      <c r="D223" s="111"/>
      <c r="E223" s="111"/>
      <c r="N223" s="392"/>
    </row>
    <row r="224" spans="4:14" x14ac:dyDescent="0.25">
      <c r="D224" s="111"/>
      <c r="E224" s="111"/>
      <c r="N224" s="392"/>
    </row>
    <row r="225" spans="4:14" x14ac:dyDescent="0.25">
      <c r="D225" s="111"/>
      <c r="E225" s="111"/>
      <c r="N225" s="392"/>
    </row>
    <row r="226" spans="4:14" x14ac:dyDescent="0.25">
      <c r="D226" s="111"/>
      <c r="E226" s="111"/>
      <c r="N226" s="392"/>
    </row>
    <row r="227" spans="4:14" x14ac:dyDescent="0.25">
      <c r="D227" s="111"/>
      <c r="E227" s="111"/>
      <c r="N227" s="392"/>
    </row>
    <row r="228" spans="4:14" x14ac:dyDescent="0.25">
      <c r="D228" s="111"/>
      <c r="E228" s="111"/>
      <c r="N228" s="392"/>
    </row>
    <row r="229" spans="4:14" x14ac:dyDescent="0.25">
      <c r="D229" s="111"/>
      <c r="E229" s="111"/>
      <c r="N229" s="392"/>
    </row>
    <row r="230" spans="4:14" x14ac:dyDescent="0.25">
      <c r="D230" s="111"/>
      <c r="E230" s="111"/>
      <c r="N230" s="392"/>
    </row>
    <row r="231" spans="4:14" x14ac:dyDescent="0.25">
      <c r="D231" s="111"/>
      <c r="E231" s="111"/>
      <c r="N231" s="392"/>
    </row>
    <row r="232" spans="4:14" x14ac:dyDescent="0.25">
      <c r="D232" s="111"/>
      <c r="E232" s="111"/>
      <c r="N232" s="392"/>
    </row>
    <row r="233" spans="4:14" x14ac:dyDescent="0.25">
      <c r="D233" s="111"/>
      <c r="E233" s="111"/>
      <c r="N233" s="392"/>
    </row>
    <row r="234" spans="4:14" x14ac:dyDescent="0.25">
      <c r="D234" s="111"/>
      <c r="E234" s="111"/>
      <c r="N234" s="392"/>
    </row>
    <row r="235" spans="4:14" x14ac:dyDescent="0.25">
      <c r="D235" s="111"/>
      <c r="E235" s="111"/>
      <c r="N235" s="392"/>
    </row>
    <row r="236" spans="4:14" x14ac:dyDescent="0.25">
      <c r="D236" s="111"/>
      <c r="E236" s="111"/>
      <c r="N236" s="392"/>
    </row>
    <row r="237" spans="4:14" x14ac:dyDescent="0.25">
      <c r="D237" s="111"/>
      <c r="E237" s="111"/>
      <c r="N237" s="392"/>
    </row>
    <row r="238" spans="4:14" x14ac:dyDescent="0.25">
      <c r="D238" s="111"/>
      <c r="E238" s="111"/>
      <c r="N238" s="392"/>
    </row>
    <row r="239" spans="4:14" x14ac:dyDescent="0.25">
      <c r="D239" s="111"/>
      <c r="E239" s="111"/>
      <c r="N239" s="392"/>
    </row>
    <row r="240" spans="4:14" x14ac:dyDescent="0.25">
      <c r="D240" s="111"/>
      <c r="E240" s="111"/>
      <c r="N240" s="392"/>
    </row>
    <row r="241" spans="4:14" x14ac:dyDescent="0.25">
      <c r="D241" s="111"/>
      <c r="E241" s="111"/>
      <c r="N241" s="392"/>
    </row>
    <row r="242" spans="4:14" x14ac:dyDescent="0.25">
      <c r="D242" s="111"/>
      <c r="E242" s="111"/>
      <c r="N242" s="392"/>
    </row>
    <row r="243" spans="4:14" x14ac:dyDescent="0.25">
      <c r="D243" s="111"/>
      <c r="E243" s="111"/>
      <c r="N243" s="392"/>
    </row>
    <row r="244" spans="4:14" x14ac:dyDescent="0.25">
      <c r="D244" s="111"/>
      <c r="E244" s="111"/>
      <c r="N244" s="392"/>
    </row>
    <row r="245" spans="4:14" x14ac:dyDescent="0.25">
      <c r="D245" s="111"/>
      <c r="E245" s="111"/>
      <c r="N245" s="392"/>
    </row>
    <row r="246" spans="4:14" x14ac:dyDescent="0.25">
      <c r="D246" s="111"/>
      <c r="E246" s="111"/>
      <c r="N246" s="392"/>
    </row>
    <row r="247" spans="4:14" x14ac:dyDescent="0.25">
      <c r="D247" s="111"/>
      <c r="E247" s="111"/>
      <c r="N247" s="392"/>
    </row>
    <row r="248" spans="4:14" x14ac:dyDescent="0.25">
      <c r="D248" s="111"/>
      <c r="E248" s="111"/>
      <c r="N248" s="392"/>
    </row>
    <row r="249" spans="4:14" x14ac:dyDescent="0.25">
      <c r="D249" s="111"/>
      <c r="E249" s="111"/>
      <c r="N249" s="392"/>
    </row>
    <row r="250" spans="4:14" x14ac:dyDescent="0.25">
      <c r="D250" s="111"/>
      <c r="E250" s="111"/>
      <c r="N250" s="392"/>
    </row>
    <row r="251" spans="4:14" x14ac:dyDescent="0.25">
      <c r="D251" s="111"/>
      <c r="E251" s="111"/>
      <c r="N251" s="392"/>
    </row>
    <row r="252" spans="4:14" x14ac:dyDescent="0.25">
      <c r="D252" s="111"/>
      <c r="E252" s="111"/>
      <c r="N252" s="392"/>
    </row>
    <row r="253" spans="4:14" x14ac:dyDescent="0.25">
      <c r="D253" s="111"/>
      <c r="E253" s="111"/>
      <c r="N253" s="392"/>
    </row>
    <row r="254" spans="4:14" x14ac:dyDescent="0.25">
      <c r="D254" s="111"/>
      <c r="E254" s="111"/>
      <c r="N254" s="392"/>
    </row>
    <row r="255" spans="4:14" x14ac:dyDescent="0.25">
      <c r="D255" s="111"/>
      <c r="E255" s="111"/>
      <c r="N255" s="392"/>
    </row>
    <row r="256" spans="4:14" x14ac:dyDescent="0.25">
      <c r="D256" s="111"/>
      <c r="E256" s="111"/>
      <c r="N256" s="392"/>
    </row>
    <row r="257" spans="4:14" x14ac:dyDescent="0.25">
      <c r="D257" s="111"/>
      <c r="E257" s="111"/>
      <c r="N257" s="392"/>
    </row>
    <row r="258" spans="4:14" x14ac:dyDescent="0.25">
      <c r="D258" s="111"/>
      <c r="E258" s="111"/>
      <c r="N258" s="392"/>
    </row>
    <row r="259" spans="4:14" x14ac:dyDescent="0.25">
      <c r="D259" s="111"/>
      <c r="E259" s="111"/>
      <c r="N259" s="392"/>
    </row>
    <row r="260" spans="4:14" x14ac:dyDescent="0.25">
      <c r="D260" s="111"/>
      <c r="E260" s="111"/>
      <c r="N260" s="392"/>
    </row>
    <row r="261" spans="4:14" x14ac:dyDescent="0.25">
      <c r="D261" s="111"/>
      <c r="E261" s="111"/>
      <c r="N261" s="392"/>
    </row>
    <row r="262" spans="4:14" x14ac:dyDescent="0.25">
      <c r="D262" s="111"/>
      <c r="E262" s="111"/>
      <c r="N262" s="392"/>
    </row>
    <row r="263" spans="4:14" x14ac:dyDescent="0.25">
      <c r="D263" s="111"/>
      <c r="E263" s="111"/>
      <c r="N263" s="392"/>
    </row>
    <row r="264" spans="4:14" x14ac:dyDescent="0.25">
      <c r="D264" s="111"/>
      <c r="E264" s="111"/>
      <c r="N264" s="392"/>
    </row>
    <row r="265" spans="4:14" x14ac:dyDescent="0.25">
      <c r="D265" s="111"/>
      <c r="E265" s="111"/>
      <c r="N265" s="392"/>
    </row>
    <row r="266" spans="4:14" x14ac:dyDescent="0.25">
      <c r="D266" s="111"/>
      <c r="E266" s="111"/>
      <c r="N266" s="392"/>
    </row>
    <row r="267" spans="4:14" x14ac:dyDescent="0.25">
      <c r="D267" s="111"/>
      <c r="E267" s="111"/>
      <c r="N267" s="392"/>
    </row>
    <row r="268" spans="4:14" x14ac:dyDescent="0.25">
      <c r="D268" s="111"/>
      <c r="E268" s="111"/>
      <c r="N268" s="392"/>
    </row>
    <row r="269" spans="4:14" x14ac:dyDescent="0.25">
      <c r="D269" s="111"/>
      <c r="E269" s="111"/>
      <c r="N269" s="392"/>
    </row>
    <row r="270" spans="4:14" x14ac:dyDescent="0.25">
      <c r="D270" s="111"/>
      <c r="E270" s="111"/>
      <c r="N270" s="392"/>
    </row>
    <row r="271" spans="4:14" x14ac:dyDescent="0.25">
      <c r="D271" s="111"/>
      <c r="E271" s="111"/>
      <c r="N271" s="392"/>
    </row>
    <row r="272" spans="4:14" x14ac:dyDescent="0.25">
      <c r="D272" s="111"/>
      <c r="E272" s="111"/>
      <c r="N272" s="392"/>
    </row>
    <row r="273" spans="4:14" x14ac:dyDescent="0.25">
      <c r="D273" s="111"/>
      <c r="E273" s="111"/>
      <c r="N273" s="392"/>
    </row>
    <row r="274" spans="4:14" x14ac:dyDescent="0.25">
      <c r="D274" s="111"/>
      <c r="E274" s="111"/>
      <c r="N274" s="392"/>
    </row>
    <row r="275" spans="4:14" x14ac:dyDescent="0.25">
      <c r="D275" s="111"/>
      <c r="E275" s="111"/>
      <c r="N275" s="392"/>
    </row>
    <row r="276" spans="4:14" x14ac:dyDescent="0.25">
      <c r="D276" s="111"/>
      <c r="E276" s="111"/>
      <c r="N276" s="392"/>
    </row>
    <row r="277" spans="4:14" x14ac:dyDescent="0.25">
      <c r="D277" s="111"/>
      <c r="E277" s="111"/>
      <c r="N277" s="392"/>
    </row>
    <row r="278" spans="4:14" x14ac:dyDescent="0.25">
      <c r="D278" s="111"/>
      <c r="E278" s="111"/>
      <c r="N278" s="392"/>
    </row>
    <row r="279" spans="4:14" x14ac:dyDescent="0.25">
      <c r="D279" s="111"/>
      <c r="E279" s="111"/>
      <c r="N279" s="392"/>
    </row>
    <row r="280" spans="4:14" x14ac:dyDescent="0.25">
      <c r="D280" s="111"/>
      <c r="E280" s="111"/>
      <c r="N280" s="392"/>
    </row>
    <row r="281" spans="4:14" x14ac:dyDescent="0.25">
      <c r="D281" s="111"/>
      <c r="E281" s="111"/>
      <c r="N281" s="392"/>
    </row>
    <row r="282" spans="4:14" x14ac:dyDescent="0.25">
      <c r="D282" s="111"/>
      <c r="E282" s="111"/>
      <c r="N282" s="392"/>
    </row>
    <row r="283" spans="4:14" x14ac:dyDescent="0.25">
      <c r="D283" s="111"/>
      <c r="E283" s="111"/>
      <c r="N283" s="392"/>
    </row>
    <row r="284" spans="4:14" x14ac:dyDescent="0.25">
      <c r="D284" s="111"/>
      <c r="E284" s="111"/>
      <c r="N284" s="392"/>
    </row>
    <row r="285" spans="4:14" x14ac:dyDescent="0.25">
      <c r="D285" s="111"/>
      <c r="E285" s="111"/>
      <c r="N285" s="392"/>
    </row>
    <row r="286" spans="4:14" x14ac:dyDescent="0.25">
      <c r="D286" s="111"/>
      <c r="E286" s="111"/>
      <c r="N286" s="392"/>
    </row>
    <row r="287" spans="4:14" x14ac:dyDescent="0.25">
      <c r="D287" s="111"/>
      <c r="E287" s="111"/>
      <c r="N287" s="392"/>
    </row>
    <row r="288" spans="4:14" x14ac:dyDescent="0.25">
      <c r="D288" s="111"/>
      <c r="E288" s="111"/>
      <c r="N288" s="392"/>
    </row>
    <row r="289" spans="4:14" x14ac:dyDescent="0.25">
      <c r="D289" s="111"/>
      <c r="E289" s="111"/>
      <c r="N289" s="392"/>
    </row>
    <row r="290" spans="4:14" x14ac:dyDescent="0.25">
      <c r="D290" s="111"/>
      <c r="E290" s="111"/>
      <c r="N290" s="392"/>
    </row>
    <row r="291" spans="4:14" x14ac:dyDescent="0.25">
      <c r="D291" s="111"/>
      <c r="E291" s="111"/>
      <c r="N291" s="392"/>
    </row>
    <row r="292" spans="4:14" x14ac:dyDescent="0.25">
      <c r="D292" s="111"/>
      <c r="E292" s="111"/>
      <c r="N292" s="392"/>
    </row>
    <row r="293" spans="4:14" x14ac:dyDescent="0.25">
      <c r="D293" s="111"/>
      <c r="E293" s="111"/>
      <c r="N293" s="392"/>
    </row>
    <row r="294" spans="4:14" x14ac:dyDescent="0.25">
      <c r="D294" s="111"/>
      <c r="E294" s="111"/>
      <c r="N294" s="392"/>
    </row>
    <row r="295" spans="4:14" x14ac:dyDescent="0.25">
      <c r="D295" s="111"/>
      <c r="E295" s="111"/>
      <c r="N295" s="392"/>
    </row>
    <row r="296" spans="4:14" x14ac:dyDescent="0.25">
      <c r="D296" s="111"/>
      <c r="E296" s="111"/>
      <c r="N296" s="392"/>
    </row>
    <row r="297" spans="4:14" x14ac:dyDescent="0.25">
      <c r="D297" s="111"/>
      <c r="E297" s="111"/>
      <c r="N297" s="392"/>
    </row>
    <row r="298" spans="4:14" x14ac:dyDescent="0.25">
      <c r="D298" s="111"/>
      <c r="E298" s="111"/>
      <c r="N298" s="392"/>
    </row>
    <row r="299" spans="4:14" x14ac:dyDescent="0.25">
      <c r="D299" s="111"/>
      <c r="E299" s="111"/>
      <c r="N299" s="392"/>
    </row>
    <row r="300" spans="4:14" x14ac:dyDescent="0.25">
      <c r="D300" s="111"/>
      <c r="E300" s="111"/>
      <c r="N300" s="392"/>
    </row>
    <row r="301" spans="4:14" x14ac:dyDescent="0.25">
      <c r="D301" s="111"/>
      <c r="E301" s="111"/>
      <c r="N301" s="392"/>
    </row>
    <row r="302" spans="4:14" x14ac:dyDescent="0.25">
      <c r="D302" s="111"/>
      <c r="E302" s="111"/>
      <c r="N302" s="392"/>
    </row>
    <row r="303" spans="4:14" x14ac:dyDescent="0.25">
      <c r="D303" s="111"/>
      <c r="E303" s="111"/>
      <c r="N303" s="392"/>
    </row>
    <row r="304" spans="4:14" x14ac:dyDescent="0.25">
      <c r="D304" s="111"/>
      <c r="E304" s="111"/>
      <c r="N304" s="392"/>
    </row>
    <row r="305" spans="4:14" x14ac:dyDescent="0.25">
      <c r="D305" s="111"/>
      <c r="E305" s="111"/>
      <c r="N305" s="392"/>
    </row>
    <row r="306" spans="4:14" x14ac:dyDescent="0.25">
      <c r="D306" s="111"/>
      <c r="E306" s="111"/>
      <c r="N306" s="392"/>
    </row>
    <row r="307" spans="4:14" x14ac:dyDescent="0.25">
      <c r="D307" s="111"/>
      <c r="E307" s="111"/>
      <c r="N307" s="392"/>
    </row>
    <row r="308" spans="4:14" x14ac:dyDescent="0.25">
      <c r="D308" s="111"/>
      <c r="E308" s="111"/>
      <c r="N308" s="392"/>
    </row>
    <row r="309" spans="4:14" x14ac:dyDescent="0.25">
      <c r="D309" s="111"/>
      <c r="E309" s="111"/>
      <c r="N309" s="392"/>
    </row>
    <row r="310" spans="4:14" x14ac:dyDescent="0.25">
      <c r="D310" s="111"/>
      <c r="E310" s="111"/>
      <c r="N310" s="392"/>
    </row>
    <row r="311" spans="4:14" x14ac:dyDescent="0.25">
      <c r="D311" s="111"/>
      <c r="E311" s="111"/>
      <c r="N311" s="392"/>
    </row>
    <row r="312" spans="4:14" x14ac:dyDescent="0.25">
      <c r="D312" s="111"/>
      <c r="E312" s="111"/>
      <c r="N312" s="392"/>
    </row>
    <row r="313" spans="4:14" x14ac:dyDescent="0.25">
      <c r="D313" s="111"/>
      <c r="E313" s="111"/>
      <c r="N313" s="392"/>
    </row>
    <row r="314" spans="4:14" x14ac:dyDescent="0.25">
      <c r="D314" s="111"/>
      <c r="E314" s="111"/>
      <c r="N314" s="392"/>
    </row>
    <row r="315" spans="4:14" x14ac:dyDescent="0.25">
      <c r="D315" s="111"/>
      <c r="E315" s="111"/>
      <c r="N315" s="392"/>
    </row>
    <row r="316" spans="4:14" x14ac:dyDescent="0.25">
      <c r="D316" s="111"/>
      <c r="E316" s="111"/>
      <c r="N316" s="392"/>
    </row>
    <row r="317" spans="4:14" x14ac:dyDescent="0.25">
      <c r="D317" s="111"/>
      <c r="E317" s="111"/>
      <c r="N317" s="392"/>
    </row>
    <row r="318" spans="4:14" x14ac:dyDescent="0.25">
      <c r="D318" s="111"/>
      <c r="E318" s="111"/>
      <c r="N318" s="392"/>
    </row>
    <row r="319" spans="4:14" x14ac:dyDescent="0.25">
      <c r="D319" s="111"/>
      <c r="E319" s="111"/>
      <c r="N319" s="392"/>
    </row>
    <row r="320" spans="4:14" x14ac:dyDescent="0.25">
      <c r="D320" s="111"/>
      <c r="E320" s="111"/>
      <c r="N320" s="392"/>
    </row>
    <row r="321" spans="4:14" x14ac:dyDescent="0.25">
      <c r="D321" s="111"/>
      <c r="E321" s="111"/>
      <c r="N321" s="392"/>
    </row>
    <row r="322" spans="4:14" x14ac:dyDescent="0.25">
      <c r="D322" s="111"/>
      <c r="E322" s="111"/>
      <c r="N322" s="392"/>
    </row>
    <row r="323" spans="4:14" x14ac:dyDescent="0.25">
      <c r="D323" s="111"/>
      <c r="E323" s="111"/>
      <c r="N323" s="392"/>
    </row>
    <row r="324" spans="4:14" x14ac:dyDescent="0.25">
      <c r="D324" s="111"/>
      <c r="E324" s="111"/>
      <c r="N324" s="392"/>
    </row>
    <row r="325" spans="4:14" x14ac:dyDescent="0.25">
      <c r="D325" s="111"/>
      <c r="E325" s="111"/>
      <c r="N325" s="392"/>
    </row>
    <row r="326" spans="4:14" x14ac:dyDescent="0.25">
      <c r="D326" s="111"/>
      <c r="E326" s="111"/>
      <c r="N326" s="392"/>
    </row>
    <row r="327" spans="4:14" x14ac:dyDescent="0.25">
      <c r="D327" s="111"/>
      <c r="E327" s="111"/>
      <c r="N327" s="392"/>
    </row>
    <row r="328" spans="4:14" x14ac:dyDescent="0.25">
      <c r="D328" s="111"/>
      <c r="E328" s="111"/>
      <c r="N328" s="392"/>
    </row>
    <row r="329" spans="4:14" x14ac:dyDescent="0.25">
      <c r="D329" s="111"/>
      <c r="E329" s="111"/>
      <c r="N329" s="392"/>
    </row>
    <row r="330" spans="4:14" x14ac:dyDescent="0.25">
      <c r="D330" s="111"/>
      <c r="E330" s="111"/>
      <c r="N330" s="392"/>
    </row>
    <row r="331" spans="4:14" x14ac:dyDescent="0.25">
      <c r="D331" s="111"/>
      <c r="E331" s="111"/>
      <c r="N331" s="392"/>
    </row>
    <row r="332" spans="4:14" x14ac:dyDescent="0.25">
      <c r="D332" s="111"/>
      <c r="E332" s="111"/>
      <c r="N332" s="392"/>
    </row>
    <row r="333" spans="4:14" x14ac:dyDescent="0.25">
      <c r="D333" s="111"/>
      <c r="E333" s="111"/>
      <c r="N333" s="392"/>
    </row>
    <row r="334" spans="4:14" x14ac:dyDescent="0.25">
      <c r="D334" s="111"/>
      <c r="E334" s="111"/>
      <c r="N334" s="392"/>
    </row>
    <row r="335" spans="4:14" x14ac:dyDescent="0.25">
      <c r="D335" s="111"/>
      <c r="E335" s="111"/>
      <c r="N335" s="392"/>
    </row>
    <row r="336" spans="4:14" x14ac:dyDescent="0.25">
      <c r="D336" s="111"/>
      <c r="E336" s="111"/>
      <c r="N336" s="392"/>
    </row>
    <row r="337" spans="4:14" x14ac:dyDescent="0.25">
      <c r="D337" s="111"/>
      <c r="E337" s="111"/>
      <c r="N337" s="392"/>
    </row>
    <row r="338" spans="4:14" x14ac:dyDescent="0.25">
      <c r="D338" s="111"/>
      <c r="E338" s="111"/>
      <c r="N338" s="392"/>
    </row>
    <row r="339" spans="4:14" x14ac:dyDescent="0.25">
      <c r="D339" s="111"/>
      <c r="E339" s="111"/>
      <c r="N339" s="392"/>
    </row>
    <row r="340" spans="4:14" x14ac:dyDescent="0.25">
      <c r="D340" s="111"/>
      <c r="E340" s="111"/>
      <c r="N340" s="392"/>
    </row>
    <row r="341" spans="4:14" x14ac:dyDescent="0.25">
      <c r="D341" s="111"/>
      <c r="E341" s="111"/>
      <c r="N341" s="392"/>
    </row>
    <row r="342" spans="4:14" x14ac:dyDescent="0.25">
      <c r="D342" s="111"/>
      <c r="E342" s="111"/>
      <c r="N342" s="392"/>
    </row>
    <row r="343" spans="4:14" x14ac:dyDescent="0.25">
      <c r="D343" s="111"/>
      <c r="E343" s="111"/>
      <c r="N343" s="392"/>
    </row>
    <row r="344" spans="4:14" x14ac:dyDescent="0.25">
      <c r="D344" s="111"/>
      <c r="E344" s="111"/>
      <c r="N344" s="392"/>
    </row>
    <row r="345" spans="4:14" x14ac:dyDescent="0.25">
      <c r="D345" s="111"/>
      <c r="E345" s="111"/>
      <c r="N345" s="392"/>
    </row>
    <row r="346" spans="4:14" x14ac:dyDescent="0.25">
      <c r="D346" s="111"/>
      <c r="E346" s="111"/>
      <c r="N346" s="392"/>
    </row>
    <row r="347" spans="4:14" x14ac:dyDescent="0.25">
      <c r="D347" s="111"/>
      <c r="E347" s="111"/>
      <c r="N347" s="392"/>
    </row>
    <row r="348" spans="4:14" x14ac:dyDescent="0.25">
      <c r="D348" s="111"/>
      <c r="E348" s="111"/>
      <c r="N348" s="392"/>
    </row>
    <row r="349" spans="4:14" x14ac:dyDescent="0.25">
      <c r="D349" s="111"/>
      <c r="E349" s="111"/>
      <c r="N349" s="392"/>
    </row>
    <row r="350" spans="4:14" x14ac:dyDescent="0.25">
      <c r="D350" s="111"/>
      <c r="E350" s="111"/>
      <c r="N350" s="392"/>
    </row>
    <row r="351" spans="4:14" x14ac:dyDescent="0.25">
      <c r="D351" s="111"/>
      <c r="E351" s="111"/>
      <c r="N351" s="392"/>
    </row>
    <row r="352" spans="4:14" x14ac:dyDescent="0.25">
      <c r="D352" s="111"/>
      <c r="E352" s="111"/>
      <c r="N352" s="392"/>
    </row>
    <row r="353" spans="4:14" x14ac:dyDescent="0.25">
      <c r="D353" s="111"/>
      <c r="E353" s="111"/>
      <c r="N353" s="392"/>
    </row>
    <row r="354" spans="4:14" x14ac:dyDescent="0.25">
      <c r="D354" s="111"/>
      <c r="E354" s="111"/>
      <c r="N354" s="392"/>
    </row>
    <row r="355" spans="4:14" x14ac:dyDescent="0.25">
      <c r="D355" s="111"/>
      <c r="E355" s="111"/>
      <c r="N355" s="392"/>
    </row>
    <row r="356" spans="4:14" x14ac:dyDescent="0.25">
      <c r="D356" s="111"/>
      <c r="E356" s="111"/>
      <c r="N356" s="392"/>
    </row>
    <row r="357" spans="4:14" x14ac:dyDescent="0.25">
      <c r="D357" s="111"/>
      <c r="E357" s="111"/>
      <c r="N357" s="392"/>
    </row>
    <row r="358" spans="4:14" x14ac:dyDescent="0.25">
      <c r="D358" s="111"/>
      <c r="E358" s="111"/>
      <c r="N358" s="392"/>
    </row>
    <row r="359" spans="4:14" x14ac:dyDescent="0.25">
      <c r="D359" s="111"/>
      <c r="E359" s="111"/>
      <c r="N359" s="392"/>
    </row>
    <row r="360" spans="4:14" x14ac:dyDescent="0.25">
      <c r="D360" s="111"/>
      <c r="E360" s="111"/>
      <c r="N360" s="392"/>
    </row>
    <row r="361" spans="4:14" x14ac:dyDescent="0.25">
      <c r="D361" s="111"/>
      <c r="E361" s="111"/>
      <c r="N361" s="392"/>
    </row>
    <row r="362" spans="4:14" x14ac:dyDescent="0.25">
      <c r="D362" s="111"/>
      <c r="E362" s="111"/>
      <c r="N362" s="392"/>
    </row>
    <row r="363" spans="4:14" x14ac:dyDescent="0.25">
      <c r="D363" s="111"/>
      <c r="E363" s="111"/>
      <c r="N363" s="392"/>
    </row>
    <row r="364" spans="4:14" x14ac:dyDescent="0.25">
      <c r="D364" s="111"/>
      <c r="E364" s="111"/>
      <c r="N364" s="392"/>
    </row>
    <row r="365" spans="4:14" x14ac:dyDescent="0.25">
      <c r="D365" s="111"/>
      <c r="E365" s="111"/>
      <c r="N365" s="392"/>
    </row>
    <row r="366" spans="4:14" x14ac:dyDescent="0.25">
      <c r="D366" s="111"/>
      <c r="E366" s="111"/>
      <c r="N366" s="392"/>
    </row>
    <row r="367" spans="4:14" x14ac:dyDescent="0.25">
      <c r="D367" s="111"/>
      <c r="E367" s="111"/>
      <c r="N367" s="392"/>
    </row>
    <row r="368" spans="4:14" x14ac:dyDescent="0.25">
      <c r="D368" s="111"/>
      <c r="E368" s="111"/>
      <c r="N368" s="392"/>
    </row>
    <row r="369" spans="4:14" x14ac:dyDescent="0.25">
      <c r="D369" s="111"/>
      <c r="E369" s="111"/>
      <c r="N369" s="392"/>
    </row>
    <row r="370" spans="4:14" x14ac:dyDescent="0.25">
      <c r="D370" s="111"/>
      <c r="E370" s="111"/>
      <c r="N370" s="392"/>
    </row>
    <row r="371" spans="4:14" x14ac:dyDescent="0.25">
      <c r="D371" s="111"/>
      <c r="E371" s="111"/>
      <c r="N371" s="392"/>
    </row>
    <row r="372" spans="4:14" x14ac:dyDescent="0.25">
      <c r="D372" s="111"/>
      <c r="E372" s="111"/>
      <c r="N372" s="392"/>
    </row>
    <row r="373" spans="4:14" x14ac:dyDescent="0.25">
      <c r="D373" s="111"/>
      <c r="E373" s="111"/>
      <c r="N373" s="392"/>
    </row>
    <row r="374" spans="4:14" x14ac:dyDescent="0.25">
      <c r="D374" s="111"/>
      <c r="E374" s="111"/>
      <c r="N374" s="392"/>
    </row>
    <row r="375" spans="4:14" x14ac:dyDescent="0.25">
      <c r="D375" s="111"/>
      <c r="E375" s="111"/>
      <c r="N375" s="392"/>
    </row>
    <row r="376" spans="4:14" x14ac:dyDescent="0.25">
      <c r="D376" s="111"/>
      <c r="E376" s="111"/>
      <c r="N376" s="392"/>
    </row>
    <row r="377" spans="4:14" x14ac:dyDescent="0.25">
      <c r="D377" s="111"/>
      <c r="E377" s="111"/>
      <c r="N377" s="392"/>
    </row>
    <row r="378" spans="4:14" x14ac:dyDescent="0.25">
      <c r="D378" s="111"/>
      <c r="E378" s="111"/>
      <c r="N378" s="392"/>
    </row>
    <row r="379" spans="4:14" x14ac:dyDescent="0.25">
      <c r="D379" s="111"/>
      <c r="E379" s="111"/>
      <c r="N379" s="392"/>
    </row>
    <row r="380" spans="4:14" x14ac:dyDescent="0.25">
      <c r="D380" s="111"/>
      <c r="E380" s="111"/>
      <c r="N380" s="392"/>
    </row>
    <row r="381" spans="4:14" x14ac:dyDescent="0.25">
      <c r="D381" s="111"/>
      <c r="E381" s="111"/>
      <c r="N381" s="392"/>
    </row>
    <row r="382" spans="4:14" x14ac:dyDescent="0.25">
      <c r="D382" s="111"/>
      <c r="E382" s="111"/>
      <c r="N382" s="392"/>
    </row>
    <row r="383" spans="4:14" x14ac:dyDescent="0.25">
      <c r="D383" s="111"/>
      <c r="E383" s="111"/>
      <c r="N383" s="392"/>
    </row>
    <row r="384" spans="4:14" x14ac:dyDescent="0.25">
      <c r="D384" s="111"/>
      <c r="E384" s="111"/>
      <c r="N384" s="392"/>
    </row>
    <row r="385" spans="4:14" x14ac:dyDescent="0.25">
      <c r="D385" s="111"/>
      <c r="E385" s="111"/>
      <c r="N385" s="392"/>
    </row>
    <row r="386" spans="4:14" x14ac:dyDescent="0.25">
      <c r="D386" s="111"/>
      <c r="E386" s="111"/>
      <c r="N386" s="392"/>
    </row>
    <row r="387" spans="4:14" x14ac:dyDescent="0.25">
      <c r="D387" s="111"/>
      <c r="E387" s="111"/>
      <c r="N387" s="392"/>
    </row>
    <row r="388" spans="4:14" x14ac:dyDescent="0.25">
      <c r="D388" s="111"/>
      <c r="E388" s="111"/>
      <c r="N388" s="392"/>
    </row>
    <row r="389" spans="4:14" x14ac:dyDescent="0.25">
      <c r="D389" s="111"/>
      <c r="E389" s="111"/>
      <c r="N389" s="392"/>
    </row>
    <row r="390" spans="4:14" x14ac:dyDescent="0.25">
      <c r="D390" s="111"/>
      <c r="E390" s="111"/>
      <c r="N390" s="392"/>
    </row>
    <row r="391" spans="4:14" x14ac:dyDescent="0.25">
      <c r="D391" s="111"/>
      <c r="E391" s="111"/>
      <c r="N391" s="392"/>
    </row>
    <row r="392" spans="4:14" x14ac:dyDescent="0.25">
      <c r="D392" s="111"/>
      <c r="E392" s="111"/>
      <c r="N392" s="392"/>
    </row>
    <row r="393" spans="4:14" x14ac:dyDescent="0.25">
      <c r="D393" s="111"/>
      <c r="E393" s="111"/>
      <c r="N393" s="392"/>
    </row>
    <row r="394" spans="4:14" x14ac:dyDescent="0.25">
      <c r="D394" s="111"/>
      <c r="E394" s="111"/>
      <c r="N394" s="392"/>
    </row>
    <row r="395" spans="4:14" x14ac:dyDescent="0.25">
      <c r="D395" s="111"/>
      <c r="E395" s="111"/>
      <c r="N395" s="392"/>
    </row>
    <row r="396" spans="4:14" x14ac:dyDescent="0.25">
      <c r="D396" s="111"/>
      <c r="E396" s="111"/>
      <c r="N396" s="392"/>
    </row>
    <row r="397" spans="4:14" x14ac:dyDescent="0.25">
      <c r="D397" s="111"/>
      <c r="E397" s="111"/>
      <c r="N397" s="392"/>
    </row>
    <row r="398" spans="4:14" x14ac:dyDescent="0.25">
      <c r="D398" s="111"/>
      <c r="E398" s="111"/>
      <c r="N398" s="392"/>
    </row>
    <row r="399" spans="4:14" x14ac:dyDescent="0.25">
      <c r="D399" s="111"/>
      <c r="E399" s="111"/>
      <c r="N399" s="392"/>
    </row>
    <row r="400" spans="4:14" x14ac:dyDescent="0.25">
      <c r="D400" s="111"/>
      <c r="E400" s="111"/>
      <c r="N400" s="392"/>
    </row>
    <row r="401" spans="4:14" x14ac:dyDescent="0.25">
      <c r="D401" s="111"/>
      <c r="E401" s="111"/>
      <c r="N401" s="392"/>
    </row>
    <row r="402" spans="4:14" x14ac:dyDescent="0.25">
      <c r="D402" s="111"/>
      <c r="E402" s="111"/>
      <c r="N402" s="392"/>
    </row>
    <row r="403" spans="4:14" x14ac:dyDescent="0.25">
      <c r="D403" s="111"/>
      <c r="E403" s="111"/>
      <c r="N403" s="392"/>
    </row>
    <row r="404" spans="4:14" x14ac:dyDescent="0.25">
      <c r="D404" s="111"/>
      <c r="E404" s="111"/>
      <c r="N404" s="392"/>
    </row>
    <row r="405" spans="4:14" x14ac:dyDescent="0.25">
      <c r="D405" s="111"/>
      <c r="E405" s="111"/>
      <c r="N405" s="392"/>
    </row>
    <row r="406" spans="4:14" x14ac:dyDescent="0.25">
      <c r="D406" s="111"/>
      <c r="E406" s="111"/>
      <c r="N406" s="392"/>
    </row>
    <row r="407" spans="4:14" x14ac:dyDescent="0.25">
      <c r="D407" s="111"/>
      <c r="E407" s="111"/>
      <c r="N407" s="392"/>
    </row>
    <row r="408" spans="4:14" x14ac:dyDescent="0.25">
      <c r="D408" s="111"/>
      <c r="E408" s="111"/>
      <c r="N408" s="392"/>
    </row>
    <row r="409" spans="4:14" x14ac:dyDescent="0.25">
      <c r="D409" s="111"/>
      <c r="E409" s="111"/>
      <c r="N409" s="392"/>
    </row>
    <row r="410" spans="4:14" x14ac:dyDescent="0.25">
      <c r="D410" s="111"/>
      <c r="E410" s="111"/>
      <c r="N410" s="392"/>
    </row>
    <row r="411" spans="4:14" x14ac:dyDescent="0.25">
      <c r="D411" s="111"/>
      <c r="E411" s="111"/>
      <c r="N411" s="392"/>
    </row>
    <row r="412" spans="4:14" x14ac:dyDescent="0.25">
      <c r="D412" s="111"/>
      <c r="E412" s="111"/>
      <c r="N412" s="392"/>
    </row>
    <row r="413" spans="4:14" x14ac:dyDescent="0.25">
      <c r="D413" s="111"/>
      <c r="E413" s="111"/>
      <c r="N413" s="392"/>
    </row>
    <row r="414" spans="4:14" x14ac:dyDescent="0.25">
      <c r="D414" s="111"/>
      <c r="E414" s="111"/>
      <c r="N414" s="392"/>
    </row>
    <row r="415" spans="4:14" x14ac:dyDescent="0.25">
      <c r="D415" s="111"/>
      <c r="E415" s="111"/>
      <c r="N415" s="392"/>
    </row>
    <row r="416" spans="4:14" x14ac:dyDescent="0.25">
      <c r="D416" s="111"/>
      <c r="E416" s="111"/>
      <c r="N416" s="392"/>
    </row>
    <row r="417" spans="4:14" x14ac:dyDescent="0.25">
      <c r="D417" s="111"/>
      <c r="E417" s="111"/>
      <c r="N417" s="392"/>
    </row>
    <row r="418" spans="4:14" x14ac:dyDescent="0.25">
      <c r="D418" s="111"/>
      <c r="E418" s="111"/>
      <c r="N418" s="392"/>
    </row>
    <row r="419" spans="4:14" x14ac:dyDescent="0.25">
      <c r="D419" s="111"/>
      <c r="E419" s="111"/>
      <c r="N419" s="392"/>
    </row>
    <row r="420" spans="4:14" x14ac:dyDescent="0.25">
      <c r="D420" s="111"/>
      <c r="E420" s="111"/>
      <c r="N420" s="392"/>
    </row>
    <row r="421" spans="4:14" x14ac:dyDescent="0.25">
      <c r="D421" s="111"/>
      <c r="E421" s="111"/>
      <c r="N421" s="392"/>
    </row>
    <row r="422" spans="4:14" x14ac:dyDescent="0.25">
      <c r="D422" s="111"/>
      <c r="E422" s="111"/>
      <c r="N422" s="392"/>
    </row>
    <row r="423" spans="4:14" x14ac:dyDescent="0.25">
      <c r="D423" s="111"/>
      <c r="E423" s="111"/>
      <c r="N423" s="392"/>
    </row>
    <row r="424" spans="4:14" x14ac:dyDescent="0.25">
      <c r="D424" s="111"/>
      <c r="E424" s="111"/>
      <c r="N424" s="392"/>
    </row>
    <row r="425" spans="4:14" x14ac:dyDescent="0.25">
      <c r="D425" s="111"/>
      <c r="E425" s="111"/>
      <c r="N425" s="392"/>
    </row>
    <row r="426" spans="4:14" x14ac:dyDescent="0.25">
      <c r="D426" s="111"/>
      <c r="E426" s="111"/>
      <c r="N426" s="392"/>
    </row>
    <row r="427" spans="4:14" x14ac:dyDescent="0.25">
      <c r="D427" s="111"/>
      <c r="E427" s="111"/>
      <c r="N427" s="392"/>
    </row>
    <row r="428" spans="4:14" x14ac:dyDescent="0.25">
      <c r="D428" s="111"/>
      <c r="E428" s="111"/>
      <c r="N428" s="392"/>
    </row>
    <row r="429" spans="4:14" x14ac:dyDescent="0.25">
      <c r="D429" s="111"/>
      <c r="E429" s="111"/>
      <c r="N429" s="392"/>
    </row>
    <row r="430" spans="4:14" x14ac:dyDescent="0.25">
      <c r="D430" s="111"/>
      <c r="E430" s="111"/>
      <c r="N430" s="392"/>
    </row>
    <row r="431" spans="4:14" x14ac:dyDescent="0.25">
      <c r="D431" s="111"/>
      <c r="E431" s="111"/>
      <c r="N431" s="392"/>
    </row>
    <row r="432" spans="4:14" x14ac:dyDescent="0.25">
      <c r="D432" s="111"/>
      <c r="E432" s="111"/>
      <c r="N432" s="392"/>
    </row>
    <row r="433" spans="4:14" x14ac:dyDescent="0.25">
      <c r="D433" s="111"/>
      <c r="E433" s="111"/>
      <c r="N433" s="392"/>
    </row>
    <row r="434" spans="4:14" x14ac:dyDescent="0.25">
      <c r="D434" s="111"/>
      <c r="E434" s="111"/>
      <c r="N434" s="392"/>
    </row>
    <row r="435" spans="4:14" x14ac:dyDescent="0.25">
      <c r="D435" s="111"/>
      <c r="E435" s="111"/>
      <c r="N435" s="392"/>
    </row>
    <row r="436" spans="4:14" x14ac:dyDescent="0.25">
      <c r="D436" s="111"/>
      <c r="E436" s="111"/>
      <c r="N436" s="392"/>
    </row>
    <row r="437" spans="4:14" x14ac:dyDescent="0.25">
      <c r="D437" s="111"/>
      <c r="E437" s="111"/>
      <c r="N437" s="392"/>
    </row>
    <row r="438" spans="4:14" x14ac:dyDescent="0.25">
      <c r="D438" s="111"/>
      <c r="E438" s="111"/>
      <c r="N438" s="392"/>
    </row>
    <row r="439" spans="4:14" x14ac:dyDescent="0.25">
      <c r="D439" s="111"/>
      <c r="E439" s="111"/>
      <c r="N439" s="392"/>
    </row>
    <row r="440" spans="4:14" x14ac:dyDescent="0.25">
      <c r="D440" s="111"/>
      <c r="E440" s="111"/>
      <c r="N440" s="392"/>
    </row>
    <row r="441" spans="4:14" x14ac:dyDescent="0.25">
      <c r="D441" s="111"/>
      <c r="E441" s="111"/>
      <c r="N441" s="392"/>
    </row>
    <row r="442" spans="4:14" x14ac:dyDescent="0.25">
      <c r="D442" s="111"/>
      <c r="E442" s="111"/>
      <c r="N442" s="392"/>
    </row>
    <row r="443" spans="4:14" x14ac:dyDescent="0.25">
      <c r="D443" s="111"/>
      <c r="E443" s="111"/>
      <c r="N443" s="392"/>
    </row>
    <row r="444" spans="4:14" x14ac:dyDescent="0.25">
      <c r="D444" s="111"/>
      <c r="E444" s="111"/>
      <c r="N444" s="392"/>
    </row>
    <row r="445" spans="4:14" x14ac:dyDescent="0.25">
      <c r="D445" s="111"/>
      <c r="E445" s="111"/>
      <c r="N445" s="392"/>
    </row>
    <row r="446" spans="4:14" x14ac:dyDescent="0.25">
      <c r="D446" s="111"/>
      <c r="E446" s="111"/>
      <c r="N446" s="392"/>
    </row>
    <row r="447" spans="4:14" x14ac:dyDescent="0.25">
      <c r="D447" s="111"/>
      <c r="E447" s="111"/>
      <c r="N447" s="392"/>
    </row>
    <row r="448" spans="4:14" x14ac:dyDescent="0.25">
      <c r="D448" s="111"/>
      <c r="E448" s="111"/>
      <c r="N448" s="392"/>
    </row>
  </sheetData>
  <mergeCells count="3">
    <mergeCell ref="D10:F10"/>
    <mergeCell ref="E12:J12"/>
    <mergeCell ref="K11:K13"/>
  </mergeCells>
  <dataValidations count="5">
    <dataValidation type="whole" operator="greaterThan" allowBlank="1" showInputMessage="1" showErrorMessage="1" prompt="Enter whole number greater than 0" sqref="M9" xr:uid="{C92BAA26-5B53-404E-8B72-C9197AEDAE36}">
      <formula1>0</formula1>
    </dataValidation>
    <dataValidation type="whole" operator="greaterThan" allowBlank="1" showInputMessage="1" showErrorMessage="1" prompt="Enter Values more than 0" sqref="K9:L9" xr:uid="{A5955CAE-E8B8-4F7A-88A0-B8B6D49C6008}">
      <formula1>0</formula1>
    </dataValidation>
    <dataValidation type="whole" operator="greaterThan" allowBlank="1" showInputMessage="1" showErrorMessage="1" prompt="Please Enter Whole Number" sqref="N9" xr:uid="{19F5F030-71CD-4DB6-B69D-A4AEE4987567}">
      <formula1>0</formula1>
    </dataValidation>
    <dataValidation type="decimal" operator="greaterThanOrEqual" allowBlank="1" showInputMessage="1" showErrorMessage="1" error="Please enter Numbers more than 0." prompt="Please enter Material Consumption Quantity in Kg" sqref="E15:J74" xr:uid="{09A3D8E5-6691-4498-8D25-307BBE96D907}">
      <formula1>0</formula1>
    </dataValidation>
    <dataValidation operator="greaterThanOrEqual" allowBlank="1" error="Please enter Numbers more than 0." prompt="Please enter Material Consumption Quantity in Kg" sqref="K15:K74" xr:uid="{59E5BE27-1A2C-4A6A-86A2-424F27272A1D}"/>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D355D-488C-4EC6-92AD-74F664EA5D40}">
  <dimension ref="A1:AE1166"/>
  <sheetViews>
    <sheetView tabSelected="1" topLeftCell="A352" zoomScaleNormal="100" workbookViewId="0">
      <selection activeCell="AC363" sqref="AC363"/>
    </sheetView>
  </sheetViews>
  <sheetFormatPr defaultColWidth="12.7109375" defaultRowHeight="15" x14ac:dyDescent="0.25"/>
  <cols>
    <col min="1" max="1" width="8.140625" style="1" customWidth="1"/>
    <col min="2" max="2" width="14.85546875" customWidth="1"/>
    <col min="3" max="3" width="19.42578125" customWidth="1"/>
    <col min="4" max="4" width="48" customWidth="1"/>
    <col min="5" max="5" width="22.140625" style="751" customWidth="1"/>
    <col min="6" max="6" width="18.5703125" customWidth="1"/>
    <col min="7" max="7" width="10.140625" style="1" customWidth="1"/>
    <col min="8" max="8" width="12.7109375" style="1" customWidth="1"/>
    <col min="9" max="9" width="3.7109375" style="1" hidden="1" customWidth="1"/>
    <col min="10" max="10" width="3.28515625" style="372" hidden="1" customWidth="1"/>
    <col min="11" max="11" width="5.5703125" style="372" hidden="1" customWidth="1"/>
    <col min="12" max="12" width="2.140625" style="577" hidden="1" customWidth="1"/>
    <col min="13" max="13" width="2.85546875" hidden="1" customWidth="1"/>
    <col min="14" max="14" width="3.85546875" hidden="1" customWidth="1"/>
    <col min="15" max="15" width="2.28515625" hidden="1" customWidth="1"/>
    <col min="16" max="16" width="3.5703125" hidden="1" customWidth="1"/>
    <col min="17" max="17" width="17.7109375" hidden="1" customWidth="1"/>
    <col min="18" max="18" width="3.140625" hidden="1" customWidth="1"/>
    <col min="19" max="19" width="4.85546875" hidden="1" customWidth="1"/>
    <col min="20" max="20" width="3.42578125" hidden="1" customWidth="1"/>
    <col min="21" max="21" width="2.28515625" hidden="1" customWidth="1"/>
    <col min="22" max="22" width="3.5703125" hidden="1" customWidth="1"/>
    <col min="23" max="23" width="12.7109375" hidden="1" customWidth="1"/>
    <col min="24" max="24" width="1.7109375" hidden="1" customWidth="1"/>
    <col min="25" max="25" width="3.140625" hidden="1" customWidth="1"/>
    <col min="26" max="26" width="1.5703125" hidden="1" customWidth="1"/>
    <col min="27" max="27" width="6.85546875" hidden="1" customWidth="1"/>
    <col min="28" max="29" width="12.7109375" style="1" customWidth="1"/>
    <col min="30" max="30" width="9.85546875" style="1" customWidth="1"/>
    <col min="31" max="33" width="12.7109375" customWidth="1"/>
  </cols>
  <sheetData>
    <row r="1" spans="1:30" ht="24.95" customHeight="1" x14ac:dyDescent="0.25">
      <c r="A1" s="382"/>
      <c r="B1" s="382"/>
      <c r="C1" s="375"/>
      <c r="D1" s="857" t="s">
        <v>1607</v>
      </c>
      <c r="E1" s="857"/>
      <c r="F1" s="857"/>
      <c r="G1" s="857"/>
      <c r="H1" s="857"/>
      <c r="I1" s="376"/>
      <c r="J1" s="376"/>
      <c r="K1" s="376"/>
      <c r="L1" s="375"/>
      <c r="M1" s="375"/>
      <c r="N1" s="375"/>
      <c r="O1" s="375"/>
      <c r="P1" s="375"/>
      <c r="Q1" s="375"/>
      <c r="R1" s="375"/>
      <c r="S1" s="375"/>
      <c r="T1" s="375"/>
      <c r="U1" s="375"/>
      <c r="V1" s="375"/>
      <c r="AB1" s="375"/>
      <c r="AC1" s="375"/>
      <c r="AD1" s="375"/>
    </row>
    <row r="2" spans="1:30" s="1" customFormat="1" ht="20.25" customHeight="1" x14ac:dyDescent="0.25">
      <c r="B2" s="135"/>
      <c r="C2" s="135"/>
      <c r="D2" s="778"/>
      <c r="E2" s="778"/>
      <c r="F2" s="778"/>
      <c r="G2" s="135"/>
      <c r="H2" s="135"/>
      <c r="I2" s="779"/>
      <c r="J2" s="779"/>
      <c r="K2" s="779"/>
      <c r="L2" s="135"/>
      <c r="M2" s="135"/>
      <c r="N2" s="135"/>
      <c r="O2" s="135"/>
      <c r="P2" s="135"/>
      <c r="Q2" s="135"/>
      <c r="R2" s="135"/>
      <c r="S2" s="135"/>
      <c r="T2" s="135"/>
      <c r="U2" s="135"/>
      <c r="V2" s="135"/>
      <c r="AB2" s="135"/>
      <c r="AC2" s="135"/>
      <c r="AD2" s="135"/>
    </row>
    <row r="3" spans="1:30" x14ac:dyDescent="0.25">
      <c r="B3" s="1"/>
      <c r="C3" s="1"/>
      <c r="D3" s="1"/>
      <c r="E3" s="736"/>
      <c r="F3" s="1"/>
    </row>
    <row r="4" spans="1:30" x14ac:dyDescent="0.25">
      <c r="B4" s="1"/>
      <c r="C4" s="1"/>
      <c r="D4" s="1"/>
      <c r="E4" s="736"/>
      <c r="F4" s="1"/>
    </row>
    <row r="5" spans="1:30" ht="12" customHeight="1" x14ac:dyDescent="0.25">
      <c r="B5" s="1015"/>
      <c r="C5" s="1015"/>
      <c r="D5" s="1015"/>
      <c r="E5" s="1015"/>
      <c r="F5" s="1015"/>
      <c r="G5" s="1015"/>
      <c r="H5" s="1015"/>
      <c r="J5" s="532" t="s">
        <v>460</v>
      </c>
      <c r="K5" s="532" t="s">
        <v>461</v>
      </c>
      <c r="L5" s="578" t="s">
        <v>462</v>
      </c>
      <c r="M5" s="475" t="s">
        <v>1628</v>
      </c>
      <c r="P5" s="475"/>
      <c r="Q5" s="475"/>
      <c r="R5" s="475"/>
      <c r="S5" s="475"/>
      <c r="T5" s="475"/>
      <c r="U5" s="475"/>
      <c r="V5" s="475"/>
      <c r="W5" s="475"/>
      <c r="X5" s="475"/>
      <c r="Y5" s="475"/>
    </row>
    <row r="6" spans="1:30" ht="34.5" customHeight="1" x14ac:dyDescent="0.25">
      <c r="B6" s="809" t="s">
        <v>457</v>
      </c>
      <c r="C6" s="809" t="s">
        <v>458</v>
      </c>
      <c r="D6" s="809" t="s">
        <v>12</v>
      </c>
      <c r="E6" s="809" t="s">
        <v>459</v>
      </c>
      <c r="F6" s="809" t="s">
        <v>1597</v>
      </c>
      <c r="G6" s="233" t="s">
        <v>1827</v>
      </c>
      <c r="H6" s="233" t="s">
        <v>1598</v>
      </c>
      <c r="J6" s="532"/>
      <c r="K6" s="532"/>
      <c r="L6" s="578"/>
      <c r="M6" s="475"/>
      <c r="P6" s="475"/>
      <c r="Q6" s="475"/>
      <c r="R6" s="475"/>
      <c r="S6" s="475"/>
      <c r="T6" s="475"/>
      <c r="U6" s="475"/>
      <c r="V6" s="475"/>
      <c r="W6" s="475"/>
      <c r="X6" s="475"/>
      <c r="Y6" s="475"/>
    </row>
    <row r="7" spans="1:30" ht="15.75" customHeight="1" x14ac:dyDescent="0.25">
      <c r="B7" s="661" t="s">
        <v>463</v>
      </c>
      <c r="C7" s="661" t="s">
        <v>464</v>
      </c>
      <c r="D7" s="706" t="s">
        <v>1832</v>
      </c>
      <c r="E7" s="759" t="s">
        <v>1804</v>
      </c>
      <c r="F7" s="780"/>
      <c r="G7" s="605"/>
      <c r="H7" s="581">
        <f>G7*F7</f>
        <v>0</v>
      </c>
      <c r="I7" s="530"/>
      <c r="J7" s="505" t="s">
        <v>465</v>
      </c>
      <c r="K7" s="505">
        <v>1</v>
      </c>
      <c r="L7" s="579"/>
      <c r="M7" s="397"/>
      <c r="N7" s="397"/>
      <c r="O7" s="397"/>
      <c r="P7" s="397"/>
      <c r="Q7" s="397"/>
      <c r="R7" s="397"/>
      <c r="S7" s="397"/>
      <c r="T7" s="397"/>
      <c r="U7" s="397"/>
      <c r="V7" s="397"/>
      <c r="W7" s="397"/>
      <c r="X7" s="397"/>
      <c r="Y7" s="397"/>
    </row>
    <row r="8" spans="1:30" ht="15.75" customHeight="1" x14ac:dyDescent="0.25">
      <c r="B8" s="661" t="s">
        <v>466</v>
      </c>
      <c r="C8" s="661" t="s">
        <v>467</v>
      </c>
      <c r="D8" s="706" t="s">
        <v>468</v>
      </c>
      <c r="E8" s="760" t="s">
        <v>296</v>
      </c>
      <c r="F8" s="780"/>
      <c r="G8" s="605"/>
      <c r="H8" s="581">
        <f t="shared" ref="H8:H71" si="0">G8*F8</f>
        <v>0</v>
      </c>
      <c r="I8" s="530"/>
      <c r="J8" s="505" t="s">
        <v>465</v>
      </c>
      <c r="K8" s="505">
        <v>1</v>
      </c>
      <c r="L8" s="579"/>
      <c r="M8" s="397"/>
      <c r="N8" s="397"/>
      <c r="O8" s="397"/>
      <c r="P8" s="397"/>
      <c r="Q8" s="397"/>
      <c r="R8" s="397"/>
      <c r="S8" s="397"/>
      <c r="T8" s="397"/>
      <c r="U8" s="397"/>
      <c r="V8" s="397"/>
      <c r="W8" s="397"/>
      <c r="X8" s="397"/>
      <c r="Y8" s="397"/>
    </row>
    <row r="9" spans="1:30" ht="15.75" customHeight="1" x14ac:dyDescent="0.25">
      <c r="B9" s="661" t="s">
        <v>469</v>
      </c>
      <c r="C9" s="661" t="s">
        <v>470</v>
      </c>
      <c r="D9" s="706" t="s">
        <v>471</v>
      </c>
      <c r="E9" s="760" t="s">
        <v>296</v>
      </c>
      <c r="F9" s="780"/>
      <c r="G9" s="605"/>
      <c r="H9" s="581">
        <f t="shared" si="0"/>
        <v>0</v>
      </c>
      <c r="I9" s="530"/>
      <c r="J9" s="505" t="s">
        <v>465</v>
      </c>
      <c r="K9" s="505">
        <v>1</v>
      </c>
      <c r="L9" s="579"/>
      <c r="M9" s="397"/>
      <c r="N9" s="397"/>
      <c r="O9" s="397"/>
      <c r="P9" s="397"/>
      <c r="Q9" s="397"/>
      <c r="R9" s="397"/>
      <c r="S9" s="397"/>
      <c r="T9" s="397"/>
      <c r="U9" s="397"/>
      <c r="V9" s="397"/>
      <c r="W9" s="397"/>
      <c r="X9" s="397"/>
      <c r="Y9" s="397"/>
    </row>
    <row r="10" spans="1:30" ht="15.75" customHeight="1" x14ac:dyDescent="0.25">
      <c r="B10" s="661" t="s">
        <v>472</v>
      </c>
      <c r="C10" s="661" t="s">
        <v>473</v>
      </c>
      <c r="D10" s="706" t="s">
        <v>474</v>
      </c>
      <c r="E10" s="760" t="s">
        <v>296</v>
      </c>
      <c r="F10" s="780"/>
      <c r="G10" s="605"/>
      <c r="H10" s="581">
        <f t="shared" si="0"/>
        <v>0</v>
      </c>
      <c r="I10" s="530"/>
      <c r="J10" s="505" t="s">
        <v>465</v>
      </c>
      <c r="K10" s="505">
        <v>1</v>
      </c>
      <c r="L10" s="579"/>
      <c r="M10" s="397"/>
      <c r="N10" s="397"/>
      <c r="O10" s="397"/>
      <c r="P10" s="397"/>
      <c r="Q10" s="397"/>
      <c r="R10" s="397"/>
      <c r="S10" s="397"/>
      <c r="T10" s="397"/>
      <c r="U10" s="397"/>
      <c r="V10" s="397"/>
      <c r="W10" s="397"/>
      <c r="X10" s="397"/>
      <c r="Y10" s="397"/>
    </row>
    <row r="11" spans="1:30" ht="15.75" customHeight="1" x14ac:dyDescent="0.25">
      <c r="B11" s="661" t="s">
        <v>475</v>
      </c>
      <c r="C11" s="661" t="s">
        <v>476</v>
      </c>
      <c r="D11" s="706" t="s">
        <v>477</v>
      </c>
      <c r="E11" s="760" t="s">
        <v>296</v>
      </c>
      <c r="F11" s="780"/>
      <c r="G11" s="605"/>
      <c r="H11" s="581">
        <f t="shared" si="0"/>
        <v>0</v>
      </c>
      <c r="I11" s="530"/>
      <c r="J11" s="505" t="s">
        <v>465</v>
      </c>
      <c r="K11" s="505">
        <v>1</v>
      </c>
      <c r="L11" s="579"/>
      <c r="M11" s="397"/>
      <c r="N11" s="397"/>
      <c r="O11" s="397"/>
      <c r="P11" s="397"/>
      <c r="Q11" s="397"/>
      <c r="R11" s="397"/>
      <c r="S11" s="397"/>
      <c r="T11" s="397">
        <v>3.08</v>
      </c>
      <c r="U11" s="397" t="s">
        <v>1801</v>
      </c>
      <c r="V11" s="397">
        <f>1*9/1000</f>
        <v>8.9999999999999993E-3</v>
      </c>
      <c r="W11" s="397" t="s">
        <v>422</v>
      </c>
      <c r="X11" s="397"/>
      <c r="Y11" s="397"/>
    </row>
    <row r="12" spans="1:30" ht="15.75" customHeight="1" x14ac:dyDescent="0.25">
      <c r="B12" s="661" t="s">
        <v>478</v>
      </c>
      <c r="C12" s="661" t="s">
        <v>479</v>
      </c>
      <c r="D12" s="706" t="s">
        <v>480</v>
      </c>
      <c r="E12" s="737" t="s">
        <v>291</v>
      </c>
      <c r="F12" s="781">
        <f>18*6*12*25.4*12*12*25.4/1000/1000/1000</f>
        <v>0.12040233984</v>
      </c>
      <c r="G12" s="606"/>
      <c r="H12" s="581">
        <f t="shared" si="0"/>
        <v>0</v>
      </c>
      <c r="I12" s="530"/>
      <c r="J12" s="505" t="s">
        <v>465</v>
      </c>
      <c r="K12" s="505">
        <v>122</v>
      </c>
      <c r="L12" s="579">
        <f>S19*18*1828*3658</f>
        <v>30.451796496</v>
      </c>
      <c r="M12" s="397">
        <f>K12/F12</f>
        <v>1013.2693447828597</v>
      </c>
      <c r="N12" s="397"/>
      <c r="O12" s="397"/>
      <c r="P12" s="397"/>
      <c r="Q12" s="397"/>
      <c r="R12" s="397"/>
      <c r="S12" s="397"/>
      <c r="T12" s="397"/>
      <c r="U12" s="397"/>
      <c r="V12" s="397"/>
      <c r="W12" s="397"/>
      <c r="X12" s="397"/>
      <c r="Y12" s="397"/>
    </row>
    <row r="13" spans="1:30" ht="15.75" customHeight="1" x14ac:dyDescent="0.25">
      <c r="B13" s="661" t="s">
        <v>481</v>
      </c>
      <c r="C13" s="661" t="s">
        <v>482</v>
      </c>
      <c r="D13" s="706" t="s">
        <v>483</v>
      </c>
      <c r="E13" s="737" t="s">
        <v>291</v>
      </c>
      <c r="F13" s="781">
        <f>18*1220*2440/1000/1000/1000</f>
        <v>5.3582400000000002E-2</v>
      </c>
      <c r="G13" s="606"/>
      <c r="H13" s="581">
        <f t="shared" si="0"/>
        <v>0</v>
      </c>
      <c r="I13" s="530"/>
      <c r="J13" s="505" t="s">
        <v>465</v>
      </c>
      <c r="K13" s="505">
        <v>55</v>
      </c>
      <c r="L13" s="579">
        <f>S19*18*1220*2440</f>
        <v>13.556347199999999</v>
      </c>
      <c r="M13" s="397"/>
      <c r="P13" s="397"/>
      <c r="Q13" s="397"/>
      <c r="R13" s="397"/>
      <c r="S13" s="397"/>
      <c r="T13" s="397"/>
      <c r="U13" s="397"/>
      <c r="V13" s="397"/>
      <c r="W13" s="397"/>
      <c r="X13" s="397"/>
      <c r="Y13" s="397"/>
    </row>
    <row r="14" spans="1:30" ht="15.75" customHeight="1" thickBot="1" x14ac:dyDescent="0.3">
      <c r="B14" s="661" t="s">
        <v>484</v>
      </c>
      <c r="C14" s="661" t="s">
        <v>485</v>
      </c>
      <c r="D14" s="706" t="s">
        <v>486</v>
      </c>
      <c r="E14" s="761" t="s">
        <v>1797</v>
      </c>
      <c r="F14" s="781">
        <f>18*1220*2440/1000/1000/1000</f>
        <v>5.3582400000000002E-2</v>
      </c>
      <c r="G14" s="605"/>
      <c r="H14" s="581">
        <f t="shared" si="0"/>
        <v>0</v>
      </c>
      <c r="I14" s="530"/>
      <c r="J14" s="505" t="s">
        <v>465</v>
      </c>
      <c r="K14" s="505">
        <v>55</v>
      </c>
      <c r="L14" s="579"/>
      <c r="M14" s="397"/>
      <c r="N14" s="397"/>
      <c r="O14" s="397"/>
      <c r="P14" s="397"/>
      <c r="Q14" s="397"/>
      <c r="R14" s="397"/>
      <c r="S14" s="397"/>
      <c r="T14" s="397"/>
      <c r="U14" s="397"/>
      <c r="V14" s="397"/>
      <c r="W14" s="397"/>
      <c r="X14" s="397"/>
      <c r="Y14" s="397"/>
    </row>
    <row r="15" spans="1:30" ht="15.75" customHeight="1" x14ac:dyDescent="0.25">
      <c r="B15" s="661" t="s">
        <v>487</v>
      </c>
      <c r="C15" s="661" t="s">
        <v>488</v>
      </c>
      <c r="D15" s="706" t="s">
        <v>489</v>
      </c>
      <c r="E15" s="738" t="s">
        <v>431</v>
      </c>
      <c r="F15" s="782">
        <f>18*1220*2440/1000/1000/1000</f>
        <v>5.3582400000000002E-2</v>
      </c>
      <c r="G15" s="606"/>
      <c r="H15" s="581">
        <f t="shared" si="0"/>
        <v>0</v>
      </c>
      <c r="I15" s="530"/>
      <c r="J15" s="505" t="s">
        <v>465</v>
      </c>
      <c r="K15" s="505">
        <v>55</v>
      </c>
      <c r="L15" s="577">
        <f>S41*18*2440*1220</f>
        <v>12.9669408</v>
      </c>
      <c r="P15" s="397"/>
      <c r="Q15" s="477"/>
      <c r="R15" s="478"/>
      <c r="S15" s="478"/>
      <c r="T15" s="478"/>
      <c r="U15" s="479"/>
      <c r="V15" s="397"/>
      <c r="W15" s="397"/>
      <c r="X15" s="397"/>
      <c r="Y15" s="397"/>
    </row>
    <row r="16" spans="1:30" ht="15.95" customHeight="1" x14ac:dyDescent="0.25">
      <c r="B16" s="661" t="s">
        <v>490</v>
      </c>
      <c r="C16" s="661" t="s">
        <v>491</v>
      </c>
      <c r="D16" s="706" t="s">
        <v>492</v>
      </c>
      <c r="E16" s="738" t="s">
        <v>431</v>
      </c>
      <c r="F16" s="782">
        <f>12*1220*2440/1000/1000/1000</f>
        <v>3.5721599999999992E-2</v>
      </c>
      <c r="G16" s="606"/>
      <c r="H16" s="581">
        <f t="shared" si="0"/>
        <v>0</v>
      </c>
      <c r="I16" s="530"/>
      <c r="J16" s="505" t="s">
        <v>465</v>
      </c>
      <c r="K16" s="505">
        <v>39</v>
      </c>
      <c r="L16" s="577">
        <f>S41*12*2440*1220</f>
        <v>8.6446272000000004</v>
      </c>
      <c r="M16" s="397"/>
      <c r="N16" s="397"/>
      <c r="O16" s="397"/>
      <c r="P16" s="397"/>
      <c r="Q16" s="480" t="s">
        <v>493</v>
      </c>
      <c r="R16" s="397"/>
      <c r="S16" s="397"/>
      <c r="T16" s="397"/>
      <c r="U16" s="398"/>
      <c r="V16" s="397" t="s">
        <v>1720</v>
      </c>
      <c r="W16" s="397"/>
      <c r="X16" s="397"/>
      <c r="Y16" s="397" t="s">
        <v>1628</v>
      </c>
    </row>
    <row r="17" spans="2:25" ht="15.75" customHeight="1" x14ac:dyDescent="0.25">
      <c r="B17" s="661" t="s">
        <v>494</v>
      </c>
      <c r="C17" s="661" t="s">
        <v>495</v>
      </c>
      <c r="D17" s="706" t="s">
        <v>496</v>
      </c>
      <c r="E17" s="737" t="s">
        <v>291</v>
      </c>
      <c r="F17" s="781">
        <f>12*6*12*25.4*12*12*25.4/1000/1000/1000</f>
        <v>8.0268226559999989E-2</v>
      </c>
      <c r="G17" s="606"/>
      <c r="H17" s="581">
        <f t="shared" si="0"/>
        <v>0</v>
      </c>
      <c r="I17" s="530"/>
      <c r="J17" s="505" t="s">
        <v>465</v>
      </c>
      <c r="K17" s="505">
        <v>87</v>
      </c>
      <c r="L17" s="579">
        <f>S19*12*1828*3658</f>
        <v>20.301197664000004</v>
      </c>
      <c r="M17" s="397"/>
      <c r="N17" s="397"/>
      <c r="O17" s="397"/>
      <c r="P17" s="397"/>
      <c r="Q17" s="481"/>
      <c r="R17" s="482" t="s">
        <v>497</v>
      </c>
      <c r="S17" s="482" t="s">
        <v>498</v>
      </c>
      <c r="T17" s="483" t="s">
        <v>499</v>
      </c>
      <c r="U17" s="484"/>
      <c r="V17" s="397"/>
      <c r="W17" s="397"/>
      <c r="X17" s="397"/>
      <c r="Y17" s="397"/>
    </row>
    <row r="18" spans="2:25" ht="15.75" customHeight="1" x14ac:dyDescent="0.25">
      <c r="B18" s="661" t="s">
        <v>500</v>
      </c>
      <c r="C18" s="661" t="s">
        <v>501</v>
      </c>
      <c r="D18" s="706" t="s">
        <v>502</v>
      </c>
      <c r="E18" s="737" t="s">
        <v>291</v>
      </c>
      <c r="F18" s="782">
        <f>18*1220*2440/1000/1000/1000</f>
        <v>5.3582400000000002E-2</v>
      </c>
      <c r="G18" s="606"/>
      <c r="H18" s="581">
        <f t="shared" si="0"/>
        <v>0</v>
      </c>
      <c r="I18" s="530"/>
      <c r="J18" s="505" t="s">
        <v>465</v>
      </c>
      <c r="K18" s="505">
        <v>39</v>
      </c>
      <c r="L18" s="579">
        <f>S19*12*1220*2440</f>
        <v>9.0375648000000002</v>
      </c>
      <c r="M18" s="397"/>
      <c r="N18" s="397"/>
      <c r="O18" s="397"/>
      <c r="P18" s="397"/>
      <c r="Q18" s="485"/>
      <c r="R18" s="397" t="s">
        <v>503</v>
      </c>
      <c r="S18" s="486" t="s">
        <v>504</v>
      </c>
      <c r="T18" s="397">
        <f>1000*1000*1000</f>
        <v>1000000000</v>
      </c>
      <c r="U18" s="398" t="s">
        <v>505</v>
      </c>
      <c r="V18" s="397"/>
      <c r="W18" s="397"/>
      <c r="X18" s="397"/>
      <c r="Y18" s="397"/>
    </row>
    <row r="19" spans="2:25" ht="20.100000000000001" customHeight="1" thickBot="1" x14ac:dyDescent="0.3">
      <c r="B19" s="661" t="s">
        <v>506</v>
      </c>
      <c r="C19" s="661" t="s">
        <v>507</v>
      </c>
      <c r="D19" s="706" t="s">
        <v>508</v>
      </c>
      <c r="E19" s="737" t="s">
        <v>291</v>
      </c>
      <c r="F19" s="782">
        <f>15*1220*2440/1000/1000/1000</f>
        <v>4.4652000000000004E-2</v>
      </c>
      <c r="G19" s="606"/>
      <c r="H19" s="581">
        <f t="shared" si="0"/>
        <v>0</v>
      </c>
      <c r="I19" s="530"/>
      <c r="J19" s="505" t="s">
        <v>465</v>
      </c>
      <c r="K19" s="505">
        <v>46</v>
      </c>
      <c r="L19" s="579">
        <f>S19*15*1220*2440</f>
        <v>11.296956</v>
      </c>
      <c r="M19" s="397"/>
      <c r="N19" s="397"/>
      <c r="O19" s="397"/>
      <c r="P19" s="397"/>
      <c r="Q19" s="487"/>
      <c r="R19" s="488"/>
      <c r="S19" s="489">
        <f>253/T18</f>
        <v>2.53E-7</v>
      </c>
      <c r="T19" s="489">
        <f>L12+L13+L17+L18+L19+L21+L22+L23+L24+L49+L57+L58</f>
        <v>159.20377176</v>
      </c>
      <c r="U19" s="490" t="s">
        <v>509</v>
      </c>
      <c r="V19" s="397"/>
      <c r="W19" s="397"/>
      <c r="X19" s="397"/>
      <c r="Y19" s="397"/>
    </row>
    <row r="20" spans="2:25" ht="12" customHeight="1" x14ac:dyDescent="0.25">
      <c r="B20" s="661" t="s">
        <v>510</v>
      </c>
      <c r="C20" s="661" t="s">
        <v>511</v>
      </c>
      <c r="D20" s="706" t="s">
        <v>512</v>
      </c>
      <c r="E20" s="738" t="s">
        <v>431</v>
      </c>
      <c r="F20" s="782">
        <f>9*1220*2440/1000/1000/1000</f>
        <v>2.6791200000000001E-2</v>
      </c>
      <c r="G20" s="606"/>
      <c r="H20" s="581">
        <f t="shared" si="0"/>
        <v>0</v>
      </c>
      <c r="I20" s="530"/>
      <c r="J20" s="505" t="s">
        <v>465</v>
      </c>
      <c r="K20" s="505">
        <v>31</v>
      </c>
      <c r="L20" s="579">
        <f>S41*9*2440*1220</f>
        <v>6.4834703999999999</v>
      </c>
      <c r="M20" s="397"/>
      <c r="N20" s="397"/>
      <c r="O20" s="397"/>
      <c r="P20" s="397"/>
      <c r="Q20" s="397"/>
      <c r="R20" s="397"/>
      <c r="S20" s="397"/>
      <c r="T20" s="397"/>
      <c r="U20" s="397"/>
      <c r="V20" s="397"/>
      <c r="W20" s="397"/>
      <c r="X20" s="397"/>
      <c r="Y20" s="397"/>
    </row>
    <row r="21" spans="2:25" ht="15.75" customHeight="1" x14ac:dyDescent="0.25">
      <c r="B21" s="661" t="s">
        <v>513</v>
      </c>
      <c r="C21" s="661" t="s">
        <v>514</v>
      </c>
      <c r="D21" s="706" t="s">
        <v>515</v>
      </c>
      <c r="E21" s="737" t="s">
        <v>291</v>
      </c>
      <c r="F21" s="782">
        <f>9*1220*2440/1000/1000/1000</f>
        <v>2.6791200000000001E-2</v>
      </c>
      <c r="G21" s="606"/>
      <c r="H21" s="581">
        <f t="shared" si="0"/>
        <v>0</v>
      </c>
      <c r="I21" s="530"/>
      <c r="J21" s="505" t="s">
        <v>465</v>
      </c>
      <c r="K21" s="505">
        <v>31</v>
      </c>
      <c r="L21" s="579">
        <f>S19*9*1220*2440</f>
        <v>6.7781735999999997</v>
      </c>
      <c r="M21" s="397"/>
      <c r="N21" s="397"/>
      <c r="O21" s="397"/>
      <c r="P21" s="397"/>
      <c r="Q21" s="397"/>
      <c r="R21" s="397"/>
      <c r="S21" s="397"/>
      <c r="T21" s="397"/>
      <c r="U21" s="397"/>
      <c r="V21" s="397"/>
      <c r="W21" s="397"/>
      <c r="X21" s="397"/>
      <c r="Y21" s="397"/>
    </row>
    <row r="22" spans="2:25" ht="21.75" customHeight="1" x14ac:dyDescent="0.25">
      <c r="B22" s="661" t="s">
        <v>516</v>
      </c>
      <c r="C22" s="661" t="s">
        <v>517</v>
      </c>
      <c r="D22" s="706" t="s">
        <v>518</v>
      </c>
      <c r="E22" s="737" t="s">
        <v>291</v>
      </c>
      <c r="F22" s="782">
        <f>6*1220*2440/1000/1000/1000</f>
        <v>1.7860799999999996E-2</v>
      </c>
      <c r="G22" s="606"/>
      <c r="H22" s="581">
        <f t="shared" si="0"/>
        <v>0</v>
      </c>
      <c r="J22" s="505" t="s">
        <v>465</v>
      </c>
      <c r="K22" s="505">
        <v>23</v>
      </c>
      <c r="L22" s="579">
        <f>S19*6*1220*2440</f>
        <v>4.5187824000000001</v>
      </c>
      <c r="M22" s="397"/>
      <c r="N22" s="397"/>
      <c r="O22" s="397"/>
      <c r="P22" s="397"/>
      <c r="Q22" s="397"/>
      <c r="R22" s="397"/>
      <c r="S22" s="397"/>
      <c r="T22" s="397"/>
      <c r="U22" s="397"/>
      <c r="V22" s="397"/>
      <c r="W22" s="397"/>
      <c r="X22" s="397"/>
      <c r="Y22" s="397"/>
    </row>
    <row r="23" spans="2:25" ht="15.75" customHeight="1" thickBot="1" x14ac:dyDescent="0.3">
      <c r="B23" s="661" t="s">
        <v>519</v>
      </c>
      <c r="C23" s="661" t="s">
        <v>520</v>
      </c>
      <c r="D23" s="706" t="s">
        <v>521</v>
      </c>
      <c r="E23" s="737" t="s">
        <v>291</v>
      </c>
      <c r="F23" s="782">
        <f>3*1220*2440/1000/1000/1000</f>
        <v>8.9303999999999981E-3</v>
      </c>
      <c r="G23" s="606"/>
      <c r="H23" s="581">
        <f t="shared" si="0"/>
        <v>0</v>
      </c>
      <c r="I23" s="525"/>
      <c r="J23" s="505" t="s">
        <v>465</v>
      </c>
      <c r="K23" s="505">
        <v>8</v>
      </c>
      <c r="L23" s="579">
        <f>S19*3*1220*2440</f>
        <v>2.2593912</v>
      </c>
      <c r="M23" s="397"/>
      <c r="N23" s="397"/>
      <c r="O23" s="397"/>
      <c r="P23" s="397"/>
      <c r="Q23" s="397"/>
      <c r="R23" s="397"/>
      <c r="S23" s="397"/>
      <c r="T23" s="397"/>
      <c r="U23" s="397"/>
      <c r="V23" s="397"/>
      <c r="W23" s="397"/>
      <c r="X23" s="397"/>
      <c r="Y23" s="397"/>
    </row>
    <row r="24" spans="2:25" ht="15.75" customHeight="1" x14ac:dyDescent="0.25">
      <c r="B24" s="661" t="s">
        <v>522</v>
      </c>
      <c r="C24" s="661" t="s">
        <v>523</v>
      </c>
      <c r="D24" s="706" t="s">
        <v>524</v>
      </c>
      <c r="E24" s="737" t="s">
        <v>291</v>
      </c>
      <c r="F24" s="782">
        <f>4*1220*2440/1000/1000/1000</f>
        <v>1.1907200000000001E-2</v>
      </c>
      <c r="G24" s="606"/>
      <c r="H24" s="581">
        <f t="shared" si="0"/>
        <v>0</v>
      </c>
      <c r="I24" s="464"/>
      <c r="J24" s="505" t="s">
        <v>465</v>
      </c>
      <c r="K24" s="505">
        <v>15</v>
      </c>
      <c r="L24" s="579">
        <f>S19*4*1220*2440</f>
        <v>3.0125215999999999</v>
      </c>
      <c r="M24" s="397"/>
      <c r="N24" s="397"/>
      <c r="O24" s="397"/>
      <c r="P24" s="397"/>
      <c r="Q24" s="1013" t="s">
        <v>525</v>
      </c>
      <c r="R24" s="1014"/>
      <c r="S24" s="491"/>
      <c r="T24" s="491"/>
      <c r="U24" s="492"/>
      <c r="V24" s="397"/>
      <c r="W24" s="397"/>
      <c r="X24" s="397"/>
      <c r="Y24" s="397"/>
    </row>
    <row r="25" spans="2:25" ht="15.75" customHeight="1" x14ac:dyDescent="0.25">
      <c r="B25" s="661" t="s">
        <v>526</v>
      </c>
      <c r="C25" s="661" t="s">
        <v>527</v>
      </c>
      <c r="D25" s="706" t="s">
        <v>528</v>
      </c>
      <c r="E25" s="739" t="s">
        <v>300</v>
      </c>
      <c r="F25" s="781">
        <f>5*4*12*25.4*8*12*25.4/1000/1000/1000</f>
        <v>1.4864486399999998E-2</v>
      </c>
      <c r="G25" s="606"/>
      <c r="H25" s="581">
        <f t="shared" si="0"/>
        <v>0</v>
      </c>
      <c r="I25" s="525"/>
      <c r="J25" s="505" t="s">
        <v>465</v>
      </c>
      <c r="K25" s="505">
        <v>25</v>
      </c>
      <c r="L25" s="579">
        <f>$S$28*5*2440*1220</f>
        <v>3.2595959999999997</v>
      </c>
      <c r="M25" s="397"/>
      <c r="N25" s="397"/>
      <c r="O25" s="397"/>
      <c r="P25" s="397"/>
      <c r="Q25" s="493"/>
      <c r="R25" s="397"/>
      <c r="S25" s="397"/>
      <c r="T25" s="397"/>
      <c r="U25" s="398"/>
      <c r="V25" s="397"/>
      <c r="W25" s="397"/>
      <c r="X25" s="397"/>
      <c r="Y25" s="397"/>
    </row>
    <row r="26" spans="2:25" ht="15.75" customHeight="1" x14ac:dyDescent="0.25">
      <c r="B26" s="661" t="s">
        <v>529</v>
      </c>
      <c r="C26" s="661" t="s">
        <v>530</v>
      </c>
      <c r="D26" s="706" t="s">
        <v>531</v>
      </c>
      <c r="E26" s="739" t="s">
        <v>300</v>
      </c>
      <c r="F26" s="781">
        <f>5*4*12*25.4*8*12*25.4/1000/1000/1000</f>
        <v>1.4864486399999998E-2</v>
      </c>
      <c r="G26" s="606"/>
      <c r="H26" s="581">
        <f t="shared" si="0"/>
        <v>0</v>
      </c>
      <c r="J26" s="505" t="s">
        <v>465</v>
      </c>
      <c r="K26" s="505">
        <v>25</v>
      </c>
      <c r="L26" s="579">
        <f>$S$28*5*2440*1220</f>
        <v>3.2595959999999997</v>
      </c>
      <c r="M26" s="397"/>
      <c r="N26" s="397"/>
      <c r="O26" s="397"/>
      <c r="P26" s="397"/>
      <c r="Q26" s="493"/>
      <c r="R26" s="475" t="s">
        <v>497</v>
      </c>
      <c r="S26" s="475" t="s">
        <v>498</v>
      </c>
      <c r="T26" s="397" t="s">
        <v>532</v>
      </c>
      <c r="U26" s="398"/>
      <c r="V26" s="397"/>
      <c r="W26" s="397"/>
      <c r="X26" s="397"/>
      <c r="Y26" s="397"/>
    </row>
    <row r="27" spans="2:25" ht="15.75" customHeight="1" x14ac:dyDescent="0.25">
      <c r="B27" s="661" t="s">
        <v>533</v>
      </c>
      <c r="C27" s="661" t="s">
        <v>534</v>
      </c>
      <c r="D27" s="706" t="s">
        <v>535</v>
      </c>
      <c r="E27" s="740" t="s">
        <v>1609</v>
      </c>
      <c r="F27" s="781">
        <f>2*12*25.4*10*12*25.4*12*12*25.4/1000/1000/1000</f>
        <v>6.7960431820799974</v>
      </c>
      <c r="G27" s="606"/>
      <c r="H27" s="581">
        <f t="shared" si="0"/>
        <v>0</v>
      </c>
      <c r="I27" s="526"/>
      <c r="J27" s="505" t="s">
        <v>465</v>
      </c>
      <c r="K27" s="505">
        <v>26</v>
      </c>
      <c r="L27" s="579">
        <f>S59*2*10*144</f>
        <v>1.9774716518141817</v>
      </c>
      <c r="M27" s="397"/>
      <c r="N27" s="397"/>
      <c r="O27" s="397"/>
      <c r="P27" s="397"/>
      <c r="Q27" s="493"/>
      <c r="R27" s="397" t="s">
        <v>536</v>
      </c>
      <c r="S27" s="486" t="s">
        <v>504</v>
      </c>
      <c r="T27" s="397">
        <f>1000*1000*1000</f>
        <v>1000000000</v>
      </c>
      <c r="U27" s="398" t="s">
        <v>505</v>
      </c>
      <c r="V27" s="397"/>
      <c r="W27" s="397"/>
      <c r="X27" s="397"/>
      <c r="Y27" s="397"/>
    </row>
    <row r="28" spans="2:25" ht="15.75" thickBot="1" x14ac:dyDescent="0.3">
      <c r="B28" s="661" t="s">
        <v>537</v>
      </c>
      <c r="C28" s="661" t="s">
        <v>538</v>
      </c>
      <c r="D28" s="706" t="s">
        <v>539</v>
      </c>
      <c r="E28" s="739" t="s">
        <v>300</v>
      </c>
      <c r="F28" s="781">
        <f>12*4*12*25.4*8*12*25.4/1000/1000/1000</f>
        <v>3.5674767359999991E-2</v>
      </c>
      <c r="G28" s="606"/>
      <c r="H28" s="581">
        <f t="shared" si="0"/>
        <v>0</v>
      </c>
      <c r="I28" s="530"/>
      <c r="J28" s="505" t="s">
        <v>465</v>
      </c>
      <c r="K28" s="505">
        <v>34</v>
      </c>
      <c r="L28" s="579">
        <f>$S$28*12*2440*1220</f>
        <v>7.8230304000000004</v>
      </c>
      <c r="M28" s="397"/>
      <c r="P28" s="397"/>
      <c r="Q28" s="494"/>
      <c r="R28" s="489"/>
      <c r="S28" s="489">
        <f>219/T27</f>
        <v>2.1899999999999999E-7</v>
      </c>
      <c r="T28" s="489">
        <f>L28+L29+L31+L34+L35</f>
        <v>44.982424799999997</v>
      </c>
      <c r="U28" s="490" t="s">
        <v>509</v>
      </c>
      <c r="V28" s="397"/>
      <c r="W28" s="397"/>
      <c r="X28" s="397"/>
      <c r="Y28" s="397"/>
    </row>
    <row r="29" spans="2:25" x14ac:dyDescent="0.25">
      <c r="B29" s="661" t="s">
        <v>540</v>
      </c>
      <c r="C29" s="661" t="s">
        <v>541</v>
      </c>
      <c r="D29" s="706" t="s">
        <v>542</v>
      </c>
      <c r="E29" s="739" t="s">
        <v>300</v>
      </c>
      <c r="F29" s="781">
        <f>18*4*12*25.4*8*12*25.4/1000/1000/1000</f>
        <v>5.3512151039999983E-2</v>
      </c>
      <c r="G29" s="606"/>
      <c r="H29" s="581">
        <f t="shared" si="0"/>
        <v>0</v>
      </c>
      <c r="I29" s="530"/>
      <c r="J29" s="505" t="s">
        <v>465</v>
      </c>
      <c r="K29" s="505">
        <v>40</v>
      </c>
      <c r="L29" s="579">
        <f>S28*18*2440*1220</f>
        <v>11.734545599999999</v>
      </c>
      <c r="P29" s="397"/>
      <c r="Q29" s="397"/>
      <c r="R29" s="397"/>
      <c r="S29" s="397"/>
      <c r="T29" s="397"/>
      <c r="U29" s="397"/>
      <c r="V29" s="397"/>
      <c r="W29" s="397"/>
      <c r="X29" s="397"/>
      <c r="Y29" s="397"/>
    </row>
    <row r="30" spans="2:25" x14ac:dyDescent="0.25">
      <c r="B30" s="661" t="s">
        <v>543</v>
      </c>
      <c r="C30" s="661" t="s">
        <v>544</v>
      </c>
      <c r="D30" s="706" t="s">
        <v>545</v>
      </c>
      <c r="E30" s="740" t="s">
        <v>1609</v>
      </c>
      <c r="F30" s="781">
        <f>2*12*25.4*4*12*25.4*13*12*25.4/1000/1000/1000</f>
        <v>2.9449520455679994</v>
      </c>
      <c r="G30" s="606"/>
      <c r="H30" s="581">
        <f t="shared" si="0"/>
        <v>0</v>
      </c>
      <c r="I30" s="530"/>
      <c r="J30" s="505" t="s">
        <v>465</v>
      </c>
      <c r="K30" s="505">
        <v>12</v>
      </c>
      <c r="L30" s="579">
        <f>S59*2*4*156</f>
        <v>0.85690438245281197</v>
      </c>
      <c r="M30" s="397"/>
      <c r="N30" s="397"/>
      <c r="O30" s="397"/>
      <c r="P30" s="397"/>
      <c r="Q30" s="397"/>
      <c r="R30" s="397"/>
      <c r="S30" s="397"/>
      <c r="T30" s="397"/>
      <c r="U30" s="397"/>
      <c r="V30" s="397"/>
      <c r="W30" s="397"/>
      <c r="X30" s="397"/>
      <c r="Y30" s="397"/>
    </row>
    <row r="31" spans="2:25" x14ac:dyDescent="0.25">
      <c r="B31" s="661" t="s">
        <v>546</v>
      </c>
      <c r="C31" s="661" t="s">
        <v>547</v>
      </c>
      <c r="D31" s="706" t="s">
        <v>548</v>
      </c>
      <c r="E31" s="739" t="s">
        <v>300</v>
      </c>
      <c r="F31" s="781">
        <f>9*4*12*25.4*8*12*25.4/1000/1000/1000</f>
        <v>2.6756075519999992E-2</v>
      </c>
      <c r="G31" s="606"/>
      <c r="H31" s="581">
        <f t="shared" si="0"/>
        <v>0</v>
      </c>
      <c r="I31" s="530"/>
      <c r="J31" s="505" t="s">
        <v>465</v>
      </c>
      <c r="K31" s="505">
        <v>31</v>
      </c>
      <c r="L31" s="579">
        <f>S28*9*2440*1220</f>
        <v>5.8672727999999994</v>
      </c>
      <c r="M31" s="397"/>
      <c r="N31" s="397"/>
      <c r="O31" s="397"/>
      <c r="P31" s="397"/>
      <c r="R31" s="397"/>
      <c r="S31" s="397"/>
      <c r="T31" s="397"/>
      <c r="U31" s="397"/>
      <c r="V31" s="397"/>
      <c r="W31" s="397"/>
      <c r="X31" s="397"/>
      <c r="Y31" s="397"/>
    </row>
    <row r="32" spans="2:25" x14ac:dyDescent="0.25">
      <c r="B32" s="661" t="s">
        <v>549</v>
      </c>
      <c r="C32" s="661" t="s">
        <v>550</v>
      </c>
      <c r="D32" s="706" t="s">
        <v>551</v>
      </c>
      <c r="E32" s="761" t="s">
        <v>1797</v>
      </c>
      <c r="F32" s="781">
        <f>12*4*12*25.4*8*12*25.4/1000/1000/1000</f>
        <v>3.5674767359999991E-2</v>
      </c>
      <c r="G32" s="605"/>
      <c r="H32" s="581">
        <f t="shared" si="0"/>
        <v>0</v>
      </c>
      <c r="I32" s="530"/>
      <c r="J32" s="505" t="s">
        <v>465</v>
      </c>
      <c r="K32" s="505">
        <v>39</v>
      </c>
      <c r="L32" s="579"/>
      <c r="M32" s="397"/>
      <c r="N32" s="397"/>
      <c r="O32" s="397"/>
      <c r="P32" s="397"/>
      <c r="Q32" s="397"/>
      <c r="R32" s="397"/>
      <c r="S32" s="397"/>
      <c r="T32" s="397"/>
      <c r="U32" s="397"/>
      <c r="V32" s="397"/>
      <c r="W32" s="397"/>
      <c r="X32" s="397"/>
      <c r="Y32" s="397"/>
    </row>
    <row r="33" spans="2:25" x14ac:dyDescent="0.25">
      <c r="B33" s="661" t="s">
        <v>552</v>
      </c>
      <c r="C33" s="661" t="s">
        <v>553</v>
      </c>
      <c r="D33" s="706" t="s">
        <v>554</v>
      </c>
      <c r="E33" s="738" t="s">
        <v>431</v>
      </c>
      <c r="F33" s="782">
        <f>12*1220*2440/1000/1000/1000</f>
        <v>3.5721599999999992E-2</v>
      </c>
      <c r="G33" s="606"/>
      <c r="H33" s="581">
        <f t="shared" si="0"/>
        <v>0</v>
      </c>
      <c r="I33" s="530"/>
      <c r="J33" s="505" t="s">
        <v>465</v>
      </c>
      <c r="K33" s="505">
        <v>39</v>
      </c>
      <c r="L33" s="579">
        <f>S41*12*2440*1220</f>
        <v>8.6446272000000004</v>
      </c>
      <c r="M33" s="397"/>
      <c r="N33" s="397"/>
      <c r="O33" s="397"/>
      <c r="P33" s="397"/>
      <c r="Q33" s="397"/>
      <c r="R33" s="397"/>
      <c r="S33" s="397"/>
      <c r="T33" s="397"/>
      <c r="U33" s="397"/>
      <c r="V33" s="397"/>
      <c r="W33" s="397"/>
      <c r="X33" s="397"/>
      <c r="Y33" s="397"/>
    </row>
    <row r="34" spans="2:25" x14ac:dyDescent="0.25">
      <c r="B34" s="661" t="s">
        <v>555</v>
      </c>
      <c r="C34" s="661" t="s">
        <v>556</v>
      </c>
      <c r="D34" s="706" t="s">
        <v>557</v>
      </c>
      <c r="E34" s="739" t="s">
        <v>300</v>
      </c>
      <c r="F34" s="781">
        <f>12*4*12*25.4*8*12*25.4/1000/1000/1000</f>
        <v>3.5674767359999991E-2</v>
      </c>
      <c r="G34" s="606"/>
      <c r="H34" s="581">
        <f t="shared" si="0"/>
        <v>0</v>
      </c>
      <c r="I34" s="530"/>
      <c r="J34" s="505" t="s">
        <v>465</v>
      </c>
      <c r="K34" s="505">
        <v>34</v>
      </c>
      <c r="L34" s="579">
        <f>S28*12*2440*1220</f>
        <v>7.8230304000000004</v>
      </c>
      <c r="M34" s="397"/>
      <c r="N34" s="397"/>
      <c r="O34" s="397"/>
      <c r="P34" s="397"/>
      <c r="Q34" s="397"/>
      <c r="R34" s="397"/>
      <c r="S34" s="397"/>
      <c r="T34" s="397"/>
      <c r="U34" s="397"/>
      <c r="V34" s="397"/>
      <c r="W34" s="397"/>
      <c r="X34" s="397"/>
      <c r="Y34" s="397"/>
    </row>
    <row r="35" spans="2:25" x14ac:dyDescent="0.25">
      <c r="B35" s="661" t="s">
        <v>559</v>
      </c>
      <c r="C35" s="661" t="s">
        <v>560</v>
      </c>
      <c r="D35" s="706" t="s">
        <v>561</v>
      </c>
      <c r="E35" s="739" t="s">
        <v>300</v>
      </c>
      <c r="F35" s="781">
        <f>18*4*12*25.4*8*12*25.4/1000/1000/1000</f>
        <v>5.3512151039999983E-2</v>
      </c>
      <c r="G35" s="606"/>
      <c r="H35" s="581">
        <f t="shared" si="0"/>
        <v>0</v>
      </c>
      <c r="I35" s="530"/>
      <c r="J35" s="505" t="s">
        <v>465</v>
      </c>
      <c r="K35" s="505">
        <v>40</v>
      </c>
      <c r="L35" s="579">
        <f>S28*18*2440*1220</f>
        <v>11.734545599999999</v>
      </c>
      <c r="M35" s="397"/>
      <c r="N35" s="397"/>
      <c r="O35" s="397"/>
      <c r="P35" s="397"/>
      <c r="Q35" s="397"/>
      <c r="R35" s="397"/>
      <c r="S35" s="397"/>
      <c r="T35" s="397"/>
      <c r="U35" s="397"/>
      <c r="V35" s="397"/>
      <c r="W35" s="397"/>
      <c r="X35" s="397"/>
    </row>
    <row r="36" spans="2:25" ht="15.75" thickBot="1" x14ac:dyDescent="0.3">
      <c r="B36" s="661" t="s">
        <v>562</v>
      </c>
      <c r="C36" s="661" t="s">
        <v>563</v>
      </c>
      <c r="D36" s="706" t="s">
        <v>564</v>
      </c>
      <c r="E36" s="738" t="s">
        <v>431</v>
      </c>
      <c r="F36" s="781">
        <f>18*4*12*25.4*8*12*25.4/1000/1000/1000</f>
        <v>5.3512151039999983E-2</v>
      </c>
      <c r="G36" s="606"/>
      <c r="H36" s="581">
        <f t="shared" si="0"/>
        <v>0</v>
      </c>
      <c r="I36" s="530"/>
      <c r="J36" s="505" t="s">
        <v>465</v>
      </c>
      <c r="K36" s="505">
        <v>55</v>
      </c>
      <c r="L36" s="579"/>
      <c r="M36" s="397"/>
      <c r="N36" s="397"/>
      <c r="O36" s="397"/>
      <c r="P36" s="397"/>
      <c r="Q36" s="397"/>
      <c r="R36" s="397"/>
      <c r="S36" s="397"/>
      <c r="T36" s="397"/>
      <c r="U36" s="397"/>
      <c r="V36" s="397"/>
      <c r="W36" s="397"/>
      <c r="X36" s="397"/>
      <c r="Y36" s="397"/>
    </row>
    <row r="37" spans="2:25" x14ac:dyDescent="0.25">
      <c r="B37" s="661" t="s">
        <v>566</v>
      </c>
      <c r="C37" s="661" t="s">
        <v>567</v>
      </c>
      <c r="D37" s="706" t="s">
        <v>568</v>
      </c>
      <c r="E37" s="737" t="s">
        <v>291</v>
      </c>
      <c r="F37" s="781">
        <f>18*4*12*25.4*8*12*25.4/1000/1000/1000</f>
        <v>5.3512151039999983E-2</v>
      </c>
      <c r="G37" s="606"/>
      <c r="H37" s="581">
        <f t="shared" si="0"/>
        <v>0</v>
      </c>
      <c r="I37" s="530"/>
      <c r="J37" s="505" t="s">
        <v>465</v>
      </c>
      <c r="K37" s="505">
        <v>55</v>
      </c>
      <c r="L37" s="579"/>
      <c r="M37" s="397"/>
      <c r="N37" s="397"/>
      <c r="O37" s="397"/>
      <c r="P37" s="397"/>
      <c r="Q37" s="1011" t="s">
        <v>558</v>
      </c>
      <c r="R37" s="1012"/>
      <c r="S37" s="495"/>
      <c r="T37" s="495"/>
      <c r="U37" s="496"/>
      <c r="V37" s="397"/>
      <c r="W37" s="397"/>
      <c r="X37" s="397"/>
      <c r="Y37" s="397"/>
    </row>
    <row r="38" spans="2:25" x14ac:dyDescent="0.25">
      <c r="B38" s="661" t="s">
        <v>570</v>
      </c>
      <c r="C38" s="661" t="s">
        <v>571</v>
      </c>
      <c r="D38" s="706" t="s">
        <v>572</v>
      </c>
      <c r="E38" s="737" t="s">
        <v>291</v>
      </c>
      <c r="F38" s="782">
        <f>12*1220*2440/1000/1000/1000</f>
        <v>3.5721599999999992E-2</v>
      </c>
      <c r="G38" s="606"/>
      <c r="H38" s="581">
        <f t="shared" si="0"/>
        <v>0</v>
      </c>
      <c r="I38" s="530"/>
      <c r="J38" s="505" t="s">
        <v>465</v>
      </c>
      <c r="K38" s="505">
        <v>39</v>
      </c>
      <c r="L38" s="579"/>
      <c r="M38" s="397"/>
      <c r="N38" s="397"/>
      <c r="O38" s="397"/>
      <c r="P38" s="397"/>
      <c r="Q38" s="497"/>
      <c r="R38" s="486"/>
      <c r="S38" s="486"/>
      <c r="T38" s="486"/>
      <c r="U38" s="498"/>
      <c r="V38" s="397"/>
      <c r="W38" s="397"/>
      <c r="X38" s="397"/>
      <c r="Y38" s="397"/>
    </row>
    <row r="39" spans="2:25" x14ac:dyDescent="0.25">
      <c r="B39" s="661" t="s">
        <v>573</v>
      </c>
      <c r="C39" s="661" t="s">
        <v>574</v>
      </c>
      <c r="D39" s="706" t="s">
        <v>575</v>
      </c>
      <c r="E39" s="737" t="s">
        <v>291</v>
      </c>
      <c r="F39" s="781">
        <f>12*4*12*25.4*8*12*25.4/1000/1000/1000</f>
        <v>3.5674767359999991E-2</v>
      </c>
      <c r="G39" s="606"/>
      <c r="H39" s="581">
        <f t="shared" si="0"/>
        <v>0</v>
      </c>
      <c r="I39" s="530"/>
      <c r="J39" s="505" t="s">
        <v>465</v>
      </c>
      <c r="K39" s="505">
        <v>39</v>
      </c>
      <c r="L39" s="579"/>
      <c r="M39" s="397"/>
      <c r="N39" s="397"/>
      <c r="O39" s="397"/>
      <c r="P39" s="397"/>
      <c r="Q39" s="497"/>
      <c r="R39" s="499" t="s">
        <v>497</v>
      </c>
      <c r="S39" s="499" t="s">
        <v>498</v>
      </c>
      <c r="T39" s="397" t="s">
        <v>565</v>
      </c>
      <c r="U39" s="500"/>
      <c r="V39" s="397"/>
      <c r="W39" s="397"/>
      <c r="X39" s="397"/>
      <c r="Y39" s="397"/>
    </row>
    <row r="40" spans="2:25" x14ac:dyDescent="0.25">
      <c r="B40" s="661" t="s">
        <v>576</v>
      </c>
      <c r="C40" s="661" t="s">
        <v>577</v>
      </c>
      <c r="D40" s="706" t="s">
        <v>578</v>
      </c>
      <c r="E40" s="738" t="s">
        <v>431</v>
      </c>
      <c r="F40" s="782">
        <f>12*1220*2440/1000/1000/1000</f>
        <v>3.5721599999999992E-2</v>
      </c>
      <c r="G40" s="606"/>
      <c r="H40" s="581">
        <f t="shared" si="0"/>
        <v>0</v>
      </c>
      <c r="I40" s="530"/>
      <c r="J40" s="505" t="s">
        <v>465</v>
      </c>
      <c r="K40" s="505">
        <v>39</v>
      </c>
      <c r="L40" s="579"/>
      <c r="M40" s="397"/>
      <c r="N40" s="397"/>
      <c r="O40" s="397"/>
      <c r="P40" s="397"/>
      <c r="Q40" s="497"/>
      <c r="R40" s="397" t="s">
        <v>569</v>
      </c>
      <c r="S40" s="486" t="s">
        <v>504</v>
      </c>
      <c r="T40" s="486">
        <v>1000000000</v>
      </c>
      <c r="U40" s="498" t="s">
        <v>505</v>
      </c>
      <c r="V40" s="397"/>
      <c r="W40" s="397"/>
      <c r="X40" s="397"/>
      <c r="Y40" s="397"/>
    </row>
    <row r="41" spans="2:25" ht="15.75" thickBot="1" x14ac:dyDescent="0.3">
      <c r="B41" s="661" t="s">
        <v>579</v>
      </c>
      <c r="C41" s="661" t="s">
        <v>580</v>
      </c>
      <c r="D41" s="706" t="s">
        <v>581</v>
      </c>
      <c r="E41" s="737" t="s">
        <v>291</v>
      </c>
      <c r="F41" s="781">
        <f>12*4*12*25.4*8*12*25.4/1000/1000/1000</f>
        <v>3.5674767359999991E-2</v>
      </c>
      <c r="G41" s="605"/>
      <c r="H41" s="581">
        <f t="shared" si="0"/>
        <v>0</v>
      </c>
      <c r="I41" s="530"/>
      <c r="J41" s="505" t="s">
        <v>465</v>
      </c>
      <c r="K41" s="505">
        <v>39</v>
      </c>
      <c r="L41" s="579"/>
      <c r="M41" s="397"/>
      <c r="N41" s="397"/>
      <c r="O41" s="397"/>
      <c r="P41" s="397"/>
      <c r="Q41" s="501"/>
      <c r="R41" s="502"/>
      <c r="S41" s="502">
        <f>242/T40</f>
        <v>2.4200000000000002E-7</v>
      </c>
      <c r="T41" s="502">
        <f>L15+L16+L20+L33+L44+L65+L66+L75+L82+L84</f>
        <v>113.38104624000002</v>
      </c>
      <c r="U41" s="503" t="s">
        <v>509</v>
      </c>
      <c r="V41" s="397"/>
      <c r="W41" s="397"/>
      <c r="X41" s="397"/>
      <c r="Y41" s="397"/>
    </row>
    <row r="42" spans="2:25" x14ac:dyDescent="0.25">
      <c r="B42" s="661" t="s">
        <v>582</v>
      </c>
      <c r="C42" s="661" t="s">
        <v>583</v>
      </c>
      <c r="D42" s="663" t="s">
        <v>584</v>
      </c>
      <c r="E42" s="740" t="s">
        <v>1609</v>
      </c>
      <c r="F42" s="781">
        <f>2*12*25.4*9*12*25.4*8*12*25.4/1000/1000/1000</f>
        <v>4.0776259092479981</v>
      </c>
      <c r="G42" s="606"/>
      <c r="H42" s="581">
        <f t="shared" si="0"/>
        <v>0</v>
      </c>
      <c r="I42" s="530"/>
      <c r="J42" s="505"/>
      <c r="K42" s="505"/>
      <c r="L42" s="579"/>
      <c r="M42" s="397"/>
      <c r="N42" s="397"/>
      <c r="O42" s="397"/>
      <c r="P42" s="397"/>
      <c r="Q42" s="397"/>
      <c r="R42" s="397"/>
      <c r="S42" s="397"/>
      <c r="T42" s="397"/>
      <c r="U42" s="397"/>
      <c r="V42" s="397"/>
      <c r="W42" s="397"/>
      <c r="X42" s="397"/>
      <c r="Y42" s="397"/>
    </row>
    <row r="43" spans="2:25" x14ac:dyDescent="0.25">
      <c r="B43" s="661" t="s">
        <v>585</v>
      </c>
      <c r="C43" s="661" t="s">
        <v>586</v>
      </c>
      <c r="D43" s="663" t="s">
        <v>587</v>
      </c>
      <c r="E43" s="738" t="s">
        <v>431</v>
      </c>
      <c r="F43" s="782">
        <f>18*1220*2440/1000/1000/1000</f>
        <v>5.3582400000000002E-2</v>
      </c>
      <c r="G43" s="606"/>
      <c r="H43" s="581">
        <f t="shared" si="0"/>
        <v>0</v>
      </c>
      <c r="I43" s="530"/>
      <c r="J43" s="505" t="s">
        <v>465</v>
      </c>
      <c r="K43" s="505">
        <v>20</v>
      </c>
      <c r="L43" s="579">
        <f>S59*2*9*96</f>
        <v>1.1864829910885089</v>
      </c>
      <c r="M43" s="397"/>
      <c r="N43" s="397"/>
      <c r="O43" s="397"/>
      <c r="P43" s="397"/>
      <c r="Q43" s="397"/>
      <c r="R43" s="397"/>
      <c r="S43" s="397"/>
      <c r="T43" s="397"/>
      <c r="U43" s="397"/>
      <c r="V43" s="397"/>
      <c r="W43" s="397"/>
      <c r="X43" s="397"/>
      <c r="Y43" s="397"/>
    </row>
    <row r="44" spans="2:25" ht="15.95" customHeight="1" x14ac:dyDescent="0.25">
      <c r="B44" s="661" t="s">
        <v>588</v>
      </c>
      <c r="C44" s="661" t="s">
        <v>589</v>
      </c>
      <c r="D44" s="663" t="s">
        <v>1612</v>
      </c>
      <c r="E44" s="741" t="s">
        <v>1610</v>
      </c>
      <c r="F44" s="781">
        <f>18*4*12*25.4*8*12*25.4/1000/1000/1000</f>
        <v>5.3512151039999983E-2</v>
      </c>
      <c r="G44" s="606"/>
      <c r="H44" s="581">
        <f t="shared" si="0"/>
        <v>0</v>
      </c>
      <c r="I44" s="530"/>
      <c r="J44" s="505" t="s">
        <v>465</v>
      </c>
      <c r="K44" s="505">
        <v>55</v>
      </c>
      <c r="L44" s="579">
        <f>S41*18*2440*1220</f>
        <v>12.9669408</v>
      </c>
      <c r="M44" s="397"/>
      <c r="P44" s="397"/>
      <c r="Q44" s="397"/>
      <c r="R44" s="397"/>
      <c r="S44" s="397"/>
      <c r="T44" s="397"/>
      <c r="U44" s="397"/>
      <c r="V44" s="397"/>
      <c r="W44" s="397"/>
      <c r="X44" s="397"/>
      <c r="Y44" s="397"/>
    </row>
    <row r="45" spans="2:25" ht="15.95" customHeight="1" x14ac:dyDescent="0.25">
      <c r="B45" s="661" t="s">
        <v>590</v>
      </c>
      <c r="C45" s="661" t="s">
        <v>591</v>
      </c>
      <c r="D45" s="706" t="s">
        <v>592</v>
      </c>
      <c r="E45" s="738" t="s">
        <v>431</v>
      </c>
      <c r="F45" s="781">
        <f>18*4*12*25.4*8*12*25.4/1000/1000/1000</f>
        <v>5.3512151039999983E-2</v>
      </c>
      <c r="G45" s="605"/>
      <c r="H45" s="581">
        <f t="shared" si="0"/>
        <v>0</v>
      </c>
      <c r="I45" s="530"/>
      <c r="J45" s="505" t="s">
        <v>465</v>
      </c>
      <c r="K45" s="505">
        <v>55</v>
      </c>
      <c r="L45" s="579">
        <f>S51*18*3658*1828</f>
        <v>43.932433679999995</v>
      </c>
      <c r="M45" s="397"/>
      <c r="P45" s="397"/>
      <c r="Q45" s="397"/>
      <c r="R45" s="397"/>
      <c r="S45" s="397"/>
      <c r="T45" s="397"/>
      <c r="U45" s="397"/>
      <c r="V45" s="397"/>
      <c r="W45" s="397"/>
      <c r="X45" s="397"/>
      <c r="Y45" s="397"/>
    </row>
    <row r="46" spans="2:25" ht="15.75" customHeight="1" thickBot="1" x14ac:dyDescent="0.3">
      <c r="B46" s="661" t="s">
        <v>593</v>
      </c>
      <c r="C46" s="661" t="s">
        <v>594</v>
      </c>
      <c r="D46" s="706" t="s">
        <v>595</v>
      </c>
      <c r="E46" s="738" t="s">
        <v>431</v>
      </c>
      <c r="F46" s="782">
        <f>12*1220*2440/1000/1000/1000</f>
        <v>3.5721599999999992E-2</v>
      </c>
      <c r="G46" s="606"/>
      <c r="H46" s="581">
        <f t="shared" si="0"/>
        <v>0</v>
      </c>
      <c r="I46" s="530"/>
      <c r="J46" s="505" t="s">
        <v>3</v>
      </c>
      <c r="K46" s="505">
        <v>55</v>
      </c>
      <c r="L46" s="579"/>
      <c r="M46" s="397"/>
      <c r="N46" s="397"/>
      <c r="O46" s="397"/>
      <c r="P46" s="397"/>
      <c r="Q46" s="397"/>
      <c r="R46" s="397"/>
      <c r="S46" s="397"/>
      <c r="T46" s="397"/>
      <c r="U46" s="397"/>
      <c r="V46" s="397"/>
      <c r="W46" s="397"/>
      <c r="X46" s="397"/>
      <c r="Y46" s="397"/>
    </row>
    <row r="47" spans="2:25" ht="18.95" customHeight="1" x14ac:dyDescent="0.25">
      <c r="B47" s="661" t="s">
        <v>597</v>
      </c>
      <c r="C47" s="661" t="s">
        <v>598</v>
      </c>
      <c r="D47" s="706" t="s">
        <v>599</v>
      </c>
      <c r="E47" s="738" t="s">
        <v>431</v>
      </c>
      <c r="F47" s="781">
        <f>9*4*12*25.4*8*12*25.4/1000/1000/1000</f>
        <v>2.6756075519999992E-2</v>
      </c>
      <c r="G47" s="606"/>
      <c r="H47" s="581">
        <f t="shared" si="0"/>
        <v>0</v>
      </c>
      <c r="I47" s="530"/>
      <c r="J47" s="505" t="s">
        <v>3</v>
      </c>
      <c r="K47" s="505">
        <v>39</v>
      </c>
      <c r="L47" s="579"/>
      <c r="M47" s="397"/>
      <c r="N47" s="397"/>
      <c r="O47" s="397"/>
      <c r="P47" s="397"/>
      <c r="Q47" s="1011" t="s">
        <v>1611</v>
      </c>
      <c r="R47" s="1012"/>
      <c r="S47" s="495"/>
      <c r="T47" s="495"/>
      <c r="U47" s="496"/>
      <c r="V47" s="397"/>
      <c r="W47" s="397"/>
      <c r="X47" s="397"/>
      <c r="Y47" s="397"/>
    </row>
    <row r="48" spans="2:25" x14ac:dyDescent="0.25">
      <c r="B48" s="661" t="s">
        <v>600</v>
      </c>
      <c r="C48" s="661" t="s">
        <v>601</v>
      </c>
      <c r="D48" s="706" t="s">
        <v>602</v>
      </c>
      <c r="E48" s="737" t="s">
        <v>291</v>
      </c>
      <c r="F48" s="782">
        <f>25*1220*2440/1000/1000/1000</f>
        <v>7.442E-2</v>
      </c>
      <c r="G48" s="606"/>
      <c r="H48" s="581">
        <f t="shared" si="0"/>
        <v>0</v>
      </c>
      <c r="I48" s="530"/>
      <c r="J48" s="505" t="s">
        <v>3</v>
      </c>
      <c r="K48" s="505">
        <v>31</v>
      </c>
      <c r="L48" s="579"/>
      <c r="M48" s="397"/>
      <c r="N48" s="397"/>
      <c r="O48" s="397"/>
      <c r="P48" s="397"/>
      <c r="Q48" s="497"/>
      <c r="R48" s="486"/>
      <c r="S48" s="486"/>
      <c r="T48" s="486"/>
      <c r="U48" s="498"/>
      <c r="V48" s="397"/>
      <c r="W48" s="397"/>
      <c r="X48" s="397"/>
      <c r="Y48" s="397"/>
    </row>
    <row r="49" spans="2:30" x14ac:dyDescent="0.25">
      <c r="B49" s="661" t="s">
        <v>603</v>
      </c>
      <c r="C49" s="661" t="s">
        <v>604</v>
      </c>
      <c r="D49" s="706" t="s">
        <v>605</v>
      </c>
      <c r="E49" s="740" t="s">
        <v>1609</v>
      </c>
      <c r="F49" s="783">
        <f>2*12*25.4*10*12*25.4*11*12*25.4/1000/1000/1000</f>
        <v>6.2297062502399996</v>
      </c>
      <c r="G49" s="606"/>
      <c r="H49" s="581">
        <f t="shared" si="0"/>
        <v>0</v>
      </c>
      <c r="I49" s="530"/>
      <c r="J49" s="505" t="s">
        <v>3</v>
      </c>
      <c r="K49" s="505">
        <v>95</v>
      </c>
      <c r="L49" s="579">
        <f>S19*25*1220*2440</f>
        <v>18.82826</v>
      </c>
      <c r="M49" s="397"/>
      <c r="N49" s="397"/>
      <c r="O49" s="397"/>
      <c r="P49" s="397"/>
      <c r="Q49" s="497"/>
      <c r="R49" s="499" t="s">
        <v>497</v>
      </c>
      <c r="S49" s="499" t="s">
        <v>498</v>
      </c>
      <c r="T49" s="397" t="s">
        <v>1613</v>
      </c>
      <c r="U49" s="500"/>
      <c r="V49" s="397"/>
      <c r="W49" s="397"/>
      <c r="X49" s="397"/>
      <c r="Y49" s="397"/>
    </row>
    <row r="50" spans="2:30" x14ac:dyDescent="0.25">
      <c r="B50" s="661" t="s">
        <v>606</v>
      </c>
      <c r="C50" s="661" t="s">
        <v>607</v>
      </c>
      <c r="D50" s="706" t="s">
        <v>608</v>
      </c>
      <c r="E50" s="762" t="s">
        <v>1799</v>
      </c>
      <c r="F50" s="781">
        <f>18*4*12*25.4*8*12*25.4/1000/1000/1000</f>
        <v>5.3512151039999983E-2</v>
      </c>
      <c r="G50" s="605"/>
      <c r="H50" s="581">
        <f t="shared" si="0"/>
        <v>0</v>
      </c>
      <c r="I50" s="530"/>
      <c r="J50" s="505" t="s">
        <v>465</v>
      </c>
      <c r="K50" s="505">
        <v>30</v>
      </c>
      <c r="L50" s="579">
        <f>S59*2*10*132</f>
        <v>1.8126823474963332</v>
      </c>
      <c r="M50" s="397"/>
      <c r="N50" s="397"/>
      <c r="O50" s="397"/>
      <c r="P50" s="397"/>
      <c r="Q50" s="497"/>
      <c r="R50" s="397" t="s">
        <v>596</v>
      </c>
      <c r="S50" s="486" t="s">
        <v>504</v>
      </c>
      <c r="T50" s="486">
        <v>1000000000</v>
      </c>
      <c r="U50" s="498" t="s">
        <v>505</v>
      </c>
      <c r="V50" s="397"/>
      <c r="W50" s="397"/>
      <c r="X50" s="397"/>
      <c r="Y50" s="397"/>
    </row>
    <row r="51" spans="2:30" ht="15.75" thickBot="1" x14ac:dyDescent="0.3">
      <c r="B51" s="661" t="s">
        <v>609</v>
      </c>
      <c r="C51" s="661" t="s">
        <v>610</v>
      </c>
      <c r="D51" s="663" t="s">
        <v>611</v>
      </c>
      <c r="E51" s="740" t="s">
        <v>1609</v>
      </c>
      <c r="F51" s="783">
        <f>2*12*25.4*12*12*25.4*12*12*25.4/1000/1000/1000</f>
        <v>8.1552518184959979</v>
      </c>
      <c r="G51" s="606"/>
      <c r="H51" s="581">
        <f t="shared" si="0"/>
        <v>0</v>
      </c>
      <c r="I51" s="530"/>
      <c r="J51" s="505" t="s">
        <v>465</v>
      </c>
      <c r="K51" s="505">
        <v>55</v>
      </c>
      <c r="L51" s="579"/>
      <c r="M51" s="397"/>
      <c r="N51" s="397"/>
      <c r="O51" s="397"/>
      <c r="P51" s="397"/>
      <c r="Q51" s="501"/>
      <c r="R51" s="502"/>
      <c r="S51" s="502">
        <f>365/T50</f>
        <v>3.65E-7</v>
      </c>
      <c r="T51" s="502">
        <f>L45</f>
        <v>43.932433679999995</v>
      </c>
      <c r="U51" s="503" t="s">
        <v>509</v>
      </c>
      <c r="V51" s="397"/>
      <c r="W51" s="397"/>
      <c r="X51" s="397"/>
      <c r="Y51" s="397"/>
    </row>
    <row r="52" spans="2:30" x14ac:dyDescent="0.25">
      <c r="B52" s="661" t="s">
        <v>612</v>
      </c>
      <c r="C52" s="661" t="s">
        <v>613</v>
      </c>
      <c r="D52" s="663" t="s">
        <v>614</v>
      </c>
      <c r="E52" s="742" t="s">
        <v>299</v>
      </c>
      <c r="F52" s="781">
        <f>8*4*12*25.4*8*12*25.4/1000/1000/1000</f>
        <v>2.3783178239999994E-2</v>
      </c>
      <c r="G52" s="606"/>
      <c r="H52" s="581">
        <f t="shared" si="0"/>
        <v>0</v>
      </c>
      <c r="I52" s="530"/>
      <c r="J52" s="505" t="s">
        <v>465</v>
      </c>
      <c r="K52" s="505">
        <v>43</v>
      </c>
      <c r="L52" s="579">
        <f>S59*2*12*144</f>
        <v>2.3729659821770177</v>
      </c>
      <c r="M52" s="397"/>
      <c r="N52" s="397"/>
      <c r="O52" s="397"/>
      <c r="P52" s="397"/>
      <c r="Q52" s="397"/>
      <c r="R52" s="397"/>
      <c r="S52" s="397"/>
      <c r="T52" s="397"/>
      <c r="U52" s="397"/>
      <c r="V52" s="397"/>
      <c r="W52" s="397"/>
      <c r="X52" s="397"/>
      <c r="Y52" s="397"/>
    </row>
    <row r="53" spans="2:30" x14ac:dyDescent="0.25">
      <c r="B53" s="661" t="s">
        <v>615</v>
      </c>
      <c r="C53" s="661" t="s">
        <v>616</v>
      </c>
      <c r="D53" s="663" t="s">
        <v>617</v>
      </c>
      <c r="E53" s="742" t="s">
        <v>299</v>
      </c>
      <c r="F53" s="781">
        <f>8*4*12*25.4*8*12*25.4/1000/1000/1000</f>
        <v>2.3783178239999994E-2</v>
      </c>
      <c r="G53" s="606"/>
      <c r="H53" s="581">
        <f t="shared" si="0"/>
        <v>0</v>
      </c>
      <c r="I53" s="530"/>
      <c r="J53" s="505" t="s">
        <v>465</v>
      </c>
      <c r="K53" s="505">
        <v>30</v>
      </c>
      <c r="L53" s="579">
        <f>$S$28*8*2440*1220</f>
        <v>5.2153536000000003</v>
      </c>
      <c r="M53" s="397"/>
      <c r="N53" s="397"/>
      <c r="O53" s="397"/>
      <c r="P53" s="397"/>
      <c r="Q53" s="397"/>
      <c r="R53" s="397"/>
      <c r="S53" s="397"/>
      <c r="T53" s="397"/>
      <c r="U53" s="397"/>
      <c r="V53" s="397"/>
      <c r="W53" s="397"/>
      <c r="X53" s="397"/>
      <c r="Y53" s="397"/>
    </row>
    <row r="54" spans="2:30" ht="15.75" thickBot="1" x14ac:dyDescent="0.3">
      <c r="B54" s="661" t="s">
        <v>619</v>
      </c>
      <c r="C54" s="661" t="s">
        <v>620</v>
      </c>
      <c r="D54" s="706" t="s">
        <v>621</v>
      </c>
      <c r="E54" s="762" t="s">
        <v>1799</v>
      </c>
      <c r="F54" s="782">
        <f>18*1220*2440/1000/1000/1000</f>
        <v>5.3582400000000002E-2</v>
      </c>
      <c r="G54" s="606"/>
      <c r="H54" s="581">
        <f t="shared" si="0"/>
        <v>0</v>
      </c>
      <c r="I54" s="530"/>
      <c r="J54" s="505" t="s">
        <v>3</v>
      </c>
      <c r="K54" s="505">
        <v>30</v>
      </c>
      <c r="L54" s="579">
        <f>$S$28*8*2440*1220</f>
        <v>5.2153536000000003</v>
      </c>
      <c r="M54" s="397"/>
      <c r="N54" s="397"/>
      <c r="O54" s="397"/>
      <c r="P54" s="397"/>
      <c r="Q54" s="397"/>
      <c r="R54" s="397"/>
      <c r="S54" s="397"/>
      <c r="T54" s="397"/>
      <c r="U54" s="397"/>
      <c r="V54" s="397"/>
      <c r="W54" s="397"/>
      <c r="X54" s="397"/>
      <c r="Y54" s="397"/>
    </row>
    <row r="55" spans="2:30" x14ac:dyDescent="0.25">
      <c r="B55" s="661" t="s">
        <v>624</v>
      </c>
      <c r="C55" s="661" t="s">
        <v>625</v>
      </c>
      <c r="D55" s="706" t="s">
        <v>626</v>
      </c>
      <c r="E55" s="762" t="s">
        <v>1799</v>
      </c>
      <c r="F55" s="781">
        <f>15*4*12*25.4*8*12*25.4/1000/1000/1000</f>
        <v>4.4593459199999998E-2</v>
      </c>
      <c r="G55" s="606"/>
      <c r="H55" s="581">
        <f t="shared" si="0"/>
        <v>0</v>
      </c>
      <c r="I55" s="530"/>
      <c r="J55" s="505" t="s">
        <v>465</v>
      </c>
      <c r="K55" s="505">
        <v>55</v>
      </c>
      <c r="L55" s="579"/>
      <c r="M55" s="397"/>
      <c r="N55" s="397"/>
      <c r="O55" s="397"/>
      <c r="P55" s="397"/>
      <c r="Q55" s="1011" t="s">
        <v>1614</v>
      </c>
      <c r="R55" s="1012"/>
      <c r="S55" s="495"/>
      <c r="T55" s="495"/>
      <c r="U55" s="496"/>
      <c r="V55" s="397"/>
      <c r="W55" s="397"/>
      <c r="X55" s="397"/>
      <c r="Y55" s="397"/>
    </row>
    <row r="56" spans="2:30" x14ac:dyDescent="0.25">
      <c r="B56" s="661" t="s">
        <v>627</v>
      </c>
      <c r="C56" s="661" t="s">
        <v>628</v>
      </c>
      <c r="D56" s="663" t="s">
        <v>629</v>
      </c>
      <c r="E56" s="737" t="s">
        <v>291</v>
      </c>
      <c r="F56" s="782">
        <f>30*1220*2440/1000/1000/1000</f>
        <v>8.9304000000000008E-2</v>
      </c>
      <c r="G56" s="606"/>
      <c r="H56" s="581">
        <f t="shared" si="0"/>
        <v>0</v>
      </c>
      <c r="I56" s="530"/>
      <c r="J56" s="505" t="s">
        <v>465</v>
      </c>
      <c r="K56" s="505">
        <v>46</v>
      </c>
      <c r="L56" s="579"/>
      <c r="M56" s="397"/>
      <c r="N56" s="397"/>
      <c r="O56" s="397"/>
      <c r="P56" s="397"/>
      <c r="Q56" s="497"/>
      <c r="R56" s="486"/>
      <c r="S56" s="486"/>
      <c r="T56" s="486"/>
      <c r="U56" s="498"/>
      <c r="V56" s="397"/>
      <c r="W56" s="397"/>
      <c r="X56" s="397"/>
      <c r="Y56" s="397"/>
    </row>
    <row r="57" spans="2:30" x14ac:dyDescent="0.25">
      <c r="B57" s="661" t="s">
        <v>630</v>
      </c>
      <c r="C57" s="661" t="s">
        <v>631</v>
      </c>
      <c r="D57" s="663" t="s">
        <v>632</v>
      </c>
      <c r="E57" s="737" t="s">
        <v>291</v>
      </c>
      <c r="F57" s="782">
        <f>22*1220*2440/1000/1000/1000</f>
        <v>6.5489599999999995E-2</v>
      </c>
      <c r="G57" s="606"/>
      <c r="H57" s="581">
        <f t="shared" si="0"/>
        <v>0</v>
      </c>
      <c r="I57" s="530"/>
      <c r="J57" s="505" t="s">
        <v>3</v>
      </c>
      <c r="K57" s="505">
        <v>115</v>
      </c>
      <c r="L57" s="579">
        <f>S19*30*1220*2440</f>
        <v>22.593912</v>
      </c>
      <c r="M57" s="397"/>
      <c r="N57" s="397"/>
      <c r="O57" s="397"/>
      <c r="P57" s="397"/>
      <c r="Q57" s="497"/>
      <c r="R57" s="499" t="s">
        <v>497</v>
      </c>
      <c r="S57" s="499" t="s">
        <v>498</v>
      </c>
      <c r="T57" s="397" t="s">
        <v>618</v>
      </c>
      <c r="U57" s="500"/>
      <c r="V57" s="397"/>
      <c r="W57" s="397"/>
      <c r="X57" s="397"/>
      <c r="Y57" s="397"/>
    </row>
    <row r="58" spans="2:30" x14ac:dyDescent="0.25">
      <c r="B58" s="661" t="s">
        <v>633</v>
      </c>
      <c r="C58" s="661" t="s">
        <v>634</v>
      </c>
      <c r="D58" s="706" t="s">
        <v>635</v>
      </c>
      <c r="E58" s="762" t="s">
        <v>1799</v>
      </c>
      <c r="F58" s="781">
        <f>9*4*12*25.4*8*12*25.4/1000/1000/1000</f>
        <v>2.6756075519999992E-2</v>
      </c>
      <c r="G58" s="606"/>
      <c r="H58" s="581">
        <f t="shared" si="0"/>
        <v>0</v>
      </c>
      <c r="I58" s="530"/>
      <c r="J58" s="505" t="s">
        <v>3</v>
      </c>
      <c r="K58" s="505">
        <v>86</v>
      </c>
      <c r="L58" s="579">
        <f>S19*22*1220*2440</f>
        <v>16.568868800000001</v>
      </c>
      <c r="M58" s="397"/>
      <c r="N58" s="397"/>
      <c r="O58" s="397"/>
      <c r="P58" s="397"/>
      <c r="Q58" s="497"/>
      <c r="R58" s="397" t="s">
        <v>622</v>
      </c>
      <c r="S58" s="486" t="s">
        <v>504</v>
      </c>
      <c r="T58" s="486">
        <f>39.37*39.37*39.37</f>
        <v>61023.377952999988</v>
      </c>
      <c r="U58" s="498" t="s">
        <v>623</v>
      </c>
      <c r="V58" s="397"/>
      <c r="W58" s="397"/>
      <c r="X58" s="397"/>
      <c r="Y58" s="397"/>
    </row>
    <row r="59" spans="2:30" ht="15.75" thickBot="1" x14ac:dyDescent="0.3">
      <c r="B59" s="661" t="s">
        <v>636</v>
      </c>
      <c r="C59" s="661" t="s">
        <v>637</v>
      </c>
      <c r="D59" s="706" t="s">
        <v>638</v>
      </c>
      <c r="E59" s="762" t="s">
        <v>1799</v>
      </c>
      <c r="F59" s="781">
        <f>18*4*12*25.4*8*12*25.4/1000/1000/1000</f>
        <v>5.3512151039999983E-2</v>
      </c>
      <c r="G59" s="606"/>
      <c r="H59" s="581">
        <f t="shared" si="0"/>
        <v>0</v>
      </c>
      <c r="I59" s="530"/>
      <c r="J59" s="505" t="s">
        <v>3</v>
      </c>
      <c r="K59" s="505">
        <v>1</v>
      </c>
      <c r="L59" s="579"/>
      <c r="M59" s="397"/>
      <c r="N59" s="397"/>
      <c r="O59" s="397"/>
      <c r="P59" s="397"/>
      <c r="Q59" s="501"/>
      <c r="R59" s="502"/>
      <c r="S59" s="502">
        <f>41.9/T58</f>
        <v>6.8662210132436861E-4</v>
      </c>
      <c r="T59" s="502">
        <f>L27+L30+L43+L50+L52+L61+L62+L63+L64+L68+L70+L71+L72+L73+L74+L76+L77+L81+L86+L88+L89+L90</f>
        <v>36.500830906403429</v>
      </c>
      <c r="U59" s="503" t="s">
        <v>509</v>
      </c>
      <c r="V59" s="397"/>
      <c r="W59" s="397"/>
      <c r="X59" s="397"/>
      <c r="Y59" s="397"/>
    </row>
    <row r="60" spans="2:30" x14ac:dyDescent="0.25">
      <c r="B60" s="661" t="s">
        <v>640</v>
      </c>
      <c r="C60" s="661" t="s">
        <v>641</v>
      </c>
      <c r="D60" s="663" t="s">
        <v>642</v>
      </c>
      <c r="E60" s="740" t="s">
        <v>1609</v>
      </c>
      <c r="F60" s="783">
        <f>2*12*25.4*10*12*25.4*10*12*25.4/1000/1000/1000</f>
        <v>5.6633693183999974</v>
      </c>
      <c r="G60" s="606"/>
      <c r="H60" s="581">
        <f t="shared" si="0"/>
        <v>0</v>
      </c>
      <c r="I60" s="530"/>
      <c r="J60" s="505" t="s">
        <v>3</v>
      </c>
      <c r="K60" s="505">
        <v>1</v>
      </c>
      <c r="L60" s="579"/>
      <c r="M60" s="397"/>
      <c r="N60" s="397"/>
      <c r="O60" s="397"/>
      <c r="P60" s="397"/>
      <c r="Q60" s="397"/>
      <c r="R60" s="397"/>
      <c r="S60" s="397"/>
      <c r="T60" s="397"/>
      <c r="U60" s="397"/>
      <c r="V60" s="397"/>
      <c r="W60" s="397"/>
      <c r="X60" s="397"/>
      <c r="Y60" s="397"/>
    </row>
    <row r="61" spans="2:30" x14ac:dyDescent="0.25">
      <c r="B61" s="661" t="s">
        <v>643</v>
      </c>
      <c r="C61" s="661" t="s">
        <v>644</v>
      </c>
      <c r="D61" s="663" t="s">
        <v>645</v>
      </c>
      <c r="E61" s="740" t="s">
        <v>1609</v>
      </c>
      <c r="F61" s="783">
        <f>3*12*25.4*12*12*25.4*9*12*25.4/1000/1000/1000</f>
        <v>9.1746582958079959</v>
      </c>
      <c r="G61" s="606"/>
      <c r="H61" s="581">
        <f t="shared" si="0"/>
        <v>0</v>
      </c>
      <c r="I61" s="530"/>
      <c r="J61" s="505" t="s">
        <v>465</v>
      </c>
      <c r="K61" s="505">
        <v>27</v>
      </c>
      <c r="L61" s="579">
        <f>S59*3*9*144</f>
        <v>2.6695867299491449</v>
      </c>
      <c r="M61" s="397"/>
      <c r="N61" s="397"/>
      <c r="O61" s="397"/>
      <c r="P61" s="397"/>
      <c r="Q61" s="397"/>
      <c r="R61" s="397"/>
      <c r="S61" s="397"/>
      <c r="T61" s="397"/>
      <c r="U61" s="397"/>
      <c r="V61" s="397"/>
      <c r="W61" s="397"/>
      <c r="X61" s="397"/>
      <c r="Y61" s="397"/>
    </row>
    <row r="62" spans="2:30" ht="15.75" thickBot="1" x14ac:dyDescent="0.3">
      <c r="B62" s="661" t="s">
        <v>646</v>
      </c>
      <c r="C62" s="661" t="s">
        <v>647</v>
      </c>
      <c r="D62" s="663" t="s">
        <v>648</v>
      </c>
      <c r="E62" s="740" t="s">
        <v>1609</v>
      </c>
      <c r="F62" s="783">
        <f>2*12*25.4*12*12*25.4*9*12*25.4/1000/1000/1000</f>
        <v>6.1164388638719993</v>
      </c>
      <c r="G62" s="606"/>
      <c r="H62" s="581">
        <f t="shared" si="0"/>
        <v>0</v>
      </c>
      <c r="I62" s="530"/>
      <c r="J62" s="505" t="s">
        <v>465</v>
      </c>
      <c r="K62" s="505">
        <v>49</v>
      </c>
      <c r="L62" s="579">
        <f>S59*3*9*144</f>
        <v>2.6695867299491449</v>
      </c>
      <c r="M62" s="397"/>
      <c r="N62" s="397"/>
      <c r="O62" s="397"/>
      <c r="P62" s="397"/>
      <c r="Q62" s="397"/>
      <c r="R62" s="397"/>
      <c r="S62" s="397"/>
      <c r="T62" s="397"/>
      <c r="U62" s="397"/>
      <c r="V62" s="397"/>
      <c r="W62" s="397"/>
      <c r="X62" s="397"/>
      <c r="Y62" s="397"/>
    </row>
    <row r="63" spans="2:30" x14ac:dyDescent="0.25">
      <c r="B63" s="661" t="s">
        <v>649</v>
      </c>
      <c r="C63" s="661" t="s">
        <v>650</v>
      </c>
      <c r="D63" s="663" t="s">
        <v>651</v>
      </c>
      <c r="E63" s="740" t="s">
        <v>1609</v>
      </c>
      <c r="F63" s="783">
        <f>2*12*25.4*8*12*25.4*8*12*25.4/1000/1000/1000</f>
        <v>3.6245563637759992</v>
      </c>
      <c r="G63" s="606"/>
      <c r="H63" s="581">
        <f t="shared" si="0"/>
        <v>0</v>
      </c>
      <c r="I63" s="530"/>
      <c r="J63" s="505" t="s">
        <v>465</v>
      </c>
      <c r="K63" s="505">
        <v>32</v>
      </c>
      <c r="L63" s="579">
        <f>S59*2*12*108</f>
        <v>1.7797244866327635</v>
      </c>
      <c r="M63" s="397"/>
      <c r="N63" s="397"/>
      <c r="O63" s="397"/>
      <c r="P63" s="397"/>
      <c r="Q63" s="1013" t="s">
        <v>639</v>
      </c>
      <c r="R63" s="1014"/>
      <c r="S63" s="491"/>
      <c r="T63" s="491"/>
      <c r="U63" s="492"/>
      <c r="V63" s="397"/>
      <c r="W63" s="397"/>
      <c r="X63" s="397"/>
      <c r="Y63" s="397"/>
    </row>
    <row r="64" spans="2:30" x14ac:dyDescent="0.25">
      <c r="B64" s="661" t="s">
        <v>652</v>
      </c>
      <c r="C64" s="661" t="s">
        <v>653</v>
      </c>
      <c r="D64" s="663" t="s">
        <v>654</v>
      </c>
      <c r="E64" s="738" t="s">
        <v>431</v>
      </c>
      <c r="F64" s="781">
        <f>9*4*12*25.4*8*12*25.4/1000/1000/1000</f>
        <v>2.6756075519999992E-2</v>
      </c>
      <c r="G64" s="606"/>
      <c r="H64" s="581">
        <f t="shared" si="0"/>
        <v>0</v>
      </c>
      <c r="I64" s="530"/>
      <c r="J64" s="505" t="s">
        <v>465</v>
      </c>
      <c r="K64" s="505">
        <v>19</v>
      </c>
      <c r="L64" s="579">
        <f>S59*2*8*96</f>
        <v>1.0546515476342302</v>
      </c>
      <c r="M64" s="397"/>
      <c r="N64" s="397"/>
      <c r="O64" s="397"/>
      <c r="P64" s="397"/>
      <c r="Q64" s="493"/>
      <c r="R64" s="397"/>
      <c r="S64" s="397"/>
      <c r="T64" s="397"/>
      <c r="U64" s="398"/>
      <c r="V64" s="397"/>
      <c r="W64" s="397"/>
      <c r="X64" s="397"/>
      <c r="Y64" s="397"/>
      <c r="Z64" s="397"/>
      <c r="AA64" s="397"/>
      <c r="AB64" s="530"/>
      <c r="AC64" s="530"/>
      <c r="AD64" s="530"/>
    </row>
    <row r="65" spans="2:30" x14ac:dyDescent="0.25">
      <c r="B65" s="661" t="s">
        <v>655</v>
      </c>
      <c r="C65" s="661" t="s">
        <v>656</v>
      </c>
      <c r="D65" s="663" t="s">
        <v>657</v>
      </c>
      <c r="E65" s="738" t="s">
        <v>431</v>
      </c>
      <c r="F65" s="782">
        <f>6*1220*2440/1000/1000/1000</f>
        <v>1.7860799999999996E-2</v>
      </c>
      <c r="G65" s="606"/>
      <c r="H65" s="581">
        <f t="shared" si="0"/>
        <v>0</v>
      </c>
      <c r="I65" s="530"/>
      <c r="J65" s="505" t="s">
        <v>465</v>
      </c>
      <c r="K65" s="505">
        <v>31</v>
      </c>
      <c r="L65" s="579">
        <f>S41*9*2440*1220</f>
        <v>6.4834703999999999</v>
      </c>
      <c r="M65" s="397"/>
      <c r="N65" s="397"/>
      <c r="O65" s="397"/>
      <c r="P65" s="397"/>
      <c r="Q65" s="493"/>
      <c r="R65" s="475" t="s">
        <v>497</v>
      </c>
      <c r="S65" s="475" t="s">
        <v>498</v>
      </c>
      <c r="T65" s="397" t="s">
        <v>532</v>
      </c>
      <c r="U65" s="398"/>
      <c r="V65" s="397"/>
      <c r="W65" s="397"/>
      <c r="X65" s="397"/>
      <c r="Y65" s="397"/>
      <c r="Z65" s="397"/>
      <c r="AA65" s="397"/>
      <c r="AB65" s="530"/>
      <c r="AC65" s="530"/>
      <c r="AD65" s="530"/>
    </row>
    <row r="66" spans="2:30" x14ac:dyDescent="0.25">
      <c r="B66" s="661" t="s">
        <v>658</v>
      </c>
      <c r="C66" s="661" t="s">
        <v>659</v>
      </c>
      <c r="D66" s="706" t="s">
        <v>660</v>
      </c>
      <c r="E66" s="763" t="s">
        <v>1803</v>
      </c>
      <c r="F66" s="780"/>
      <c r="G66" s="605"/>
      <c r="H66" s="581">
        <f t="shared" si="0"/>
        <v>0</v>
      </c>
      <c r="I66" s="530"/>
      <c r="J66" s="505"/>
      <c r="K66" s="505">
        <v>23</v>
      </c>
      <c r="L66" s="579">
        <f>S41*6*2440*1220</f>
        <v>4.3223136000000002</v>
      </c>
      <c r="M66" s="397"/>
      <c r="N66" s="397"/>
      <c r="O66" s="397"/>
      <c r="P66" s="397"/>
      <c r="Q66" s="493"/>
      <c r="R66" s="397" t="s">
        <v>536</v>
      </c>
      <c r="S66" s="486" t="s">
        <v>504</v>
      </c>
      <c r="T66" s="397">
        <f>1000*1000*1000</f>
        <v>1000000000</v>
      </c>
      <c r="U66" s="398" t="s">
        <v>505</v>
      </c>
      <c r="V66" s="397"/>
      <c r="W66" s="397"/>
      <c r="X66" s="397"/>
      <c r="Y66" s="397"/>
      <c r="Z66" s="397"/>
      <c r="AA66" s="397"/>
      <c r="AB66" s="530"/>
      <c r="AC66" s="530"/>
      <c r="AD66" s="530"/>
    </row>
    <row r="67" spans="2:30" ht="15.75" thickBot="1" x14ac:dyDescent="0.3">
      <c r="B67" s="661" t="s">
        <v>661</v>
      </c>
      <c r="C67" s="661" t="s">
        <v>662</v>
      </c>
      <c r="D67" s="706" t="s">
        <v>663</v>
      </c>
      <c r="E67" s="740" t="s">
        <v>1609</v>
      </c>
      <c r="F67" s="783">
        <f>2*12*25.4*8*12*25.4*8*12*25.4/1000/1000/1000</f>
        <v>3.6245563637759992</v>
      </c>
      <c r="G67" s="606"/>
      <c r="H67" s="581">
        <f t="shared" si="0"/>
        <v>0</v>
      </c>
      <c r="I67" s="530"/>
      <c r="J67" s="505"/>
      <c r="K67" s="505">
        <v>1</v>
      </c>
      <c r="L67" s="579"/>
      <c r="M67" s="397"/>
      <c r="N67" s="397"/>
      <c r="O67" s="397"/>
      <c r="P67" s="397"/>
      <c r="Q67" s="494"/>
      <c r="R67" s="489"/>
      <c r="S67" s="489">
        <f>219/T66</f>
        <v>2.1899999999999999E-7</v>
      </c>
      <c r="T67" s="489">
        <f>L53+L54+L83+L25+L26</f>
        <v>20.861414399999997</v>
      </c>
      <c r="U67" s="490" t="s">
        <v>509</v>
      </c>
      <c r="V67" s="397"/>
      <c r="W67" s="397"/>
      <c r="X67" s="397"/>
      <c r="Y67" s="397"/>
      <c r="Z67" s="397"/>
      <c r="AA67" s="397"/>
      <c r="AB67" s="530"/>
      <c r="AC67" s="530"/>
      <c r="AD67" s="530"/>
    </row>
    <row r="68" spans="2:30" x14ac:dyDescent="0.25">
      <c r="B68" s="661" t="s">
        <v>664</v>
      </c>
      <c r="C68" s="661" t="s">
        <v>665</v>
      </c>
      <c r="D68" s="706" t="s">
        <v>666</v>
      </c>
      <c r="E68" s="761" t="s">
        <v>1797</v>
      </c>
      <c r="F68" s="784">
        <f>9*1220*2440/1000/1000/1000</f>
        <v>2.6791200000000001E-2</v>
      </c>
      <c r="G68" s="605"/>
      <c r="H68" s="581">
        <f t="shared" si="0"/>
        <v>0</v>
      </c>
      <c r="I68" s="530"/>
      <c r="J68" s="505"/>
      <c r="K68" s="505">
        <v>17</v>
      </c>
      <c r="L68" s="579">
        <f>S59*2*8*96</f>
        <v>1.0546515476342302</v>
      </c>
      <c r="M68" s="397"/>
      <c r="N68" s="397"/>
      <c r="O68" s="397"/>
      <c r="P68" s="397"/>
      <c r="Q68" s="397"/>
      <c r="R68" s="397"/>
      <c r="S68" s="397"/>
      <c r="T68" s="397"/>
      <c r="U68" s="397"/>
      <c r="V68" s="397"/>
      <c r="W68" s="397"/>
      <c r="X68" s="397"/>
      <c r="Y68" s="397"/>
      <c r="Z68" s="397"/>
      <c r="AA68" s="397"/>
      <c r="AB68" s="530"/>
      <c r="AC68" s="530"/>
      <c r="AD68" s="530"/>
    </row>
    <row r="69" spans="2:30" x14ac:dyDescent="0.25">
      <c r="B69" s="661" t="s">
        <v>667</v>
      </c>
      <c r="C69" s="661" t="s">
        <v>668</v>
      </c>
      <c r="D69" s="663" t="s">
        <v>669</v>
      </c>
      <c r="E69" s="740" t="s">
        <v>1609</v>
      </c>
      <c r="F69" s="783">
        <f>2*12*25.4*10*12*25.4*12*12*25.4/1000/1000/1000</f>
        <v>6.7960431820799974</v>
      </c>
      <c r="G69" s="606"/>
      <c r="H69" s="581">
        <f t="shared" si="0"/>
        <v>0</v>
      </c>
      <c r="I69" s="530"/>
      <c r="J69" s="505"/>
      <c r="K69" s="505">
        <v>31</v>
      </c>
      <c r="L69" s="579"/>
      <c r="M69" s="397"/>
      <c r="N69" s="397"/>
      <c r="O69" s="397"/>
      <c r="P69" s="397"/>
      <c r="Q69" s="397"/>
      <c r="R69" s="397"/>
      <c r="S69" s="397"/>
      <c r="T69" s="397"/>
      <c r="U69" s="397"/>
      <c r="V69" s="397"/>
      <c r="W69" s="397"/>
      <c r="X69" s="397"/>
      <c r="Y69" s="397"/>
      <c r="Z69" s="397"/>
      <c r="AA69" s="397"/>
      <c r="AB69" s="530"/>
      <c r="AC69" s="530"/>
      <c r="AD69" s="530"/>
    </row>
    <row r="70" spans="2:30" x14ac:dyDescent="0.25">
      <c r="B70" s="661" t="s">
        <v>670</v>
      </c>
      <c r="C70" s="661" t="s">
        <v>671</v>
      </c>
      <c r="D70" s="663" t="s">
        <v>672</v>
      </c>
      <c r="E70" s="740" t="s">
        <v>1609</v>
      </c>
      <c r="F70" s="783">
        <f>2*12*25.4*10*12*25.4*8*12*25.4/1000/1000/1000</f>
        <v>4.5306954547199974</v>
      </c>
      <c r="G70" s="606"/>
      <c r="H70" s="581">
        <f t="shared" si="0"/>
        <v>0</v>
      </c>
      <c r="I70" s="530"/>
      <c r="J70" s="505" t="s">
        <v>465</v>
      </c>
      <c r="K70" s="505">
        <v>36</v>
      </c>
      <c r="L70" s="579">
        <f>S59*2*12*120</f>
        <v>1.9774716518141817</v>
      </c>
      <c r="M70" s="397"/>
      <c r="N70" s="397"/>
      <c r="O70" s="397"/>
      <c r="P70" s="397"/>
      <c r="Q70" s="397"/>
      <c r="R70" s="397"/>
      <c r="S70" s="397"/>
      <c r="T70" s="397"/>
      <c r="U70" s="397"/>
      <c r="V70" s="397"/>
      <c r="W70" s="397"/>
      <c r="X70" s="397"/>
      <c r="Y70" s="397"/>
      <c r="Z70" s="397"/>
      <c r="AA70" s="397"/>
      <c r="AB70" s="530"/>
      <c r="AC70" s="530"/>
      <c r="AD70" s="530"/>
    </row>
    <row r="71" spans="2:30" ht="23.25" customHeight="1" x14ac:dyDescent="0.25">
      <c r="B71" s="661" t="s">
        <v>673</v>
      </c>
      <c r="C71" s="661" t="s">
        <v>674</v>
      </c>
      <c r="D71" s="664" t="s">
        <v>675</v>
      </c>
      <c r="E71" s="740" t="s">
        <v>1609</v>
      </c>
      <c r="F71" s="783">
        <f>2*12*25.4*8*12*25.4*12*12*25.4/1000/1000/1000</f>
        <v>5.4368345456639977</v>
      </c>
      <c r="G71" s="606"/>
      <c r="H71" s="581">
        <f t="shared" si="0"/>
        <v>0</v>
      </c>
      <c r="I71" s="530"/>
      <c r="J71" s="505" t="s">
        <v>465</v>
      </c>
      <c r="K71" s="505">
        <v>24</v>
      </c>
      <c r="L71" s="579">
        <f>S59*2*10*96</f>
        <v>1.3183144345427877</v>
      </c>
      <c r="M71" s="397"/>
      <c r="N71" s="397"/>
      <c r="O71" s="397"/>
      <c r="P71" s="397"/>
      <c r="Q71" s="397"/>
      <c r="R71" s="397" t="s">
        <v>1834</v>
      </c>
      <c r="S71" s="718" t="s">
        <v>1836</v>
      </c>
      <c r="T71" s="397" t="s">
        <v>422</v>
      </c>
      <c r="U71" s="397" t="s">
        <v>1835</v>
      </c>
      <c r="V71" s="718" t="s">
        <v>1837</v>
      </c>
      <c r="W71" s="397" t="s">
        <v>1838</v>
      </c>
      <c r="X71" s="397"/>
      <c r="Y71" s="397"/>
      <c r="Z71" s="397"/>
      <c r="AA71" s="397"/>
      <c r="AB71" s="530"/>
      <c r="AC71" s="530"/>
      <c r="AD71" s="530"/>
    </row>
    <row r="72" spans="2:30" x14ac:dyDescent="0.25">
      <c r="B72" s="661" t="s">
        <v>676</v>
      </c>
      <c r="C72" s="661" t="s">
        <v>677</v>
      </c>
      <c r="D72" s="663" t="s">
        <v>678</v>
      </c>
      <c r="E72" s="740" t="s">
        <v>1609</v>
      </c>
      <c r="F72" s="783">
        <f>2*12*25.4*8*12*25.4*8*12*25.4/1000/1000/1000</f>
        <v>3.6245563637759992</v>
      </c>
      <c r="G72" s="606"/>
      <c r="H72" s="581">
        <f t="shared" ref="H72:H91" si="1">G72*F72</f>
        <v>0</v>
      </c>
      <c r="I72" s="574"/>
      <c r="J72" s="505" t="s">
        <v>465</v>
      </c>
      <c r="K72" s="505">
        <v>29</v>
      </c>
      <c r="L72" s="579">
        <f>S59*2*10*96</f>
        <v>1.3183144345427877</v>
      </c>
      <c r="M72" s="397"/>
      <c r="N72" s="397"/>
      <c r="O72" s="397"/>
      <c r="P72" s="397"/>
      <c r="Q72" t="s">
        <v>1840</v>
      </c>
      <c r="R72" s="475" t="s">
        <v>1628</v>
      </c>
      <c r="S72" s="397">
        <f>7.04</f>
        <v>7.04</v>
      </c>
      <c r="T72" s="397">
        <f>1*4/1000</f>
        <v>4.0000000000000001E-3</v>
      </c>
      <c r="U72" s="397">
        <f>S72/T72</f>
        <v>1760</v>
      </c>
      <c r="V72" s="397">
        <v>2.67</v>
      </c>
      <c r="W72" s="397">
        <f>V72/S72</f>
        <v>0.37926136363636365</v>
      </c>
      <c r="X72" s="397"/>
      <c r="Y72" s="397"/>
      <c r="Z72" s="397"/>
      <c r="AA72" s="397"/>
      <c r="AB72" s="530"/>
      <c r="AC72" s="530"/>
      <c r="AD72" s="530"/>
    </row>
    <row r="73" spans="2:30" x14ac:dyDescent="0.25">
      <c r="B73" s="661" t="s">
        <v>679</v>
      </c>
      <c r="C73" s="661" t="s">
        <v>680</v>
      </c>
      <c r="D73" s="663" t="s">
        <v>681</v>
      </c>
      <c r="E73" s="740" t="s">
        <v>1609</v>
      </c>
      <c r="F73" s="783">
        <f>3*12*25.4*6*12*25.4*13*12*25.4/1000/1000/1000</f>
        <v>6.6261421025279983</v>
      </c>
      <c r="G73" s="606"/>
      <c r="H73" s="581">
        <f t="shared" si="1"/>
        <v>0</v>
      </c>
      <c r="I73" s="530"/>
      <c r="J73" s="505" t="s">
        <v>465</v>
      </c>
      <c r="K73" s="505">
        <v>26</v>
      </c>
      <c r="L73" s="579">
        <f>S59*2*8*96</f>
        <v>1.0546515476342302</v>
      </c>
      <c r="M73" s="397"/>
      <c r="N73" s="397"/>
      <c r="O73" s="397"/>
      <c r="P73" s="397"/>
      <c r="Q73" t="s">
        <v>1839</v>
      </c>
      <c r="R73" t="s">
        <v>1839</v>
      </c>
      <c r="S73">
        <v>5.85</v>
      </c>
      <c r="T73" s="397">
        <f>1*4/1000</f>
        <v>4.0000000000000001E-3</v>
      </c>
      <c r="U73" s="475">
        <f>S73/T73</f>
        <v>1462.4999999999998</v>
      </c>
      <c r="V73">
        <v>7.19</v>
      </c>
      <c r="W73" s="719">
        <f>V73/S73</f>
        <v>1.2290598290598291</v>
      </c>
      <c r="X73" s="397"/>
      <c r="Y73" s="397"/>
      <c r="Z73" s="397"/>
      <c r="AA73" s="397"/>
      <c r="AB73" s="530"/>
      <c r="AC73" s="530"/>
      <c r="AD73" s="530"/>
    </row>
    <row r="74" spans="2:30" x14ac:dyDescent="0.25">
      <c r="B74" s="661" t="s">
        <v>682</v>
      </c>
      <c r="C74" s="661" t="s">
        <v>683</v>
      </c>
      <c r="D74" s="663" t="s">
        <v>684</v>
      </c>
      <c r="E74" s="738" t="s">
        <v>431</v>
      </c>
      <c r="F74" s="781">
        <f>18*6*12*25.4*12*12*25.4/1000/1000/1000</f>
        <v>0.12040233984</v>
      </c>
      <c r="G74" s="606"/>
      <c r="H74" s="581">
        <f t="shared" si="1"/>
        <v>0</v>
      </c>
      <c r="I74" s="530"/>
      <c r="J74" s="505" t="s">
        <v>465</v>
      </c>
      <c r="K74" s="505">
        <v>33</v>
      </c>
      <c r="L74" s="579">
        <f>S59*3*6*144</f>
        <v>1.7797244866327635</v>
      </c>
      <c r="M74" s="397"/>
      <c r="N74" s="397"/>
      <c r="O74" s="397"/>
      <c r="P74" s="397"/>
      <c r="Q74" s="397"/>
      <c r="R74" s="475" t="s">
        <v>497</v>
      </c>
      <c r="S74" s="397"/>
      <c r="T74" s="397"/>
      <c r="U74" s="397"/>
      <c r="V74" s="397"/>
      <c r="W74" s="397"/>
      <c r="X74" s="397"/>
      <c r="Y74" s="397"/>
      <c r="Z74" s="397"/>
      <c r="AA74" s="397"/>
      <c r="AB74" s="530"/>
      <c r="AC74" s="530"/>
      <c r="AD74" s="530"/>
    </row>
    <row r="75" spans="2:30" x14ac:dyDescent="0.25">
      <c r="B75" s="661" t="s">
        <v>685</v>
      </c>
      <c r="C75" s="661" t="s">
        <v>686</v>
      </c>
      <c r="D75" s="663" t="s">
        <v>687</v>
      </c>
      <c r="E75" s="740" t="s">
        <v>1609</v>
      </c>
      <c r="F75" s="783">
        <f>2*12*25.4*10*12*25.4*9*12*25.4/1000/1000/1000</f>
        <v>5.0970323865599987</v>
      </c>
      <c r="G75" s="606"/>
      <c r="H75" s="581">
        <f t="shared" si="1"/>
        <v>0</v>
      </c>
      <c r="I75" s="530"/>
      <c r="J75" s="505" t="s">
        <v>465</v>
      </c>
      <c r="K75" s="505">
        <v>122</v>
      </c>
      <c r="L75" s="579">
        <f>S41*18*3658*1828</f>
        <v>29.127805344000002</v>
      </c>
      <c r="M75" s="397"/>
      <c r="N75" s="397"/>
      <c r="O75" s="397"/>
      <c r="P75" s="397"/>
      <c r="Q75" s="397"/>
      <c r="R75" s="397"/>
      <c r="S75" s="397"/>
      <c r="T75" s="397"/>
      <c r="U75" s="397"/>
      <c r="V75" s="397"/>
      <c r="W75" s="397"/>
      <c r="X75" s="397"/>
      <c r="Y75" s="397"/>
      <c r="Z75" s="397"/>
      <c r="AA75" s="397"/>
      <c r="AB75" s="530"/>
      <c r="AC75" s="530"/>
      <c r="AD75" s="530"/>
    </row>
    <row r="76" spans="2:30" x14ac:dyDescent="0.25">
      <c r="B76" s="661" t="s">
        <v>688</v>
      </c>
      <c r="C76" s="661" t="s">
        <v>689</v>
      </c>
      <c r="D76" s="663" t="s">
        <v>690</v>
      </c>
      <c r="E76" s="740" t="s">
        <v>1609</v>
      </c>
      <c r="F76" s="783">
        <f>3*12*25.4*10*12*25.4*10*12*25.4/1000/1000/1000</f>
        <v>8.4950539775999978</v>
      </c>
      <c r="G76" s="606"/>
      <c r="H76" s="581">
        <f t="shared" si="1"/>
        <v>0</v>
      </c>
      <c r="I76" s="530"/>
      <c r="J76" s="505" t="s">
        <v>465</v>
      </c>
      <c r="K76" s="505">
        <v>27</v>
      </c>
      <c r="L76" s="579">
        <f>S59*2*10*108</f>
        <v>1.4831037388606363</v>
      </c>
      <c r="M76" s="397"/>
      <c r="N76" s="397"/>
      <c r="O76" s="397"/>
      <c r="P76" s="397"/>
      <c r="Q76" s="397"/>
      <c r="R76" s="397"/>
      <c r="S76" s="397"/>
      <c r="T76" s="397"/>
      <c r="U76" s="397"/>
      <c r="V76" s="397"/>
      <c r="W76" s="397"/>
      <c r="X76" s="397"/>
      <c r="Y76" s="397"/>
      <c r="Z76" s="397"/>
      <c r="AA76" s="397"/>
      <c r="AB76" s="530"/>
      <c r="AC76" s="530"/>
      <c r="AD76" s="530"/>
    </row>
    <row r="77" spans="2:30" x14ac:dyDescent="0.25">
      <c r="B77" s="661" t="s">
        <v>691</v>
      </c>
      <c r="C77" s="661" t="s">
        <v>692</v>
      </c>
      <c r="D77" s="706" t="s">
        <v>693</v>
      </c>
      <c r="E77" s="759" t="s">
        <v>1804</v>
      </c>
      <c r="F77" s="785">
        <f>1*9*12*25.4*8*12*25.4/1000/1000/1000/4</f>
        <v>1.6722547199999995E-3</v>
      </c>
      <c r="G77" s="605"/>
      <c r="H77" s="581">
        <f t="shared" si="1"/>
        <v>0</v>
      </c>
      <c r="I77" s="530"/>
      <c r="J77" s="505" t="s">
        <v>465</v>
      </c>
      <c r="K77" s="505">
        <v>45</v>
      </c>
      <c r="L77" s="579">
        <f>S59*3*10*120</f>
        <v>2.4718395647677269</v>
      </c>
      <c r="M77" s="397"/>
      <c r="N77" s="397"/>
      <c r="O77" s="397"/>
      <c r="P77" s="397"/>
      <c r="Q77" s="397"/>
      <c r="R77" s="397"/>
      <c r="S77" s="397"/>
      <c r="T77" s="397"/>
      <c r="U77" s="397"/>
      <c r="V77" s="397"/>
      <c r="W77" s="397"/>
      <c r="X77" s="397"/>
      <c r="Y77" s="397"/>
      <c r="Z77" s="397"/>
      <c r="AA77" s="397"/>
      <c r="AB77" s="530"/>
      <c r="AC77" s="530"/>
      <c r="AD77" s="530"/>
    </row>
    <row r="78" spans="2:30" x14ac:dyDescent="0.25">
      <c r="B78" s="661" t="s">
        <v>694</v>
      </c>
      <c r="C78" s="661" t="s">
        <v>695</v>
      </c>
      <c r="D78" s="706" t="s">
        <v>696</v>
      </c>
      <c r="E78" s="763" t="s">
        <v>1803</v>
      </c>
      <c r="F78" s="785">
        <f>1*8*12*25.4*8*12*25.4/1000/1000/1000</f>
        <v>5.9457945599999985E-3</v>
      </c>
      <c r="G78" s="605"/>
      <c r="H78" s="581">
        <f t="shared" si="1"/>
        <v>0</v>
      </c>
      <c r="I78" s="530"/>
      <c r="J78" s="505" t="s">
        <v>465</v>
      </c>
      <c r="K78" s="505">
        <v>2</v>
      </c>
      <c r="L78" s="579"/>
      <c r="M78" s="397"/>
      <c r="N78" s="397"/>
      <c r="O78" s="397"/>
      <c r="P78" s="397"/>
      <c r="Q78" s="397"/>
      <c r="R78" s="397"/>
      <c r="S78" s="397"/>
      <c r="T78" s="397"/>
      <c r="U78" s="397"/>
      <c r="V78" s="397"/>
      <c r="W78" s="397"/>
      <c r="X78" s="397"/>
      <c r="Y78" s="397"/>
      <c r="Z78" s="397"/>
      <c r="AA78" s="397"/>
      <c r="AB78" s="530"/>
      <c r="AC78" s="530"/>
      <c r="AD78" s="530"/>
    </row>
    <row r="79" spans="2:30" x14ac:dyDescent="0.25">
      <c r="B79" s="661" t="s">
        <v>697</v>
      </c>
      <c r="C79" s="661" t="s">
        <v>698</v>
      </c>
      <c r="D79" s="706" t="s">
        <v>699</v>
      </c>
      <c r="E79" s="760" t="s">
        <v>296</v>
      </c>
      <c r="F79" s="782">
        <f>1*1220*2440/1000/1000/1000</f>
        <v>2.9768000000000004E-3</v>
      </c>
      <c r="G79" s="605"/>
      <c r="H79" s="581">
        <f t="shared" si="1"/>
        <v>0</v>
      </c>
      <c r="I79" s="530"/>
      <c r="J79" s="505" t="s">
        <v>465</v>
      </c>
      <c r="K79" s="505">
        <v>2</v>
      </c>
      <c r="L79" s="579"/>
      <c r="M79" s="397"/>
      <c r="N79" s="397"/>
      <c r="O79" s="397"/>
      <c r="P79" s="397"/>
      <c r="Q79" s="397"/>
      <c r="R79" s="397"/>
      <c r="S79" s="397"/>
      <c r="T79" s="397"/>
      <c r="U79" s="397"/>
      <c r="V79" s="397"/>
      <c r="W79" s="397"/>
      <c r="X79" s="397"/>
      <c r="Y79" s="397"/>
      <c r="Z79" s="397"/>
      <c r="AA79" s="397"/>
      <c r="AB79" s="530"/>
      <c r="AC79" s="530"/>
      <c r="AD79" s="530"/>
    </row>
    <row r="80" spans="2:30" x14ac:dyDescent="0.25">
      <c r="B80" s="661" t="s">
        <v>700</v>
      </c>
      <c r="C80" s="661" t="s">
        <v>701</v>
      </c>
      <c r="D80" s="663" t="s">
        <v>702</v>
      </c>
      <c r="E80" s="740" t="s">
        <v>1609</v>
      </c>
      <c r="F80" s="783">
        <f>2*12*25.4*8*12*25.4*9*12*25.4/1000/1000/1000</f>
        <v>4.0776259092479989</v>
      </c>
      <c r="G80" s="606"/>
      <c r="H80" s="581">
        <f t="shared" si="1"/>
        <v>0</v>
      </c>
      <c r="I80" s="530"/>
      <c r="J80" s="505" t="s">
        <v>465</v>
      </c>
      <c r="K80" s="505">
        <v>10</v>
      </c>
      <c r="L80" s="579"/>
      <c r="M80" s="397"/>
      <c r="N80" s="397"/>
      <c r="O80" s="397"/>
      <c r="P80" s="397"/>
      <c r="Q80" s="397"/>
      <c r="R80" s="397"/>
      <c r="S80" s="397"/>
      <c r="T80" s="397"/>
      <c r="U80" s="397"/>
      <c r="V80" s="397"/>
      <c r="W80" s="397"/>
      <c r="X80" s="397"/>
      <c r="Y80" s="397"/>
      <c r="Z80" s="397"/>
      <c r="AA80" s="397"/>
      <c r="AB80" s="530"/>
      <c r="AC80" s="530"/>
      <c r="AD80" s="530"/>
    </row>
    <row r="81" spans="2:30" x14ac:dyDescent="0.25">
      <c r="B81" s="661" t="s">
        <v>703</v>
      </c>
      <c r="C81" s="661" t="s">
        <v>704</v>
      </c>
      <c r="D81" s="664" t="s">
        <v>705</v>
      </c>
      <c r="E81" s="738" t="s">
        <v>431</v>
      </c>
      <c r="F81" s="782">
        <f>6*1220*2440/1000/1000/1000</f>
        <v>1.7860799999999996E-2</v>
      </c>
      <c r="G81" s="606"/>
      <c r="H81" s="581">
        <f t="shared" si="1"/>
        <v>0</v>
      </c>
      <c r="I81" s="530"/>
      <c r="J81" s="505" t="s">
        <v>465</v>
      </c>
      <c r="K81" s="505">
        <v>20</v>
      </c>
      <c r="L81" s="579">
        <f>S59*2*8*108</f>
        <v>1.1864829910885089</v>
      </c>
      <c r="M81" s="397"/>
      <c r="N81" s="397"/>
      <c r="O81" s="397"/>
      <c r="P81" s="397"/>
      <c r="Q81" s="397"/>
      <c r="R81" s="397"/>
      <c r="S81" s="397"/>
      <c r="T81" s="397"/>
      <c r="U81" s="397"/>
      <c r="V81" s="397"/>
      <c r="W81" s="397"/>
      <c r="X81" s="397"/>
      <c r="Y81" s="397"/>
      <c r="Z81" s="397"/>
      <c r="AA81" s="397"/>
      <c r="AB81" s="530"/>
      <c r="AC81" s="530"/>
      <c r="AD81" s="530"/>
    </row>
    <row r="82" spans="2:30" x14ac:dyDescent="0.25">
      <c r="B82" s="661" t="s">
        <v>706</v>
      </c>
      <c r="C82" s="661" t="s">
        <v>707</v>
      </c>
      <c r="D82" s="663" t="s">
        <v>708</v>
      </c>
      <c r="E82" s="742" t="s">
        <v>299</v>
      </c>
      <c r="F82" s="782">
        <f>6*1220*2440/1000/1000/1000</f>
        <v>1.7860799999999996E-2</v>
      </c>
      <c r="G82" s="606"/>
      <c r="H82" s="581">
        <f t="shared" si="1"/>
        <v>0</v>
      </c>
      <c r="I82" s="574"/>
      <c r="J82" s="505" t="s">
        <v>465</v>
      </c>
      <c r="K82" s="505">
        <v>23</v>
      </c>
      <c r="L82" s="579">
        <f>S41*6*2440*1220</f>
        <v>4.3223136000000002</v>
      </c>
      <c r="M82" s="397"/>
      <c r="N82" s="397"/>
      <c r="O82" s="397"/>
      <c r="P82" s="397"/>
      <c r="Q82" s="397"/>
      <c r="R82" s="397"/>
      <c r="S82" s="397"/>
      <c r="T82" s="397"/>
      <c r="U82" s="397"/>
      <c r="V82" s="397"/>
      <c r="W82" s="397"/>
      <c r="X82" s="397"/>
      <c r="Y82" s="397"/>
      <c r="Z82" s="397"/>
      <c r="AA82" s="397"/>
      <c r="AB82" s="530"/>
      <c r="AC82" s="530"/>
      <c r="AD82" s="530"/>
    </row>
    <row r="83" spans="2:30" x14ac:dyDescent="0.25">
      <c r="B83" s="661" t="s">
        <v>709</v>
      </c>
      <c r="C83" s="661" t="s">
        <v>710</v>
      </c>
      <c r="D83" s="663" t="s">
        <v>711</v>
      </c>
      <c r="E83" s="738" t="s">
        <v>431</v>
      </c>
      <c r="F83" s="783">
        <f>12*6*12*25.4*12*12*25.4/1000/1000/1000</f>
        <v>8.0268226559999989E-2</v>
      </c>
      <c r="G83" s="606"/>
      <c r="H83" s="581">
        <f t="shared" si="1"/>
        <v>0</v>
      </c>
      <c r="I83" s="530"/>
      <c r="J83" s="505" t="s">
        <v>465</v>
      </c>
      <c r="K83" s="505">
        <v>15</v>
      </c>
      <c r="L83" s="579">
        <f>$S$28*6*2440*1220</f>
        <v>3.9115152000000002</v>
      </c>
      <c r="M83" s="397"/>
      <c r="N83" s="397"/>
      <c r="O83" s="397"/>
      <c r="P83" s="397"/>
      <c r="Q83" s="397"/>
      <c r="R83" s="397"/>
      <c r="S83" s="397"/>
      <c r="T83" s="397"/>
      <c r="U83" s="397"/>
      <c r="V83" s="397"/>
      <c r="W83" s="397"/>
      <c r="X83" s="397"/>
      <c r="Y83" s="397"/>
      <c r="Z83" s="397"/>
      <c r="AA83" s="397"/>
      <c r="AB83" s="530"/>
      <c r="AC83" s="530"/>
      <c r="AD83" s="530"/>
    </row>
    <row r="84" spans="2:30" x14ac:dyDescent="0.25">
      <c r="B84" s="661" t="s">
        <v>712</v>
      </c>
      <c r="C84" s="661" t="s">
        <v>713</v>
      </c>
      <c r="D84" s="663" t="s">
        <v>714</v>
      </c>
      <c r="E84" s="760" t="s">
        <v>296</v>
      </c>
      <c r="F84" s="782">
        <f>1*1220*3000/1000/1000/1000</f>
        <v>3.6600000000000001E-3</v>
      </c>
      <c r="G84" s="605"/>
      <c r="H84" s="581">
        <f t="shared" si="1"/>
        <v>0</v>
      </c>
      <c r="I84" s="530"/>
      <c r="J84" s="505" t="s">
        <v>465</v>
      </c>
      <c r="K84" s="505">
        <v>87</v>
      </c>
      <c r="L84" s="579">
        <f>S41*12*3658*1828</f>
        <v>19.418536896000003</v>
      </c>
      <c r="M84" s="397"/>
      <c r="N84" s="397"/>
      <c r="O84" s="397"/>
      <c r="P84" s="397"/>
      <c r="Q84" s="397"/>
      <c r="R84" s="397"/>
      <c r="S84" s="397"/>
      <c r="T84" s="397"/>
      <c r="U84" s="397"/>
      <c r="V84" s="397"/>
      <c r="W84" s="397"/>
      <c r="X84" s="397"/>
      <c r="Y84" s="397"/>
      <c r="Z84" s="397"/>
      <c r="AA84" s="397"/>
      <c r="AB84" s="530"/>
      <c r="AC84" s="530"/>
      <c r="AD84" s="530"/>
    </row>
    <row r="85" spans="2:30" x14ac:dyDescent="0.25">
      <c r="B85" s="661" t="s">
        <v>715</v>
      </c>
      <c r="C85" s="661" t="s">
        <v>716</v>
      </c>
      <c r="D85" s="663" t="s">
        <v>717</v>
      </c>
      <c r="E85" s="740" t="s">
        <v>1609</v>
      </c>
      <c r="F85" s="783">
        <f>3*12*25.4*10*12*25.4*10*12*25.4/1000/1000/1000</f>
        <v>8.4950539775999978</v>
      </c>
      <c r="G85" s="606"/>
      <c r="H85" s="581">
        <f t="shared" si="1"/>
        <v>0</v>
      </c>
      <c r="I85" s="530"/>
      <c r="J85" s="505" t="s">
        <v>465</v>
      </c>
      <c r="K85" s="505">
        <v>1</v>
      </c>
      <c r="L85" s="579"/>
      <c r="M85" s="397"/>
      <c r="N85" s="397"/>
      <c r="O85" s="397"/>
      <c r="P85" s="397"/>
      <c r="Q85" s="397"/>
      <c r="R85" s="397"/>
      <c r="S85" s="397"/>
      <c r="T85" s="397"/>
      <c r="U85" s="397"/>
      <c r="V85" s="397"/>
      <c r="W85" s="397"/>
      <c r="X85" s="397"/>
      <c r="Y85" s="397"/>
      <c r="Z85" s="397"/>
      <c r="AA85" s="397"/>
      <c r="AB85" s="530"/>
      <c r="AC85" s="530"/>
      <c r="AD85" s="530"/>
    </row>
    <row r="86" spans="2:30" x14ac:dyDescent="0.25">
      <c r="B86" s="661" t="s">
        <v>718</v>
      </c>
      <c r="C86" s="661" t="s">
        <v>719</v>
      </c>
      <c r="D86" s="663" t="s">
        <v>720</v>
      </c>
      <c r="E86" s="764" t="s">
        <v>1833</v>
      </c>
      <c r="F86" s="783">
        <f>3*1500*3000/1000/1000/1000</f>
        <v>1.35E-2</v>
      </c>
      <c r="G86" s="607"/>
      <c r="H86" s="581">
        <f t="shared" si="1"/>
        <v>0</v>
      </c>
      <c r="I86" s="530"/>
      <c r="J86" s="537" t="s">
        <v>465</v>
      </c>
      <c r="K86" s="505">
        <v>42</v>
      </c>
      <c r="L86" s="579">
        <f>S59*3*10*120</f>
        <v>2.4718395647677269</v>
      </c>
      <c r="M86" s="397"/>
      <c r="N86" s="397"/>
      <c r="O86" s="397"/>
      <c r="P86" s="397"/>
      <c r="Q86" s="397"/>
      <c r="R86" s="397"/>
      <c r="S86" s="397"/>
      <c r="T86" s="397"/>
      <c r="U86" s="397"/>
      <c r="V86" s="397"/>
      <c r="W86" s="397"/>
      <c r="X86" s="397"/>
      <c r="Y86" s="397"/>
      <c r="Z86" s="397"/>
      <c r="AA86" s="397"/>
      <c r="AB86" s="530"/>
      <c r="AC86" s="530"/>
      <c r="AD86" s="530"/>
    </row>
    <row r="87" spans="2:30" x14ac:dyDescent="0.25">
      <c r="B87" s="661" t="s">
        <v>721</v>
      </c>
      <c r="C87" s="661" t="s">
        <v>722</v>
      </c>
      <c r="D87" s="663" t="s">
        <v>723</v>
      </c>
      <c r="E87" s="740" t="s">
        <v>1609</v>
      </c>
      <c r="F87" s="783">
        <f>2*12*25.4*9*12*25.4*9*12*25.4/1000/1000/1000</f>
        <v>4.5873291479039979</v>
      </c>
      <c r="G87" s="606"/>
      <c r="H87" s="581">
        <f t="shared" si="1"/>
        <v>0</v>
      </c>
      <c r="I87" s="574"/>
      <c r="J87" s="537" t="s">
        <v>465</v>
      </c>
      <c r="K87" s="505">
        <v>15</v>
      </c>
      <c r="L87" s="579"/>
      <c r="M87" s="397"/>
      <c r="N87" s="397"/>
      <c r="O87" s="397"/>
      <c r="P87" s="397"/>
      <c r="Q87" s="397"/>
      <c r="R87" s="397"/>
      <c r="S87" s="397"/>
      <c r="T87" s="397"/>
      <c r="U87" s="397"/>
      <c r="V87" s="397"/>
      <c r="W87" s="397"/>
      <c r="X87" s="397"/>
      <c r="Y87" s="397"/>
      <c r="Z87" s="397"/>
      <c r="AA87" s="397"/>
      <c r="AB87" s="530"/>
      <c r="AC87" s="530"/>
      <c r="AD87" s="530"/>
    </row>
    <row r="88" spans="2:30" x14ac:dyDescent="0.25">
      <c r="B88" s="661" t="s">
        <v>724</v>
      </c>
      <c r="C88" s="661" t="s">
        <v>725</v>
      </c>
      <c r="D88" s="663" t="s">
        <v>726</v>
      </c>
      <c r="E88" s="740" t="s">
        <v>1609</v>
      </c>
      <c r="F88" s="783">
        <f>2*12*25.4*9*12*25.4*9*12*25.4/1000/1000/1000</f>
        <v>4.5873291479039979</v>
      </c>
      <c r="G88" s="606"/>
      <c r="H88" s="581">
        <f t="shared" si="1"/>
        <v>0</v>
      </c>
      <c r="I88" s="574"/>
      <c r="J88" s="537" t="s">
        <v>465</v>
      </c>
      <c r="K88" s="505">
        <v>21</v>
      </c>
      <c r="L88" s="579">
        <f>S59*2*9*108</f>
        <v>1.3347933649745727</v>
      </c>
      <c r="M88" s="397"/>
      <c r="N88" s="397"/>
      <c r="O88" s="397"/>
      <c r="P88" s="397"/>
      <c r="Q88" s="397"/>
      <c r="R88" s="397"/>
      <c r="S88" s="397"/>
      <c r="T88" s="397"/>
      <c r="U88" s="397"/>
      <c r="V88" s="397"/>
      <c r="W88" s="397"/>
      <c r="X88" s="397"/>
      <c r="Y88" s="397"/>
      <c r="Z88" s="397"/>
      <c r="AA88" s="397"/>
      <c r="AB88" s="530"/>
      <c r="AC88" s="530"/>
      <c r="AD88" s="530"/>
    </row>
    <row r="89" spans="2:30" x14ac:dyDescent="0.25">
      <c r="B89" s="661" t="s">
        <v>727</v>
      </c>
      <c r="C89" s="661" t="s">
        <v>728</v>
      </c>
      <c r="D89" s="663" t="s">
        <v>729</v>
      </c>
      <c r="E89" s="740" t="s">
        <v>1609</v>
      </c>
      <c r="F89" s="783">
        <f>2*12*25.4*9*12*25.4*9*12*25.4/1000/1000/1000</f>
        <v>4.5873291479039979</v>
      </c>
      <c r="G89" s="606"/>
      <c r="H89" s="581">
        <f t="shared" si="1"/>
        <v>0</v>
      </c>
      <c r="I89" s="574"/>
      <c r="J89" s="537" t="s">
        <v>465</v>
      </c>
      <c r="K89" s="505">
        <v>24</v>
      </c>
      <c r="L89" s="579">
        <f>S59*2*9*108</f>
        <v>1.3347933649745727</v>
      </c>
      <c r="M89" s="397"/>
      <c r="N89" s="397"/>
      <c r="P89" s="397"/>
      <c r="Q89" s="397"/>
      <c r="R89" s="397"/>
      <c r="S89" s="397"/>
      <c r="T89" s="397"/>
      <c r="U89" s="397"/>
      <c r="V89" s="397"/>
      <c r="W89" s="397"/>
      <c r="X89" s="397"/>
      <c r="Y89" s="397"/>
      <c r="Z89" s="397"/>
      <c r="AA89" s="397"/>
      <c r="AB89" s="530"/>
      <c r="AC89" s="530"/>
      <c r="AD89" s="530"/>
    </row>
    <row r="90" spans="2:30" x14ac:dyDescent="0.25">
      <c r="B90" s="661" t="s">
        <v>730</v>
      </c>
      <c r="C90" s="665" t="s">
        <v>731</v>
      </c>
      <c r="D90" s="663" t="s">
        <v>732</v>
      </c>
      <c r="E90" s="761" t="s">
        <v>1797</v>
      </c>
      <c r="F90" s="781">
        <f>15*4*12*25.4*8*12*25.4/1000/1000/1000</f>
        <v>4.4593459199999998E-2</v>
      </c>
      <c r="G90" s="607"/>
      <c r="H90" s="581">
        <f t="shared" si="1"/>
        <v>0</v>
      </c>
      <c r="I90" s="574"/>
      <c r="J90" s="537" t="s">
        <v>465</v>
      </c>
      <c r="K90" s="505">
        <v>25</v>
      </c>
      <c r="L90" s="579">
        <f>S59*2*9*108</f>
        <v>1.3347933649745727</v>
      </c>
      <c r="M90" s="397"/>
      <c r="N90" s="397"/>
      <c r="O90" s="397"/>
      <c r="P90" s="397"/>
      <c r="Q90" s="397"/>
      <c r="R90" s="397"/>
      <c r="S90" s="397"/>
      <c r="T90" s="397"/>
      <c r="U90" s="397"/>
      <c r="V90" s="397"/>
      <c r="W90" s="397"/>
      <c r="X90" s="397"/>
      <c r="Y90" s="397"/>
      <c r="Z90" s="397"/>
      <c r="AA90" s="397"/>
      <c r="AB90" s="530"/>
      <c r="AC90" s="530"/>
      <c r="AD90" s="530"/>
    </row>
    <row r="91" spans="2:30" x14ac:dyDescent="0.25">
      <c r="B91" s="661" t="s">
        <v>733</v>
      </c>
      <c r="C91" s="665" t="s">
        <v>734</v>
      </c>
      <c r="D91" s="663" t="s">
        <v>735</v>
      </c>
      <c r="E91" s="761" t="s">
        <v>1797</v>
      </c>
      <c r="F91" s="781">
        <f>18*4*12*25.4*8*12*25.4/1000/1000/1000</f>
        <v>5.3512151039999983E-2</v>
      </c>
      <c r="G91" s="607"/>
      <c r="H91" s="581">
        <f t="shared" si="1"/>
        <v>0</v>
      </c>
      <c r="I91" s="574"/>
      <c r="J91" s="537" t="s">
        <v>465</v>
      </c>
      <c r="K91" s="505">
        <v>46</v>
      </c>
      <c r="L91" s="579"/>
      <c r="M91" s="397"/>
      <c r="N91" s="397"/>
      <c r="O91" s="397"/>
      <c r="P91" s="397"/>
      <c r="Q91" s="397"/>
      <c r="R91" s="397"/>
      <c r="S91" s="397"/>
      <c r="T91" s="397"/>
      <c r="U91" s="397"/>
      <c r="V91" s="397"/>
      <c r="W91" s="397"/>
      <c r="X91" s="397"/>
      <c r="Y91" s="397"/>
      <c r="Z91" s="397"/>
      <c r="AA91" s="397"/>
      <c r="AB91" s="530"/>
      <c r="AC91" s="530"/>
      <c r="AD91" s="530"/>
    </row>
    <row r="92" spans="2:30" x14ac:dyDescent="0.25">
      <c r="B92" s="661" t="s">
        <v>737</v>
      </c>
      <c r="C92" s="661" t="s">
        <v>738</v>
      </c>
      <c r="D92" s="663" t="s">
        <v>739</v>
      </c>
      <c r="E92" s="765" t="s">
        <v>1811</v>
      </c>
      <c r="F92" s="786">
        <f>10*1220*2440/1000/1000/1000</f>
        <v>2.9767999999999999E-2</v>
      </c>
      <c r="G92" s="605"/>
      <c r="H92" s="604">
        <f>G92*K93</f>
        <v>0</v>
      </c>
      <c r="I92" s="574"/>
      <c r="J92" s="537" t="s">
        <v>736</v>
      </c>
      <c r="K92" s="505">
        <v>55</v>
      </c>
      <c r="L92" s="579"/>
      <c r="M92" s="397"/>
      <c r="N92" s="397"/>
      <c r="O92" s="397"/>
      <c r="P92" s="397"/>
      <c r="Q92" s="397"/>
      <c r="R92" s="397"/>
      <c r="S92" s="397"/>
      <c r="T92" s="397"/>
      <c r="U92" s="397"/>
      <c r="V92" s="397"/>
      <c r="W92" s="397"/>
      <c r="X92" s="397"/>
      <c r="Y92" s="397"/>
      <c r="Z92" s="397"/>
      <c r="AA92" s="397"/>
      <c r="AB92" s="530"/>
      <c r="AC92" s="530"/>
      <c r="AD92" s="530"/>
    </row>
    <row r="93" spans="2:30" x14ac:dyDescent="0.25">
      <c r="B93" s="661" t="s">
        <v>740</v>
      </c>
      <c r="C93" s="661" t="s">
        <v>741</v>
      </c>
      <c r="D93" s="663" t="s">
        <v>742</v>
      </c>
      <c r="E93" s="765" t="s">
        <v>1811</v>
      </c>
      <c r="F93" s="786">
        <f>2*1220*2440/1000/1000/1000</f>
        <v>5.9536000000000007E-3</v>
      </c>
      <c r="G93" s="605"/>
      <c r="H93" s="604">
        <f>G93*K94</f>
        <v>0</v>
      </c>
      <c r="I93" s="530"/>
      <c r="J93" s="505" t="s">
        <v>3</v>
      </c>
      <c r="K93" s="505">
        <v>35</v>
      </c>
      <c r="M93" s="397"/>
      <c r="N93" s="397"/>
      <c r="O93" s="397"/>
      <c r="P93" s="397"/>
      <c r="Q93" s="397"/>
      <c r="R93" s="397"/>
      <c r="S93" s="397"/>
      <c r="T93" s="397"/>
      <c r="U93" s="397"/>
      <c r="V93" s="397"/>
      <c r="W93" s="397"/>
      <c r="X93" s="397"/>
      <c r="Y93" s="397"/>
      <c r="Z93" s="397"/>
      <c r="AA93" s="397"/>
      <c r="AB93" s="530"/>
      <c r="AC93" s="530"/>
      <c r="AD93" s="530"/>
    </row>
    <row r="94" spans="2:30" x14ac:dyDescent="0.25">
      <c r="B94" s="661" t="s">
        <v>743</v>
      </c>
      <c r="C94" s="661" t="s">
        <v>744</v>
      </c>
      <c r="D94" s="663" t="s">
        <v>745</v>
      </c>
      <c r="E94" s="765" t="s">
        <v>1811</v>
      </c>
      <c r="F94" s="786">
        <f>2*1220*2440/1000/1000/1000</f>
        <v>5.9536000000000007E-3</v>
      </c>
      <c r="G94" s="605"/>
      <c r="H94" s="604">
        <f>G94*K95</f>
        <v>0</v>
      </c>
      <c r="I94" s="530"/>
      <c r="J94" s="505" t="s">
        <v>3</v>
      </c>
      <c r="K94" s="505">
        <v>7</v>
      </c>
      <c r="L94" s="579"/>
      <c r="M94" s="397"/>
      <c r="N94" s="397"/>
      <c r="O94" s="397"/>
      <c r="P94" s="397"/>
      <c r="Q94" s="397"/>
      <c r="R94" s="397"/>
      <c r="S94" s="397"/>
      <c r="T94" s="397"/>
      <c r="U94" s="397"/>
      <c r="V94" s="397"/>
      <c r="W94" s="397"/>
      <c r="X94" s="397"/>
      <c r="Y94" s="397"/>
      <c r="Z94" s="397"/>
      <c r="AA94" s="397"/>
      <c r="AB94" s="530"/>
      <c r="AC94" s="530"/>
      <c r="AD94" s="530"/>
    </row>
    <row r="95" spans="2:30" x14ac:dyDescent="0.25">
      <c r="B95" s="661" t="s">
        <v>746</v>
      </c>
      <c r="C95" s="661" t="s">
        <v>747</v>
      </c>
      <c r="D95" s="663" t="s">
        <v>748</v>
      </c>
      <c r="E95" s="765" t="s">
        <v>1811</v>
      </c>
      <c r="F95" s="786">
        <f>2.8*1220*2440/1000/1000/1000</f>
        <v>8.3350400000000019E-3</v>
      </c>
      <c r="G95" s="605"/>
      <c r="H95" s="604">
        <f>G95*K96</f>
        <v>0</v>
      </c>
      <c r="I95" s="530"/>
      <c r="J95" s="505" t="s">
        <v>3</v>
      </c>
      <c r="K95" s="505">
        <v>7</v>
      </c>
      <c r="L95" s="579"/>
      <c r="M95" s="397"/>
      <c r="N95" s="397"/>
      <c r="O95" s="397"/>
      <c r="P95" s="397"/>
      <c r="Q95" s="397"/>
      <c r="R95" s="397"/>
      <c r="S95" s="397"/>
      <c r="T95" s="397"/>
      <c r="U95" s="397"/>
      <c r="V95" s="397"/>
      <c r="W95" s="397"/>
      <c r="X95" s="397"/>
      <c r="Y95" s="397"/>
      <c r="Z95" s="397"/>
      <c r="AA95" s="397"/>
      <c r="AB95" s="530"/>
      <c r="AC95" s="530"/>
      <c r="AD95" s="530"/>
    </row>
    <row r="96" spans="2:30" x14ac:dyDescent="0.25">
      <c r="B96" s="661" t="s">
        <v>749</v>
      </c>
      <c r="C96" s="661" t="s">
        <v>750</v>
      </c>
      <c r="D96" s="663" t="s">
        <v>751</v>
      </c>
      <c r="E96" s="765" t="s">
        <v>1811</v>
      </c>
      <c r="F96" s="787">
        <f>2.8*8*12*25.4*4*12*25.4/1000/1000/1000</f>
        <v>8.3241123839999983E-3</v>
      </c>
      <c r="G96" s="605"/>
      <c r="H96" s="604">
        <f>G96*K97</f>
        <v>0</v>
      </c>
      <c r="I96" s="530"/>
      <c r="J96" s="505" t="s">
        <v>3</v>
      </c>
      <c r="K96" s="505">
        <v>11</v>
      </c>
      <c r="L96" s="579"/>
      <c r="M96" s="397"/>
      <c r="N96" s="397"/>
      <c r="O96" s="397"/>
      <c r="P96" s="397"/>
      <c r="Q96" s="397"/>
      <c r="R96" s="397"/>
      <c r="S96" s="397"/>
      <c r="T96" s="397"/>
      <c r="U96" s="397"/>
      <c r="V96" s="397"/>
      <c r="W96" s="397"/>
      <c r="X96" s="397"/>
      <c r="Y96" s="397"/>
      <c r="Z96" s="397"/>
      <c r="AA96" s="397"/>
      <c r="AB96" s="530"/>
      <c r="AC96" s="530"/>
      <c r="AD96" s="530"/>
    </row>
    <row r="97" spans="2:30" x14ac:dyDescent="0.25">
      <c r="B97" s="661" t="s">
        <v>752</v>
      </c>
      <c r="C97" s="661" t="s">
        <v>753</v>
      </c>
      <c r="D97" s="663" t="s">
        <v>754</v>
      </c>
      <c r="E97" s="765" t="s">
        <v>1811</v>
      </c>
      <c r="F97" s="786">
        <f>2.8*1220*2440/1000/1000/1000</f>
        <v>8.3350400000000019E-3</v>
      </c>
      <c r="G97" s="605"/>
      <c r="H97" s="604">
        <f>G97*K98</f>
        <v>0</v>
      </c>
      <c r="I97" s="530"/>
      <c r="J97" s="505" t="s">
        <v>3</v>
      </c>
      <c r="K97" s="505">
        <v>11</v>
      </c>
      <c r="L97" s="579"/>
      <c r="M97" s="397"/>
      <c r="N97" s="397"/>
      <c r="O97" s="397"/>
      <c r="P97" s="397"/>
      <c r="Q97" s="397"/>
      <c r="R97" s="397"/>
      <c r="S97" s="397"/>
      <c r="T97" s="397"/>
      <c r="U97" s="397"/>
      <c r="V97" s="397"/>
      <c r="W97" s="397"/>
      <c r="X97" s="397"/>
      <c r="Y97" s="397"/>
      <c r="Z97" s="397"/>
      <c r="AA97" s="397"/>
      <c r="AB97" s="530"/>
      <c r="AC97" s="530"/>
      <c r="AD97" s="530"/>
    </row>
    <row r="98" spans="2:30" x14ac:dyDescent="0.25">
      <c r="B98" s="661" t="s">
        <v>755</v>
      </c>
      <c r="C98" s="661" t="s">
        <v>756</v>
      </c>
      <c r="D98" s="663" t="s">
        <v>757</v>
      </c>
      <c r="E98" s="765" t="s">
        <v>1811</v>
      </c>
      <c r="F98" s="787">
        <f>2*8*12*25.4*4*12*25.4/1000/1000/1000</f>
        <v>5.9457945599999985E-3</v>
      </c>
      <c r="G98" s="605"/>
      <c r="H98" s="604">
        <f>G98*K99</f>
        <v>0</v>
      </c>
      <c r="I98" s="530"/>
      <c r="J98" s="505" t="s">
        <v>3</v>
      </c>
      <c r="K98" s="505">
        <v>11</v>
      </c>
      <c r="L98" s="579"/>
      <c r="M98" s="397"/>
      <c r="N98" s="397"/>
      <c r="O98" s="397"/>
      <c r="P98" s="397"/>
      <c r="Q98" s="397"/>
      <c r="R98" s="397"/>
      <c r="S98" s="397"/>
      <c r="T98" s="397"/>
      <c r="U98" s="397"/>
      <c r="V98" s="397"/>
      <c r="W98" s="397"/>
      <c r="X98" s="397"/>
      <c r="Y98" s="397"/>
      <c r="Z98" s="397"/>
      <c r="AA98" s="397"/>
      <c r="AB98" s="530"/>
      <c r="AC98" s="530"/>
      <c r="AD98" s="530"/>
    </row>
    <row r="99" spans="2:30" x14ac:dyDescent="0.25">
      <c r="B99" s="661" t="s">
        <v>758</v>
      </c>
      <c r="C99" s="661" t="s">
        <v>759</v>
      </c>
      <c r="D99" s="663" t="s">
        <v>760</v>
      </c>
      <c r="E99" s="765" t="s">
        <v>1811</v>
      </c>
      <c r="F99" s="787">
        <f>3*8*12*25.4*4*12*25.4/1000/1000/1000</f>
        <v>8.9186918399999978E-3</v>
      </c>
      <c r="G99" s="605"/>
      <c r="H99" s="604">
        <f>G99*K100</f>
        <v>0</v>
      </c>
      <c r="I99" s="530"/>
      <c r="J99" s="505" t="s">
        <v>3</v>
      </c>
      <c r="K99" s="505">
        <v>7</v>
      </c>
      <c r="L99" s="579"/>
      <c r="M99" s="397"/>
      <c r="N99" s="397"/>
      <c r="O99" s="397"/>
      <c r="P99" s="397"/>
      <c r="Q99" s="397"/>
      <c r="R99" s="397"/>
      <c r="S99" s="397"/>
      <c r="T99" s="397"/>
      <c r="U99" s="397"/>
      <c r="V99" s="397"/>
      <c r="W99" s="397"/>
      <c r="X99" s="397"/>
      <c r="Y99" s="397"/>
      <c r="Z99" s="397"/>
      <c r="AA99" s="397"/>
      <c r="AB99" s="530"/>
      <c r="AC99" s="530"/>
      <c r="AD99" s="530"/>
    </row>
    <row r="100" spans="2:30" x14ac:dyDescent="0.25">
      <c r="B100" s="661" t="s">
        <v>761</v>
      </c>
      <c r="C100" s="661" t="s">
        <v>762</v>
      </c>
      <c r="D100" s="663" t="s">
        <v>763</v>
      </c>
      <c r="E100" s="765" t="s">
        <v>1811</v>
      </c>
      <c r="F100" s="786">
        <f>30*1220*2440/1000/1000/1000</f>
        <v>8.9304000000000008E-2</v>
      </c>
      <c r="G100" s="605"/>
      <c r="H100" s="604">
        <f>G100*K101</f>
        <v>0</v>
      </c>
      <c r="I100" s="530"/>
      <c r="J100" s="505" t="s">
        <v>3</v>
      </c>
      <c r="K100" s="505">
        <v>11</v>
      </c>
      <c r="L100" s="579"/>
      <c r="M100" s="397"/>
      <c r="N100" s="397"/>
      <c r="O100" s="397"/>
      <c r="P100" s="397"/>
      <c r="Q100" s="397"/>
      <c r="R100" s="397"/>
      <c r="S100" s="397"/>
      <c r="T100" s="397"/>
      <c r="U100" s="397"/>
      <c r="V100" s="397"/>
      <c r="W100" s="397"/>
      <c r="X100" s="397"/>
      <c r="Y100" s="397"/>
      <c r="Z100" s="397"/>
      <c r="AA100" s="397"/>
      <c r="AB100" s="530"/>
      <c r="AC100" s="530"/>
      <c r="AD100" s="530"/>
    </row>
    <row r="101" spans="2:30" x14ac:dyDescent="0.25">
      <c r="B101" s="661" t="s">
        <v>764</v>
      </c>
      <c r="C101" s="661" t="s">
        <v>765</v>
      </c>
      <c r="D101" s="663" t="s">
        <v>766</v>
      </c>
      <c r="E101" s="765" t="s">
        <v>1811</v>
      </c>
      <c r="F101" s="787">
        <f>3*8*12*25.4*4*12*25.4/1000/1000/1000</f>
        <v>8.9186918399999978E-3</v>
      </c>
      <c r="G101" s="605"/>
      <c r="H101" s="604">
        <f>G101*K102</f>
        <v>0</v>
      </c>
      <c r="I101" s="530"/>
      <c r="J101" s="505" t="s">
        <v>3</v>
      </c>
      <c r="K101" s="505">
        <v>108</v>
      </c>
      <c r="L101" s="579"/>
      <c r="M101" s="397"/>
      <c r="N101" s="397"/>
      <c r="O101" s="397"/>
      <c r="P101" s="397"/>
      <c r="Q101" s="397"/>
      <c r="R101" s="397"/>
      <c r="S101" s="397"/>
      <c r="T101" s="397"/>
      <c r="U101" s="397"/>
      <c r="V101" s="397"/>
      <c r="W101" s="397"/>
      <c r="X101" s="397"/>
      <c r="Y101" s="397"/>
      <c r="Z101" s="397"/>
      <c r="AA101" s="397"/>
      <c r="AB101" s="530"/>
      <c r="AC101" s="530"/>
      <c r="AD101" s="530"/>
    </row>
    <row r="102" spans="2:30" x14ac:dyDescent="0.25">
      <c r="B102" s="661" t="s">
        <v>767</v>
      </c>
      <c r="C102" s="661" t="s">
        <v>768</v>
      </c>
      <c r="D102" s="663" t="s">
        <v>769</v>
      </c>
      <c r="E102" s="765" t="s">
        <v>1811</v>
      </c>
      <c r="F102" s="787">
        <f>3*3*12*25.4*2*12*25.4/1000/1000/1000</f>
        <v>1.6722547199999995E-3</v>
      </c>
      <c r="G102" s="605"/>
      <c r="H102" s="604">
        <f>G102*K103</f>
        <v>0</v>
      </c>
      <c r="I102" s="530"/>
      <c r="J102" s="505" t="s">
        <v>3</v>
      </c>
      <c r="K102" s="505">
        <v>11</v>
      </c>
      <c r="L102" s="579"/>
      <c r="M102" s="397"/>
      <c r="N102" s="397"/>
      <c r="O102" s="397"/>
      <c r="P102" s="397"/>
      <c r="Q102" s="397"/>
      <c r="R102" s="397"/>
      <c r="S102" s="397"/>
      <c r="T102" s="397"/>
      <c r="U102" s="397"/>
      <c r="V102" s="397"/>
      <c r="W102" s="397"/>
      <c r="X102" s="397"/>
      <c r="Y102" s="397"/>
      <c r="Z102" s="397"/>
      <c r="AA102" s="397"/>
      <c r="AB102" s="530"/>
      <c r="AC102" s="530"/>
      <c r="AD102" s="530"/>
    </row>
    <row r="103" spans="2:30" x14ac:dyDescent="0.25">
      <c r="B103" s="661" t="s">
        <v>770</v>
      </c>
      <c r="C103" s="661" t="s">
        <v>771</v>
      </c>
      <c r="D103" s="663" t="s">
        <v>772</v>
      </c>
      <c r="E103" s="765" t="s">
        <v>1811</v>
      </c>
      <c r="F103" s="787">
        <f>3*8*12*25.4*4*12*25.4/1000/1000/1000</f>
        <v>8.9186918399999978E-3</v>
      </c>
      <c r="G103" s="605"/>
      <c r="H103" s="604">
        <f>G103*K104</f>
        <v>0</v>
      </c>
      <c r="I103" s="530"/>
      <c r="J103" s="505" t="s">
        <v>3</v>
      </c>
      <c r="K103" s="505">
        <v>5</v>
      </c>
      <c r="L103" s="579"/>
      <c r="M103" s="397"/>
      <c r="N103" s="397"/>
      <c r="O103" s="397"/>
      <c r="P103" s="397"/>
      <c r="Q103" s="397"/>
      <c r="R103" s="397"/>
      <c r="S103" s="397"/>
      <c r="T103" s="397"/>
      <c r="U103" s="397"/>
      <c r="V103" s="397"/>
      <c r="W103" s="397"/>
      <c r="X103" s="397"/>
      <c r="Y103" s="397"/>
      <c r="Z103" s="397"/>
      <c r="AA103" s="397"/>
      <c r="AB103" s="530"/>
      <c r="AC103" s="530"/>
      <c r="AD103" s="530"/>
    </row>
    <row r="104" spans="2:30" x14ac:dyDescent="0.25">
      <c r="B104" s="661" t="s">
        <v>773</v>
      </c>
      <c r="C104" s="661" t="s">
        <v>774</v>
      </c>
      <c r="D104" s="663" t="s">
        <v>772</v>
      </c>
      <c r="E104" s="765" t="s">
        <v>1811</v>
      </c>
      <c r="F104" s="787">
        <f>3*8*12*25.4*4*12*25.4/1000/1000/1000</f>
        <v>8.9186918399999978E-3</v>
      </c>
      <c r="G104" s="605"/>
      <c r="H104" s="604">
        <f>G104*K105</f>
        <v>0</v>
      </c>
      <c r="I104" s="530"/>
      <c r="J104" s="505" t="s">
        <v>3</v>
      </c>
      <c r="K104" s="505">
        <v>11</v>
      </c>
      <c r="L104" s="579"/>
      <c r="M104" s="397"/>
      <c r="N104" s="397"/>
      <c r="O104" s="397"/>
      <c r="P104" s="397"/>
      <c r="Q104" s="397"/>
      <c r="R104" s="397"/>
      <c r="S104" s="397"/>
      <c r="T104" s="397"/>
      <c r="U104" s="397"/>
      <c r="V104" s="397"/>
      <c r="W104" s="397"/>
      <c r="X104" s="397"/>
      <c r="Y104" s="397"/>
      <c r="Z104" s="397"/>
      <c r="AA104" s="397"/>
      <c r="AB104" s="530"/>
      <c r="AC104" s="530"/>
      <c r="AD104" s="530"/>
    </row>
    <row r="105" spans="2:30" x14ac:dyDescent="0.25">
      <c r="B105" s="661" t="s">
        <v>775</v>
      </c>
      <c r="C105" s="661" t="s">
        <v>776</v>
      </c>
      <c r="D105" s="663" t="s">
        <v>777</v>
      </c>
      <c r="E105" s="765" t="s">
        <v>1811</v>
      </c>
      <c r="F105" s="786">
        <f>4*1220*2440/1000/1000/1000</f>
        <v>1.1907200000000001E-2</v>
      </c>
      <c r="G105" s="605"/>
      <c r="H105" s="604">
        <f>G105*K106</f>
        <v>0</v>
      </c>
      <c r="I105" s="530"/>
      <c r="J105" s="505" t="s">
        <v>3</v>
      </c>
      <c r="K105" s="505">
        <v>11</v>
      </c>
      <c r="L105" s="579"/>
      <c r="M105" s="397"/>
      <c r="N105" s="397"/>
      <c r="O105" s="397"/>
      <c r="P105" s="397"/>
      <c r="Q105" s="397"/>
      <c r="R105" s="397"/>
      <c r="S105" s="397"/>
      <c r="T105" s="397"/>
      <c r="U105" s="397"/>
      <c r="V105" s="397"/>
      <c r="W105" s="397"/>
      <c r="X105" s="397"/>
      <c r="Y105" s="397"/>
      <c r="Z105" s="397"/>
      <c r="AA105" s="397"/>
      <c r="AB105" s="530"/>
      <c r="AC105" s="530"/>
      <c r="AD105" s="530"/>
    </row>
    <row r="106" spans="2:30" x14ac:dyDescent="0.25">
      <c r="B106" s="661" t="s">
        <v>778</v>
      </c>
      <c r="C106" s="661" t="s">
        <v>779</v>
      </c>
      <c r="D106" s="663" t="s">
        <v>780</v>
      </c>
      <c r="E106" s="765" t="s">
        <v>1811</v>
      </c>
      <c r="F106" s="787">
        <f>5*8*12*25.4*4*12*25.4/1000/1000/1000</f>
        <v>1.4864486399999998E-2</v>
      </c>
      <c r="G106" s="605"/>
      <c r="H106" s="604">
        <f>G106*K107</f>
        <v>0</v>
      </c>
      <c r="I106" s="530"/>
      <c r="J106" s="505" t="s">
        <v>3</v>
      </c>
      <c r="K106" s="505">
        <v>14</v>
      </c>
      <c r="L106" s="579"/>
      <c r="M106" s="397"/>
      <c r="N106" s="397"/>
      <c r="O106" s="397"/>
      <c r="P106" s="397"/>
      <c r="Q106" s="397"/>
      <c r="R106" s="397"/>
      <c r="S106" s="397"/>
      <c r="T106" s="397"/>
      <c r="U106" s="397"/>
      <c r="V106" s="397"/>
      <c r="W106" s="397"/>
      <c r="X106" s="397"/>
      <c r="Y106" s="397"/>
      <c r="Z106" s="397"/>
      <c r="AA106" s="397"/>
      <c r="AB106" s="530"/>
      <c r="AC106" s="530"/>
      <c r="AD106" s="530"/>
    </row>
    <row r="107" spans="2:30" x14ac:dyDescent="0.25">
      <c r="B107" s="661" t="s">
        <v>781</v>
      </c>
      <c r="C107" s="661" t="s">
        <v>782</v>
      </c>
      <c r="D107" s="663" t="s">
        <v>783</v>
      </c>
      <c r="E107" s="765" t="s">
        <v>1811</v>
      </c>
      <c r="F107" s="786">
        <f>6*1220*2440/1000/1000/1000</f>
        <v>1.7860799999999996E-2</v>
      </c>
      <c r="G107" s="605"/>
      <c r="H107" s="604">
        <f>G107*K108</f>
        <v>0</v>
      </c>
      <c r="I107" s="530"/>
      <c r="J107" s="505" t="s">
        <v>3</v>
      </c>
      <c r="K107" s="505">
        <v>18</v>
      </c>
      <c r="L107" s="579"/>
      <c r="M107" s="397"/>
      <c r="N107" s="397"/>
      <c r="O107" s="397"/>
      <c r="P107" s="397"/>
      <c r="Q107" s="397"/>
      <c r="R107" s="397"/>
      <c r="S107" s="397"/>
      <c r="T107" s="397"/>
      <c r="U107" s="397"/>
      <c r="V107" s="397"/>
      <c r="W107" s="397"/>
      <c r="X107" s="397"/>
      <c r="Y107" s="397"/>
      <c r="Z107" s="397"/>
      <c r="AA107" s="397"/>
      <c r="AB107" s="530"/>
      <c r="AC107" s="530"/>
      <c r="AD107" s="530"/>
    </row>
    <row r="108" spans="2:30" x14ac:dyDescent="0.25">
      <c r="B108" s="661" t="s">
        <v>784</v>
      </c>
      <c r="C108" s="661" t="s">
        <v>785</v>
      </c>
      <c r="D108" s="663" t="s">
        <v>786</v>
      </c>
      <c r="E108" s="765" t="s">
        <v>1811</v>
      </c>
      <c r="F108" s="787">
        <f>6*8*12*25.4*4*12*25.4/1000/1000/1000</f>
        <v>1.7837383679999996E-2</v>
      </c>
      <c r="G108" s="605"/>
      <c r="H108" s="604">
        <f>G108*K109</f>
        <v>0</v>
      </c>
      <c r="I108" s="530"/>
      <c r="J108" s="505" t="s">
        <v>3</v>
      </c>
      <c r="K108" s="505">
        <v>22</v>
      </c>
      <c r="L108" s="579"/>
      <c r="M108" s="397"/>
      <c r="N108" s="397"/>
      <c r="O108" s="397"/>
      <c r="P108" s="397"/>
      <c r="Q108" s="397"/>
      <c r="R108" s="397"/>
      <c r="S108" s="397"/>
      <c r="T108" s="397"/>
      <c r="U108" s="397"/>
      <c r="V108" s="397"/>
      <c r="W108" s="397"/>
      <c r="X108" s="397"/>
      <c r="Y108" s="397"/>
      <c r="Z108" s="397"/>
      <c r="AA108" s="397"/>
      <c r="AB108" s="530"/>
      <c r="AC108" s="530"/>
      <c r="AD108" s="530"/>
    </row>
    <row r="109" spans="2:30" x14ac:dyDescent="0.25">
      <c r="B109" s="661" t="s">
        <v>787</v>
      </c>
      <c r="C109" s="661" t="s">
        <v>788</v>
      </c>
      <c r="D109" s="663" t="s">
        <v>789</v>
      </c>
      <c r="E109" s="765" t="s">
        <v>1811</v>
      </c>
      <c r="F109" s="787">
        <f>6*8*12*25.4*4*12*25.4/1000/1000/1000</f>
        <v>1.7837383679999996E-2</v>
      </c>
      <c r="G109" s="605"/>
      <c r="H109" s="604">
        <f>G109*K110</f>
        <v>0</v>
      </c>
      <c r="I109" s="530"/>
      <c r="J109" s="505" t="s">
        <v>3</v>
      </c>
      <c r="K109" s="505">
        <v>22</v>
      </c>
      <c r="L109" s="579"/>
      <c r="M109" s="397"/>
      <c r="N109" s="397"/>
      <c r="O109" s="397"/>
      <c r="P109" s="397"/>
      <c r="Q109" s="397"/>
      <c r="R109" s="397"/>
      <c r="S109" s="397"/>
      <c r="T109" s="397"/>
      <c r="U109" s="397"/>
      <c r="V109" s="397"/>
      <c r="W109" s="397"/>
      <c r="X109" s="397"/>
      <c r="Y109" s="397"/>
      <c r="Z109" s="397"/>
      <c r="AA109" s="397"/>
      <c r="AB109" s="530"/>
      <c r="AC109" s="530"/>
      <c r="AD109" s="530"/>
    </row>
    <row r="110" spans="2:30" x14ac:dyDescent="0.25">
      <c r="B110" s="661" t="s">
        <v>790</v>
      </c>
      <c r="C110" s="661" t="s">
        <v>791</v>
      </c>
      <c r="D110" s="663" t="s">
        <v>792</v>
      </c>
      <c r="E110" s="765" t="s">
        <v>1811</v>
      </c>
      <c r="F110" s="782">
        <f>2.8*1220*2440/1000/1000/1000</f>
        <v>8.3350400000000019E-3</v>
      </c>
      <c r="G110" s="605"/>
      <c r="H110" s="604">
        <f>G110*K111</f>
        <v>0</v>
      </c>
      <c r="I110" s="530"/>
      <c r="J110" s="505" t="s">
        <v>3</v>
      </c>
      <c r="K110" s="505">
        <v>22</v>
      </c>
      <c r="L110" s="579"/>
      <c r="M110" s="397"/>
      <c r="N110" s="397"/>
      <c r="O110" s="397"/>
      <c r="P110" s="397"/>
      <c r="Q110" s="397"/>
      <c r="R110" s="397"/>
      <c r="S110" s="397"/>
      <c r="T110" s="397"/>
      <c r="U110" s="397"/>
      <c r="V110" s="397"/>
      <c r="W110" s="397"/>
      <c r="X110" s="397"/>
      <c r="Y110" s="397"/>
      <c r="Z110" s="397"/>
      <c r="AA110" s="397"/>
      <c r="AB110" s="530"/>
      <c r="AC110" s="530"/>
      <c r="AD110" s="530"/>
    </row>
    <row r="111" spans="2:30" x14ac:dyDescent="0.25">
      <c r="B111" s="661" t="s">
        <v>794</v>
      </c>
      <c r="C111" s="661" t="s">
        <v>795</v>
      </c>
      <c r="D111" s="663" t="s">
        <v>796</v>
      </c>
      <c r="E111" s="765" t="s">
        <v>1811</v>
      </c>
      <c r="F111" s="787">
        <f>12*8*12*25.4*4*12*25.4/1000/1000/1000</f>
        <v>3.5674767359999991E-2</v>
      </c>
      <c r="G111" s="605"/>
      <c r="H111" s="604">
        <f>G111*K112</f>
        <v>0</v>
      </c>
      <c r="I111" s="575" t="s">
        <v>793</v>
      </c>
      <c r="J111" s="505" t="s">
        <v>3</v>
      </c>
      <c r="K111" s="505">
        <v>11</v>
      </c>
      <c r="L111" s="579"/>
      <c r="M111" s="397"/>
      <c r="N111" s="397"/>
      <c r="O111" s="397"/>
      <c r="P111" s="397"/>
      <c r="Q111" s="397"/>
      <c r="R111" s="397"/>
      <c r="S111" s="397"/>
      <c r="T111" s="397"/>
      <c r="U111" s="397"/>
      <c r="V111" s="397"/>
      <c r="W111" s="397"/>
      <c r="X111" s="397"/>
      <c r="Y111" s="397"/>
      <c r="Z111" s="397"/>
      <c r="AA111" s="397"/>
      <c r="AB111" s="530"/>
      <c r="AC111" s="530"/>
      <c r="AD111" s="530"/>
    </row>
    <row r="112" spans="2:30" x14ac:dyDescent="0.25">
      <c r="B112" s="661" t="s">
        <v>797</v>
      </c>
      <c r="C112" s="661" t="s">
        <v>798</v>
      </c>
      <c r="D112" s="663" t="s">
        <v>799</v>
      </c>
      <c r="E112" s="765" t="s">
        <v>1811</v>
      </c>
      <c r="F112" s="786">
        <f>1*1220*2440/1000/1000/1000</f>
        <v>2.9768000000000004E-3</v>
      </c>
      <c r="G112" s="605"/>
      <c r="H112" s="604">
        <f>G112*K113</f>
        <v>0</v>
      </c>
      <c r="I112" s="530"/>
      <c r="J112" s="505" t="s">
        <v>3</v>
      </c>
      <c r="K112" s="505">
        <v>44</v>
      </c>
      <c r="L112" s="579"/>
      <c r="M112" s="397"/>
      <c r="N112" s="397"/>
      <c r="O112" s="397"/>
      <c r="P112" s="397"/>
      <c r="Q112" s="397"/>
      <c r="R112" s="397"/>
      <c r="S112" s="397"/>
      <c r="T112" s="397"/>
      <c r="U112" s="397"/>
      <c r="V112" s="397"/>
      <c r="W112" s="397"/>
      <c r="X112" s="397"/>
      <c r="Y112" s="397"/>
      <c r="Z112" s="397"/>
      <c r="AA112" s="397"/>
      <c r="AB112" s="530"/>
      <c r="AC112" s="530"/>
      <c r="AD112" s="530"/>
    </row>
    <row r="113" spans="2:30" x14ac:dyDescent="0.25">
      <c r="B113" s="661" t="s">
        <v>800</v>
      </c>
      <c r="C113" s="661" t="s">
        <v>801</v>
      </c>
      <c r="D113" s="663" t="s">
        <v>802</v>
      </c>
      <c r="E113" s="765" t="s">
        <v>1811</v>
      </c>
      <c r="F113" s="787">
        <f>10*3*12*25.4*2*12*25.4/1000/1000/1000</f>
        <v>5.5741823999999997E-3</v>
      </c>
      <c r="G113" s="605"/>
      <c r="H113" s="604">
        <f>G113*K114</f>
        <v>0</v>
      </c>
      <c r="I113" s="530"/>
      <c r="J113" s="505" t="s">
        <v>3</v>
      </c>
      <c r="K113" s="505">
        <v>4</v>
      </c>
      <c r="L113" s="579"/>
      <c r="M113" s="397"/>
      <c r="N113" s="397"/>
      <c r="O113" s="397"/>
      <c r="P113" s="397"/>
      <c r="Q113" s="397"/>
      <c r="R113" s="397"/>
      <c r="S113" s="397"/>
      <c r="T113" s="397"/>
      <c r="U113" s="397"/>
      <c r="V113" s="397"/>
      <c r="W113" s="397"/>
      <c r="X113" s="397"/>
      <c r="Y113" s="397"/>
      <c r="Z113" s="397"/>
      <c r="AA113" s="397"/>
      <c r="AB113" s="530"/>
      <c r="AC113" s="530"/>
      <c r="AD113" s="530"/>
    </row>
    <row r="114" spans="2:30" x14ac:dyDescent="0.25">
      <c r="B114" s="661" t="s">
        <v>803</v>
      </c>
      <c r="C114" s="661" t="s">
        <v>804</v>
      </c>
      <c r="D114" s="663" t="s">
        <v>805</v>
      </c>
      <c r="E114" s="765" t="s">
        <v>1811</v>
      </c>
      <c r="F114" s="787">
        <f>10*8*12*25.4*4*12*25.4/1000/1000/1000</f>
        <v>2.9728972799999996E-2</v>
      </c>
      <c r="G114" s="605"/>
      <c r="H114" s="604">
        <f>G114*K115</f>
        <v>0</v>
      </c>
      <c r="I114" s="530"/>
      <c r="J114" s="505" t="s">
        <v>3</v>
      </c>
      <c r="K114" s="505">
        <v>17</v>
      </c>
      <c r="L114" s="579"/>
      <c r="M114" s="397"/>
      <c r="N114" s="397"/>
      <c r="O114" s="397"/>
      <c r="P114" s="397"/>
      <c r="Q114" s="397"/>
      <c r="R114" s="397"/>
      <c r="S114" s="397"/>
      <c r="T114" s="397"/>
      <c r="U114" s="397"/>
      <c r="V114" s="397"/>
      <c r="W114" s="397"/>
      <c r="X114" s="397"/>
      <c r="Y114" s="397"/>
      <c r="Z114" s="397"/>
      <c r="AA114" s="397"/>
      <c r="AB114" s="530"/>
      <c r="AC114" s="530"/>
      <c r="AD114" s="530"/>
    </row>
    <row r="115" spans="2:30" x14ac:dyDescent="0.25">
      <c r="B115" s="661" t="s">
        <v>806</v>
      </c>
      <c r="C115" s="661" t="s">
        <v>807</v>
      </c>
      <c r="D115" s="663" t="s">
        <v>808</v>
      </c>
      <c r="E115" s="765" t="s">
        <v>1811</v>
      </c>
      <c r="F115" s="787">
        <f>10*3*12*25.4*2*12*25.4/1000/1000/1000</f>
        <v>5.5741823999999997E-3</v>
      </c>
      <c r="G115" s="605"/>
      <c r="H115" s="604">
        <f>G115*K116</f>
        <v>0</v>
      </c>
      <c r="I115" s="530"/>
      <c r="J115" s="505" t="s">
        <v>3</v>
      </c>
      <c r="K115" s="505">
        <v>35</v>
      </c>
      <c r="L115" s="579"/>
      <c r="M115" s="397"/>
      <c r="N115" s="397"/>
      <c r="O115" s="397"/>
      <c r="P115" s="397"/>
      <c r="Q115" s="397"/>
      <c r="R115" s="397"/>
      <c r="S115" s="397"/>
      <c r="T115" s="397"/>
      <c r="U115" s="397"/>
      <c r="V115" s="397"/>
      <c r="W115" s="397"/>
      <c r="X115" s="397"/>
      <c r="Y115" s="397"/>
      <c r="Z115" s="397"/>
      <c r="AA115" s="397"/>
      <c r="AB115" s="530"/>
      <c r="AC115" s="530"/>
      <c r="AD115" s="530"/>
    </row>
    <row r="116" spans="2:30" x14ac:dyDescent="0.25">
      <c r="B116" s="661" t="s">
        <v>809</v>
      </c>
      <c r="C116" s="661" t="s">
        <v>810</v>
      </c>
      <c r="D116" s="663" t="s">
        <v>811</v>
      </c>
      <c r="E116" s="765" t="s">
        <v>1811</v>
      </c>
      <c r="F116" s="787">
        <f>10*8*12*25.4*4*12*25.4/1000/1000/1000</f>
        <v>2.9728972799999996E-2</v>
      </c>
      <c r="G116" s="605"/>
      <c r="H116" s="604">
        <f>G116*K117</f>
        <v>0</v>
      </c>
      <c r="I116" s="530"/>
      <c r="J116" s="505" t="s">
        <v>3</v>
      </c>
      <c r="K116" s="505">
        <v>17</v>
      </c>
      <c r="L116" s="579"/>
      <c r="M116" s="397"/>
      <c r="N116" s="397"/>
      <c r="O116" s="397"/>
      <c r="P116" s="397"/>
      <c r="Q116" s="397"/>
      <c r="R116" s="397"/>
      <c r="S116" s="397"/>
      <c r="T116" s="397"/>
      <c r="U116" s="397"/>
      <c r="V116" s="397"/>
      <c r="W116" s="397"/>
      <c r="X116" s="397"/>
      <c r="Y116" s="397"/>
      <c r="Z116" s="397"/>
      <c r="AA116" s="397"/>
      <c r="AB116" s="530"/>
      <c r="AC116" s="530"/>
      <c r="AD116" s="530"/>
    </row>
    <row r="117" spans="2:30" x14ac:dyDescent="0.25">
      <c r="B117" s="661" t="s">
        <v>812</v>
      </c>
      <c r="C117" s="661" t="s">
        <v>813</v>
      </c>
      <c r="D117" s="663" t="s">
        <v>814</v>
      </c>
      <c r="E117" s="765" t="s">
        <v>1811</v>
      </c>
      <c r="F117" s="782">
        <f>10*1220*2440/1000/1000/1000</f>
        <v>2.9767999999999999E-2</v>
      </c>
      <c r="G117" s="605"/>
      <c r="H117" s="604">
        <f>G117*K118</f>
        <v>0</v>
      </c>
      <c r="I117" s="530"/>
      <c r="J117" s="505" t="s">
        <v>3</v>
      </c>
      <c r="K117" s="505">
        <v>35</v>
      </c>
      <c r="L117" s="579"/>
      <c r="M117" s="397"/>
      <c r="N117" s="397"/>
      <c r="O117" s="397"/>
      <c r="P117" s="397"/>
      <c r="Q117" s="397"/>
      <c r="R117" s="397"/>
      <c r="S117" s="397"/>
      <c r="T117" s="397"/>
      <c r="U117" s="397"/>
      <c r="V117" s="397"/>
      <c r="W117" s="397"/>
      <c r="X117" s="397"/>
      <c r="Y117" s="397"/>
      <c r="Z117" s="397"/>
      <c r="AA117" s="397"/>
      <c r="AB117" s="530"/>
      <c r="AC117" s="530"/>
      <c r="AD117" s="530"/>
    </row>
    <row r="118" spans="2:30" x14ac:dyDescent="0.25">
      <c r="B118" s="661" t="s">
        <v>815</v>
      </c>
      <c r="C118" s="661" t="s">
        <v>816</v>
      </c>
      <c r="D118" s="663" t="s">
        <v>817</v>
      </c>
      <c r="E118" s="765" t="s">
        <v>1811</v>
      </c>
      <c r="F118" s="787">
        <f>12*8*12*25.4*4*12*25.4/1000/1000/1000</f>
        <v>3.5674767359999991E-2</v>
      </c>
      <c r="G118" s="605"/>
      <c r="H118" s="604">
        <f>G118*K119</f>
        <v>0</v>
      </c>
      <c r="I118" s="530"/>
      <c r="J118" s="505" t="s">
        <v>3</v>
      </c>
      <c r="K118" s="505">
        <v>35</v>
      </c>
      <c r="L118" s="579"/>
      <c r="M118" s="397"/>
      <c r="N118" s="397"/>
      <c r="O118" s="397"/>
      <c r="P118" s="397"/>
      <c r="Q118" s="397"/>
      <c r="R118" s="397"/>
      <c r="S118" s="397"/>
      <c r="T118" s="397"/>
      <c r="U118" s="397"/>
      <c r="V118" s="397"/>
      <c r="W118" s="397"/>
      <c r="X118" s="397"/>
      <c r="Y118" s="397"/>
      <c r="Z118" s="397"/>
      <c r="AA118" s="397"/>
      <c r="AB118" s="530"/>
      <c r="AC118" s="530"/>
      <c r="AD118" s="530"/>
    </row>
    <row r="119" spans="2:30" x14ac:dyDescent="0.25">
      <c r="B119" s="661" t="s">
        <v>818</v>
      </c>
      <c r="C119" s="661" t="s">
        <v>819</v>
      </c>
      <c r="D119" s="663" t="s">
        <v>820</v>
      </c>
      <c r="E119" s="765" t="s">
        <v>1811</v>
      </c>
      <c r="F119" s="782">
        <f>15*1220*2440/1000/1000/1000</f>
        <v>4.4652000000000004E-2</v>
      </c>
      <c r="G119" s="605"/>
      <c r="H119" s="604">
        <f>G119*K120</f>
        <v>0</v>
      </c>
      <c r="I119" s="530"/>
      <c r="J119" s="505" t="s">
        <v>3</v>
      </c>
      <c r="K119" s="505">
        <v>35</v>
      </c>
      <c r="L119" s="579"/>
      <c r="M119" s="397"/>
      <c r="N119" s="397"/>
      <c r="O119" s="397"/>
      <c r="P119" s="397"/>
      <c r="Q119" s="397"/>
      <c r="R119" s="397"/>
      <c r="S119" s="397"/>
      <c r="T119" s="397"/>
      <c r="U119" s="397"/>
      <c r="V119" s="397"/>
      <c r="W119" s="397"/>
      <c r="X119" s="397"/>
      <c r="Y119" s="397"/>
      <c r="Z119" s="397"/>
      <c r="AA119" s="397"/>
      <c r="AB119" s="530"/>
      <c r="AC119" s="530"/>
      <c r="AD119" s="530"/>
    </row>
    <row r="120" spans="2:30" x14ac:dyDescent="0.25">
      <c r="B120" s="661" t="s">
        <v>821</v>
      </c>
      <c r="C120" s="661" t="s">
        <v>822</v>
      </c>
      <c r="D120" s="663" t="s">
        <v>823</v>
      </c>
      <c r="E120" s="765" t="s">
        <v>1811</v>
      </c>
      <c r="F120" s="787">
        <f>15*8*12*25.4*4*12*25.4/1000/1000/1000</f>
        <v>4.4593459199999998E-2</v>
      </c>
      <c r="G120" s="605"/>
      <c r="H120" s="604">
        <f>G120*K121</f>
        <v>0</v>
      </c>
      <c r="I120" s="530"/>
      <c r="J120" s="505" t="s">
        <v>3</v>
      </c>
      <c r="K120" s="505">
        <v>54</v>
      </c>
      <c r="L120" s="579"/>
      <c r="M120" s="397"/>
      <c r="N120" s="397"/>
      <c r="O120" s="397"/>
      <c r="P120" s="397"/>
      <c r="Q120" s="397"/>
      <c r="R120" s="397"/>
      <c r="S120" s="397"/>
      <c r="T120" s="397"/>
      <c r="U120" s="397"/>
      <c r="V120" s="397"/>
      <c r="W120" s="397"/>
      <c r="X120" s="397"/>
      <c r="Y120" s="397"/>
      <c r="Z120" s="397"/>
      <c r="AA120" s="397"/>
      <c r="AB120" s="530"/>
      <c r="AC120" s="530"/>
      <c r="AD120" s="530"/>
    </row>
    <row r="121" spans="2:30" x14ac:dyDescent="0.25">
      <c r="B121" s="661" t="s">
        <v>824</v>
      </c>
      <c r="C121" s="661" t="s">
        <v>825</v>
      </c>
      <c r="D121" s="663" t="s">
        <v>826</v>
      </c>
      <c r="E121" s="765" t="s">
        <v>1811</v>
      </c>
      <c r="F121" s="787">
        <f>15*8*12*25.4*4*12*25.4/1000/1000/1000</f>
        <v>4.4593459199999998E-2</v>
      </c>
      <c r="G121" s="605"/>
      <c r="H121" s="604">
        <f>G121*K122</f>
        <v>0</v>
      </c>
      <c r="I121" s="530"/>
      <c r="J121" s="505" t="s">
        <v>3</v>
      </c>
      <c r="K121" s="505">
        <v>54</v>
      </c>
      <c r="L121" s="579"/>
      <c r="M121" s="397"/>
      <c r="N121" s="397"/>
      <c r="O121" s="397"/>
      <c r="P121" s="397"/>
      <c r="Q121" s="397"/>
      <c r="R121" s="397"/>
      <c r="S121" s="397"/>
      <c r="T121" s="397"/>
      <c r="U121" s="397"/>
      <c r="V121" s="397"/>
      <c r="W121" s="397"/>
      <c r="X121" s="397"/>
      <c r="Y121" s="397"/>
      <c r="Z121" s="397"/>
      <c r="AA121" s="397"/>
      <c r="AB121" s="530"/>
      <c r="AC121" s="530"/>
      <c r="AD121" s="530"/>
    </row>
    <row r="122" spans="2:30" x14ac:dyDescent="0.25">
      <c r="B122" s="661" t="s">
        <v>827</v>
      </c>
      <c r="C122" s="661" t="s">
        <v>828</v>
      </c>
      <c r="D122" s="663" t="s">
        <v>829</v>
      </c>
      <c r="E122" s="765" t="s">
        <v>1811</v>
      </c>
      <c r="F122" s="787">
        <f>2*8*12*25.4*4*12*25.4/1000/1000/1000</f>
        <v>5.9457945599999985E-3</v>
      </c>
      <c r="G122" s="605"/>
      <c r="H122" s="604">
        <f>G122*K123</f>
        <v>0</v>
      </c>
      <c r="I122" s="530"/>
      <c r="J122" s="505" t="s">
        <v>3</v>
      </c>
      <c r="K122" s="505">
        <v>54</v>
      </c>
      <c r="L122" s="579"/>
      <c r="M122" s="397"/>
      <c r="N122" s="397"/>
      <c r="O122" s="397"/>
      <c r="P122" s="397"/>
      <c r="Q122" s="397"/>
      <c r="R122" s="397"/>
      <c r="S122" s="397"/>
      <c r="T122" s="397"/>
      <c r="U122" s="397"/>
      <c r="V122" s="397"/>
      <c r="W122" s="397"/>
      <c r="X122" s="397"/>
      <c r="Y122" s="397"/>
      <c r="Z122" s="397"/>
      <c r="AA122" s="397"/>
      <c r="AB122" s="530"/>
      <c r="AC122" s="530"/>
      <c r="AD122" s="530"/>
    </row>
    <row r="123" spans="2:30" x14ac:dyDescent="0.25">
      <c r="B123" s="661" t="s">
        <v>830</v>
      </c>
      <c r="C123" s="661" t="s">
        <v>831</v>
      </c>
      <c r="D123" s="663" t="s">
        <v>832</v>
      </c>
      <c r="E123" s="765" t="s">
        <v>1811</v>
      </c>
      <c r="F123" s="787">
        <f>2*8*12*25.4*4*12*25.4/1000/1000/1000</f>
        <v>5.9457945599999985E-3</v>
      </c>
      <c r="G123" s="605"/>
      <c r="H123" s="604">
        <f>G123*K124</f>
        <v>0</v>
      </c>
      <c r="I123" s="530"/>
      <c r="J123" s="505" t="s">
        <v>3</v>
      </c>
      <c r="K123" s="505">
        <v>7</v>
      </c>
      <c r="L123" s="579"/>
      <c r="M123" s="397"/>
      <c r="N123" s="397"/>
      <c r="O123" s="397"/>
      <c r="P123" s="397"/>
      <c r="Q123" s="397"/>
      <c r="R123" s="397"/>
      <c r="S123" s="397"/>
      <c r="T123" s="397"/>
      <c r="U123" s="397"/>
      <c r="V123" s="397"/>
      <c r="W123" s="397"/>
      <c r="X123" s="397"/>
      <c r="Y123" s="397"/>
      <c r="Z123" s="397"/>
      <c r="AA123" s="397"/>
      <c r="AB123" s="530"/>
      <c r="AC123" s="530"/>
      <c r="AD123" s="530"/>
    </row>
    <row r="124" spans="2:30" x14ac:dyDescent="0.25">
      <c r="B124" s="661" t="s">
        <v>833</v>
      </c>
      <c r="C124" s="661" t="s">
        <v>834</v>
      </c>
      <c r="D124" s="663" t="s">
        <v>835</v>
      </c>
      <c r="E124" s="765" t="s">
        <v>1811</v>
      </c>
      <c r="F124" s="786">
        <f>2.8*1220*2440/1000/1000/1000</f>
        <v>8.3350400000000019E-3</v>
      </c>
      <c r="G124" s="605"/>
      <c r="H124" s="604">
        <f>G124*K125</f>
        <v>0</v>
      </c>
      <c r="I124" s="530"/>
      <c r="J124" s="505" t="s">
        <v>3</v>
      </c>
      <c r="K124" s="505">
        <v>7</v>
      </c>
      <c r="L124" s="579"/>
      <c r="M124" s="397"/>
      <c r="N124" s="397"/>
      <c r="O124" s="397"/>
      <c r="P124" s="397"/>
      <c r="Q124" s="397"/>
      <c r="R124" s="397"/>
      <c r="S124" s="397"/>
      <c r="T124" s="397"/>
      <c r="U124" s="397"/>
      <c r="V124" s="397"/>
      <c r="W124" s="397"/>
      <c r="X124" s="397"/>
      <c r="Y124" s="397"/>
      <c r="Z124" s="397"/>
      <c r="AA124" s="397"/>
      <c r="AB124" s="530"/>
      <c r="AC124" s="530"/>
      <c r="AD124" s="530"/>
    </row>
    <row r="125" spans="2:30" x14ac:dyDescent="0.25">
      <c r="B125" s="661" t="s">
        <v>836</v>
      </c>
      <c r="C125" s="661" t="s">
        <v>837</v>
      </c>
      <c r="D125" s="663" t="s">
        <v>838</v>
      </c>
      <c r="E125" s="765" t="s">
        <v>1811</v>
      </c>
      <c r="F125" s="787">
        <f>2.8*8*12*25.4*4*12*25.4/1000/1000/1000</f>
        <v>8.3241123839999983E-3</v>
      </c>
      <c r="G125" s="605"/>
      <c r="H125" s="604">
        <f>G125*K126</f>
        <v>0</v>
      </c>
      <c r="I125" s="530"/>
      <c r="J125" s="505" t="s">
        <v>3</v>
      </c>
      <c r="K125" s="505">
        <v>11</v>
      </c>
      <c r="L125" s="579"/>
      <c r="M125" s="397"/>
      <c r="N125" s="397"/>
      <c r="O125" s="397"/>
      <c r="P125" s="397"/>
      <c r="Q125" s="397"/>
      <c r="R125" s="397"/>
      <c r="S125" s="397"/>
      <c r="T125" s="397"/>
      <c r="U125" s="397"/>
      <c r="V125" s="397"/>
      <c r="W125" s="397"/>
      <c r="X125" s="397"/>
      <c r="Y125" s="397"/>
      <c r="Z125" s="397"/>
      <c r="AA125" s="397"/>
      <c r="AB125" s="530"/>
      <c r="AC125" s="530"/>
      <c r="AD125" s="530"/>
    </row>
    <row r="126" spans="2:30" x14ac:dyDescent="0.25">
      <c r="B126" s="661" t="s">
        <v>839</v>
      </c>
      <c r="C126" s="661" t="s">
        <v>840</v>
      </c>
      <c r="D126" s="663" t="s">
        <v>841</v>
      </c>
      <c r="E126" s="765" t="s">
        <v>1811</v>
      </c>
      <c r="F126" s="787">
        <f>3*8*12*25.4*4*12*25.4/1000/1000/1000</f>
        <v>8.9186918399999978E-3</v>
      </c>
      <c r="G126" s="605"/>
      <c r="H126" s="604">
        <f>G126*K127</f>
        <v>0</v>
      </c>
      <c r="I126" s="530"/>
      <c r="J126" s="505" t="s">
        <v>3</v>
      </c>
      <c r="K126" s="505">
        <v>11</v>
      </c>
      <c r="L126" s="579"/>
      <c r="M126" s="397"/>
      <c r="N126" s="397"/>
      <c r="O126" s="397"/>
      <c r="P126" s="397"/>
      <c r="Q126" s="397"/>
      <c r="R126" s="397"/>
      <c r="S126" s="397"/>
      <c r="T126" s="397"/>
      <c r="U126" s="397"/>
      <c r="V126" s="397"/>
      <c r="W126" s="397"/>
      <c r="X126" s="397"/>
      <c r="Y126" s="397"/>
      <c r="Z126" s="397"/>
      <c r="AA126" s="397"/>
      <c r="AB126" s="530"/>
      <c r="AC126" s="530"/>
      <c r="AD126" s="530"/>
    </row>
    <row r="127" spans="2:30" x14ac:dyDescent="0.25">
      <c r="B127" s="661" t="s">
        <v>842</v>
      </c>
      <c r="C127" s="661" t="s">
        <v>843</v>
      </c>
      <c r="D127" s="663" t="s">
        <v>844</v>
      </c>
      <c r="E127" s="765" t="s">
        <v>1811</v>
      </c>
      <c r="F127" s="787">
        <f t="shared" ref="F127:F128" si="2">3*8*12*25.4*4*12*25.4/1000/1000/1000</f>
        <v>8.9186918399999978E-3</v>
      </c>
      <c r="G127" s="605"/>
      <c r="H127" s="604">
        <f>G127*K128</f>
        <v>0</v>
      </c>
      <c r="I127" s="530"/>
      <c r="J127" s="505" t="s">
        <v>3</v>
      </c>
      <c r="K127" s="505">
        <v>11</v>
      </c>
      <c r="L127" s="579"/>
      <c r="M127" s="397"/>
      <c r="N127" s="397"/>
      <c r="O127" s="397"/>
      <c r="P127" s="397"/>
      <c r="Q127" s="397"/>
      <c r="R127" s="397"/>
      <c r="S127" s="397"/>
      <c r="T127" s="397"/>
      <c r="U127" s="397"/>
      <c r="V127" s="397"/>
      <c r="W127" s="397"/>
      <c r="X127" s="397"/>
      <c r="Y127" s="397"/>
      <c r="Z127" s="397"/>
      <c r="AA127" s="397"/>
      <c r="AB127" s="530"/>
      <c r="AC127" s="530"/>
      <c r="AD127" s="530"/>
    </row>
    <row r="128" spans="2:30" x14ac:dyDescent="0.25">
      <c r="B128" s="661" t="s">
        <v>845</v>
      </c>
      <c r="C128" s="661" t="s">
        <v>846</v>
      </c>
      <c r="D128" s="663" t="s">
        <v>847</v>
      </c>
      <c r="E128" s="765" t="s">
        <v>1811</v>
      </c>
      <c r="F128" s="787">
        <f t="shared" si="2"/>
        <v>8.9186918399999978E-3</v>
      </c>
      <c r="G128" s="605"/>
      <c r="H128" s="604">
        <f>G128*K129</f>
        <v>0</v>
      </c>
      <c r="I128" s="530"/>
      <c r="J128" s="505" t="s">
        <v>3</v>
      </c>
      <c r="K128" s="505">
        <v>11</v>
      </c>
      <c r="L128" s="579"/>
      <c r="M128" s="397"/>
      <c r="N128" s="397"/>
      <c r="O128" s="397"/>
      <c r="P128" s="397"/>
      <c r="Q128" s="397"/>
      <c r="R128" s="397"/>
      <c r="S128" s="397"/>
      <c r="T128" s="397"/>
      <c r="U128" s="397"/>
      <c r="V128" s="397"/>
      <c r="W128" s="397"/>
      <c r="X128" s="397"/>
      <c r="Y128" s="397"/>
      <c r="Z128" s="397"/>
      <c r="AA128" s="397"/>
      <c r="AB128" s="530"/>
      <c r="AC128" s="530"/>
      <c r="AD128" s="530"/>
    </row>
    <row r="129" spans="2:30" x14ac:dyDescent="0.25">
      <c r="B129" s="661" t="s">
        <v>848</v>
      </c>
      <c r="C129" s="661" t="s">
        <v>849</v>
      </c>
      <c r="D129" s="663" t="s">
        <v>850</v>
      </c>
      <c r="E129" s="765" t="s">
        <v>1811</v>
      </c>
      <c r="F129" s="787">
        <f>4*8*12*25.4*4*12*25.4/1000/1000/1000</f>
        <v>1.1891589119999997E-2</v>
      </c>
      <c r="G129" s="605"/>
      <c r="H129" s="604">
        <f>G129*K130</f>
        <v>0</v>
      </c>
      <c r="I129" s="530"/>
      <c r="J129" s="505" t="s">
        <v>3</v>
      </c>
      <c r="K129" s="505">
        <v>11</v>
      </c>
      <c r="L129" s="579"/>
      <c r="M129" s="397"/>
      <c r="N129" s="397"/>
      <c r="O129" s="397"/>
      <c r="P129" s="397"/>
      <c r="Q129" s="397"/>
      <c r="R129" s="397"/>
      <c r="S129" s="397"/>
      <c r="T129" s="397"/>
      <c r="U129" s="397"/>
      <c r="V129" s="397"/>
      <c r="W129" s="397"/>
      <c r="X129" s="397"/>
      <c r="Y129" s="397"/>
      <c r="Z129" s="397"/>
      <c r="AA129" s="397"/>
      <c r="AB129" s="530"/>
      <c r="AC129" s="530"/>
      <c r="AD129" s="530"/>
    </row>
    <row r="130" spans="2:30" x14ac:dyDescent="0.25">
      <c r="B130" s="661" t="s">
        <v>851</v>
      </c>
      <c r="C130" s="661" t="s">
        <v>852</v>
      </c>
      <c r="D130" s="663" t="s">
        <v>853</v>
      </c>
      <c r="E130" s="765" t="s">
        <v>1811</v>
      </c>
      <c r="F130" s="782">
        <f>5*1220*2440/1000/1000/1000</f>
        <v>1.4884E-2</v>
      </c>
      <c r="G130" s="605"/>
      <c r="H130" s="604">
        <f>G130*K131</f>
        <v>0</v>
      </c>
      <c r="I130" s="530"/>
      <c r="J130" s="505" t="s">
        <v>3</v>
      </c>
      <c r="K130" s="505">
        <v>14</v>
      </c>
      <c r="L130" s="579"/>
      <c r="M130" s="397"/>
      <c r="N130" s="397"/>
      <c r="O130" s="397"/>
      <c r="P130" s="397"/>
      <c r="Q130" s="397"/>
      <c r="R130" s="397"/>
      <c r="S130" s="397"/>
      <c r="T130" s="397"/>
      <c r="U130" s="397"/>
      <c r="V130" s="397"/>
      <c r="W130" s="397"/>
      <c r="X130" s="397"/>
      <c r="Y130" s="397"/>
      <c r="Z130" s="397"/>
      <c r="AA130" s="397"/>
      <c r="AB130" s="530"/>
      <c r="AC130" s="530"/>
      <c r="AD130" s="530"/>
    </row>
    <row r="131" spans="2:30" x14ac:dyDescent="0.25">
      <c r="B131" s="661" t="s">
        <v>854</v>
      </c>
      <c r="C131" s="661" t="s">
        <v>855</v>
      </c>
      <c r="D131" s="663" t="s">
        <v>856</v>
      </c>
      <c r="E131" s="765" t="s">
        <v>1811</v>
      </c>
      <c r="F131" s="782">
        <f>5*1220*2440/1000/1000/1000</f>
        <v>1.4884E-2</v>
      </c>
      <c r="G131" s="605"/>
      <c r="H131" s="604">
        <f>G131*K132</f>
        <v>0</v>
      </c>
      <c r="I131" s="530"/>
      <c r="J131" s="505" t="s">
        <v>3</v>
      </c>
      <c r="K131" s="505">
        <v>18</v>
      </c>
      <c r="L131" s="579"/>
      <c r="M131" s="397"/>
      <c r="N131" s="397"/>
      <c r="O131" s="397"/>
      <c r="P131" s="397"/>
      <c r="Q131" s="397"/>
      <c r="R131" s="397"/>
      <c r="S131" s="397"/>
      <c r="T131" s="397"/>
      <c r="U131" s="397"/>
      <c r="V131" s="397"/>
      <c r="W131" s="397"/>
      <c r="X131" s="397"/>
      <c r="Y131" s="397"/>
      <c r="Z131" s="397"/>
      <c r="AA131" s="397"/>
      <c r="AB131" s="530"/>
      <c r="AC131" s="530"/>
      <c r="AD131" s="530"/>
    </row>
    <row r="132" spans="2:30" x14ac:dyDescent="0.25">
      <c r="B132" s="661" t="s">
        <v>857</v>
      </c>
      <c r="C132" s="661" t="s">
        <v>858</v>
      </c>
      <c r="D132" s="663" t="s">
        <v>859</v>
      </c>
      <c r="E132" s="765" t="s">
        <v>1811</v>
      </c>
      <c r="F132" s="782">
        <f>6*1220*1830/1000/1000/1000</f>
        <v>1.3395600000000001E-2</v>
      </c>
      <c r="G132" s="605"/>
      <c r="H132" s="604">
        <f>G132*K133</f>
        <v>0</v>
      </c>
      <c r="I132" s="530"/>
      <c r="J132" s="505" t="s">
        <v>3</v>
      </c>
      <c r="K132" s="505">
        <v>18</v>
      </c>
      <c r="L132" s="579"/>
      <c r="M132" s="397"/>
      <c r="N132" s="397"/>
      <c r="O132" s="397"/>
      <c r="P132" s="397"/>
      <c r="Q132" s="397"/>
      <c r="R132" s="397"/>
      <c r="S132" s="397"/>
      <c r="T132" s="397"/>
      <c r="U132" s="397"/>
      <c r="V132" s="397"/>
      <c r="W132" s="397"/>
      <c r="X132" s="397"/>
      <c r="Y132" s="397"/>
      <c r="Z132" s="397"/>
      <c r="AA132" s="397"/>
      <c r="AB132" s="530"/>
      <c r="AC132" s="530"/>
      <c r="AD132" s="530"/>
    </row>
    <row r="133" spans="2:30" x14ac:dyDescent="0.25">
      <c r="B133" s="661" t="s">
        <v>860</v>
      </c>
      <c r="C133" s="661" t="s">
        <v>861</v>
      </c>
      <c r="D133" s="663" t="s">
        <v>862</v>
      </c>
      <c r="E133" s="765" t="s">
        <v>1811</v>
      </c>
      <c r="F133" s="787">
        <f>8*8*12*25.4*4*12*25.4/1000/1000/1000</f>
        <v>2.3783178239999994E-2</v>
      </c>
      <c r="G133" s="605"/>
      <c r="H133" s="604">
        <f>G133*K134</f>
        <v>0</v>
      </c>
      <c r="I133" s="530"/>
      <c r="J133" s="505" t="s">
        <v>3</v>
      </c>
      <c r="K133" s="505">
        <v>22</v>
      </c>
      <c r="L133" s="579"/>
      <c r="M133" s="397"/>
      <c r="N133" s="397"/>
      <c r="O133" s="397"/>
      <c r="P133" s="397"/>
      <c r="Q133" s="397"/>
      <c r="R133" s="397"/>
      <c r="S133" s="397"/>
      <c r="T133" s="397"/>
      <c r="U133" s="397"/>
      <c r="V133" s="397"/>
      <c r="W133" s="397"/>
      <c r="X133" s="397"/>
      <c r="Y133" s="397"/>
      <c r="Z133" s="397"/>
      <c r="AA133" s="397"/>
      <c r="AB133" s="530"/>
      <c r="AC133" s="530"/>
      <c r="AD133" s="530"/>
    </row>
    <row r="134" spans="2:30" x14ac:dyDescent="0.25">
      <c r="B134" s="661" t="s">
        <v>863</v>
      </c>
      <c r="C134" s="661" t="s">
        <v>864</v>
      </c>
      <c r="D134" s="663" t="s">
        <v>865</v>
      </c>
      <c r="E134" s="765" t="s">
        <v>1811</v>
      </c>
      <c r="F134" s="787">
        <f>8*8*12*25.4*4*12*25.4/1000/1000/1000</f>
        <v>2.3783178239999994E-2</v>
      </c>
      <c r="G134" s="605"/>
      <c r="H134" s="604">
        <f>G134*K135</f>
        <v>0</v>
      </c>
      <c r="I134" s="530"/>
      <c r="J134" s="505" t="s">
        <v>3</v>
      </c>
      <c r="K134" s="505">
        <v>30</v>
      </c>
      <c r="L134" s="579"/>
      <c r="M134" s="397"/>
      <c r="N134" s="397"/>
      <c r="O134" s="397"/>
      <c r="P134" s="397"/>
      <c r="Q134" s="397"/>
      <c r="R134" s="397"/>
      <c r="S134" s="397"/>
      <c r="T134" s="397"/>
      <c r="U134" s="397"/>
      <c r="V134" s="397"/>
      <c r="W134" s="397"/>
      <c r="X134" s="397"/>
      <c r="Y134" s="397"/>
      <c r="Z134" s="397"/>
      <c r="AA134" s="397"/>
      <c r="AB134" s="530"/>
      <c r="AC134" s="530"/>
      <c r="AD134" s="530"/>
    </row>
    <row r="135" spans="2:30" x14ac:dyDescent="0.25">
      <c r="B135" s="661" t="s">
        <v>866</v>
      </c>
      <c r="C135" s="661" t="s">
        <v>867</v>
      </c>
      <c r="D135" s="663" t="s">
        <v>868</v>
      </c>
      <c r="E135" s="765" t="s">
        <v>1811</v>
      </c>
      <c r="F135" s="787">
        <f>8*8*12*25.4*4*12*25.4/1000/1000/1000</f>
        <v>2.3783178239999994E-2</v>
      </c>
      <c r="G135" s="605"/>
      <c r="H135" s="604">
        <f>G135*K136</f>
        <v>0</v>
      </c>
      <c r="I135" s="530"/>
      <c r="J135" s="505" t="s">
        <v>3</v>
      </c>
      <c r="K135" s="505">
        <v>30</v>
      </c>
      <c r="L135" s="579"/>
      <c r="M135" s="397"/>
      <c r="N135" s="397"/>
      <c r="O135" s="397"/>
      <c r="P135" s="397"/>
      <c r="Q135" s="397"/>
      <c r="R135" s="397"/>
      <c r="S135" s="397"/>
      <c r="T135" s="397"/>
      <c r="U135" s="397"/>
      <c r="V135" s="397"/>
      <c r="W135" s="397"/>
      <c r="X135" s="397"/>
      <c r="Y135" s="397"/>
      <c r="Z135" s="397"/>
      <c r="AA135" s="397"/>
      <c r="AB135" s="530"/>
      <c r="AC135" s="530"/>
      <c r="AD135" s="530"/>
    </row>
    <row r="136" spans="2:30" x14ac:dyDescent="0.25">
      <c r="B136" s="661" t="s">
        <v>869</v>
      </c>
      <c r="C136" s="661" t="s">
        <v>870</v>
      </c>
      <c r="D136" s="663" t="s">
        <v>871</v>
      </c>
      <c r="E136" s="765" t="s">
        <v>1811</v>
      </c>
      <c r="F136" s="787">
        <f>4*8*12*25.4*4*12*25.4/1000/1000/1000</f>
        <v>1.1891589119999997E-2</v>
      </c>
      <c r="G136" s="605"/>
      <c r="H136" s="604">
        <f>G136*K137</f>
        <v>0</v>
      </c>
      <c r="I136" s="530"/>
      <c r="J136" s="505" t="s">
        <v>3</v>
      </c>
      <c r="K136" s="505">
        <v>30</v>
      </c>
      <c r="L136" s="579"/>
      <c r="M136" s="397"/>
      <c r="N136" s="397"/>
      <c r="O136" s="397"/>
      <c r="P136" s="397"/>
      <c r="Q136" s="397"/>
      <c r="R136" s="397"/>
      <c r="S136" s="397"/>
      <c r="T136" s="397"/>
      <c r="U136" s="397"/>
      <c r="V136" s="397"/>
      <c r="W136" s="397"/>
      <c r="X136" s="397"/>
      <c r="Y136" s="397"/>
      <c r="Z136" s="397"/>
      <c r="AA136" s="397"/>
      <c r="AB136" s="530"/>
      <c r="AC136" s="530"/>
      <c r="AD136" s="530"/>
    </row>
    <row r="137" spans="2:30" x14ac:dyDescent="0.25">
      <c r="B137" s="661" t="s">
        <v>872</v>
      </c>
      <c r="C137" s="661" t="s">
        <v>873</v>
      </c>
      <c r="D137" s="663" t="s">
        <v>874</v>
      </c>
      <c r="E137" s="765" t="s">
        <v>1811</v>
      </c>
      <c r="F137" s="787">
        <f>2.8*8*12*25.4*4*12*25.4/1000/1000/1000</f>
        <v>8.3241123839999983E-3</v>
      </c>
      <c r="G137" s="605"/>
      <c r="H137" s="604">
        <f>G137*K138</f>
        <v>0</v>
      </c>
      <c r="I137" s="575" t="s">
        <v>1615</v>
      </c>
      <c r="J137" s="505" t="s">
        <v>3</v>
      </c>
      <c r="K137" s="505">
        <v>14</v>
      </c>
      <c r="L137" s="579"/>
      <c r="M137" s="397"/>
      <c r="N137" s="397"/>
      <c r="O137" s="397"/>
      <c r="P137" s="397"/>
      <c r="Q137" s="397"/>
      <c r="R137" s="397"/>
      <c r="S137" s="397"/>
      <c r="T137" s="397"/>
      <c r="U137" s="397"/>
      <c r="V137" s="397"/>
      <c r="W137" s="397"/>
      <c r="X137" s="397"/>
      <c r="Y137" s="397"/>
      <c r="Z137" s="397"/>
      <c r="AA137" s="397"/>
      <c r="AB137" s="530"/>
      <c r="AC137" s="530"/>
      <c r="AD137" s="530"/>
    </row>
    <row r="138" spans="2:30" x14ac:dyDescent="0.25">
      <c r="B138" s="661" t="s">
        <v>875</v>
      </c>
      <c r="C138" s="661" t="s">
        <v>876</v>
      </c>
      <c r="D138" s="663" t="s">
        <v>877</v>
      </c>
      <c r="E138" s="765" t="s">
        <v>1811</v>
      </c>
      <c r="F138" s="787">
        <f>10*6*12*25.4*4*12*25.4/1000/1000/1000</f>
        <v>2.2296729599999999E-2</v>
      </c>
      <c r="G138" s="605"/>
      <c r="H138" s="604">
        <f>G138*K139</f>
        <v>0</v>
      </c>
      <c r="I138" s="530"/>
      <c r="J138" s="505" t="s">
        <v>3</v>
      </c>
      <c r="K138" s="505">
        <v>11</v>
      </c>
      <c r="L138" s="579"/>
      <c r="M138" s="397"/>
      <c r="N138" s="397"/>
      <c r="O138" s="397"/>
      <c r="P138" s="397"/>
      <c r="Q138" s="397"/>
      <c r="R138" s="397"/>
      <c r="S138" s="397"/>
      <c r="T138" s="397"/>
      <c r="U138" s="397"/>
      <c r="V138" s="397"/>
      <c r="W138" s="397"/>
      <c r="X138" s="397"/>
      <c r="Y138" s="397"/>
      <c r="Z138" s="397"/>
      <c r="AA138" s="397"/>
      <c r="AB138" s="530"/>
      <c r="AC138" s="530"/>
      <c r="AD138" s="530"/>
    </row>
    <row r="139" spans="2:30" x14ac:dyDescent="0.25">
      <c r="B139" s="661" t="s">
        <v>878</v>
      </c>
      <c r="C139" s="661" t="s">
        <v>879</v>
      </c>
      <c r="D139" s="663" t="s">
        <v>880</v>
      </c>
      <c r="E139" s="765" t="s">
        <v>1811</v>
      </c>
      <c r="F139" s="787">
        <f>10*8*12*25.4*4*12*25.4/1000/1000/1000</f>
        <v>2.9728972799999996E-2</v>
      </c>
      <c r="G139" s="605"/>
      <c r="H139" s="604">
        <f>G139*K140</f>
        <v>0</v>
      </c>
      <c r="I139" s="530"/>
      <c r="J139" s="505" t="s">
        <v>3</v>
      </c>
      <c r="K139" s="505">
        <v>28</v>
      </c>
      <c r="L139" s="579"/>
      <c r="M139" s="397"/>
      <c r="N139" s="397"/>
      <c r="O139" s="397"/>
      <c r="P139" s="397"/>
      <c r="Q139" s="397"/>
      <c r="R139" s="397"/>
      <c r="S139" s="397"/>
      <c r="T139" s="397"/>
      <c r="U139" s="397"/>
      <c r="V139" s="397"/>
      <c r="W139" s="397"/>
      <c r="X139" s="397"/>
      <c r="Y139" s="397"/>
      <c r="Z139" s="397"/>
      <c r="AA139" s="397"/>
      <c r="AB139" s="530"/>
      <c r="AC139" s="530"/>
      <c r="AD139" s="530"/>
    </row>
    <row r="140" spans="2:30" x14ac:dyDescent="0.25">
      <c r="B140" s="661" t="s">
        <v>881</v>
      </c>
      <c r="C140" s="661" t="s">
        <v>882</v>
      </c>
      <c r="D140" s="663" t="s">
        <v>883</v>
      </c>
      <c r="E140" s="765" t="s">
        <v>1811</v>
      </c>
      <c r="F140" s="787">
        <f>6*3*12*25.4*1.5*12*25.4/1000/1000/1000</f>
        <v>2.5083820799999997E-3</v>
      </c>
      <c r="G140" s="605"/>
      <c r="H140" s="604">
        <f>G140*K141</f>
        <v>0</v>
      </c>
      <c r="I140" s="530"/>
      <c r="J140" s="505" t="s">
        <v>3</v>
      </c>
      <c r="K140" s="505">
        <v>35</v>
      </c>
      <c r="L140" s="579"/>
      <c r="M140" s="397"/>
      <c r="N140" s="397"/>
      <c r="O140" s="397"/>
      <c r="P140" s="397"/>
      <c r="Q140" s="397"/>
      <c r="R140" s="397"/>
      <c r="S140" s="397"/>
      <c r="T140" s="397"/>
      <c r="U140" s="397"/>
      <c r="V140" s="397"/>
      <c r="W140" s="397"/>
      <c r="X140" s="397"/>
      <c r="Y140" s="397"/>
      <c r="Z140" s="397"/>
      <c r="AA140" s="397"/>
      <c r="AB140" s="530"/>
      <c r="AC140" s="530"/>
      <c r="AD140" s="530"/>
    </row>
    <row r="141" spans="2:30" x14ac:dyDescent="0.25">
      <c r="B141" s="661" t="s">
        <v>884</v>
      </c>
      <c r="C141" s="661" t="s">
        <v>885</v>
      </c>
      <c r="D141" s="663" t="s">
        <v>886</v>
      </c>
      <c r="E141" s="765" t="s">
        <v>1811</v>
      </c>
      <c r="F141" s="787">
        <f>2.8*3*12*25.4*1.5*12*25.4/1000/1000/1000</f>
        <v>1.1705783039999995E-3</v>
      </c>
      <c r="G141" s="605"/>
      <c r="H141" s="604">
        <f>G141*K142</f>
        <v>0</v>
      </c>
      <c r="I141" s="530"/>
      <c r="J141" s="505" t="s">
        <v>3</v>
      </c>
      <c r="K141" s="505">
        <v>8</v>
      </c>
      <c r="L141" s="579"/>
      <c r="M141" s="397"/>
      <c r="N141" s="397"/>
      <c r="O141" s="397"/>
      <c r="P141" s="397"/>
      <c r="Q141" s="397"/>
      <c r="R141" s="397"/>
      <c r="S141" s="397"/>
      <c r="T141" s="397"/>
      <c r="U141" s="397"/>
      <c r="V141" s="397"/>
      <c r="W141" s="397"/>
      <c r="X141" s="397"/>
      <c r="Y141" s="397"/>
      <c r="Z141" s="397"/>
      <c r="AA141" s="397"/>
      <c r="AB141" s="530"/>
      <c r="AC141" s="530"/>
      <c r="AD141" s="530"/>
    </row>
    <row r="142" spans="2:30" x14ac:dyDescent="0.25">
      <c r="B142" s="661" t="s">
        <v>887</v>
      </c>
      <c r="C142" s="661" t="s">
        <v>888</v>
      </c>
      <c r="D142" s="663" t="s">
        <v>889</v>
      </c>
      <c r="E142" s="765" t="s">
        <v>1811</v>
      </c>
      <c r="F142" s="787">
        <f>2.8*8*12*25.4*4*12*25.4/1000/1000/1000</f>
        <v>8.3241123839999983E-3</v>
      </c>
      <c r="G142" s="605"/>
      <c r="H142" s="604">
        <f>G142*K143</f>
        <v>0</v>
      </c>
      <c r="I142" s="530"/>
      <c r="J142" s="505" t="s">
        <v>3</v>
      </c>
      <c r="K142" s="505">
        <v>11</v>
      </c>
      <c r="L142" s="579"/>
      <c r="M142" s="397"/>
      <c r="N142" s="397"/>
      <c r="O142" s="397"/>
      <c r="P142" s="397"/>
      <c r="Q142" s="397"/>
      <c r="R142" s="397"/>
      <c r="S142" s="397"/>
      <c r="T142" s="397"/>
      <c r="U142" s="397"/>
      <c r="V142" s="397"/>
      <c r="W142" s="397"/>
      <c r="X142" s="397"/>
      <c r="Y142" s="397"/>
      <c r="Z142" s="397"/>
      <c r="AA142" s="397"/>
      <c r="AB142" s="530"/>
      <c r="AC142" s="530"/>
      <c r="AD142" s="530"/>
    </row>
    <row r="143" spans="2:30" x14ac:dyDescent="0.25">
      <c r="B143" s="661" t="s">
        <v>890</v>
      </c>
      <c r="C143" s="661" t="s">
        <v>891</v>
      </c>
      <c r="D143" s="663" t="s">
        <v>892</v>
      </c>
      <c r="E143" s="765" t="s">
        <v>1811</v>
      </c>
      <c r="F143" s="782">
        <f>4*1220*2440/1000/1000/1000</f>
        <v>1.1907200000000001E-2</v>
      </c>
      <c r="G143" s="605"/>
      <c r="H143" s="604">
        <f>G143*K144</f>
        <v>0</v>
      </c>
      <c r="I143" s="530"/>
      <c r="J143" s="505" t="s">
        <v>3</v>
      </c>
      <c r="K143" s="505">
        <v>11</v>
      </c>
      <c r="L143" s="579"/>
      <c r="M143" s="397"/>
      <c r="N143" s="397"/>
      <c r="O143" s="397"/>
      <c r="P143" s="397"/>
      <c r="Q143" s="397"/>
      <c r="R143" s="397"/>
      <c r="S143" s="397"/>
      <c r="T143" s="397"/>
      <c r="U143" s="397"/>
      <c r="V143" s="397"/>
      <c r="W143" s="397"/>
      <c r="X143" s="397"/>
      <c r="Y143" s="397"/>
      <c r="Z143" s="397"/>
      <c r="AA143" s="397"/>
      <c r="AB143" s="530"/>
      <c r="AC143" s="530"/>
      <c r="AD143" s="530"/>
    </row>
    <row r="144" spans="2:30" x14ac:dyDescent="0.25">
      <c r="B144" s="661" t="s">
        <v>893</v>
      </c>
      <c r="C144" s="661" t="s">
        <v>894</v>
      </c>
      <c r="D144" s="663" t="s">
        <v>895</v>
      </c>
      <c r="E144" s="765" t="s">
        <v>1811</v>
      </c>
      <c r="F144" s="787">
        <f>5*8*12*25.4*4*12*25.4/1000/1000/1000</f>
        <v>1.4864486399999998E-2</v>
      </c>
      <c r="G144" s="605"/>
      <c r="H144" s="604">
        <f>G144*K145</f>
        <v>0</v>
      </c>
      <c r="I144" s="530"/>
      <c r="J144" s="505" t="s">
        <v>3</v>
      </c>
      <c r="K144" s="505">
        <v>14</v>
      </c>
      <c r="L144" s="579"/>
      <c r="M144" s="397"/>
      <c r="N144" s="397"/>
      <c r="O144" s="397"/>
      <c r="P144" s="397"/>
      <c r="Q144" s="397"/>
      <c r="R144" s="397"/>
      <c r="S144" s="397"/>
      <c r="T144" s="397"/>
      <c r="U144" s="397"/>
      <c r="V144" s="397"/>
      <c r="W144" s="397"/>
      <c r="X144" s="397"/>
      <c r="Y144" s="397"/>
      <c r="Z144" s="397"/>
      <c r="AA144" s="397"/>
      <c r="AB144" s="530"/>
      <c r="AC144" s="530"/>
      <c r="AD144" s="530"/>
    </row>
    <row r="145" spans="2:30" x14ac:dyDescent="0.25">
      <c r="B145" s="661" t="s">
        <v>896</v>
      </c>
      <c r="C145" s="661" t="s">
        <v>897</v>
      </c>
      <c r="D145" s="663" t="s">
        <v>898</v>
      </c>
      <c r="E145" s="765" t="s">
        <v>1811</v>
      </c>
      <c r="F145" s="787">
        <f>6*8*12*25.4*4*12*25.4/1000/1000/1000</f>
        <v>1.7837383679999996E-2</v>
      </c>
      <c r="G145" s="605"/>
      <c r="H145" s="604">
        <f>G145*K146</f>
        <v>0</v>
      </c>
      <c r="I145" s="530"/>
      <c r="J145" s="505" t="s">
        <v>3</v>
      </c>
      <c r="K145" s="505">
        <v>18</v>
      </c>
      <c r="L145" s="579"/>
      <c r="M145" s="397"/>
      <c r="N145" s="397"/>
      <c r="O145" s="397"/>
      <c r="P145" s="397"/>
      <c r="Q145" s="397"/>
      <c r="R145" s="397"/>
      <c r="S145" s="397"/>
      <c r="T145" s="397"/>
      <c r="U145" s="397"/>
      <c r="V145" s="397"/>
      <c r="W145" s="397"/>
      <c r="X145" s="397"/>
      <c r="Y145" s="397"/>
      <c r="Z145" s="397"/>
      <c r="AA145" s="397"/>
      <c r="AB145" s="530"/>
      <c r="AC145" s="530"/>
      <c r="AD145" s="530"/>
    </row>
    <row r="146" spans="2:30" x14ac:dyDescent="0.25">
      <c r="B146" s="661" t="s">
        <v>899</v>
      </c>
      <c r="C146" s="661" t="s">
        <v>900</v>
      </c>
      <c r="D146" s="663" t="s">
        <v>901</v>
      </c>
      <c r="E146" s="765" t="s">
        <v>1811</v>
      </c>
      <c r="F146" s="782">
        <f>6*1220*2440/1000/1000/1000</f>
        <v>1.7860799999999996E-2</v>
      </c>
      <c r="G146" s="605"/>
      <c r="H146" s="604">
        <f>G146*K147</f>
        <v>0</v>
      </c>
      <c r="I146" s="530"/>
      <c r="J146" s="505" t="s">
        <v>3</v>
      </c>
      <c r="K146" s="505">
        <v>22</v>
      </c>
      <c r="L146" s="579"/>
      <c r="M146" s="397"/>
      <c r="N146" s="397"/>
      <c r="O146" s="397"/>
      <c r="P146" s="397"/>
      <c r="Q146" s="397"/>
      <c r="R146" s="397"/>
      <c r="S146" s="397"/>
      <c r="T146" s="397"/>
      <c r="U146" s="397"/>
      <c r="V146" s="397"/>
      <c r="W146" s="397"/>
      <c r="X146" s="397"/>
      <c r="Y146" s="397"/>
      <c r="Z146" s="397"/>
      <c r="AA146" s="397"/>
      <c r="AB146" s="530"/>
      <c r="AC146" s="530"/>
      <c r="AD146" s="530"/>
    </row>
    <row r="147" spans="2:30" x14ac:dyDescent="0.25">
      <c r="B147" s="661" t="s">
        <v>902</v>
      </c>
      <c r="C147" s="661" t="s">
        <v>903</v>
      </c>
      <c r="D147" s="663" t="s">
        <v>904</v>
      </c>
      <c r="E147" s="765" t="s">
        <v>1811</v>
      </c>
      <c r="F147" s="782">
        <f>8*1220*2440/1000/1000/1000</f>
        <v>2.3814400000000003E-2</v>
      </c>
      <c r="G147" s="605"/>
      <c r="H147" s="604">
        <f>G147*K148</f>
        <v>0</v>
      </c>
      <c r="I147" s="530"/>
      <c r="J147" s="505" t="s">
        <v>3</v>
      </c>
      <c r="K147" s="505">
        <v>22</v>
      </c>
      <c r="L147" s="579"/>
      <c r="M147" s="397"/>
      <c r="N147" s="397"/>
      <c r="O147" s="397"/>
      <c r="P147" s="397"/>
      <c r="Q147" s="397"/>
      <c r="R147" s="397"/>
      <c r="S147" s="397"/>
      <c r="T147" s="397"/>
      <c r="U147" s="397"/>
      <c r="V147" s="397"/>
      <c r="W147" s="397"/>
      <c r="X147" s="397"/>
      <c r="Y147" s="397"/>
      <c r="Z147" s="397"/>
      <c r="AA147" s="397"/>
      <c r="AB147" s="530"/>
      <c r="AC147" s="530"/>
      <c r="AD147" s="530"/>
    </row>
    <row r="148" spans="2:30" x14ac:dyDescent="0.25">
      <c r="B148" s="661" t="s">
        <v>905</v>
      </c>
      <c r="C148" s="661" t="s">
        <v>906</v>
      </c>
      <c r="D148" s="663" t="s">
        <v>907</v>
      </c>
      <c r="E148" s="765" t="s">
        <v>1811</v>
      </c>
      <c r="F148" s="782">
        <f>12*1220*2440/1000/1000/1000</f>
        <v>3.5721599999999992E-2</v>
      </c>
      <c r="G148" s="605"/>
      <c r="H148" s="604">
        <f>G148*K149</f>
        <v>0</v>
      </c>
      <c r="I148" s="530"/>
      <c r="J148" s="505" t="s">
        <v>3</v>
      </c>
      <c r="K148" s="505">
        <v>30</v>
      </c>
      <c r="L148" s="579"/>
      <c r="M148" s="397"/>
      <c r="N148" s="397"/>
      <c r="O148" s="397"/>
      <c r="P148" s="397"/>
      <c r="Q148" s="397"/>
      <c r="R148" s="397"/>
      <c r="S148" s="397"/>
      <c r="T148" s="397"/>
      <c r="U148" s="397"/>
      <c r="V148" s="397"/>
      <c r="W148" s="397"/>
      <c r="X148" s="397"/>
      <c r="Y148" s="397"/>
      <c r="Z148" s="397"/>
      <c r="AA148" s="397"/>
      <c r="AB148" s="530"/>
      <c r="AC148" s="530"/>
      <c r="AD148" s="530"/>
    </row>
    <row r="149" spans="2:30" x14ac:dyDescent="0.25">
      <c r="B149" s="661" t="s">
        <v>908</v>
      </c>
      <c r="C149" s="661" t="s">
        <v>909</v>
      </c>
      <c r="D149" s="663" t="s">
        <v>910</v>
      </c>
      <c r="E149" s="765" t="s">
        <v>1811</v>
      </c>
      <c r="F149" s="782">
        <f>20*1220*2440/1000/1000/1000</f>
        <v>5.9535999999999999E-2</v>
      </c>
      <c r="G149" s="605"/>
      <c r="H149" s="604">
        <f>G149*K150</f>
        <v>0</v>
      </c>
      <c r="I149" s="530"/>
      <c r="J149" s="505" t="s">
        <v>3</v>
      </c>
      <c r="K149" s="505">
        <v>44</v>
      </c>
      <c r="L149" s="579"/>
      <c r="M149" s="397"/>
      <c r="N149" s="397"/>
      <c r="O149" s="397"/>
      <c r="P149" s="397"/>
      <c r="Q149" s="397"/>
      <c r="R149" s="397"/>
      <c r="S149" s="397"/>
      <c r="T149" s="397"/>
      <c r="U149" s="397"/>
      <c r="V149" s="397"/>
      <c r="W149" s="397"/>
      <c r="X149" s="397"/>
      <c r="Y149" s="397"/>
      <c r="Z149" s="397"/>
      <c r="AA149" s="397"/>
      <c r="AB149" s="530"/>
      <c r="AC149" s="530"/>
      <c r="AD149" s="530"/>
    </row>
    <row r="150" spans="2:30" x14ac:dyDescent="0.25">
      <c r="B150" s="661" t="s">
        <v>912</v>
      </c>
      <c r="C150" s="661" t="s">
        <v>913</v>
      </c>
      <c r="D150" s="663" t="s">
        <v>914</v>
      </c>
      <c r="E150" s="752" t="s">
        <v>316</v>
      </c>
      <c r="F150" s="787">
        <f>2*2*12*25.4*3*12*25.4/1000/1000/1000</f>
        <v>1.1148364799999997E-3</v>
      </c>
      <c r="G150" s="605"/>
      <c r="H150" s="604">
        <f>G150*K151</f>
        <v>0</v>
      </c>
      <c r="I150" s="575" t="s">
        <v>911</v>
      </c>
      <c r="J150" s="505" t="s">
        <v>3</v>
      </c>
      <c r="K150" s="505">
        <v>70</v>
      </c>
      <c r="L150" s="579"/>
      <c r="M150" s="397"/>
      <c r="N150" s="397"/>
      <c r="O150" s="397"/>
      <c r="P150" s="397"/>
      <c r="Q150" s="397"/>
      <c r="R150" s="397"/>
      <c r="S150" s="397"/>
      <c r="T150" s="397"/>
      <c r="U150" s="397"/>
      <c r="V150" s="397"/>
      <c r="W150" s="397"/>
      <c r="X150" s="397"/>
      <c r="Y150" s="397"/>
      <c r="Z150" s="397"/>
      <c r="AA150" s="397"/>
      <c r="AB150" s="530"/>
      <c r="AC150" s="530"/>
      <c r="AD150" s="530"/>
    </row>
    <row r="151" spans="2:30" x14ac:dyDescent="0.25">
      <c r="B151" s="661" t="s">
        <v>916</v>
      </c>
      <c r="C151" s="661" t="s">
        <v>917</v>
      </c>
      <c r="D151" s="663" t="s">
        <v>918</v>
      </c>
      <c r="E151" s="765" t="s">
        <v>1811</v>
      </c>
      <c r="F151" s="787">
        <f>6*3*12*25.4*1.5*12*25.4/1000/1000/1000</f>
        <v>2.5083820799999997E-3</v>
      </c>
      <c r="G151" s="605"/>
      <c r="H151" s="604">
        <f>G151*K152</f>
        <v>0</v>
      </c>
      <c r="I151" s="575" t="s">
        <v>915</v>
      </c>
      <c r="J151" s="505" t="s">
        <v>3</v>
      </c>
      <c r="K151" s="505">
        <v>3</v>
      </c>
      <c r="L151" s="579"/>
      <c r="M151" s="397"/>
      <c r="N151" s="397"/>
      <c r="O151" s="397"/>
      <c r="P151" s="397"/>
      <c r="Q151" s="397"/>
      <c r="R151" s="397"/>
      <c r="S151" s="397"/>
      <c r="T151" s="397"/>
      <c r="U151" s="397"/>
      <c r="V151" s="397"/>
      <c r="W151" s="397"/>
      <c r="X151" s="397"/>
      <c r="Y151" s="397"/>
      <c r="Z151" s="397"/>
      <c r="AA151" s="397"/>
      <c r="AB151" s="530"/>
      <c r="AC151" s="530"/>
      <c r="AD151" s="530"/>
    </row>
    <row r="152" spans="2:30" x14ac:dyDescent="0.25">
      <c r="B152" s="661" t="s">
        <v>919</v>
      </c>
      <c r="C152" s="661" t="s">
        <v>920</v>
      </c>
      <c r="D152" s="663" t="s">
        <v>921</v>
      </c>
      <c r="E152" s="765" t="s">
        <v>1811</v>
      </c>
      <c r="F152" s="787">
        <f>15*3*12*25.4*1.5*12*25.4/1000/1000/1000</f>
        <v>6.2709551999999991E-3</v>
      </c>
      <c r="G152" s="605"/>
      <c r="H152" s="604">
        <f>G152*K153</f>
        <v>0</v>
      </c>
      <c r="I152" s="530"/>
      <c r="J152" s="505" t="s">
        <v>3</v>
      </c>
      <c r="K152" s="505">
        <v>10</v>
      </c>
      <c r="L152" s="579"/>
      <c r="M152" s="397"/>
      <c r="N152" s="397"/>
      <c r="O152" s="397"/>
      <c r="P152" s="397"/>
      <c r="Q152" s="397"/>
      <c r="R152" s="397"/>
      <c r="S152" s="397"/>
      <c r="T152" s="397"/>
      <c r="U152" s="397"/>
      <c r="V152" s="397"/>
      <c r="W152" s="397"/>
      <c r="X152" s="397"/>
      <c r="Y152" s="397"/>
      <c r="Z152" s="397"/>
      <c r="AA152" s="397"/>
      <c r="AB152" s="530"/>
      <c r="AC152" s="530"/>
      <c r="AD152" s="530"/>
    </row>
    <row r="153" spans="2:30" x14ac:dyDescent="0.25">
      <c r="B153" s="661" t="s">
        <v>922</v>
      </c>
      <c r="C153" s="661" t="s">
        <v>923</v>
      </c>
      <c r="D153" s="663" t="s">
        <v>924</v>
      </c>
      <c r="E153" s="752" t="s">
        <v>316</v>
      </c>
      <c r="F153" s="787">
        <f>2.8*3*12*25.4*1.5*12*25.4/1000/1000/1000</f>
        <v>1.1705783039999995E-3</v>
      </c>
      <c r="G153" s="605"/>
      <c r="H153" s="604">
        <f>G153*K154</f>
        <v>0</v>
      </c>
      <c r="I153" s="530"/>
      <c r="J153" s="505" t="s">
        <v>3</v>
      </c>
      <c r="K153" s="505">
        <v>21</v>
      </c>
      <c r="L153" s="579"/>
      <c r="M153" s="397"/>
      <c r="N153" s="397"/>
      <c r="O153" s="397"/>
      <c r="P153" s="397"/>
      <c r="Q153" s="397"/>
      <c r="R153" s="397"/>
      <c r="S153" s="397"/>
      <c r="T153" s="397"/>
      <c r="U153" s="397"/>
      <c r="V153" s="397"/>
      <c r="W153" s="397"/>
      <c r="X153" s="397"/>
      <c r="Y153" s="397"/>
      <c r="Z153" s="397"/>
      <c r="AA153" s="397"/>
      <c r="AB153" s="530"/>
      <c r="AC153" s="530"/>
      <c r="AD153" s="530"/>
    </row>
    <row r="154" spans="2:30" x14ac:dyDescent="0.25">
      <c r="B154" s="661" t="s">
        <v>925</v>
      </c>
      <c r="C154" s="661" t="s">
        <v>926</v>
      </c>
      <c r="D154" s="663" t="s">
        <v>927</v>
      </c>
      <c r="E154" s="765" t="s">
        <v>1811</v>
      </c>
      <c r="F154" s="780"/>
      <c r="G154" s="605"/>
      <c r="H154" s="604">
        <f>G154*K155</f>
        <v>0</v>
      </c>
      <c r="I154" s="530"/>
      <c r="J154" s="505" t="s">
        <v>3</v>
      </c>
      <c r="K154" s="505">
        <v>4</v>
      </c>
      <c r="L154" s="579"/>
      <c r="M154" s="397"/>
      <c r="N154" s="397"/>
      <c r="O154" s="397"/>
      <c r="P154" s="397"/>
      <c r="Q154" s="397"/>
      <c r="R154" s="397"/>
      <c r="S154" s="397"/>
      <c r="T154" s="397"/>
      <c r="U154" s="397"/>
      <c r="V154" s="397"/>
      <c r="W154" s="397"/>
      <c r="X154" s="397"/>
      <c r="Y154" s="397"/>
      <c r="Z154" s="397"/>
      <c r="AA154" s="397"/>
      <c r="AB154" s="530"/>
      <c r="AC154" s="530"/>
      <c r="AD154" s="530"/>
    </row>
    <row r="155" spans="2:30" x14ac:dyDescent="0.25">
      <c r="B155" s="661" t="s">
        <v>928</v>
      </c>
      <c r="C155" s="661" t="s">
        <v>929</v>
      </c>
      <c r="D155" s="663" t="s">
        <v>930</v>
      </c>
      <c r="E155" s="765" t="s">
        <v>1811</v>
      </c>
      <c r="F155" s="782">
        <f>6*2000*3000/1000/1000/1000</f>
        <v>3.5999999999999997E-2</v>
      </c>
      <c r="G155" s="605"/>
      <c r="H155" s="604">
        <f>G155*K156</f>
        <v>0</v>
      </c>
      <c r="I155" s="530"/>
      <c r="J155" s="505" t="s">
        <v>3</v>
      </c>
      <c r="K155" s="505">
        <v>5</v>
      </c>
      <c r="L155" s="579"/>
      <c r="M155" s="397"/>
      <c r="N155" s="397"/>
      <c r="O155" s="397"/>
      <c r="P155" s="397"/>
      <c r="Q155" s="397"/>
      <c r="R155" s="397"/>
      <c r="S155" s="397"/>
      <c r="T155" s="397"/>
      <c r="U155" s="397"/>
      <c r="V155" s="397"/>
      <c r="W155" s="397"/>
      <c r="X155" s="397"/>
      <c r="Y155" s="397"/>
      <c r="Z155" s="397"/>
      <c r="AA155" s="397"/>
      <c r="AB155" s="530"/>
      <c r="AC155" s="530"/>
      <c r="AD155" s="530"/>
    </row>
    <row r="156" spans="2:30" x14ac:dyDescent="0.25">
      <c r="B156" s="661" t="s">
        <v>931</v>
      </c>
      <c r="C156" s="661" t="s">
        <v>932</v>
      </c>
      <c r="D156" s="663" t="s">
        <v>933</v>
      </c>
      <c r="E156" s="765" t="s">
        <v>1811</v>
      </c>
      <c r="F156" s="787">
        <f>25*8*12*25.4*4*12*25.4/1000/1000/1000</f>
        <v>7.4322432000000008E-2</v>
      </c>
      <c r="G156" s="605"/>
      <c r="H156" s="604">
        <f>G156*K157</f>
        <v>0</v>
      </c>
      <c r="I156" s="530"/>
      <c r="J156" s="505" t="s">
        <v>465</v>
      </c>
      <c r="K156" s="505">
        <v>38</v>
      </c>
      <c r="L156" s="579"/>
      <c r="M156" s="397"/>
      <c r="N156" s="397"/>
      <c r="O156" s="397"/>
      <c r="P156" s="397"/>
      <c r="Q156" s="397"/>
      <c r="R156" s="397"/>
      <c r="S156" s="397"/>
      <c r="T156" s="397"/>
      <c r="U156" s="397"/>
      <c r="V156" s="397"/>
      <c r="W156" s="397"/>
      <c r="X156" s="397"/>
      <c r="Y156" s="397"/>
      <c r="Z156" s="397"/>
      <c r="AA156" s="397"/>
      <c r="AB156" s="530"/>
      <c r="AC156" s="530"/>
      <c r="AD156" s="530"/>
    </row>
    <row r="157" spans="2:30" x14ac:dyDescent="0.25">
      <c r="B157" s="661" t="s">
        <v>934</v>
      </c>
      <c r="C157" s="661" t="s">
        <v>935</v>
      </c>
      <c r="D157" s="663" t="s">
        <v>936</v>
      </c>
      <c r="E157" s="765" t="s">
        <v>1811</v>
      </c>
      <c r="F157" s="780"/>
      <c r="G157" s="605"/>
      <c r="H157" s="604">
        <f>G157*K158</f>
        <v>0</v>
      </c>
      <c r="I157" s="530"/>
      <c r="J157" s="505" t="s">
        <v>465</v>
      </c>
      <c r="K157" s="505">
        <v>89</v>
      </c>
      <c r="L157" s="579"/>
      <c r="M157" s="397"/>
      <c r="N157" s="397"/>
      <c r="O157" s="397"/>
      <c r="P157" s="397"/>
      <c r="Q157" s="397"/>
      <c r="R157" s="397"/>
      <c r="S157" s="397"/>
      <c r="T157" s="397"/>
      <c r="U157" s="397"/>
      <c r="V157" s="397"/>
      <c r="W157" s="397"/>
      <c r="X157" s="397"/>
      <c r="Y157" s="397"/>
      <c r="Z157" s="397"/>
      <c r="AA157" s="397"/>
      <c r="AB157" s="530"/>
      <c r="AC157" s="530"/>
      <c r="AD157" s="530"/>
    </row>
    <row r="158" spans="2:30" x14ac:dyDescent="0.25">
      <c r="B158" s="661" t="s">
        <v>937</v>
      </c>
      <c r="C158" s="661" t="s">
        <v>938</v>
      </c>
      <c r="D158" s="663" t="s">
        <v>939</v>
      </c>
      <c r="E158" s="765" t="s">
        <v>1811</v>
      </c>
      <c r="F158" s="787">
        <f>3*3*12*25.4*2*12*25.4/1000/1000/1000</f>
        <v>1.6722547199999995E-3</v>
      </c>
      <c r="G158" s="605"/>
      <c r="H158" s="604">
        <f>G158*K159</f>
        <v>0</v>
      </c>
      <c r="I158" s="530"/>
      <c r="J158" s="505" t="s">
        <v>465</v>
      </c>
      <c r="K158" s="505">
        <v>0.5</v>
      </c>
      <c r="L158" s="579"/>
      <c r="M158" s="397"/>
      <c r="N158" s="397"/>
      <c r="O158" s="397"/>
      <c r="P158" s="397"/>
      <c r="Q158" s="397"/>
      <c r="R158" s="397"/>
      <c r="S158" s="397"/>
      <c r="T158" s="397"/>
      <c r="U158" s="397"/>
      <c r="V158" s="397"/>
      <c r="W158" s="397"/>
      <c r="X158" s="397"/>
      <c r="Y158" s="397"/>
      <c r="Z158" s="397"/>
      <c r="AA158" s="397"/>
      <c r="AB158" s="530"/>
      <c r="AC158" s="530"/>
      <c r="AD158" s="530"/>
    </row>
    <row r="159" spans="2:30" x14ac:dyDescent="0.25">
      <c r="B159" s="661" t="s">
        <v>940</v>
      </c>
      <c r="C159" s="661" t="s">
        <v>941</v>
      </c>
      <c r="D159" s="663" t="s">
        <v>942</v>
      </c>
      <c r="E159" s="765" t="s">
        <v>1811</v>
      </c>
      <c r="F159" s="787">
        <f>3*3*12*25.4*2*12*25.4/1000/1000/1000</f>
        <v>1.6722547199999995E-3</v>
      </c>
      <c r="G159" s="605"/>
      <c r="H159" s="604">
        <f>G159*K160</f>
        <v>0</v>
      </c>
      <c r="I159" s="530"/>
      <c r="J159" s="505" t="s">
        <v>3</v>
      </c>
      <c r="K159" s="505">
        <v>5</v>
      </c>
      <c r="L159" s="579"/>
      <c r="M159" s="397"/>
      <c r="N159" s="397"/>
      <c r="O159" s="397"/>
      <c r="P159" s="397"/>
      <c r="Q159" s="397"/>
      <c r="R159" s="397"/>
      <c r="S159" s="397"/>
      <c r="T159" s="397"/>
      <c r="U159" s="397"/>
      <c r="V159" s="397"/>
      <c r="W159" s="397"/>
      <c r="X159" s="397"/>
      <c r="Y159" s="397"/>
      <c r="Z159" s="397"/>
      <c r="AA159" s="397"/>
      <c r="AB159" s="530"/>
      <c r="AC159" s="530"/>
      <c r="AD159" s="530"/>
    </row>
    <row r="160" spans="2:30" x14ac:dyDescent="0.25">
      <c r="B160" s="665" t="s">
        <v>943</v>
      </c>
      <c r="C160" s="665" t="s">
        <v>944</v>
      </c>
      <c r="D160" s="663" t="s">
        <v>945</v>
      </c>
      <c r="E160" s="765" t="s">
        <v>1811</v>
      </c>
      <c r="F160" s="782">
        <f>3*1220*1830/1000/1000/1000</f>
        <v>6.6978000000000003E-3</v>
      </c>
      <c r="G160" s="605"/>
      <c r="H160" s="604">
        <f>G160*K161</f>
        <v>0</v>
      </c>
      <c r="I160" s="575" t="s">
        <v>915</v>
      </c>
      <c r="J160" s="505" t="s">
        <v>3</v>
      </c>
      <c r="K160" s="505">
        <v>5</v>
      </c>
      <c r="L160" s="579"/>
      <c r="M160" s="397"/>
      <c r="N160" s="397"/>
      <c r="O160" s="397"/>
      <c r="P160" s="397"/>
      <c r="Q160" s="397"/>
      <c r="R160" s="397"/>
      <c r="S160" s="397"/>
      <c r="T160" s="397"/>
      <c r="U160" s="397"/>
      <c r="V160" s="397"/>
      <c r="W160" s="397"/>
      <c r="X160" s="397"/>
      <c r="Y160" s="397"/>
      <c r="Z160" s="397"/>
      <c r="AA160" s="397"/>
      <c r="AB160" s="530"/>
      <c r="AC160" s="530"/>
      <c r="AD160" s="530"/>
    </row>
    <row r="161" spans="2:30" x14ac:dyDescent="0.25">
      <c r="B161" s="665" t="s">
        <v>947</v>
      </c>
      <c r="C161" s="661" t="s">
        <v>948</v>
      </c>
      <c r="D161" s="663" t="s">
        <v>949</v>
      </c>
      <c r="E161" s="765" t="s">
        <v>1811</v>
      </c>
      <c r="F161" s="780"/>
      <c r="G161" s="605"/>
      <c r="H161" s="604">
        <f>G161*K162</f>
        <v>0</v>
      </c>
      <c r="I161" s="576" t="s">
        <v>946</v>
      </c>
      <c r="J161" s="537" t="s">
        <v>3</v>
      </c>
      <c r="K161" s="505">
        <v>11</v>
      </c>
      <c r="L161" s="579"/>
      <c r="M161" s="397"/>
      <c r="N161" s="397"/>
      <c r="O161" s="397"/>
      <c r="P161" s="397"/>
      <c r="Q161" s="397"/>
      <c r="R161" s="397"/>
      <c r="S161" s="397"/>
      <c r="T161" s="397"/>
      <c r="U161" s="397"/>
      <c r="V161" s="397"/>
      <c r="W161" s="397"/>
      <c r="X161" s="397"/>
      <c r="Y161" s="397"/>
      <c r="Z161" s="397"/>
      <c r="AA161" s="397"/>
      <c r="AB161" s="530"/>
      <c r="AC161" s="530"/>
      <c r="AD161" s="530"/>
    </row>
    <row r="162" spans="2:30" x14ac:dyDescent="0.25">
      <c r="B162" s="665" t="s">
        <v>950</v>
      </c>
      <c r="C162" s="661" t="s">
        <v>951</v>
      </c>
      <c r="D162" s="663" t="s">
        <v>952</v>
      </c>
      <c r="E162" s="765" t="s">
        <v>1811</v>
      </c>
      <c r="F162" s="782">
        <f>1*1220*2440/1000/1000/1000</f>
        <v>2.9768000000000004E-3</v>
      </c>
      <c r="G162" s="605"/>
      <c r="H162" s="604">
        <f>G162*K163</f>
        <v>0</v>
      </c>
      <c r="I162" s="575" t="s">
        <v>793</v>
      </c>
      <c r="J162" s="537" t="s">
        <v>3</v>
      </c>
      <c r="K162" s="505">
        <v>12</v>
      </c>
      <c r="L162" s="579"/>
      <c r="M162" s="397"/>
      <c r="N162" s="397"/>
      <c r="O162" s="397"/>
      <c r="P162" s="397"/>
      <c r="Q162" s="397"/>
      <c r="R162" s="397"/>
      <c r="S162" s="397"/>
      <c r="T162" s="397"/>
      <c r="U162" s="397"/>
      <c r="V162" s="397"/>
      <c r="W162" s="397"/>
      <c r="X162" s="397"/>
      <c r="Y162" s="397"/>
      <c r="Z162" s="397"/>
      <c r="AA162" s="397"/>
      <c r="AB162" s="530"/>
      <c r="AC162" s="530"/>
      <c r="AD162" s="530"/>
    </row>
    <row r="163" spans="2:30" x14ac:dyDescent="0.25">
      <c r="B163" s="665" t="s">
        <v>953</v>
      </c>
      <c r="C163" s="661" t="s">
        <v>954</v>
      </c>
      <c r="D163" s="663" t="s">
        <v>955</v>
      </c>
      <c r="E163" s="765" t="s">
        <v>1811</v>
      </c>
      <c r="F163" s="782">
        <f>12*1220*2440/1000/1000/1000</f>
        <v>3.5721599999999992E-2</v>
      </c>
      <c r="G163" s="605"/>
      <c r="H163" s="604">
        <f>G163*K164</f>
        <v>0</v>
      </c>
      <c r="I163" s="575" t="s">
        <v>946</v>
      </c>
      <c r="J163" s="537" t="s">
        <v>3</v>
      </c>
      <c r="K163" s="505">
        <v>4</v>
      </c>
      <c r="L163" s="579"/>
      <c r="M163" s="397"/>
      <c r="N163" s="397"/>
      <c r="O163" s="397"/>
      <c r="P163" s="397"/>
      <c r="Q163" s="397"/>
      <c r="R163" s="397"/>
      <c r="S163" s="397"/>
      <c r="T163" s="397"/>
      <c r="U163" s="397"/>
      <c r="V163" s="397"/>
      <c r="W163" s="397"/>
      <c r="X163" s="397"/>
      <c r="Y163" s="397"/>
      <c r="Z163" s="397"/>
      <c r="AA163" s="397"/>
      <c r="AB163" s="530"/>
      <c r="AC163" s="530"/>
      <c r="AD163" s="530"/>
    </row>
    <row r="164" spans="2:30" x14ac:dyDescent="0.25">
      <c r="B164" s="665" t="s">
        <v>956</v>
      </c>
      <c r="C164" s="661" t="s">
        <v>957</v>
      </c>
      <c r="D164" s="663" t="s">
        <v>958</v>
      </c>
      <c r="E164" s="765" t="s">
        <v>1811</v>
      </c>
      <c r="F164" s="782">
        <f>4*1220*2440/1000/1000/1000</f>
        <v>1.1907200000000001E-2</v>
      </c>
      <c r="G164" s="605"/>
      <c r="H164" s="604">
        <f>G164*K165</f>
        <v>0</v>
      </c>
      <c r="I164" s="575" t="s">
        <v>915</v>
      </c>
      <c r="J164" s="537" t="s">
        <v>3</v>
      </c>
      <c r="K164" s="505">
        <v>44</v>
      </c>
      <c r="L164" s="579"/>
      <c r="M164" s="397"/>
      <c r="N164" s="397"/>
      <c r="O164" s="397"/>
      <c r="P164" s="397"/>
      <c r="Q164" s="397"/>
      <c r="R164" s="397"/>
      <c r="S164" s="397"/>
      <c r="T164" s="397"/>
      <c r="U164" s="397"/>
      <c r="V164" s="397"/>
      <c r="W164" s="397"/>
      <c r="X164" s="397"/>
      <c r="Y164" s="397"/>
      <c r="Z164" s="397"/>
      <c r="AA164" s="397"/>
      <c r="AB164" s="530"/>
      <c r="AC164" s="530"/>
      <c r="AD164" s="530"/>
    </row>
    <row r="165" spans="2:30" x14ac:dyDescent="0.25">
      <c r="B165" s="665" t="s">
        <v>959</v>
      </c>
      <c r="C165" s="661" t="s">
        <v>960</v>
      </c>
      <c r="D165" s="663" t="s">
        <v>961</v>
      </c>
      <c r="E165" s="752" t="s">
        <v>316</v>
      </c>
      <c r="F165" s="782">
        <f>1*1220*2440/1000/1000/1000</f>
        <v>2.9768000000000004E-3</v>
      </c>
      <c r="G165" s="605"/>
      <c r="H165" s="604">
        <f>G165*K166</f>
        <v>0</v>
      </c>
      <c r="I165" s="575" t="s">
        <v>915</v>
      </c>
      <c r="J165" s="537" t="s">
        <v>3</v>
      </c>
      <c r="K165" s="505">
        <v>14</v>
      </c>
      <c r="L165" s="579"/>
      <c r="M165" s="397"/>
      <c r="N165" s="397"/>
      <c r="O165" s="397"/>
      <c r="P165" s="397"/>
      <c r="Q165" s="397"/>
      <c r="R165" s="397"/>
      <c r="S165" s="397"/>
      <c r="T165" s="397"/>
      <c r="U165" s="397"/>
      <c r="V165" s="397"/>
      <c r="W165" s="397"/>
      <c r="X165" s="397"/>
      <c r="Y165" s="397"/>
      <c r="Z165" s="397"/>
      <c r="AA165" s="397"/>
      <c r="AB165" s="530"/>
      <c r="AC165" s="530"/>
      <c r="AD165" s="530"/>
    </row>
    <row r="166" spans="2:30" x14ac:dyDescent="0.25">
      <c r="B166" s="665" t="s">
        <v>962</v>
      </c>
      <c r="C166" s="661" t="s">
        <v>963</v>
      </c>
      <c r="D166" s="663" t="s">
        <v>964</v>
      </c>
      <c r="E166" s="752" t="s">
        <v>316</v>
      </c>
      <c r="F166" s="782">
        <f>2.8*1220*2440/1000/1000/1000</f>
        <v>8.3350400000000019E-3</v>
      </c>
      <c r="G166" s="605"/>
      <c r="H166" s="604">
        <f>G166*K167</f>
        <v>0</v>
      </c>
      <c r="I166" s="575" t="s">
        <v>946</v>
      </c>
      <c r="J166" s="537" t="s">
        <v>3</v>
      </c>
      <c r="K166" s="505">
        <v>4</v>
      </c>
      <c r="L166" s="579"/>
      <c r="M166" s="397"/>
      <c r="N166" s="397"/>
      <c r="O166" s="397"/>
      <c r="P166" s="397"/>
      <c r="Q166" s="397"/>
      <c r="R166" s="397"/>
      <c r="S166" s="397"/>
      <c r="T166" s="397"/>
      <c r="U166" s="397"/>
      <c r="V166" s="397"/>
      <c r="W166" s="397"/>
      <c r="X166" s="397"/>
      <c r="Y166" s="397"/>
      <c r="Z166" s="397"/>
      <c r="AA166" s="397"/>
      <c r="AB166" s="530"/>
      <c r="AC166" s="530"/>
      <c r="AD166" s="530"/>
    </row>
    <row r="167" spans="2:30" x14ac:dyDescent="0.25">
      <c r="B167" s="665" t="s">
        <v>965</v>
      </c>
      <c r="C167" s="661" t="s">
        <v>966</v>
      </c>
      <c r="D167" s="663" t="s">
        <v>967</v>
      </c>
      <c r="E167" s="752" t="s">
        <v>316</v>
      </c>
      <c r="F167" s="782">
        <f>2*1220*2440/1000/1000/1000</f>
        <v>5.9536000000000007E-3</v>
      </c>
      <c r="G167" s="605"/>
      <c r="H167" s="604">
        <f>G167*K168</f>
        <v>0</v>
      </c>
      <c r="I167" s="575" t="s">
        <v>946</v>
      </c>
      <c r="J167" s="537" t="s">
        <v>3</v>
      </c>
      <c r="K167" s="505">
        <v>11</v>
      </c>
      <c r="L167" s="579"/>
      <c r="M167" s="397"/>
      <c r="N167" s="397"/>
      <c r="O167" s="397"/>
      <c r="P167" s="397"/>
      <c r="Q167" s="397"/>
      <c r="R167" s="397"/>
      <c r="S167" s="397"/>
      <c r="T167" s="397"/>
      <c r="U167" s="397"/>
      <c r="V167" s="397"/>
      <c r="W167" s="397"/>
      <c r="X167" s="397"/>
      <c r="Y167" s="397"/>
      <c r="Z167" s="397"/>
      <c r="AA167" s="397"/>
      <c r="AB167" s="530"/>
      <c r="AC167" s="530"/>
      <c r="AD167" s="530"/>
    </row>
    <row r="168" spans="2:30" x14ac:dyDescent="0.25">
      <c r="B168" s="665" t="s">
        <v>968</v>
      </c>
      <c r="C168" s="661" t="s">
        <v>969</v>
      </c>
      <c r="D168" s="707" t="s">
        <v>970</v>
      </c>
      <c r="E168" s="765" t="s">
        <v>1811</v>
      </c>
      <c r="F168" s="782">
        <f>4*1220*2440/1000/1000/1000</f>
        <v>1.1907200000000001E-2</v>
      </c>
      <c r="G168" s="605"/>
      <c r="H168" s="604">
        <f>G168*K169</f>
        <v>0</v>
      </c>
      <c r="I168" s="575" t="s">
        <v>946</v>
      </c>
      <c r="J168" s="537" t="s">
        <v>3</v>
      </c>
      <c r="K168" s="505">
        <v>7</v>
      </c>
      <c r="L168" s="579"/>
      <c r="M168" s="397"/>
      <c r="N168" s="397"/>
      <c r="O168" s="397"/>
      <c r="P168" s="397"/>
      <c r="Q168" s="397"/>
      <c r="R168" s="397"/>
      <c r="S168" s="397"/>
      <c r="T168" s="397"/>
      <c r="U168" s="397"/>
      <c r="V168" s="397"/>
      <c r="W168" s="397"/>
      <c r="X168" s="397"/>
      <c r="Y168" s="397"/>
      <c r="Z168" s="397"/>
      <c r="AA168" s="397"/>
      <c r="AB168" s="530"/>
      <c r="AC168" s="530"/>
      <c r="AD168" s="530"/>
    </row>
    <row r="169" spans="2:30" x14ac:dyDescent="0.25">
      <c r="B169" s="665" t="s">
        <v>971</v>
      </c>
      <c r="C169" s="661" t="s">
        <v>972</v>
      </c>
      <c r="D169" s="707" t="s">
        <v>973</v>
      </c>
      <c r="E169" s="765" t="s">
        <v>1811</v>
      </c>
      <c r="F169" s="782">
        <f>10*1220*2440/1000/1000/1000</f>
        <v>2.9767999999999999E-2</v>
      </c>
      <c r="G169" s="605"/>
      <c r="H169" s="604">
        <f>G169*K170</f>
        <v>0</v>
      </c>
      <c r="I169" s="575" t="s">
        <v>946</v>
      </c>
      <c r="J169" s="537" t="s">
        <v>3</v>
      </c>
      <c r="K169" s="505">
        <v>14</v>
      </c>
      <c r="L169" s="579"/>
      <c r="M169" s="397"/>
      <c r="N169" s="397"/>
      <c r="O169" s="397"/>
      <c r="P169" s="397"/>
      <c r="Q169" s="397"/>
      <c r="R169" s="397"/>
      <c r="S169" s="397"/>
      <c r="T169" s="397"/>
      <c r="U169" s="397"/>
      <c r="V169" s="397"/>
      <c r="W169" s="397"/>
      <c r="X169" s="397"/>
      <c r="Y169" s="397"/>
      <c r="Z169" s="397"/>
      <c r="AA169" s="397"/>
      <c r="AB169" s="530"/>
      <c r="AC169" s="530"/>
      <c r="AD169" s="530"/>
    </row>
    <row r="170" spans="2:30" x14ac:dyDescent="0.25">
      <c r="B170" s="665" t="s">
        <v>974</v>
      </c>
      <c r="C170" s="661" t="s">
        <v>975</v>
      </c>
      <c r="D170" s="707" t="s">
        <v>976</v>
      </c>
      <c r="E170" s="765" t="s">
        <v>1811</v>
      </c>
      <c r="F170" s="782">
        <f>20*1220*2440/1000/1000/1000</f>
        <v>5.9535999999999999E-2</v>
      </c>
      <c r="G170" s="605"/>
      <c r="H170" s="604">
        <f>G170*K171</f>
        <v>0</v>
      </c>
      <c r="I170" s="575" t="s">
        <v>915</v>
      </c>
      <c r="J170" s="537" t="s">
        <v>3</v>
      </c>
      <c r="K170" s="505">
        <v>35</v>
      </c>
      <c r="L170" s="579"/>
      <c r="M170" s="397"/>
      <c r="N170" s="397"/>
      <c r="O170" s="397"/>
      <c r="P170" s="397"/>
      <c r="Q170" s="397"/>
      <c r="R170" s="397"/>
      <c r="S170" s="397"/>
      <c r="T170" s="397"/>
      <c r="U170" s="397"/>
      <c r="V170" s="397"/>
      <c r="W170" s="397"/>
      <c r="X170" s="397"/>
      <c r="Y170" s="397"/>
      <c r="Z170" s="397"/>
      <c r="AA170" s="397"/>
      <c r="AB170" s="530"/>
      <c r="AC170" s="530"/>
      <c r="AD170" s="530"/>
    </row>
    <row r="171" spans="2:30" x14ac:dyDescent="0.25">
      <c r="B171" s="665" t="s">
        <v>977</v>
      </c>
      <c r="C171" s="661" t="s">
        <v>978</v>
      </c>
      <c r="D171" s="707" t="s">
        <v>979</v>
      </c>
      <c r="E171" s="765" t="s">
        <v>1811</v>
      </c>
      <c r="F171" s="782">
        <f>3*1220*2440/1000/1000/1000</f>
        <v>8.9303999999999981E-3</v>
      </c>
      <c r="G171" s="605"/>
      <c r="H171" s="604">
        <f>G171*K172</f>
        <v>0</v>
      </c>
      <c r="I171" s="575" t="s">
        <v>915</v>
      </c>
      <c r="J171" s="537" t="s">
        <v>3</v>
      </c>
      <c r="K171" s="505">
        <v>70</v>
      </c>
      <c r="L171" s="579"/>
      <c r="M171" s="397"/>
      <c r="N171" s="397"/>
      <c r="O171" s="397"/>
      <c r="P171" s="397"/>
      <c r="Q171" s="397"/>
      <c r="R171" s="397"/>
      <c r="S171" s="397"/>
      <c r="T171" s="397"/>
      <c r="U171" s="397"/>
      <c r="V171" s="397"/>
      <c r="W171" s="397"/>
      <c r="X171" s="397"/>
      <c r="Y171" s="397"/>
      <c r="Z171" s="397"/>
      <c r="AA171" s="397"/>
      <c r="AB171" s="530"/>
      <c r="AC171" s="530"/>
      <c r="AD171" s="530"/>
    </row>
    <row r="172" spans="2:30" x14ac:dyDescent="0.25">
      <c r="B172" s="665" t="s">
        <v>980</v>
      </c>
      <c r="C172" s="661" t="s">
        <v>981</v>
      </c>
      <c r="D172" s="707" t="s">
        <v>982</v>
      </c>
      <c r="E172" s="765" t="s">
        <v>1811</v>
      </c>
      <c r="F172" s="782">
        <f>15*1220*2440/1000/1000/1000</f>
        <v>4.4652000000000004E-2</v>
      </c>
      <c r="G172" s="607"/>
      <c r="H172" s="604">
        <f>G172*K173</f>
        <v>0</v>
      </c>
      <c r="I172" s="575" t="s">
        <v>946</v>
      </c>
      <c r="J172" s="537" t="s">
        <v>3</v>
      </c>
      <c r="K172" s="505">
        <v>11</v>
      </c>
      <c r="L172" s="579"/>
      <c r="M172" s="397"/>
      <c r="N172" s="397"/>
      <c r="O172" s="397"/>
      <c r="P172" s="397"/>
      <c r="Q172" s="397"/>
      <c r="R172" s="397"/>
      <c r="S172" s="397"/>
      <c r="T172" s="397"/>
      <c r="U172" s="397"/>
      <c r="V172" s="397"/>
      <c r="W172" s="397"/>
      <c r="X172" s="397"/>
      <c r="Y172" s="397"/>
      <c r="Z172" s="397"/>
      <c r="AA172" s="397"/>
      <c r="AB172" s="530"/>
      <c r="AC172" s="530"/>
      <c r="AD172" s="530"/>
    </row>
    <row r="173" spans="2:30" x14ac:dyDescent="0.25">
      <c r="B173" s="665" t="s">
        <v>983</v>
      </c>
      <c r="C173" s="661" t="s">
        <v>984</v>
      </c>
      <c r="D173" s="707" t="s">
        <v>985</v>
      </c>
      <c r="E173" s="765" t="s">
        <v>1811</v>
      </c>
      <c r="F173" s="788"/>
      <c r="G173" s="607"/>
      <c r="H173" s="604">
        <f>G173*K174</f>
        <v>0</v>
      </c>
      <c r="I173" s="576" t="s">
        <v>793</v>
      </c>
      <c r="J173" s="537" t="s">
        <v>3</v>
      </c>
      <c r="K173" s="505">
        <v>54</v>
      </c>
      <c r="L173" s="579"/>
      <c r="M173" s="397"/>
      <c r="N173" s="397"/>
      <c r="O173" s="397"/>
      <c r="P173" s="397"/>
      <c r="Q173" s="397"/>
      <c r="R173" s="397"/>
      <c r="S173" s="397"/>
      <c r="T173" s="397"/>
      <c r="U173" s="397"/>
      <c r="V173" s="397"/>
      <c r="W173" s="397"/>
      <c r="X173" s="397"/>
      <c r="Y173" s="397"/>
      <c r="Z173" s="397"/>
      <c r="AA173" s="397"/>
      <c r="AB173" s="530"/>
      <c r="AC173" s="530"/>
      <c r="AD173" s="530"/>
    </row>
    <row r="174" spans="2:30" x14ac:dyDescent="0.25">
      <c r="B174" s="665" t="s">
        <v>987</v>
      </c>
      <c r="C174" s="661" t="s">
        <v>988</v>
      </c>
      <c r="D174" s="707" t="s">
        <v>989</v>
      </c>
      <c r="E174" s="765" t="s">
        <v>1811</v>
      </c>
      <c r="F174" s="788"/>
      <c r="G174" s="607"/>
      <c r="H174" s="604">
        <f>G174*K175</f>
        <v>0</v>
      </c>
      <c r="I174" s="576" t="s">
        <v>915</v>
      </c>
      <c r="J174" s="529" t="s">
        <v>986</v>
      </c>
      <c r="K174" s="505">
        <v>6</v>
      </c>
      <c r="L174" s="579"/>
      <c r="M174" s="397"/>
      <c r="N174" s="397"/>
      <c r="O174" s="397"/>
      <c r="P174" s="397"/>
      <c r="Q174" s="397"/>
      <c r="R174" s="397"/>
      <c r="S174" s="397"/>
      <c r="T174" s="397"/>
      <c r="U174" s="397"/>
      <c r="V174" s="397"/>
      <c r="W174" s="397"/>
      <c r="X174" s="397"/>
      <c r="Y174" s="397"/>
      <c r="Z174" s="397"/>
      <c r="AA174" s="397"/>
      <c r="AB174" s="530"/>
      <c r="AC174" s="530"/>
      <c r="AD174" s="530"/>
    </row>
    <row r="175" spans="2:30" x14ac:dyDescent="0.25">
      <c r="B175" s="665" t="s">
        <v>990</v>
      </c>
      <c r="C175" s="661" t="s">
        <v>991</v>
      </c>
      <c r="D175" s="707" t="s">
        <v>992</v>
      </c>
      <c r="E175" s="765" t="s">
        <v>1811</v>
      </c>
      <c r="F175" s="787">
        <f>2*8*12*25.4*4*12*25.4/1000/1000/1000</f>
        <v>5.9457945599999985E-3</v>
      </c>
      <c r="G175" s="607"/>
      <c r="H175" s="604">
        <f>G175*K176</f>
        <v>0</v>
      </c>
      <c r="I175" s="576" t="s">
        <v>915</v>
      </c>
      <c r="J175" s="529" t="s">
        <v>986</v>
      </c>
      <c r="K175" s="505">
        <v>5</v>
      </c>
      <c r="L175" s="579"/>
      <c r="M175" s="397"/>
      <c r="N175" s="397"/>
      <c r="O175" s="397"/>
      <c r="P175" s="397"/>
      <c r="Q175" s="397"/>
      <c r="R175" s="397"/>
      <c r="S175" s="397"/>
      <c r="T175" s="397"/>
      <c r="U175" s="397"/>
      <c r="V175" s="397"/>
      <c r="W175" s="397"/>
      <c r="X175" s="397"/>
      <c r="Y175" s="397"/>
      <c r="Z175" s="397"/>
      <c r="AA175" s="397"/>
      <c r="AB175" s="530"/>
      <c r="AC175" s="530"/>
      <c r="AD175" s="530"/>
    </row>
    <row r="176" spans="2:30" x14ac:dyDescent="0.25">
      <c r="B176" s="665" t="s">
        <v>993</v>
      </c>
      <c r="C176" s="661" t="s">
        <v>994</v>
      </c>
      <c r="D176" s="707" t="s">
        <v>995</v>
      </c>
      <c r="E176" s="765" t="s">
        <v>1811</v>
      </c>
      <c r="F176" s="787">
        <f>4*8*12*25.4*4*12*25.4/1000/1000/1000</f>
        <v>1.1891589119999997E-2</v>
      </c>
      <c r="G176" s="605"/>
      <c r="H176" s="604">
        <f>G176*K177</f>
        <v>0</v>
      </c>
      <c r="I176" s="576" t="s">
        <v>946</v>
      </c>
      <c r="J176" s="529" t="s">
        <v>986</v>
      </c>
      <c r="K176" s="505">
        <v>7</v>
      </c>
      <c r="L176" s="579"/>
      <c r="M176" s="397"/>
      <c r="N176" s="397"/>
      <c r="O176" s="397"/>
      <c r="P176" s="397"/>
      <c r="Q176" s="397"/>
      <c r="R176" s="397"/>
      <c r="S176" s="397"/>
      <c r="T176" s="397"/>
      <c r="U176" s="397"/>
      <c r="V176" s="397"/>
      <c r="W176" s="397"/>
      <c r="X176" s="397"/>
      <c r="Y176" s="397"/>
      <c r="Z176" s="397"/>
      <c r="AA176" s="397"/>
      <c r="AB176" s="530"/>
      <c r="AC176" s="530"/>
      <c r="AD176" s="530"/>
    </row>
    <row r="177" spans="2:31" x14ac:dyDescent="0.25">
      <c r="B177" s="665" t="s">
        <v>996</v>
      </c>
      <c r="C177" s="661" t="s">
        <v>997</v>
      </c>
      <c r="D177" s="708" t="s">
        <v>998</v>
      </c>
      <c r="E177" s="765" t="s">
        <v>1811</v>
      </c>
      <c r="F177" s="787">
        <f>6*8*12*25.4*4*12*25.4/1000/1000/1000</f>
        <v>1.7837383679999996E-2</v>
      </c>
      <c r="G177" s="608"/>
      <c r="H177" s="604">
        <f>G177*K178</f>
        <v>0</v>
      </c>
      <c r="I177" s="574"/>
      <c r="J177" s="537"/>
      <c r="K177" s="505">
        <v>14</v>
      </c>
      <c r="L177" s="579"/>
      <c r="M177" s="397"/>
      <c r="N177" s="397"/>
      <c r="O177" s="397"/>
      <c r="P177" s="397"/>
      <c r="Q177" s="397"/>
      <c r="R177" s="397"/>
      <c r="S177" s="397"/>
      <c r="T177" s="397"/>
      <c r="U177" s="397"/>
      <c r="V177" s="397"/>
      <c r="W177" s="397"/>
      <c r="X177" s="397"/>
      <c r="Y177" s="397"/>
      <c r="Z177" s="397"/>
      <c r="AA177" s="397"/>
      <c r="AB177" s="530"/>
      <c r="AC177" s="530"/>
      <c r="AD177" s="530"/>
    </row>
    <row r="178" spans="2:31" x14ac:dyDescent="0.25">
      <c r="B178" s="665" t="s">
        <v>999</v>
      </c>
      <c r="C178" s="661" t="s">
        <v>1000</v>
      </c>
      <c r="D178" s="666"/>
      <c r="E178" s="765" t="s">
        <v>1811</v>
      </c>
      <c r="F178" s="788"/>
      <c r="G178" s="605"/>
      <c r="H178" s="604">
        <f>G178*K179</f>
        <v>0</v>
      </c>
      <c r="I178" s="574"/>
      <c r="J178" s="529" t="s">
        <v>986</v>
      </c>
      <c r="K178" s="505">
        <v>22</v>
      </c>
      <c r="L178" s="579"/>
      <c r="M178" s="397"/>
      <c r="N178" s="397"/>
      <c r="O178" s="397"/>
      <c r="P178" s="397"/>
      <c r="Q178" s="397"/>
      <c r="R178" s="397"/>
      <c r="S178" s="397"/>
      <c r="T178" s="397"/>
      <c r="U178" s="397"/>
      <c r="V178" s="397"/>
      <c r="W178" s="397"/>
      <c r="X178" s="397"/>
      <c r="Y178" s="397"/>
      <c r="Z178" s="397"/>
      <c r="AA178" s="397"/>
      <c r="AB178" s="530"/>
      <c r="AC178" s="530"/>
      <c r="AD178" s="530"/>
    </row>
    <row r="179" spans="2:31" x14ac:dyDescent="0.25">
      <c r="B179" s="661" t="s">
        <v>1001</v>
      </c>
      <c r="C179" s="661" t="s">
        <v>1002</v>
      </c>
      <c r="D179" s="663" t="s">
        <v>1003</v>
      </c>
      <c r="E179" s="743" t="s">
        <v>306</v>
      </c>
      <c r="F179" s="789"/>
      <c r="G179" s="606"/>
      <c r="H179" s="604">
        <f>G179*K180</f>
        <v>0</v>
      </c>
      <c r="I179" s="530"/>
      <c r="J179" s="505"/>
      <c r="K179" s="505"/>
      <c r="L179" s="579"/>
      <c r="M179" s="397"/>
      <c r="N179" s="397"/>
      <c r="O179" s="397"/>
      <c r="P179" s="397"/>
      <c r="Q179" s="397"/>
      <c r="R179" s="397"/>
      <c r="S179" s="397"/>
      <c r="T179" s="397"/>
      <c r="U179" s="397"/>
      <c r="V179" s="397"/>
      <c r="W179" s="397"/>
      <c r="X179" s="397"/>
      <c r="Y179" s="397"/>
      <c r="Z179" s="397"/>
      <c r="AA179" s="397"/>
      <c r="AB179" s="530"/>
      <c r="AC179" s="530"/>
      <c r="AD179" s="530"/>
    </row>
    <row r="180" spans="2:31" x14ac:dyDescent="0.25">
      <c r="B180" s="661" t="s">
        <v>1004</v>
      </c>
      <c r="C180" s="661" t="s">
        <v>1005</v>
      </c>
      <c r="D180" s="663" t="s">
        <v>1006</v>
      </c>
      <c r="E180" s="744" t="s">
        <v>304</v>
      </c>
      <c r="F180" s="790"/>
      <c r="G180" s="606"/>
      <c r="H180" s="604">
        <f>G180*K181</f>
        <v>0</v>
      </c>
      <c r="I180" s="530"/>
      <c r="J180" s="505" t="s">
        <v>465</v>
      </c>
      <c r="K180" s="505">
        <v>2</v>
      </c>
      <c r="L180" s="505"/>
      <c r="M180" s="476"/>
      <c r="N180" s="397"/>
      <c r="O180" s="397"/>
      <c r="P180" s="397"/>
      <c r="Q180" s="397"/>
      <c r="R180" s="397"/>
      <c r="S180" s="397"/>
      <c r="T180" s="397"/>
      <c r="U180" s="397"/>
      <c r="V180" s="397"/>
      <c r="W180" s="397"/>
      <c r="X180" s="397"/>
      <c r="Y180" s="397"/>
      <c r="Z180" s="397"/>
      <c r="AA180" s="397"/>
      <c r="AB180" s="530"/>
      <c r="AC180" s="530"/>
      <c r="AD180" s="530"/>
    </row>
    <row r="181" spans="2:31" x14ac:dyDescent="0.25">
      <c r="B181" s="661" t="s">
        <v>1007</v>
      </c>
      <c r="C181" s="661" t="s">
        <v>1008</v>
      </c>
      <c r="D181" s="663" t="s">
        <v>1009</v>
      </c>
      <c r="E181" s="744" t="s">
        <v>304</v>
      </c>
      <c r="F181" s="790"/>
      <c r="G181" s="606"/>
      <c r="H181" s="604">
        <f>G181*K182</f>
        <v>0</v>
      </c>
      <c r="J181" s="505" t="s">
        <v>465</v>
      </c>
      <c r="K181" s="505">
        <v>12</v>
      </c>
      <c r="L181" s="505"/>
      <c r="M181" s="476"/>
      <c r="N181" s="397"/>
      <c r="O181" s="397"/>
      <c r="P181" s="397"/>
      <c r="Q181" s="397"/>
      <c r="R181" s="397"/>
      <c r="S181" s="397"/>
      <c r="T181" s="397"/>
      <c r="U181" s="397"/>
      <c r="V181" s="397"/>
      <c r="W181" s="397"/>
      <c r="X181" s="397"/>
      <c r="Y181" s="397"/>
      <c r="Z181" s="397"/>
      <c r="AA181" s="397"/>
      <c r="AB181" s="530"/>
      <c r="AC181" s="530"/>
      <c r="AD181" s="530"/>
    </row>
    <row r="182" spans="2:31" x14ac:dyDescent="0.25">
      <c r="B182" s="661" t="s">
        <v>1010</v>
      </c>
      <c r="C182" s="661" t="s">
        <v>1011</v>
      </c>
      <c r="D182" s="663" t="s">
        <v>1012</v>
      </c>
      <c r="E182" s="744" t="s">
        <v>304</v>
      </c>
      <c r="F182" s="790"/>
      <c r="G182" s="606"/>
      <c r="H182" s="604">
        <f>G182*K183</f>
        <v>0</v>
      </c>
      <c r="J182" s="505" t="s">
        <v>465</v>
      </c>
      <c r="K182" s="505">
        <v>20</v>
      </c>
      <c r="L182" s="505"/>
      <c r="M182" s="476"/>
      <c r="N182" s="397"/>
      <c r="O182" s="397"/>
      <c r="P182" s="397"/>
      <c r="Q182" s="397"/>
      <c r="R182" s="397"/>
      <c r="S182" s="397"/>
      <c r="T182" s="397"/>
      <c r="U182" s="397"/>
      <c r="V182" s="397"/>
      <c r="W182" s="397"/>
      <c r="X182" s="397"/>
      <c r="Y182" s="397"/>
      <c r="Z182" s="397"/>
      <c r="AA182" s="397"/>
      <c r="AB182" s="530"/>
      <c r="AC182" s="530"/>
      <c r="AD182" s="530"/>
    </row>
    <row r="183" spans="2:31" x14ac:dyDescent="0.25">
      <c r="B183" s="661" t="s">
        <v>1013</v>
      </c>
      <c r="C183" s="661" t="s">
        <v>1014</v>
      </c>
      <c r="D183" s="663" t="s">
        <v>1015</v>
      </c>
      <c r="E183" s="744" t="s">
        <v>304</v>
      </c>
      <c r="F183" s="790"/>
      <c r="G183" s="606"/>
      <c r="H183" s="604">
        <f>G183*K184</f>
        <v>0</v>
      </c>
      <c r="J183" s="505" t="s">
        <v>465</v>
      </c>
      <c r="K183" s="505">
        <v>16</v>
      </c>
      <c r="L183" s="505"/>
      <c r="M183" s="476"/>
      <c r="N183" s="397"/>
      <c r="O183" s="397"/>
      <c r="P183" s="397"/>
      <c r="Q183" s="397"/>
      <c r="R183" s="397"/>
      <c r="S183" s="397"/>
      <c r="T183" s="397"/>
      <c r="U183" s="397"/>
      <c r="V183" s="397"/>
      <c r="W183" s="397"/>
      <c r="X183" s="397"/>
      <c r="Y183" s="397"/>
      <c r="Z183" s="397"/>
      <c r="AA183" s="397"/>
      <c r="AB183" s="530"/>
      <c r="AC183" s="530"/>
      <c r="AD183" s="530"/>
      <c r="AE183" s="397"/>
    </row>
    <row r="184" spans="2:31" x14ac:dyDescent="0.25">
      <c r="B184" s="661" t="s">
        <v>1016</v>
      </c>
      <c r="C184" s="661" t="s">
        <v>1017</v>
      </c>
      <c r="D184" s="663" t="s">
        <v>1018</v>
      </c>
      <c r="E184" s="744" t="s">
        <v>304</v>
      </c>
      <c r="F184" s="790"/>
      <c r="G184" s="606"/>
      <c r="H184" s="604">
        <f>G184*K185</f>
        <v>0</v>
      </c>
      <c r="J184" s="505" t="s">
        <v>465</v>
      </c>
      <c r="K184" s="505">
        <v>25</v>
      </c>
      <c r="L184" s="505"/>
      <c r="M184" s="476"/>
      <c r="N184" s="397"/>
      <c r="O184" s="397"/>
      <c r="P184" s="397"/>
      <c r="Q184" s="397"/>
      <c r="R184" s="397"/>
      <c r="S184" s="397"/>
      <c r="T184" s="397"/>
      <c r="U184" s="397"/>
      <c r="V184" s="397"/>
      <c r="W184" s="397"/>
      <c r="X184" s="397"/>
      <c r="Y184" s="397"/>
      <c r="Z184" s="397"/>
      <c r="AA184" s="397"/>
      <c r="AB184" s="530"/>
      <c r="AC184" s="530"/>
      <c r="AD184" s="530"/>
      <c r="AE184" s="397"/>
    </row>
    <row r="185" spans="2:31" x14ac:dyDescent="0.25">
      <c r="B185" s="661" t="s">
        <v>1019</v>
      </c>
      <c r="C185" s="661" t="s">
        <v>1020</v>
      </c>
      <c r="D185" s="663" t="s">
        <v>1021</v>
      </c>
      <c r="E185" s="745" t="s">
        <v>35</v>
      </c>
      <c r="F185" s="791"/>
      <c r="G185" s="606"/>
      <c r="H185" s="604">
        <f>G185*K186</f>
        <v>0</v>
      </c>
      <c r="J185" s="505" t="s">
        <v>465</v>
      </c>
      <c r="K185" s="505">
        <v>30</v>
      </c>
      <c r="L185" s="505"/>
      <c r="M185" s="476"/>
      <c r="N185" s="397"/>
      <c r="O185" s="397"/>
      <c r="P185" s="397"/>
      <c r="Q185" s="397"/>
      <c r="R185" s="397"/>
      <c r="S185" s="397"/>
      <c r="T185" s="397"/>
      <c r="U185" s="397"/>
      <c r="V185" s="397"/>
      <c r="W185" s="397"/>
      <c r="X185" s="397"/>
      <c r="Y185" s="397"/>
      <c r="Z185" s="397"/>
      <c r="AA185" s="397"/>
      <c r="AB185" s="530"/>
      <c r="AC185" s="530"/>
      <c r="AD185" s="530"/>
      <c r="AE185" s="397"/>
    </row>
    <row r="186" spans="2:31" x14ac:dyDescent="0.25">
      <c r="B186" s="661" t="s">
        <v>1022</v>
      </c>
      <c r="C186" s="661" t="s">
        <v>1023</v>
      </c>
      <c r="D186" s="663" t="s">
        <v>1024</v>
      </c>
      <c r="E186" s="745" t="s">
        <v>35</v>
      </c>
      <c r="F186" s="791"/>
      <c r="G186" s="606"/>
      <c r="H186" s="604">
        <f>G186*K187</f>
        <v>0</v>
      </c>
      <c r="J186" s="505" t="s">
        <v>465</v>
      </c>
      <c r="K186" s="505">
        <v>6</v>
      </c>
      <c r="L186" s="505"/>
      <c r="M186" s="476"/>
      <c r="N186" s="397"/>
      <c r="O186" s="397"/>
      <c r="P186" s="397"/>
      <c r="Q186" s="397"/>
      <c r="R186" s="397"/>
      <c r="S186" s="397"/>
      <c r="T186" s="397"/>
      <c r="U186" s="397"/>
      <c r="V186" s="397"/>
      <c r="W186" s="397"/>
      <c r="X186" s="397"/>
      <c r="Y186" s="397"/>
      <c r="Z186" s="397"/>
      <c r="AA186" s="397"/>
      <c r="AB186" s="530"/>
      <c r="AC186" s="530"/>
      <c r="AD186" s="530"/>
      <c r="AE186" s="397"/>
    </row>
    <row r="187" spans="2:31" x14ac:dyDescent="0.25">
      <c r="B187" s="661" t="s">
        <v>1025</v>
      </c>
      <c r="C187" s="661" t="s">
        <v>1026</v>
      </c>
      <c r="D187" s="663" t="s">
        <v>1027</v>
      </c>
      <c r="E187" s="745" t="s">
        <v>35</v>
      </c>
      <c r="F187" s="791"/>
      <c r="G187" s="606"/>
      <c r="H187" s="604">
        <f>G187*K188</f>
        <v>0</v>
      </c>
      <c r="J187" s="505" t="s">
        <v>465</v>
      </c>
      <c r="K187" s="505">
        <v>24</v>
      </c>
      <c r="L187" s="505"/>
      <c r="M187" s="476"/>
      <c r="N187" s="397"/>
      <c r="O187" s="397"/>
      <c r="P187" s="397"/>
      <c r="Q187" s="397"/>
      <c r="R187" s="397"/>
      <c r="S187" s="397"/>
      <c r="T187" s="397"/>
      <c r="U187" s="397"/>
      <c r="V187" s="397"/>
      <c r="W187" s="397"/>
      <c r="X187" s="397"/>
      <c r="Y187" s="397"/>
      <c r="Z187" s="397"/>
      <c r="AA187" s="397"/>
      <c r="AB187" s="530"/>
      <c r="AC187" s="530"/>
      <c r="AD187" s="530"/>
      <c r="AE187" s="397"/>
    </row>
    <row r="188" spans="2:31" x14ac:dyDescent="0.25">
      <c r="B188" s="661" t="s">
        <v>1028</v>
      </c>
      <c r="C188" s="661" t="s">
        <v>1029</v>
      </c>
      <c r="D188" s="663" t="s">
        <v>1030</v>
      </c>
      <c r="E188" s="745" t="s">
        <v>35</v>
      </c>
      <c r="F188" s="791"/>
      <c r="G188" s="606"/>
      <c r="H188" s="604">
        <f>G188*K189</f>
        <v>0</v>
      </c>
      <c r="J188" s="505" t="s">
        <v>465</v>
      </c>
      <c r="K188" s="505">
        <v>0.3</v>
      </c>
      <c r="L188" s="505"/>
      <c r="M188" s="476"/>
      <c r="N188" s="397"/>
      <c r="O188" s="397"/>
      <c r="P188" s="397"/>
      <c r="Q188" s="397"/>
      <c r="R188" s="397"/>
      <c r="S188" s="397"/>
      <c r="T188" s="397"/>
      <c r="U188" s="397"/>
      <c r="V188" s="397"/>
      <c r="W188" s="397"/>
      <c r="X188" s="397"/>
      <c r="Y188" s="397"/>
      <c r="Z188" s="397"/>
      <c r="AA188" s="397"/>
      <c r="AB188" s="530"/>
      <c r="AC188" s="530"/>
      <c r="AD188" s="530"/>
      <c r="AE188" s="397"/>
    </row>
    <row r="189" spans="2:31" x14ac:dyDescent="0.25">
      <c r="B189" s="661" t="s">
        <v>1031</v>
      </c>
      <c r="C189" s="661" t="s">
        <v>1032</v>
      </c>
      <c r="D189" s="663" t="s">
        <v>1033</v>
      </c>
      <c r="E189" s="746" t="s">
        <v>307</v>
      </c>
      <c r="F189" s="792"/>
      <c r="G189" s="606"/>
      <c r="H189" s="604">
        <f>G189*K190</f>
        <v>0</v>
      </c>
      <c r="J189" s="505" t="s">
        <v>465</v>
      </c>
      <c r="K189" s="505">
        <v>2</v>
      </c>
      <c r="L189" s="505"/>
      <c r="M189" s="476"/>
      <c r="N189" s="397"/>
      <c r="O189" s="397"/>
      <c r="P189" s="397"/>
      <c r="Q189" s="397"/>
      <c r="R189" s="397"/>
      <c r="S189" s="397"/>
      <c r="T189" s="397"/>
      <c r="U189" s="397"/>
      <c r="V189" s="397"/>
      <c r="W189" s="397"/>
      <c r="X189" s="397"/>
      <c r="Y189" s="397"/>
      <c r="Z189" s="397"/>
      <c r="AA189" s="397"/>
      <c r="AB189" s="530"/>
      <c r="AC189" s="530"/>
      <c r="AD189" s="530"/>
      <c r="AE189" s="397"/>
    </row>
    <row r="190" spans="2:31" x14ac:dyDescent="0.25">
      <c r="B190" s="661" t="s">
        <v>1034</v>
      </c>
      <c r="C190" s="661" t="s">
        <v>1035</v>
      </c>
      <c r="D190" s="663" t="s">
        <v>1036</v>
      </c>
      <c r="E190" s="745" t="s">
        <v>35</v>
      </c>
      <c r="F190" s="791"/>
      <c r="G190" s="606"/>
      <c r="H190" s="604">
        <f>G190*K191</f>
        <v>0</v>
      </c>
      <c r="J190" s="505" t="s">
        <v>465</v>
      </c>
      <c r="K190" s="505">
        <v>9</v>
      </c>
      <c r="L190" s="505"/>
      <c r="M190" s="476"/>
      <c r="N190" s="397"/>
      <c r="O190" s="397"/>
      <c r="P190" s="397"/>
      <c r="Q190" s="397"/>
      <c r="R190" s="397"/>
      <c r="S190" s="397"/>
      <c r="T190" s="397"/>
      <c r="U190" s="397"/>
      <c r="V190" s="397"/>
      <c r="W190" s="397"/>
      <c r="X190" s="397"/>
      <c r="Y190" s="397"/>
      <c r="Z190" s="397"/>
      <c r="AA190" s="397"/>
      <c r="AB190" s="530"/>
      <c r="AC190" s="530"/>
      <c r="AD190" s="530"/>
      <c r="AE190" s="397"/>
    </row>
    <row r="191" spans="2:31" x14ac:dyDescent="0.25">
      <c r="B191" s="661" t="s">
        <v>1037</v>
      </c>
      <c r="C191" s="661" t="s">
        <v>1038</v>
      </c>
      <c r="D191" s="663" t="s">
        <v>1039</v>
      </c>
      <c r="E191" s="745" t="s">
        <v>35</v>
      </c>
      <c r="F191" s="791"/>
      <c r="G191" s="606"/>
      <c r="H191" s="604">
        <f>G191*K192</f>
        <v>0</v>
      </c>
      <c r="J191" s="505" t="s">
        <v>465</v>
      </c>
      <c r="K191" s="505">
        <v>5</v>
      </c>
      <c r="L191" s="505"/>
      <c r="M191" s="476"/>
      <c r="N191" s="397"/>
      <c r="O191" s="397"/>
      <c r="P191" s="397"/>
      <c r="Q191" s="397"/>
      <c r="R191" s="397"/>
      <c r="S191" s="397"/>
      <c r="T191" s="397"/>
      <c r="U191" s="397"/>
      <c r="V191" s="397"/>
      <c r="W191" s="397"/>
      <c r="X191" s="397"/>
      <c r="Y191" s="397"/>
      <c r="Z191" s="397"/>
      <c r="AA191" s="397"/>
      <c r="AB191" s="530"/>
      <c r="AC191" s="530"/>
      <c r="AD191" s="530"/>
      <c r="AE191" s="397"/>
    </row>
    <row r="192" spans="2:31" x14ac:dyDescent="0.25">
      <c r="B192" s="661" t="s">
        <v>1040</v>
      </c>
      <c r="C192" s="661" t="s">
        <v>1041</v>
      </c>
      <c r="D192" s="663" t="s">
        <v>1042</v>
      </c>
      <c r="E192" s="745" t="s">
        <v>35</v>
      </c>
      <c r="F192" s="791"/>
      <c r="G192" s="606"/>
      <c r="H192" s="604">
        <f>G192*K193</f>
        <v>0</v>
      </c>
      <c r="J192" s="505" t="s">
        <v>3</v>
      </c>
      <c r="K192" s="505">
        <v>8</v>
      </c>
      <c r="L192" s="505"/>
      <c r="M192" s="476"/>
      <c r="N192" s="397"/>
      <c r="O192" s="397"/>
      <c r="P192" s="397"/>
      <c r="Q192" s="397"/>
      <c r="R192" s="397"/>
      <c r="S192" s="397"/>
      <c r="T192" s="397"/>
      <c r="U192" s="397"/>
      <c r="V192" s="397"/>
      <c r="W192" s="397"/>
      <c r="X192" s="397"/>
      <c r="Y192" s="397"/>
      <c r="Z192" s="397"/>
      <c r="AA192" s="397"/>
      <c r="AB192" s="530"/>
      <c r="AC192" s="530"/>
      <c r="AD192" s="530"/>
      <c r="AE192" s="397"/>
    </row>
    <row r="193" spans="2:31" x14ac:dyDescent="0.25">
      <c r="B193" s="661" t="s">
        <v>1043</v>
      </c>
      <c r="C193" s="661" t="s">
        <v>1044</v>
      </c>
      <c r="D193" s="663" t="s">
        <v>1045</v>
      </c>
      <c r="E193" s="743" t="s">
        <v>306</v>
      </c>
      <c r="F193" s="789"/>
      <c r="G193" s="606"/>
      <c r="H193" s="604">
        <f>G193*K194</f>
        <v>0</v>
      </c>
      <c r="J193" s="505" t="s">
        <v>465</v>
      </c>
      <c r="K193" s="505">
        <v>5</v>
      </c>
      <c r="L193" s="505"/>
      <c r="M193" s="476"/>
      <c r="N193" s="397"/>
      <c r="O193" s="397"/>
      <c r="P193" s="397"/>
      <c r="Q193" s="397"/>
      <c r="R193" s="397"/>
      <c r="S193" s="397"/>
      <c r="T193" s="397"/>
      <c r="U193" s="397"/>
      <c r="V193" s="397"/>
      <c r="W193" s="397"/>
      <c r="X193" s="397"/>
      <c r="Y193" s="397"/>
      <c r="Z193" s="397"/>
      <c r="AA193" s="397"/>
      <c r="AB193" s="530"/>
      <c r="AC193" s="530"/>
      <c r="AD193" s="530"/>
      <c r="AE193" s="397"/>
    </row>
    <row r="194" spans="2:31" x14ac:dyDescent="0.25">
      <c r="B194" s="661" t="s">
        <v>1046</v>
      </c>
      <c r="C194" s="661" t="s">
        <v>1047</v>
      </c>
      <c r="D194" s="663" t="s">
        <v>1048</v>
      </c>
      <c r="E194" s="746" t="s">
        <v>307</v>
      </c>
      <c r="F194" s="792"/>
      <c r="G194" s="606"/>
      <c r="H194" s="604">
        <f>G194*K195</f>
        <v>0</v>
      </c>
      <c r="J194" s="505" t="s">
        <v>465</v>
      </c>
      <c r="K194" s="505">
        <v>42</v>
      </c>
      <c r="L194" s="505"/>
      <c r="M194" s="476"/>
      <c r="N194" s="397"/>
      <c r="O194" s="397"/>
      <c r="P194" s="397"/>
      <c r="Q194" s="397"/>
      <c r="R194" s="397"/>
      <c r="S194" s="397"/>
      <c r="T194" s="397"/>
      <c r="U194" s="397"/>
      <c r="V194" s="397"/>
      <c r="W194" s="397"/>
      <c r="X194" s="397"/>
      <c r="Y194" s="397"/>
      <c r="Z194" s="397"/>
      <c r="AA194" s="397"/>
      <c r="AB194" s="530"/>
      <c r="AC194" s="530"/>
      <c r="AD194" s="530"/>
      <c r="AE194" s="397"/>
    </row>
    <row r="195" spans="2:31" x14ac:dyDescent="0.25">
      <c r="B195" s="661" t="s">
        <v>1049</v>
      </c>
      <c r="C195" s="661" t="s">
        <v>1050</v>
      </c>
      <c r="D195" s="663" t="s">
        <v>1051</v>
      </c>
      <c r="E195" s="746" t="s">
        <v>307</v>
      </c>
      <c r="F195" s="792"/>
      <c r="G195" s="606"/>
      <c r="H195" s="604">
        <f>G195*K196</f>
        <v>0</v>
      </c>
      <c r="J195" s="505" t="s">
        <v>465</v>
      </c>
      <c r="K195" s="505">
        <v>23</v>
      </c>
      <c r="L195" s="505"/>
      <c r="M195" s="476"/>
      <c r="N195" s="397"/>
      <c r="O195" s="397"/>
      <c r="P195" s="397"/>
      <c r="Q195" s="397"/>
      <c r="R195" s="397"/>
      <c r="S195" s="397"/>
      <c r="T195" s="397"/>
      <c r="U195" s="397"/>
      <c r="V195" s="397"/>
      <c r="W195" s="397"/>
      <c r="X195" s="397"/>
      <c r="Y195" s="397"/>
      <c r="Z195" s="397"/>
      <c r="AA195" s="397"/>
      <c r="AB195" s="530"/>
      <c r="AC195" s="530"/>
      <c r="AD195" s="530"/>
      <c r="AE195" s="397"/>
    </row>
    <row r="196" spans="2:31" x14ac:dyDescent="0.25">
      <c r="B196" s="661" t="s">
        <v>1052</v>
      </c>
      <c r="C196" s="661" t="s">
        <v>1053</v>
      </c>
      <c r="D196" s="663" t="s">
        <v>1054</v>
      </c>
      <c r="E196" s="746" t="s">
        <v>307</v>
      </c>
      <c r="F196" s="792"/>
      <c r="G196" s="606"/>
      <c r="H196" s="604">
        <f>G196*K197</f>
        <v>0</v>
      </c>
      <c r="J196" s="505" t="s">
        <v>465</v>
      </c>
      <c r="K196" s="505">
        <v>47</v>
      </c>
      <c r="L196" s="505"/>
      <c r="M196" s="476"/>
      <c r="N196" s="397"/>
      <c r="O196" s="397"/>
      <c r="P196" s="397"/>
      <c r="Q196" s="397"/>
      <c r="R196" s="397"/>
      <c r="S196" s="397"/>
      <c r="T196" s="397"/>
      <c r="U196" s="397"/>
      <c r="V196" s="397"/>
      <c r="W196" s="397"/>
      <c r="X196" s="397"/>
      <c r="Y196" s="397"/>
      <c r="Z196" s="397"/>
      <c r="AA196" s="397"/>
      <c r="AB196" s="530"/>
      <c r="AC196" s="530"/>
      <c r="AD196" s="530"/>
      <c r="AE196" s="397"/>
    </row>
    <row r="197" spans="2:31" x14ac:dyDescent="0.25">
      <c r="B197" s="661" t="s">
        <v>1055</v>
      </c>
      <c r="C197" s="661" t="s">
        <v>1056</v>
      </c>
      <c r="D197" s="663" t="s">
        <v>1057</v>
      </c>
      <c r="E197" s="746" t="s">
        <v>307</v>
      </c>
      <c r="F197" s="792"/>
      <c r="G197" s="606"/>
      <c r="H197" s="604">
        <f>G197*K198</f>
        <v>0</v>
      </c>
      <c r="J197" s="505" t="s">
        <v>465</v>
      </c>
      <c r="K197" s="505">
        <v>3</v>
      </c>
      <c r="L197" s="505"/>
      <c r="M197" s="476"/>
      <c r="N197" s="397"/>
      <c r="O197" s="397"/>
      <c r="P197" s="397"/>
      <c r="Q197" s="397"/>
      <c r="R197" s="397"/>
      <c r="S197" s="397"/>
      <c r="T197" s="397"/>
      <c r="U197" s="397"/>
      <c r="V197" s="397"/>
      <c r="W197" s="397"/>
      <c r="X197" s="397"/>
      <c r="Y197" s="397"/>
      <c r="Z197" s="397"/>
      <c r="AA197" s="397"/>
      <c r="AB197" s="530"/>
      <c r="AC197" s="530"/>
      <c r="AD197" s="530"/>
      <c r="AE197" s="397"/>
    </row>
    <row r="198" spans="2:31" x14ac:dyDescent="0.25">
      <c r="B198" s="661" t="s">
        <v>1058</v>
      </c>
      <c r="C198" s="661" t="s">
        <v>1059</v>
      </c>
      <c r="D198" s="663" t="s">
        <v>1060</v>
      </c>
      <c r="E198" s="745" t="s">
        <v>35</v>
      </c>
      <c r="F198" s="791"/>
      <c r="G198" s="606"/>
      <c r="H198" s="604">
        <f>G198*K199</f>
        <v>0</v>
      </c>
      <c r="J198" s="505" t="s">
        <v>465</v>
      </c>
      <c r="K198" s="505">
        <v>5</v>
      </c>
      <c r="L198" s="505"/>
      <c r="M198" s="476"/>
      <c r="N198" s="397"/>
      <c r="O198" s="397"/>
      <c r="P198" s="397"/>
      <c r="Q198" s="397"/>
      <c r="R198" s="397"/>
      <c r="S198" s="397"/>
      <c r="T198" s="397"/>
      <c r="U198" s="397"/>
      <c r="V198" s="397"/>
      <c r="W198" s="397"/>
      <c r="X198" s="397"/>
      <c r="Y198" s="397"/>
      <c r="Z198" s="397"/>
      <c r="AA198" s="397"/>
      <c r="AB198" s="530"/>
      <c r="AC198" s="530"/>
      <c r="AD198" s="530"/>
      <c r="AE198" s="397"/>
    </row>
    <row r="199" spans="2:31" x14ac:dyDescent="0.25">
      <c r="B199" s="661" t="s">
        <v>1061</v>
      </c>
      <c r="C199" s="661" t="s">
        <v>1062</v>
      </c>
      <c r="D199" s="663" t="s">
        <v>1063</v>
      </c>
      <c r="E199" s="745" t="s">
        <v>35</v>
      </c>
      <c r="F199" s="791"/>
      <c r="G199" s="606"/>
      <c r="H199" s="604">
        <f>G199*K200</f>
        <v>0</v>
      </c>
      <c r="J199" s="505" t="s">
        <v>3</v>
      </c>
      <c r="K199" s="505">
        <v>36</v>
      </c>
      <c r="L199" s="505"/>
      <c r="M199" s="476"/>
      <c r="N199" s="397"/>
      <c r="O199" s="397"/>
      <c r="P199" s="397"/>
      <c r="Q199" s="397"/>
      <c r="R199" s="397"/>
      <c r="S199" s="397"/>
      <c r="T199" s="397"/>
      <c r="U199" s="397"/>
      <c r="V199" s="397"/>
      <c r="W199" s="397"/>
      <c r="X199" s="397"/>
      <c r="Y199" s="397"/>
      <c r="Z199" s="397"/>
      <c r="AA199" s="397"/>
      <c r="AB199" s="530"/>
      <c r="AC199" s="530"/>
      <c r="AD199" s="530"/>
      <c r="AE199" s="397"/>
    </row>
    <row r="200" spans="2:31" x14ac:dyDescent="0.25">
      <c r="B200" s="661" t="s">
        <v>1064</v>
      </c>
      <c r="C200" s="661" t="s">
        <v>1065</v>
      </c>
      <c r="D200" s="663" t="s">
        <v>1066</v>
      </c>
      <c r="E200" s="746" t="s">
        <v>307</v>
      </c>
      <c r="F200" s="792"/>
      <c r="G200" s="606"/>
      <c r="H200" s="604">
        <f>G200*K201</f>
        <v>0</v>
      </c>
      <c r="J200" s="505" t="s">
        <v>465</v>
      </c>
      <c r="K200" s="505">
        <v>8</v>
      </c>
      <c r="L200" s="505"/>
      <c r="M200" s="476"/>
      <c r="N200" s="397"/>
      <c r="O200" s="397"/>
      <c r="P200" s="397"/>
      <c r="Q200" s="397"/>
      <c r="R200" s="397"/>
      <c r="S200" s="397"/>
      <c r="T200" s="397"/>
      <c r="U200" s="397"/>
      <c r="V200" s="397"/>
      <c r="W200" s="397"/>
      <c r="X200" s="397"/>
      <c r="Y200" s="397"/>
      <c r="Z200" s="397"/>
      <c r="AA200" s="397"/>
      <c r="AB200" s="530"/>
      <c r="AC200" s="530"/>
      <c r="AD200" s="530"/>
      <c r="AE200" s="397"/>
    </row>
    <row r="201" spans="2:31" x14ac:dyDescent="0.25">
      <c r="B201" s="661" t="s">
        <v>1067</v>
      </c>
      <c r="C201" s="661" t="s">
        <v>1068</v>
      </c>
      <c r="D201" s="663" t="s">
        <v>1069</v>
      </c>
      <c r="E201" s="746" t="s">
        <v>307</v>
      </c>
      <c r="F201" s="792"/>
      <c r="G201" s="606"/>
      <c r="H201" s="604">
        <f>G201*K202</f>
        <v>0</v>
      </c>
      <c r="J201" s="505" t="s">
        <v>465</v>
      </c>
      <c r="K201" s="505">
        <v>11</v>
      </c>
      <c r="L201" s="505"/>
      <c r="M201" s="476"/>
      <c r="N201" s="397"/>
      <c r="O201" s="397"/>
      <c r="P201" s="397"/>
      <c r="Q201" s="397"/>
      <c r="R201" s="397"/>
      <c r="S201" s="397"/>
      <c r="T201" s="397"/>
      <c r="U201" s="397"/>
      <c r="V201" s="397"/>
      <c r="W201" s="397"/>
      <c r="X201" s="397"/>
      <c r="Y201" s="397"/>
      <c r="Z201" s="397"/>
      <c r="AA201" s="397"/>
      <c r="AB201" s="530"/>
      <c r="AC201" s="530"/>
      <c r="AD201" s="530"/>
      <c r="AE201" s="397"/>
    </row>
    <row r="202" spans="2:31" x14ac:dyDescent="0.25">
      <c r="B202" s="661" t="s">
        <v>1070</v>
      </c>
      <c r="C202" s="661" t="s">
        <v>1071</v>
      </c>
      <c r="D202" s="663" t="s">
        <v>1072</v>
      </c>
      <c r="E202" s="746" t="s">
        <v>307</v>
      </c>
      <c r="F202" s="792"/>
      <c r="G202" s="606"/>
      <c r="H202" s="604">
        <f>G202*K203</f>
        <v>0</v>
      </c>
      <c r="J202" s="505" t="s">
        <v>465</v>
      </c>
      <c r="K202" s="505">
        <v>12</v>
      </c>
      <c r="L202" s="505"/>
      <c r="M202" s="476"/>
      <c r="N202" s="397"/>
      <c r="O202" s="397"/>
      <c r="P202" s="397"/>
      <c r="Q202" s="397"/>
      <c r="R202" s="397"/>
      <c r="S202" s="397"/>
      <c r="T202" s="397"/>
      <c r="U202" s="397"/>
      <c r="V202" s="397"/>
      <c r="W202" s="397"/>
      <c r="X202" s="397"/>
      <c r="Y202" s="397"/>
      <c r="Z202" s="397"/>
      <c r="AA202" s="397"/>
      <c r="AB202" s="530"/>
      <c r="AC202" s="530"/>
      <c r="AD202" s="530"/>
      <c r="AE202" s="397"/>
    </row>
    <row r="203" spans="2:31" x14ac:dyDescent="0.25">
      <c r="B203" s="661" t="s">
        <v>1073</v>
      </c>
      <c r="C203" s="661" t="s">
        <v>1074</v>
      </c>
      <c r="D203" s="663" t="s">
        <v>1075</v>
      </c>
      <c r="E203" s="746" t="s">
        <v>307</v>
      </c>
      <c r="F203" s="792"/>
      <c r="G203" s="606"/>
      <c r="H203" s="604">
        <f>G203*K204</f>
        <v>0</v>
      </c>
      <c r="J203" s="505" t="s">
        <v>3</v>
      </c>
      <c r="K203" s="505">
        <v>46</v>
      </c>
      <c r="L203" s="505"/>
      <c r="M203" s="476"/>
      <c r="N203" s="397"/>
      <c r="O203" s="397"/>
      <c r="P203" s="397"/>
      <c r="Q203" s="397"/>
      <c r="R203" s="397"/>
      <c r="S203" s="397"/>
      <c r="T203" s="397"/>
      <c r="U203" s="397"/>
      <c r="V203" s="397"/>
      <c r="W203" s="397"/>
      <c r="X203" s="397"/>
      <c r="Y203" s="397"/>
      <c r="Z203" s="397"/>
      <c r="AA203" s="397"/>
      <c r="AB203" s="530"/>
      <c r="AC203" s="530"/>
      <c r="AD203" s="530"/>
      <c r="AE203" s="397"/>
    </row>
    <row r="204" spans="2:31" x14ac:dyDescent="0.25">
      <c r="B204" s="661" t="s">
        <v>1076</v>
      </c>
      <c r="C204" s="661" t="s">
        <v>1077</v>
      </c>
      <c r="D204" s="663" t="s">
        <v>1078</v>
      </c>
      <c r="E204" s="746" t="s">
        <v>307</v>
      </c>
      <c r="F204" s="792"/>
      <c r="G204" s="606"/>
      <c r="H204" s="604">
        <f>G204*K205</f>
        <v>0</v>
      </c>
      <c r="J204" s="505" t="s">
        <v>3</v>
      </c>
      <c r="K204" s="505">
        <v>70</v>
      </c>
      <c r="L204" s="505"/>
      <c r="M204" s="476"/>
      <c r="N204" s="397"/>
      <c r="O204" s="397"/>
      <c r="P204" s="397"/>
      <c r="Q204" s="397"/>
      <c r="R204" s="397"/>
      <c r="S204" s="397"/>
      <c r="T204" s="397"/>
      <c r="U204" s="397"/>
      <c r="V204" s="397"/>
      <c r="W204" s="397"/>
      <c r="X204" s="397"/>
      <c r="Y204" s="397"/>
      <c r="Z204" s="397"/>
      <c r="AA204" s="397"/>
      <c r="AB204" s="530"/>
      <c r="AC204" s="530"/>
      <c r="AD204" s="530"/>
      <c r="AE204" s="397"/>
    </row>
    <row r="205" spans="2:31" x14ac:dyDescent="0.25">
      <c r="B205" s="661" t="s">
        <v>1079</v>
      </c>
      <c r="C205" s="661" t="s">
        <v>1080</v>
      </c>
      <c r="D205" s="663" t="s">
        <v>1081</v>
      </c>
      <c r="E205" s="746" t="s">
        <v>307</v>
      </c>
      <c r="F205" s="792"/>
      <c r="G205" s="606"/>
      <c r="H205" s="604">
        <f>G205*K206</f>
        <v>0</v>
      </c>
      <c r="J205" s="505" t="s">
        <v>3</v>
      </c>
      <c r="K205" s="505">
        <v>116</v>
      </c>
      <c r="L205" s="505"/>
      <c r="M205" s="476"/>
      <c r="N205" s="397"/>
      <c r="O205" s="397"/>
      <c r="P205" s="397"/>
      <c r="Q205" s="397"/>
      <c r="R205" s="397"/>
      <c r="S205" s="397"/>
      <c r="T205" s="397"/>
      <c r="U205" s="397"/>
      <c r="V205" s="397"/>
      <c r="W205" s="397"/>
      <c r="X205" s="397"/>
      <c r="Y205" s="397"/>
      <c r="Z205" s="397"/>
      <c r="AA205" s="397"/>
      <c r="AB205" s="530"/>
      <c r="AC205" s="530"/>
      <c r="AD205" s="530"/>
      <c r="AE205" s="397"/>
    </row>
    <row r="206" spans="2:31" x14ac:dyDescent="0.25">
      <c r="B206" s="661" t="s">
        <v>1082</v>
      </c>
      <c r="C206" s="661" t="s">
        <v>1083</v>
      </c>
      <c r="D206" s="663" t="s">
        <v>1084</v>
      </c>
      <c r="E206" s="746" t="s">
        <v>307</v>
      </c>
      <c r="F206" s="792"/>
      <c r="G206" s="606"/>
      <c r="H206" s="604">
        <f>G206*K207</f>
        <v>0</v>
      </c>
      <c r="J206" s="505" t="s">
        <v>3</v>
      </c>
      <c r="K206" s="505">
        <v>280</v>
      </c>
      <c r="L206" s="505"/>
      <c r="M206" s="476"/>
      <c r="N206" s="397"/>
      <c r="O206" s="397"/>
      <c r="P206" s="397"/>
      <c r="Q206" s="397"/>
      <c r="R206" s="397"/>
      <c r="S206" s="397"/>
      <c r="T206" s="397"/>
      <c r="U206" s="397"/>
      <c r="V206" s="397"/>
      <c r="W206" s="397"/>
      <c r="X206" s="397"/>
      <c r="Y206" s="397"/>
      <c r="Z206" s="397"/>
      <c r="AA206" s="397"/>
      <c r="AB206" s="530"/>
      <c r="AC206" s="530"/>
      <c r="AD206" s="530"/>
      <c r="AE206" s="397"/>
    </row>
    <row r="207" spans="2:31" x14ac:dyDescent="0.25">
      <c r="B207" s="661" t="s">
        <v>1085</v>
      </c>
      <c r="C207" s="661" t="s">
        <v>1086</v>
      </c>
      <c r="D207" s="663" t="s">
        <v>1087</v>
      </c>
      <c r="E207" s="746" t="s">
        <v>307</v>
      </c>
      <c r="F207" s="792"/>
      <c r="G207" s="606"/>
      <c r="H207" s="604">
        <f>G207*K208</f>
        <v>0</v>
      </c>
      <c r="J207" s="505" t="s">
        <v>465</v>
      </c>
      <c r="K207" s="505">
        <v>6</v>
      </c>
      <c r="L207" s="505"/>
      <c r="M207" s="476"/>
      <c r="N207" s="397"/>
      <c r="O207" s="397"/>
      <c r="P207" s="397"/>
      <c r="Q207" s="397"/>
      <c r="R207" s="397"/>
      <c r="S207" s="397"/>
      <c r="T207" s="397"/>
      <c r="U207" s="397"/>
      <c r="V207" s="397"/>
      <c r="W207" s="397"/>
      <c r="X207" s="397"/>
      <c r="Y207" s="397"/>
      <c r="Z207" s="397"/>
      <c r="AA207" s="397"/>
      <c r="AB207" s="530"/>
      <c r="AC207" s="530"/>
      <c r="AD207" s="530"/>
      <c r="AE207" s="397"/>
    </row>
    <row r="208" spans="2:31" x14ac:dyDescent="0.25">
      <c r="B208" s="661" t="s">
        <v>1088</v>
      </c>
      <c r="C208" s="661" t="s">
        <v>1089</v>
      </c>
      <c r="D208" s="663" t="s">
        <v>1090</v>
      </c>
      <c r="E208" s="746" t="s">
        <v>307</v>
      </c>
      <c r="F208" s="792"/>
      <c r="G208" s="606"/>
      <c r="H208" s="604">
        <f>G208*K209</f>
        <v>0</v>
      </c>
      <c r="J208" s="505" t="s">
        <v>465</v>
      </c>
      <c r="K208" s="505">
        <v>14</v>
      </c>
      <c r="L208" s="505"/>
      <c r="M208" s="476"/>
      <c r="N208" s="397"/>
      <c r="O208" s="397"/>
      <c r="P208" s="397"/>
      <c r="Q208" s="397"/>
      <c r="R208" s="397"/>
      <c r="S208" s="397"/>
      <c r="T208" s="397"/>
      <c r="U208" s="397"/>
      <c r="V208" s="397"/>
      <c r="W208" s="397"/>
      <c r="X208" s="397"/>
      <c r="Y208" s="397"/>
      <c r="Z208" s="397"/>
      <c r="AA208" s="397"/>
      <c r="AB208" s="530"/>
      <c r="AC208" s="530"/>
      <c r="AD208" s="530"/>
      <c r="AE208" s="397"/>
    </row>
    <row r="209" spans="2:31" x14ac:dyDescent="0.25">
      <c r="B209" s="661" t="s">
        <v>1091</v>
      </c>
      <c r="C209" s="661" t="s">
        <v>1092</v>
      </c>
      <c r="D209" s="663" t="s">
        <v>1093</v>
      </c>
      <c r="E209" s="746" t="s">
        <v>307</v>
      </c>
      <c r="F209" s="792"/>
      <c r="G209" s="606"/>
      <c r="H209" s="604">
        <f>G209*K210</f>
        <v>0</v>
      </c>
      <c r="J209" s="505" t="s">
        <v>465</v>
      </c>
      <c r="K209" s="505">
        <v>8</v>
      </c>
      <c r="L209" s="505"/>
      <c r="M209" s="476"/>
      <c r="N209" s="397"/>
      <c r="O209" s="397"/>
      <c r="P209" s="397"/>
      <c r="Q209" s="397"/>
      <c r="R209" s="397"/>
      <c r="S209" s="397"/>
      <c r="T209" s="397"/>
      <c r="U209" s="397"/>
      <c r="V209" s="397"/>
      <c r="W209" s="397"/>
      <c r="X209" s="397"/>
      <c r="Y209" s="397"/>
      <c r="Z209" s="397"/>
      <c r="AA209" s="397"/>
      <c r="AB209" s="530"/>
      <c r="AC209" s="530"/>
      <c r="AD209" s="530"/>
      <c r="AE209" s="397"/>
    </row>
    <row r="210" spans="2:31" x14ac:dyDescent="0.25">
      <c r="B210" s="661" t="s">
        <v>1094</v>
      </c>
      <c r="C210" s="661" t="s">
        <v>1095</v>
      </c>
      <c r="D210" s="663" t="s">
        <v>1096</v>
      </c>
      <c r="E210" s="746" t="s">
        <v>307</v>
      </c>
      <c r="F210" s="792"/>
      <c r="G210" s="606"/>
      <c r="H210" s="604">
        <f>G210*K211</f>
        <v>0</v>
      </c>
      <c r="J210" s="505" t="s">
        <v>465</v>
      </c>
      <c r="K210" s="505">
        <v>10</v>
      </c>
      <c r="L210" s="505"/>
      <c r="M210" s="476"/>
      <c r="N210" s="397"/>
      <c r="O210" s="397"/>
      <c r="P210" s="397"/>
      <c r="Q210" s="397"/>
      <c r="R210" s="397"/>
      <c r="S210" s="397"/>
      <c r="T210" s="397"/>
      <c r="U210" s="397"/>
      <c r="V210" s="397"/>
      <c r="W210" s="397"/>
      <c r="X210" s="397"/>
      <c r="Y210" s="397"/>
      <c r="Z210" s="397"/>
      <c r="AA210" s="397"/>
      <c r="AB210" s="530"/>
      <c r="AC210" s="530"/>
      <c r="AD210" s="530"/>
      <c r="AE210" s="397"/>
    </row>
    <row r="211" spans="2:31" x14ac:dyDescent="0.25">
      <c r="B211" s="661" t="s">
        <v>1097</v>
      </c>
      <c r="C211" s="661" t="s">
        <v>1098</v>
      </c>
      <c r="D211" s="663" t="s">
        <v>1099</v>
      </c>
      <c r="E211" s="746" t="s">
        <v>307</v>
      </c>
      <c r="F211" s="792"/>
      <c r="G211" s="606"/>
      <c r="H211" s="604">
        <f>G211*K212</f>
        <v>0</v>
      </c>
      <c r="J211" s="505" t="s">
        <v>465</v>
      </c>
      <c r="K211" s="505">
        <v>10</v>
      </c>
      <c r="L211" s="505"/>
      <c r="M211" s="476"/>
      <c r="N211" s="397"/>
      <c r="O211" s="397"/>
      <c r="P211" s="397"/>
      <c r="Q211" s="397"/>
      <c r="R211" s="397"/>
      <c r="S211" s="397"/>
      <c r="T211" s="397"/>
      <c r="U211" s="397"/>
      <c r="V211" s="397"/>
      <c r="W211" s="397"/>
      <c r="X211" s="397"/>
      <c r="Y211" s="397"/>
      <c r="Z211" s="397"/>
      <c r="AA211" s="397"/>
      <c r="AB211" s="530"/>
      <c r="AC211" s="530"/>
      <c r="AD211" s="530"/>
      <c r="AE211" s="397"/>
    </row>
    <row r="212" spans="2:31" x14ac:dyDescent="0.25">
      <c r="B212" s="661" t="s">
        <v>1100</v>
      </c>
      <c r="C212" s="661" t="s">
        <v>1101</v>
      </c>
      <c r="D212" s="663" t="s">
        <v>1102</v>
      </c>
      <c r="E212" s="746" t="s">
        <v>307</v>
      </c>
      <c r="F212" s="792"/>
      <c r="G212" s="606"/>
      <c r="H212" s="604">
        <f>G212*K213</f>
        <v>0</v>
      </c>
      <c r="J212" s="505" t="s">
        <v>465</v>
      </c>
      <c r="K212" s="505">
        <v>5</v>
      </c>
      <c r="L212" s="505"/>
      <c r="M212" s="476"/>
      <c r="N212" s="397"/>
      <c r="O212" s="397"/>
      <c r="P212" s="397"/>
      <c r="Q212" s="397"/>
      <c r="R212" s="397"/>
      <c r="S212" s="397"/>
      <c r="T212" s="397"/>
      <c r="U212" s="397"/>
      <c r="V212" s="397"/>
      <c r="W212" s="397"/>
      <c r="X212" s="397"/>
      <c r="Y212" s="397"/>
      <c r="Z212" s="397"/>
      <c r="AA212" s="397"/>
      <c r="AB212" s="530"/>
      <c r="AC212" s="530"/>
      <c r="AD212" s="530"/>
      <c r="AE212" s="397"/>
    </row>
    <row r="213" spans="2:31" x14ac:dyDescent="0.25">
      <c r="B213" s="661" t="s">
        <v>1103</v>
      </c>
      <c r="C213" s="661" t="s">
        <v>1104</v>
      </c>
      <c r="D213" s="663" t="s">
        <v>1105</v>
      </c>
      <c r="E213" s="745" t="s">
        <v>35</v>
      </c>
      <c r="F213" s="791"/>
      <c r="G213" s="606"/>
      <c r="H213" s="604">
        <f>G213*K214</f>
        <v>0</v>
      </c>
      <c r="J213" s="505" t="s">
        <v>465</v>
      </c>
      <c r="K213" s="505">
        <v>4</v>
      </c>
      <c r="L213" s="505"/>
      <c r="M213" s="476"/>
      <c r="N213" s="397"/>
      <c r="O213" s="397"/>
      <c r="P213" s="397"/>
      <c r="Q213" s="397"/>
      <c r="R213" s="397"/>
      <c r="S213" s="397"/>
      <c r="T213" s="397"/>
      <c r="U213" s="397"/>
      <c r="V213" s="397"/>
      <c r="W213" s="397"/>
      <c r="X213" s="397"/>
      <c r="Y213" s="397"/>
      <c r="Z213" s="397"/>
      <c r="AA213" s="397"/>
      <c r="AB213" s="530"/>
      <c r="AC213" s="530"/>
      <c r="AD213" s="530"/>
      <c r="AE213" s="397"/>
    </row>
    <row r="214" spans="2:31" x14ac:dyDescent="0.25">
      <c r="B214" s="661" t="s">
        <v>1106</v>
      </c>
      <c r="C214" s="661" t="s">
        <v>1107</v>
      </c>
      <c r="D214" s="663" t="s">
        <v>1108</v>
      </c>
      <c r="E214" s="745" t="s">
        <v>35</v>
      </c>
      <c r="F214" s="791"/>
      <c r="G214" s="606"/>
      <c r="H214" s="604">
        <f>G214*K215</f>
        <v>0</v>
      </c>
      <c r="J214" s="505" t="s">
        <v>465</v>
      </c>
      <c r="K214" s="505">
        <v>72</v>
      </c>
      <c r="L214" s="505"/>
      <c r="M214" s="476"/>
      <c r="N214" s="397"/>
      <c r="O214" s="397"/>
      <c r="P214" s="397"/>
      <c r="Q214" s="397"/>
      <c r="R214" s="397"/>
      <c r="S214" s="397"/>
      <c r="T214" s="397"/>
      <c r="U214" s="397"/>
      <c r="V214" s="397"/>
      <c r="W214" s="397"/>
      <c r="X214" s="397"/>
      <c r="Y214" s="397"/>
      <c r="Z214" s="397"/>
      <c r="AA214" s="397"/>
      <c r="AB214" s="530"/>
      <c r="AC214" s="530"/>
      <c r="AD214" s="530"/>
      <c r="AE214" s="397"/>
    </row>
    <row r="215" spans="2:31" x14ac:dyDescent="0.25">
      <c r="B215" s="661" t="s">
        <v>1109</v>
      </c>
      <c r="C215" s="661" t="s">
        <v>1110</v>
      </c>
      <c r="D215" s="663" t="s">
        <v>1111</v>
      </c>
      <c r="E215" s="745" t="s">
        <v>35</v>
      </c>
      <c r="F215" s="791"/>
      <c r="G215" s="606"/>
      <c r="H215" s="604">
        <f>G215*K216</f>
        <v>0</v>
      </c>
      <c r="J215" s="505" t="s">
        <v>465</v>
      </c>
      <c r="K215" s="505">
        <v>48</v>
      </c>
      <c r="L215" s="505"/>
      <c r="M215" s="476"/>
      <c r="N215" s="397"/>
      <c r="O215" s="397"/>
      <c r="P215" s="397"/>
      <c r="Q215" s="397"/>
      <c r="R215" s="397"/>
      <c r="S215" s="397"/>
      <c r="T215" s="397"/>
      <c r="U215" s="397"/>
      <c r="V215" s="397"/>
      <c r="W215" s="397"/>
      <c r="X215" s="397"/>
      <c r="Y215" s="397"/>
      <c r="Z215" s="397"/>
      <c r="AA215" s="397"/>
      <c r="AB215" s="530"/>
      <c r="AC215" s="530"/>
      <c r="AD215" s="530"/>
      <c r="AE215" s="397"/>
    </row>
    <row r="216" spans="2:31" x14ac:dyDescent="0.25">
      <c r="B216" s="661" t="s">
        <v>1112</v>
      </c>
      <c r="C216" s="661" t="s">
        <v>1113</v>
      </c>
      <c r="D216" s="663" t="s">
        <v>1114</v>
      </c>
      <c r="E216" s="745" t="s">
        <v>35</v>
      </c>
      <c r="F216" s="791"/>
      <c r="G216" s="606"/>
      <c r="H216" s="604">
        <f>G216*K217</f>
        <v>0</v>
      </c>
      <c r="J216" s="505" t="s">
        <v>3</v>
      </c>
      <c r="K216" s="505">
        <v>49</v>
      </c>
      <c r="L216" s="505"/>
      <c r="M216" s="476"/>
      <c r="N216" s="397"/>
      <c r="O216" s="397"/>
      <c r="P216" s="397"/>
      <c r="Q216" s="397"/>
      <c r="R216" s="397"/>
      <c r="S216" s="397"/>
      <c r="T216" s="397"/>
      <c r="U216" s="397"/>
      <c r="V216" s="397"/>
      <c r="W216" s="397"/>
      <c r="X216" s="397"/>
      <c r="Y216" s="397"/>
      <c r="Z216" s="397"/>
      <c r="AA216" s="397"/>
      <c r="AB216" s="530"/>
      <c r="AC216" s="530"/>
      <c r="AD216" s="530"/>
      <c r="AE216" s="397"/>
    </row>
    <row r="217" spans="2:31" x14ac:dyDescent="0.25">
      <c r="B217" s="661" t="s">
        <v>1115</v>
      </c>
      <c r="C217" s="661" t="s">
        <v>1116</v>
      </c>
      <c r="D217" s="663" t="s">
        <v>1117</v>
      </c>
      <c r="E217" s="745" t="s">
        <v>35</v>
      </c>
      <c r="F217" s="791"/>
      <c r="G217" s="606"/>
      <c r="H217" s="604">
        <f>G217*K218</f>
        <v>0</v>
      </c>
      <c r="J217" s="505" t="s">
        <v>465</v>
      </c>
      <c r="K217" s="505">
        <v>48</v>
      </c>
      <c r="L217" s="505"/>
      <c r="M217" s="476"/>
      <c r="N217" s="397"/>
      <c r="O217" s="397"/>
      <c r="P217" s="397"/>
      <c r="Q217" s="397"/>
      <c r="R217" s="397"/>
      <c r="S217" s="397"/>
      <c r="T217" s="397"/>
      <c r="U217" s="397"/>
      <c r="V217" s="397"/>
      <c r="W217" s="397"/>
      <c r="X217" s="397"/>
      <c r="Y217" s="397"/>
      <c r="Z217" s="397"/>
      <c r="AA217" s="397"/>
      <c r="AB217" s="530"/>
      <c r="AC217" s="530"/>
      <c r="AD217" s="530"/>
      <c r="AE217" s="397"/>
    </row>
    <row r="218" spans="2:31" x14ac:dyDescent="0.25">
      <c r="B218" s="661" t="s">
        <v>1118</v>
      </c>
      <c r="C218" s="661" t="s">
        <v>1119</v>
      </c>
      <c r="D218" s="663" t="s">
        <v>1120</v>
      </c>
      <c r="E218" s="745" t="s">
        <v>35</v>
      </c>
      <c r="F218" s="791"/>
      <c r="G218" s="606"/>
      <c r="H218" s="604">
        <f>G218*K219</f>
        <v>0</v>
      </c>
      <c r="J218" s="505" t="s">
        <v>465</v>
      </c>
      <c r="K218" s="505">
        <v>15</v>
      </c>
      <c r="L218" s="505"/>
      <c r="M218" s="476"/>
      <c r="N218" s="397"/>
      <c r="O218" s="397"/>
      <c r="P218" s="397"/>
      <c r="Q218" s="397"/>
      <c r="R218" s="397"/>
      <c r="S218" s="397"/>
      <c r="T218" s="397"/>
      <c r="U218" s="397"/>
      <c r="V218" s="397"/>
      <c r="W218" s="397"/>
      <c r="X218" s="397"/>
      <c r="Y218" s="397"/>
      <c r="Z218" s="397"/>
      <c r="AA218" s="397"/>
      <c r="AB218" s="530"/>
      <c r="AC218" s="530"/>
      <c r="AD218" s="530"/>
      <c r="AE218" s="397"/>
    </row>
    <row r="219" spans="2:31" x14ac:dyDescent="0.25">
      <c r="B219" s="661" t="s">
        <v>1121</v>
      </c>
      <c r="C219" s="661" t="s">
        <v>1122</v>
      </c>
      <c r="D219" s="663" t="s">
        <v>1123</v>
      </c>
      <c r="E219" s="745" t="s">
        <v>35</v>
      </c>
      <c r="F219" s="791"/>
      <c r="G219" s="606"/>
      <c r="H219" s="604">
        <f>G219*K220</f>
        <v>0</v>
      </c>
      <c r="J219" s="505" t="s">
        <v>465</v>
      </c>
      <c r="K219" s="505">
        <v>23</v>
      </c>
      <c r="L219" s="505"/>
      <c r="M219" s="476"/>
      <c r="N219" s="397"/>
      <c r="O219" s="397"/>
      <c r="P219" s="397"/>
      <c r="Q219" s="397"/>
      <c r="R219" s="397"/>
      <c r="S219" s="397"/>
      <c r="T219" s="397"/>
      <c r="U219" s="397"/>
      <c r="V219" s="397"/>
      <c r="W219" s="397"/>
      <c r="X219" s="397"/>
      <c r="Y219" s="397"/>
      <c r="Z219" s="397"/>
      <c r="AA219" s="397"/>
      <c r="AB219" s="530"/>
      <c r="AC219" s="530"/>
      <c r="AD219" s="530"/>
      <c r="AE219" s="397"/>
    </row>
    <row r="220" spans="2:31" x14ac:dyDescent="0.25">
      <c r="B220" s="661" t="s">
        <v>1124</v>
      </c>
      <c r="C220" s="661" t="s">
        <v>1125</v>
      </c>
      <c r="D220" s="663" t="s">
        <v>1126</v>
      </c>
      <c r="E220" s="746" t="s">
        <v>307</v>
      </c>
      <c r="F220" s="792"/>
      <c r="G220" s="606"/>
      <c r="H220" s="604">
        <f>G220*K221</f>
        <v>0</v>
      </c>
      <c r="J220" s="505" t="s">
        <v>465</v>
      </c>
      <c r="K220" s="505">
        <v>2</v>
      </c>
      <c r="L220" s="505"/>
      <c r="M220" s="476"/>
      <c r="N220" s="397"/>
      <c r="O220" s="397"/>
      <c r="P220" s="397"/>
      <c r="Q220" s="397"/>
      <c r="R220" s="397"/>
      <c r="S220" s="397"/>
      <c r="T220" s="397"/>
      <c r="U220" s="397"/>
      <c r="V220" s="397"/>
      <c r="W220" s="397"/>
      <c r="X220" s="397"/>
      <c r="Y220" s="397"/>
      <c r="Z220" s="397"/>
      <c r="AA220" s="397"/>
      <c r="AB220" s="530"/>
      <c r="AC220" s="530"/>
      <c r="AD220" s="530"/>
      <c r="AE220" s="397"/>
    </row>
    <row r="221" spans="2:31" x14ac:dyDescent="0.25">
      <c r="B221" s="661" t="s">
        <v>1128</v>
      </c>
      <c r="C221" s="661" t="s">
        <v>1129</v>
      </c>
      <c r="D221" s="663" t="s">
        <v>1130</v>
      </c>
      <c r="E221" s="745" t="s">
        <v>35</v>
      </c>
      <c r="F221" s="791"/>
      <c r="G221" s="606"/>
      <c r="H221" s="604">
        <f>G221*K222</f>
        <v>0</v>
      </c>
      <c r="I221" s="530"/>
      <c r="J221" s="505" t="s">
        <v>1127</v>
      </c>
      <c r="K221" s="505">
        <v>27</v>
      </c>
      <c r="L221" s="505"/>
      <c r="M221" s="476"/>
      <c r="N221" s="397"/>
      <c r="O221" s="397"/>
      <c r="P221" s="397"/>
      <c r="Q221" s="397"/>
      <c r="R221" s="397"/>
      <c r="S221" s="397"/>
      <c r="T221" s="397"/>
      <c r="U221" s="397"/>
      <c r="V221" s="397"/>
      <c r="W221" s="397"/>
      <c r="X221" s="397"/>
      <c r="Y221" s="397"/>
      <c r="Z221" s="397"/>
      <c r="AA221" s="397"/>
      <c r="AB221" s="530"/>
      <c r="AC221" s="530"/>
      <c r="AD221" s="530"/>
      <c r="AE221" s="397"/>
    </row>
    <row r="222" spans="2:31" x14ac:dyDescent="0.25">
      <c r="B222" s="661" t="s">
        <v>1131</v>
      </c>
      <c r="C222" s="661" t="s">
        <v>1132</v>
      </c>
      <c r="D222" s="663" t="s">
        <v>1133</v>
      </c>
      <c r="E222" s="745" t="s">
        <v>35</v>
      </c>
      <c r="F222" s="791"/>
      <c r="G222" s="606"/>
      <c r="H222" s="604">
        <f>G222*K223</f>
        <v>0</v>
      </c>
      <c r="I222" s="530"/>
      <c r="J222" s="505" t="s">
        <v>3</v>
      </c>
      <c r="K222" s="505">
        <v>24</v>
      </c>
      <c r="L222" s="505"/>
      <c r="M222" s="476"/>
      <c r="N222" s="397"/>
      <c r="O222" s="397"/>
      <c r="P222" s="397"/>
      <c r="Q222" s="397"/>
      <c r="R222" s="397"/>
      <c r="S222" s="397"/>
      <c r="T222" s="397"/>
      <c r="U222" s="397"/>
      <c r="V222" s="397"/>
      <c r="W222" s="397"/>
      <c r="X222" s="397"/>
      <c r="Y222" s="397"/>
      <c r="Z222" s="397"/>
      <c r="AA222" s="397"/>
      <c r="AB222" s="530"/>
      <c r="AC222" s="530"/>
      <c r="AD222" s="530"/>
      <c r="AE222" s="397"/>
    </row>
    <row r="223" spans="2:31" x14ac:dyDescent="0.25">
      <c r="B223" s="661" t="s">
        <v>1134</v>
      </c>
      <c r="C223" s="661" t="s">
        <v>1135</v>
      </c>
      <c r="D223" s="663" t="s">
        <v>1136</v>
      </c>
      <c r="E223" s="745" t="s">
        <v>35</v>
      </c>
      <c r="F223" s="791"/>
      <c r="G223" s="606"/>
      <c r="H223" s="604">
        <f>G223*K224</f>
        <v>0</v>
      </c>
      <c r="I223" s="530"/>
      <c r="J223" s="505" t="s">
        <v>465</v>
      </c>
      <c r="K223" s="505">
        <v>1</v>
      </c>
      <c r="L223" s="505"/>
      <c r="M223" s="476"/>
      <c r="N223" s="397"/>
      <c r="O223" s="397"/>
      <c r="P223" s="397"/>
      <c r="Q223" s="397"/>
      <c r="R223" s="397"/>
      <c r="S223" s="397"/>
      <c r="T223" s="397"/>
      <c r="U223" s="397"/>
      <c r="V223" s="397"/>
      <c r="W223" s="397"/>
      <c r="X223" s="397"/>
      <c r="Y223" s="397"/>
      <c r="Z223" s="397"/>
      <c r="AA223" s="397"/>
      <c r="AB223" s="530"/>
      <c r="AC223" s="530"/>
      <c r="AD223" s="530"/>
      <c r="AE223" s="397"/>
    </row>
    <row r="224" spans="2:31" x14ac:dyDescent="0.25">
      <c r="B224" s="661" t="s">
        <v>1137</v>
      </c>
      <c r="C224" s="661" t="s">
        <v>1138</v>
      </c>
      <c r="D224" s="663" t="s">
        <v>1139</v>
      </c>
      <c r="E224" s="745" t="s">
        <v>35</v>
      </c>
      <c r="F224" s="791"/>
      <c r="G224" s="606"/>
      <c r="H224" s="604">
        <f>G224*K225</f>
        <v>0</v>
      </c>
      <c r="I224" s="530"/>
      <c r="J224" s="505" t="s">
        <v>465</v>
      </c>
      <c r="K224" s="505">
        <v>18</v>
      </c>
      <c r="L224" s="505"/>
      <c r="M224" s="476"/>
      <c r="N224" s="397"/>
      <c r="O224" s="397"/>
      <c r="P224" s="397"/>
      <c r="Q224" s="397"/>
      <c r="R224" s="397"/>
      <c r="S224" s="397"/>
      <c r="T224" s="397"/>
      <c r="U224" s="397"/>
      <c r="V224" s="397"/>
      <c r="W224" s="397"/>
      <c r="X224" s="397"/>
      <c r="Y224" s="397"/>
      <c r="Z224" s="397"/>
      <c r="AA224" s="397"/>
      <c r="AB224" s="530"/>
      <c r="AC224" s="530"/>
      <c r="AD224" s="530"/>
      <c r="AE224" s="397"/>
    </row>
    <row r="225" spans="2:31" x14ac:dyDescent="0.25">
      <c r="B225" s="661" t="s">
        <v>1140</v>
      </c>
      <c r="C225" s="661" t="s">
        <v>1141</v>
      </c>
      <c r="D225" s="663" t="s">
        <v>1142</v>
      </c>
      <c r="E225" s="745" t="s">
        <v>35</v>
      </c>
      <c r="F225" s="791"/>
      <c r="G225" s="606"/>
      <c r="H225" s="604">
        <f>G225*K226</f>
        <v>0</v>
      </c>
      <c r="I225" s="530"/>
      <c r="J225" s="505" t="s">
        <v>465</v>
      </c>
      <c r="K225" s="505">
        <v>18</v>
      </c>
      <c r="L225" s="505"/>
      <c r="M225" s="476"/>
      <c r="N225" s="397"/>
      <c r="O225" s="397"/>
      <c r="P225" s="397"/>
      <c r="Q225" s="397"/>
      <c r="R225" s="397"/>
      <c r="S225" s="397"/>
      <c r="T225" s="397"/>
      <c r="U225" s="397"/>
      <c r="V225" s="397"/>
      <c r="W225" s="397"/>
      <c r="X225" s="397"/>
      <c r="Y225" s="397"/>
      <c r="Z225" s="397"/>
      <c r="AA225" s="397"/>
      <c r="AB225" s="530"/>
      <c r="AC225" s="530"/>
      <c r="AD225" s="530"/>
      <c r="AE225" s="397"/>
    </row>
    <row r="226" spans="2:31" x14ac:dyDescent="0.25">
      <c r="B226" s="661" t="s">
        <v>1143</v>
      </c>
      <c r="C226" s="661" t="s">
        <v>1144</v>
      </c>
      <c r="D226" s="663" t="s">
        <v>1145</v>
      </c>
      <c r="E226" s="745" t="s">
        <v>35</v>
      </c>
      <c r="F226" s="791"/>
      <c r="G226" s="606"/>
      <c r="H226" s="604">
        <f>G226*K227</f>
        <v>0</v>
      </c>
      <c r="I226" s="530"/>
      <c r="J226" s="505" t="s">
        <v>3</v>
      </c>
      <c r="K226" s="505">
        <v>72</v>
      </c>
      <c r="L226" s="505"/>
      <c r="M226" s="476"/>
      <c r="N226" s="397"/>
      <c r="O226" s="397"/>
      <c r="P226" s="397"/>
      <c r="Q226" s="397"/>
      <c r="R226" s="397"/>
      <c r="S226" s="397"/>
      <c r="T226" s="397"/>
      <c r="U226" s="397"/>
      <c r="V226" s="397"/>
      <c r="W226" s="397"/>
      <c r="X226" s="397"/>
      <c r="Y226" s="397"/>
      <c r="Z226" s="397"/>
      <c r="AA226" s="397"/>
      <c r="AB226" s="530"/>
      <c r="AC226" s="530"/>
      <c r="AD226" s="530"/>
      <c r="AE226" s="397"/>
    </row>
    <row r="227" spans="2:31" x14ac:dyDescent="0.25">
      <c r="B227" s="661" t="s">
        <v>1146</v>
      </c>
      <c r="C227" s="661" t="s">
        <v>1147</v>
      </c>
      <c r="D227" s="663" t="s">
        <v>1148</v>
      </c>
      <c r="E227" s="745" t="s">
        <v>35</v>
      </c>
      <c r="F227" s="791"/>
      <c r="G227" s="606"/>
      <c r="H227" s="604">
        <f>G227*K228</f>
        <v>0</v>
      </c>
      <c r="I227" s="530"/>
      <c r="J227" s="505" t="s">
        <v>3</v>
      </c>
      <c r="K227" s="505">
        <v>120</v>
      </c>
      <c r="L227" s="505"/>
      <c r="M227" s="476"/>
      <c r="N227" s="397"/>
      <c r="O227" s="397"/>
      <c r="P227" s="397"/>
      <c r="Q227" s="397"/>
      <c r="R227" s="397"/>
      <c r="S227" s="397"/>
      <c r="T227" s="397"/>
      <c r="U227" s="397"/>
      <c r="V227" s="397"/>
      <c r="W227" s="397"/>
      <c r="X227" s="397"/>
      <c r="Y227" s="397"/>
      <c r="Z227" s="397"/>
      <c r="AA227" s="397"/>
      <c r="AB227" s="530"/>
      <c r="AC227" s="530"/>
      <c r="AD227" s="530"/>
      <c r="AE227" s="397"/>
    </row>
    <row r="228" spans="2:31" x14ac:dyDescent="0.25">
      <c r="B228" s="661" t="s">
        <v>1149</v>
      </c>
      <c r="C228" s="661" t="s">
        <v>1150</v>
      </c>
      <c r="D228" s="663" t="s">
        <v>1151</v>
      </c>
      <c r="E228" s="745" t="s">
        <v>35</v>
      </c>
      <c r="F228" s="791"/>
      <c r="G228" s="606"/>
      <c r="H228" s="604">
        <f>G228*K229</f>
        <v>0</v>
      </c>
      <c r="I228" s="530"/>
      <c r="J228" s="505" t="s">
        <v>3</v>
      </c>
      <c r="K228" s="505">
        <v>48</v>
      </c>
      <c r="L228" s="505"/>
      <c r="M228" s="476"/>
      <c r="N228" s="397"/>
      <c r="O228" s="397"/>
      <c r="P228" s="397"/>
      <c r="Q228" s="397"/>
      <c r="R228" s="397"/>
      <c r="S228" s="397"/>
      <c r="T228" s="397"/>
      <c r="U228" s="397"/>
      <c r="V228" s="397"/>
      <c r="W228" s="397"/>
      <c r="X228" s="397"/>
      <c r="Y228" s="397"/>
      <c r="Z228" s="397"/>
      <c r="AA228" s="397"/>
      <c r="AB228" s="530"/>
      <c r="AC228" s="530"/>
      <c r="AD228" s="530"/>
      <c r="AE228" s="397"/>
    </row>
    <row r="229" spans="2:31" x14ac:dyDescent="0.25">
      <c r="B229" s="661" t="s">
        <v>1152</v>
      </c>
      <c r="C229" s="661" t="s">
        <v>1153</v>
      </c>
      <c r="D229" s="663" t="s">
        <v>1154</v>
      </c>
      <c r="E229" s="745" t="s">
        <v>35</v>
      </c>
      <c r="F229" s="791"/>
      <c r="G229" s="606"/>
      <c r="H229" s="604">
        <f>G229*K230</f>
        <v>0</v>
      </c>
      <c r="I229" s="530"/>
      <c r="J229" s="505" t="s">
        <v>465</v>
      </c>
      <c r="K229" s="505">
        <v>8</v>
      </c>
      <c r="L229" s="505"/>
      <c r="M229" s="476"/>
      <c r="N229" s="397"/>
      <c r="O229" s="397"/>
      <c r="P229" s="397"/>
      <c r="Q229" s="397"/>
      <c r="R229" s="397"/>
      <c r="S229" s="397"/>
      <c r="T229" s="397"/>
      <c r="U229" s="397"/>
      <c r="V229" s="397"/>
      <c r="W229" s="397"/>
      <c r="X229" s="397"/>
      <c r="Y229" s="397"/>
      <c r="Z229" s="397"/>
      <c r="AA229" s="397"/>
      <c r="AB229" s="530"/>
      <c r="AC229" s="530"/>
      <c r="AD229" s="530"/>
      <c r="AE229" s="397"/>
    </row>
    <row r="230" spans="2:31" x14ac:dyDescent="0.25">
      <c r="B230" s="661" t="s">
        <v>1155</v>
      </c>
      <c r="C230" s="661" t="s">
        <v>1156</v>
      </c>
      <c r="D230" s="663" t="s">
        <v>1157</v>
      </c>
      <c r="E230" s="744" t="s">
        <v>304</v>
      </c>
      <c r="F230" s="790"/>
      <c r="G230" s="606"/>
      <c r="H230" s="604">
        <f>G230*K231</f>
        <v>0</v>
      </c>
      <c r="I230" s="530"/>
      <c r="J230" s="505" t="s">
        <v>465</v>
      </c>
      <c r="K230" s="505">
        <v>1</v>
      </c>
      <c r="L230" s="505"/>
      <c r="M230" s="476"/>
      <c r="N230" s="397"/>
      <c r="O230" s="397"/>
      <c r="P230" s="397"/>
      <c r="Q230" s="397"/>
      <c r="R230" s="397"/>
      <c r="S230" s="397"/>
      <c r="T230" s="397"/>
      <c r="U230" s="397"/>
      <c r="V230" s="397"/>
      <c r="W230" s="397"/>
      <c r="X230" s="397"/>
      <c r="Y230" s="397"/>
      <c r="Z230" s="397"/>
      <c r="AA230" s="397"/>
      <c r="AB230" s="530"/>
      <c r="AC230" s="530"/>
      <c r="AD230" s="530"/>
      <c r="AE230" s="397"/>
    </row>
    <row r="231" spans="2:31" x14ac:dyDescent="0.25">
      <c r="B231" s="661" t="s">
        <v>1158</v>
      </c>
      <c r="C231" s="661" t="s">
        <v>1159</v>
      </c>
      <c r="D231" s="663" t="s">
        <v>1160</v>
      </c>
      <c r="E231" s="745" t="s">
        <v>35</v>
      </c>
      <c r="F231" s="791"/>
      <c r="G231" s="606"/>
      <c r="H231" s="604">
        <f>G231*K232</f>
        <v>0</v>
      </c>
      <c r="I231" s="530"/>
      <c r="J231" s="505" t="s">
        <v>465</v>
      </c>
      <c r="K231" s="505">
        <v>22</v>
      </c>
      <c r="L231" s="505"/>
      <c r="M231" s="476"/>
      <c r="N231" s="397"/>
      <c r="O231" s="397"/>
      <c r="P231" s="397"/>
      <c r="Q231" s="397"/>
      <c r="R231" s="397"/>
      <c r="S231" s="397"/>
      <c r="T231" s="397"/>
      <c r="U231" s="397"/>
      <c r="V231" s="397"/>
      <c r="W231" s="397"/>
      <c r="X231" s="397"/>
      <c r="Y231" s="397"/>
      <c r="Z231" s="397"/>
      <c r="AA231" s="397"/>
      <c r="AB231" s="530"/>
      <c r="AC231" s="530"/>
      <c r="AD231" s="530"/>
      <c r="AE231" s="397"/>
    </row>
    <row r="232" spans="2:31" x14ac:dyDescent="0.25">
      <c r="B232" s="661" t="s">
        <v>1161</v>
      </c>
      <c r="C232" s="661" t="s">
        <v>1162</v>
      </c>
      <c r="D232" s="663" t="s">
        <v>1163</v>
      </c>
      <c r="E232" s="745" t="s">
        <v>35</v>
      </c>
      <c r="F232" s="791"/>
      <c r="G232" s="606"/>
      <c r="H232" s="604">
        <f>G232*K233</f>
        <v>0</v>
      </c>
      <c r="I232" s="530"/>
      <c r="J232" s="505" t="s">
        <v>465</v>
      </c>
      <c r="K232" s="505">
        <v>18</v>
      </c>
      <c r="L232" s="505"/>
      <c r="M232" s="476"/>
      <c r="N232" s="397"/>
      <c r="O232" s="397"/>
      <c r="P232" s="397"/>
      <c r="Q232" s="397"/>
      <c r="R232" s="397"/>
      <c r="S232" s="397"/>
      <c r="T232" s="397"/>
      <c r="U232" s="397"/>
      <c r="V232" s="397"/>
      <c r="W232" s="397"/>
      <c r="X232" s="397"/>
      <c r="Y232" s="397"/>
      <c r="Z232" s="397"/>
      <c r="AA232" s="397"/>
      <c r="AB232" s="530"/>
      <c r="AC232" s="530"/>
      <c r="AD232" s="530"/>
      <c r="AE232" s="397"/>
    </row>
    <row r="233" spans="2:31" x14ac:dyDescent="0.25">
      <c r="B233" s="661" t="s">
        <v>1164</v>
      </c>
      <c r="C233" s="661" t="s">
        <v>1165</v>
      </c>
      <c r="D233" s="663" t="s">
        <v>1166</v>
      </c>
      <c r="E233" s="745" t="s">
        <v>35</v>
      </c>
      <c r="F233" s="791"/>
      <c r="G233" s="606"/>
      <c r="H233" s="604">
        <f>G233*K234</f>
        <v>0</v>
      </c>
      <c r="I233" s="530"/>
      <c r="J233" s="505" t="s">
        <v>3</v>
      </c>
      <c r="K233" s="505">
        <v>73</v>
      </c>
      <c r="L233" s="505"/>
      <c r="M233" s="476"/>
      <c r="N233" s="397"/>
      <c r="O233" s="397"/>
      <c r="P233" s="397"/>
      <c r="Q233" s="397"/>
      <c r="R233" s="397"/>
      <c r="S233" s="397"/>
      <c r="T233" s="397"/>
      <c r="U233" s="397"/>
      <c r="V233" s="397"/>
      <c r="W233" s="397"/>
      <c r="X233" s="397"/>
      <c r="Y233" s="397"/>
      <c r="Z233" s="397"/>
      <c r="AA233" s="397"/>
      <c r="AB233" s="530"/>
      <c r="AC233" s="530"/>
      <c r="AD233" s="530"/>
      <c r="AE233" s="397"/>
    </row>
    <row r="234" spans="2:31" x14ac:dyDescent="0.25">
      <c r="B234" s="661" t="s">
        <v>1167</v>
      </c>
      <c r="C234" s="661" t="s">
        <v>1168</v>
      </c>
      <c r="D234" s="663" t="s">
        <v>1169</v>
      </c>
      <c r="E234" s="745" t="s">
        <v>35</v>
      </c>
      <c r="F234" s="791"/>
      <c r="G234" s="606"/>
      <c r="H234" s="604">
        <f>G234*K235</f>
        <v>0</v>
      </c>
      <c r="I234" s="530"/>
      <c r="J234" s="505" t="s">
        <v>3</v>
      </c>
      <c r="K234" s="505">
        <v>59</v>
      </c>
      <c r="L234" s="505"/>
      <c r="M234" s="476"/>
      <c r="N234" s="397"/>
      <c r="O234" s="397"/>
      <c r="P234" s="397"/>
      <c r="Q234" s="397"/>
      <c r="R234" s="397"/>
      <c r="S234" s="397"/>
      <c r="T234" s="397"/>
      <c r="U234" s="397"/>
      <c r="V234" s="397"/>
      <c r="W234" s="397"/>
      <c r="X234" s="397"/>
      <c r="Y234" s="397"/>
      <c r="Z234" s="397"/>
      <c r="AA234" s="397"/>
      <c r="AB234" s="530"/>
      <c r="AC234" s="530"/>
      <c r="AD234" s="530"/>
      <c r="AE234" s="397"/>
    </row>
    <row r="235" spans="2:31" x14ac:dyDescent="0.25">
      <c r="B235" s="661" t="s">
        <v>1170</v>
      </c>
      <c r="C235" s="661" t="s">
        <v>1171</v>
      </c>
      <c r="D235" s="663" t="s">
        <v>1172</v>
      </c>
      <c r="E235" s="746" t="s">
        <v>307</v>
      </c>
      <c r="F235" s="792"/>
      <c r="G235" s="606"/>
      <c r="H235" s="604">
        <f>G235*K236</f>
        <v>0</v>
      </c>
      <c r="I235" s="530"/>
      <c r="J235" s="505" t="s">
        <v>3</v>
      </c>
      <c r="K235" s="505">
        <v>120</v>
      </c>
      <c r="L235" s="505"/>
      <c r="M235" s="476"/>
      <c r="N235" s="397"/>
      <c r="O235" s="397"/>
      <c r="P235" s="397"/>
      <c r="Q235" s="397"/>
      <c r="R235" s="397"/>
      <c r="S235" s="397"/>
      <c r="T235" s="397"/>
      <c r="U235" s="397"/>
      <c r="V235" s="397"/>
      <c r="W235" s="397"/>
      <c r="X235" s="397"/>
      <c r="Y235" s="397"/>
      <c r="Z235" s="397"/>
      <c r="AA235" s="397"/>
      <c r="AB235" s="530"/>
      <c r="AC235" s="530"/>
      <c r="AD235" s="530"/>
      <c r="AE235" s="397"/>
    </row>
    <row r="236" spans="2:31" x14ac:dyDescent="0.25">
      <c r="B236" s="661" t="s">
        <v>1173</v>
      </c>
      <c r="C236" s="661" t="s">
        <v>1174</v>
      </c>
      <c r="D236" s="663" t="s">
        <v>1175</v>
      </c>
      <c r="E236" s="746" t="s">
        <v>307</v>
      </c>
      <c r="F236" s="792"/>
      <c r="G236" s="606"/>
      <c r="H236" s="604">
        <f>G236*K237</f>
        <v>0</v>
      </c>
      <c r="I236" s="530"/>
      <c r="J236" s="505" t="s">
        <v>465</v>
      </c>
      <c r="K236" s="505">
        <v>24</v>
      </c>
      <c r="L236" s="505"/>
      <c r="M236" s="476"/>
      <c r="N236" s="397"/>
      <c r="O236" s="397"/>
      <c r="P236" s="397"/>
      <c r="Q236" s="397"/>
      <c r="R236" s="397"/>
      <c r="S236" s="397"/>
      <c r="T236" s="397"/>
      <c r="U236" s="397"/>
      <c r="V236" s="397"/>
      <c r="W236" s="397"/>
      <c r="X236" s="397"/>
      <c r="Y236" s="397"/>
      <c r="Z236" s="397"/>
      <c r="AA236" s="397"/>
      <c r="AB236" s="530"/>
      <c r="AC236" s="530"/>
      <c r="AD236" s="530"/>
      <c r="AE236" s="397"/>
    </row>
    <row r="237" spans="2:31" x14ac:dyDescent="0.25">
      <c r="B237" s="661" t="s">
        <v>1176</v>
      </c>
      <c r="C237" s="661" t="s">
        <v>1177</v>
      </c>
      <c r="D237" s="663" t="s">
        <v>1178</v>
      </c>
      <c r="E237" s="745" t="s">
        <v>35</v>
      </c>
      <c r="F237" s="791"/>
      <c r="G237" s="606"/>
      <c r="H237" s="604">
        <f>G237*K238</f>
        <v>0</v>
      </c>
      <c r="I237" s="530"/>
      <c r="J237" s="505" t="s">
        <v>465</v>
      </c>
      <c r="K237" s="505">
        <v>19</v>
      </c>
      <c r="L237" s="505"/>
      <c r="M237" s="476"/>
      <c r="N237" s="397"/>
      <c r="O237" s="397"/>
      <c r="P237" s="397"/>
      <c r="Q237" s="397"/>
      <c r="R237" s="397"/>
      <c r="S237" s="397"/>
      <c r="T237" s="397"/>
      <c r="U237" s="397"/>
      <c r="V237" s="397"/>
      <c r="W237" s="397"/>
      <c r="X237" s="397"/>
      <c r="Y237" s="397"/>
      <c r="Z237" s="397"/>
      <c r="AA237" s="397"/>
      <c r="AB237" s="530"/>
      <c r="AC237" s="530"/>
      <c r="AD237" s="530"/>
      <c r="AE237" s="397"/>
    </row>
    <row r="238" spans="2:31" x14ac:dyDescent="0.25">
      <c r="B238" s="661" t="s">
        <v>1179</v>
      </c>
      <c r="C238" s="661" t="s">
        <v>1180</v>
      </c>
      <c r="D238" s="663" t="s">
        <v>1181</v>
      </c>
      <c r="E238" s="745" t="s">
        <v>35</v>
      </c>
      <c r="F238" s="791"/>
      <c r="G238" s="606"/>
      <c r="H238" s="604">
        <f>G238*K239</f>
        <v>0</v>
      </c>
      <c r="I238" s="530"/>
      <c r="J238" s="505" t="s">
        <v>465</v>
      </c>
      <c r="K238" s="505">
        <v>10</v>
      </c>
      <c r="L238" s="505"/>
      <c r="M238" s="476"/>
      <c r="N238" s="397"/>
      <c r="O238" s="397"/>
      <c r="P238" s="397"/>
      <c r="Q238" s="397"/>
      <c r="R238" s="397"/>
      <c r="S238" s="397"/>
      <c r="T238" s="397"/>
      <c r="U238" s="397"/>
      <c r="V238" s="397"/>
      <c r="W238" s="397"/>
      <c r="X238" s="397"/>
      <c r="Y238" s="397"/>
      <c r="Z238" s="397"/>
      <c r="AA238" s="397"/>
      <c r="AB238" s="530"/>
      <c r="AC238" s="530"/>
      <c r="AD238" s="530"/>
      <c r="AE238" s="397"/>
    </row>
    <row r="239" spans="2:31" x14ac:dyDescent="0.25">
      <c r="B239" s="661" t="s">
        <v>1182</v>
      </c>
      <c r="C239" s="661" t="s">
        <v>1183</v>
      </c>
      <c r="D239" s="663" t="s">
        <v>1184</v>
      </c>
      <c r="E239" s="745" t="s">
        <v>35</v>
      </c>
      <c r="F239" s="791"/>
      <c r="G239" s="606"/>
      <c r="H239" s="604">
        <f>G239*K240</f>
        <v>0</v>
      </c>
      <c r="I239" s="530"/>
      <c r="J239" s="505" t="s">
        <v>465</v>
      </c>
      <c r="K239" s="505">
        <v>8</v>
      </c>
      <c r="L239" s="505"/>
      <c r="M239" s="476"/>
      <c r="N239" s="397"/>
      <c r="O239" s="397"/>
      <c r="P239" s="397"/>
      <c r="Q239" s="397"/>
      <c r="R239" s="397"/>
      <c r="S239" s="397"/>
      <c r="T239" s="397"/>
      <c r="U239" s="397"/>
      <c r="V239" s="397"/>
      <c r="W239" s="397"/>
      <c r="X239" s="397"/>
      <c r="Y239" s="397"/>
      <c r="Z239" s="397"/>
      <c r="AA239" s="397"/>
      <c r="AB239" s="530"/>
      <c r="AC239" s="530"/>
      <c r="AD239" s="530"/>
      <c r="AE239" s="397"/>
    </row>
    <row r="240" spans="2:31" x14ac:dyDescent="0.25">
      <c r="B240" s="661" t="s">
        <v>1185</v>
      </c>
      <c r="C240" s="661" t="s">
        <v>1186</v>
      </c>
      <c r="D240" s="663" t="s">
        <v>1626</v>
      </c>
      <c r="E240" s="747" t="s">
        <v>305</v>
      </c>
      <c r="F240" s="793"/>
      <c r="G240" s="606"/>
      <c r="H240" s="604">
        <f>G240*K241</f>
        <v>0</v>
      </c>
      <c r="I240" s="530"/>
      <c r="J240" s="505" t="s">
        <v>465</v>
      </c>
      <c r="K240" s="505">
        <v>11</v>
      </c>
      <c r="L240" s="505"/>
      <c r="M240" s="476"/>
      <c r="N240" s="397"/>
      <c r="O240" s="397"/>
      <c r="P240" s="397"/>
      <c r="Q240" s="397"/>
      <c r="R240" s="397"/>
      <c r="S240" s="397"/>
      <c r="T240" s="397"/>
      <c r="U240" s="397"/>
      <c r="V240" s="397"/>
      <c r="W240" s="397"/>
      <c r="X240" s="397"/>
      <c r="Y240" s="397"/>
      <c r="Z240" s="397"/>
      <c r="AA240" s="397"/>
      <c r="AB240" s="530"/>
      <c r="AC240" s="530"/>
      <c r="AD240" s="530"/>
      <c r="AE240" s="397"/>
    </row>
    <row r="241" spans="2:31" x14ac:dyDescent="0.25">
      <c r="B241" s="661" t="s">
        <v>1187</v>
      </c>
      <c r="C241" s="661" t="s">
        <v>1188</v>
      </c>
      <c r="D241" s="663" t="s">
        <v>1189</v>
      </c>
      <c r="E241" s="745" t="s">
        <v>35</v>
      </c>
      <c r="F241" s="791"/>
      <c r="G241" s="606"/>
      <c r="H241" s="604">
        <f>G241*K242</f>
        <v>0</v>
      </c>
      <c r="I241" s="530"/>
      <c r="J241" s="505" t="s">
        <v>465</v>
      </c>
      <c r="K241" s="505">
        <v>8</v>
      </c>
      <c r="L241" s="505"/>
      <c r="M241" s="476"/>
      <c r="N241" s="397"/>
      <c r="O241" s="397"/>
      <c r="P241" s="397"/>
      <c r="Q241" s="397"/>
      <c r="R241" s="397"/>
      <c r="S241" s="397"/>
      <c r="T241" s="397"/>
      <c r="U241" s="397"/>
      <c r="V241" s="397"/>
      <c r="W241" s="397"/>
      <c r="X241" s="397"/>
      <c r="Y241" s="397"/>
      <c r="Z241" s="397"/>
      <c r="AA241" s="397"/>
      <c r="AB241" s="530"/>
      <c r="AC241" s="530"/>
      <c r="AD241" s="530"/>
      <c r="AE241" s="397"/>
    </row>
    <row r="242" spans="2:31" x14ac:dyDescent="0.25">
      <c r="B242" s="661" t="s">
        <v>1190</v>
      </c>
      <c r="C242" s="661" t="s">
        <v>1191</v>
      </c>
      <c r="D242" s="663" t="s">
        <v>1192</v>
      </c>
      <c r="E242" s="744" t="s">
        <v>304</v>
      </c>
      <c r="F242" s="790"/>
      <c r="G242" s="606"/>
      <c r="H242" s="604">
        <f>G242*K243</f>
        <v>0</v>
      </c>
      <c r="I242" s="530"/>
      <c r="J242" s="505" t="s">
        <v>465</v>
      </c>
      <c r="K242" s="505">
        <v>0.2</v>
      </c>
      <c r="L242" s="505"/>
      <c r="M242" s="476"/>
      <c r="N242" s="397"/>
      <c r="O242" s="397"/>
      <c r="P242" s="397"/>
      <c r="Q242" s="397"/>
      <c r="R242" s="397"/>
      <c r="S242" s="397"/>
      <c r="T242" s="397"/>
      <c r="U242" s="397"/>
      <c r="V242" s="397"/>
      <c r="W242" s="397"/>
      <c r="X242" s="397"/>
      <c r="Y242" s="397"/>
      <c r="Z242" s="397"/>
      <c r="AA242" s="397"/>
      <c r="AB242" s="530"/>
      <c r="AC242" s="530"/>
      <c r="AD242" s="530"/>
      <c r="AE242" s="397"/>
    </row>
    <row r="243" spans="2:31" x14ac:dyDescent="0.25">
      <c r="B243" s="661" t="s">
        <v>1193</v>
      </c>
      <c r="C243" s="661" t="s">
        <v>1194</v>
      </c>
      <c r="D243" s="663" t="s">
        <v>1195</v>
      </c>
      <c r="E243" s="744" t="s">
        <v>304</v>
      </c>
      <c r="F243" s="790"/>
      <c r="G243" s="606"/>
      <c r="H243" s="604">
        <f>G243*K244</f>
        <v>0</v>
      </c>
      <c r="I243" s="530"/>
      <c r="J243" s="505" t="s">
        <v>465</v>
      </c>
      <c r="K243" s="505">
        <v>8</v>
      </c>
      <c r="L243" s="505"/>
      <c r="M243" s="476"/>
      <c r="N243" s="397"/>
      <c r="O243" s="397"/>
      <c r="P243" s="397"/>
      <c r="Q243" s="397"/>
      <c r="R243" s="397"/>
      <c r="S243" s="397"/>
      <c r="T243" s="397"/>
      <c r="U243" s="397"/>
      <c r="V243" s="397"/>
      <c r="W243" s="397"/>
      <c r="X243" s="397"/>
      <c r="Y243" s="397"/>
      <c r="Z243" s="397"/>
      <c r="AA243" s="397"/>
      <c r="AB243" s="530"/>
      <c r="AC243" s="530"/>
      <c r="AD243" s="530"/>
      <c r="AE243" s="397"/>
    </row>
    <row r="244" spans="2:31" x14ac:dyDescent="0.25">
      <c r="B244" s="661" t="s">
        <v>1196</v>
      </c>
      <c r="C244" s="661" t="s">
        <v>1197</v>
      </c>
      <c r="D244" s="663" t="s">
        <v>1198</v>
      </c>
      <c r="E244" s="745" t="s">
        <v>35</v>
      </c>
      <c r="F244" s="791"/>
      <c r="G244" s="606"/>
      <c r="H244" s="604">
        <f>G244*K245</f>
        <v>0</v>
      </c>
      <c r="I244" s="530"/>
      <c r="J244" s="505" t="s">
        <v>465</v>
      </c>
      <c r="K244" s="505">
        <v>102</v>
      </c>
      <c r="L244" s="505"/>
      <c r="M244" s="476"/>
      <c r="N244" s="397"/>
      <c r="O244" s="397"/>
      <c r="P244" s="397"/>
      <c r="Q244" s="397"/>
      <c r="R244" s="397"/>
      <c r="S244" s="397"/>
      <c r="T244" s="397"/>
      <c r="U244" s="397"/>
      <c r="V244" s="397"/>
      <c r="W244" s="397"/>
      <c r="X244" s="397"/>
      <c r="Y244" s="397"/>
      <c r="Z244" s="397"/>
      <c r="AA244" s="397"/>
      <c r="AB244" s="530"/>
      <c r="AC244" s="530"/>
      <c r="AD244" s="530"/>
      <c r="AE244" s="397"/>
    </row>
    <row r="245" spans="2:31" x14ac:dyDescent="0.25">
      <c r="B245" s="661" t="s">
        <v>1199</v>
      </c>
      <c r="C245" s="661" t="s">
        <v>1200</v>
      </c>
      <c r="D245" s="663" t="s">
        <v>1201</v>
      </c>
      <c r="E245" s="745" t="s">
        <v>35</v>
      </c>
      <c r="F245" s="791"/>
      <c r="G245" s="606"/>
      <c r="H245" s="604">
        <f>G245*K246</f>
        <v>0</v>
      </c>
      <c r="I245" s="530"/>
      <c r="J245" s="505" t="s">
        <v>465</v>
      </c>
      <c r="K245" s="505">
        <v>9</v>
      </c>
      <c r="L245" s="505"/>
      <c r="M245" s="476"/>
      <c r="N245" s="397"/>
      <c r="O245" s="397"/>
      <c r="P245" s="397"/>
      <c r="Q245" s="397"/>
      <c r="R245" s="397"/>
      <c r="S245" s="397"/>
      <c r="T245" s="397"/>
      <c r="U245" s="397"/>
      <c r="V245" s="397"/>
      <c r="W245" s="397"/>
      <c r="X245" s="397"/>
      <c r="Y245" s="397"/>
      <c r="Z245" s="397"/>
      <c r="AA245" s="397"/>
      <c r="AB245" s="530"/>
      <c r="AC245" s="530"/>
      <c r="AD245" s="530"/>
      <c r="AE245" s="397"/>
    </row>
    <row r="246" spans="2:31" x14ac:dyDescent="0.25">
      <c r="B246" s="661" t="s">
        <v>1202</v>
      </c>
      <c r="C246" s="661" t="s">
        <v>1203</v>
      </c>
      <c r="D246" s="663" t="s">
        <v>1204</v>
      </c>
      <c r="E246" s="744" t="s">
        <v>304</v>
      </c>
      <c r="F246" s="790"/>
      <c r="G246" s="606"/>
      <c r="H246" s="604">
        <f>G246*K247</f>
        <v>0</v>
      </c>
      <c r="I246" s="530"/>
      <c r="J246" s="505" t="s">
        <v>465</v>
      </c>
      <c r="K246" s="505">
        <v>2</v>
      </c>
      <c r="L246" s="505"/>
      <c r="M246" s="476"/>
      <c r="N246" s="397"/>
      <c r="O246" s="397"/>
      <c r="P246" s="397"/>
      <c r="Q246" s="397"/>
      <c r="R246" s="397"/>
      <c r="S246" s="397"/>
      <c r="T246" s="397"/>
      <c r="U246" s="397"/>
      <c r="V246" s="397"/>
      <c r="W246" s="397"/>
      <c r="X246" s="397"/>
      <c r="Y246" s="397"/>
      <c r="Z246" s="397"/>
      <c r="AA246" s="397"/>
      <c r="AB246" s="530"/>
      <c r="AC246" s="530"/>
      <c r="AD246" s="530"/>
      <c r="AE246" s="397"/>
    </row>
    <row r="247" spans="2:31" x14ac:dyDescent="0.25">
      <c r="B247" s="661" t="s">
        <v>1205</v>
      </c>
      <c r="C247" s="661" t="s">
        <v>1206</v>
      </c>
      <c r="D247" s="663" t="s">
        <v>1627</v>
      </c>
      <c r="E247" s="744" t="s">
        <v>304</v>
      </c>
      <c r="F247" s="790"/>
      <c r="G247" s="606"/>
      <c r="H247" s="604">
        <f>G247*K248</f>
        <v>0</v>
      </c>
      <c r="I247" s="530"/>
      <c r="J247" s="505" t="s">
        <v>465</v>
      </c>
      <c r="K247" s="505">
        <v>21</v>
      </c>
      <c r="L247" s="505"/>
      <c r="M247" s="476"/>
      <c r="N247" s="397"/>
      <c r="O247" s="397"/>
      <c r="P247" s="397"/>
      <c r="Q247" s="397"/>
      <c r="R247" s="397"/>
      <c r="S247" s="397"/>
      <c r="T247" s="397"/>
      <c r="U247" s="397"/>
      <c r="V247" s="397"/>
      <c r="W247" s="397"/>
      <c r="X247" s="397"/>
      <c r="Y247" s="397"/>
      <c r="Z247" s="397"/>
      <c r="AA247" s="397"/>
      <c r="AB247" s="530"/>
      <c r="AC247" s="530"/>
      <c r="AD247" s="530"/>
      <c r="AE247" s="397"/>
    </row>
    <row r="248" spans="2:31" x14ac:dyDescent="0.25">
      <c r="B248" s="661" t="s">
        <v>1207</v>
      </c>
      <c r="C248" s="661" t="s">
        <v>1208</v>
      </c>
      <c r="D248" s="663" t="s">
        <v>1209</v>
      </c>
      <c r="E248" s="745" t="s">
        <v>35</v>
      </c>
      <c r="F248" s="791"/>
      <c r="G248" s="606"/>
      <c r="H248" s="604">
        <f>G248*K249</f>
        <v>0</v>
      </c>
      <c r="I248" s="530"/>
      <c r="J248" s="505" t="s">
        <v>465</v>
      </c>
      <c r="K248" s="505">
        <v>65</v>
      </c>
      <c r="L248" s="505"/>
      <c r="M248" s="476"/>
      <c r="N248" s="397"/>
      <c r="O248" s="397"/>
      <c r="P248" s="397"/>
      <c r="Q248" s="397"/>
      <c r="R248" s="397"/>
      <c r="S248" s="397"/>
      <c r="T248" s="397"/>
      <c r="U248" s="397"/>
      <c r="V248" s="397"/>
      <c r="W248" s="397"/>
      <c r="X248" s="397"/>
      <c r="Y248" s="397"/>
      <c r="Z248" s="397"/>
      <c r="AA248" s="397"/>
      <c r="AB248" s="530"/>
      <c r="AC248" s="530"/>
      <c r="AD248" s="530"/>
      <c r="AE248" s="397"/>
    </row>
    <row r="249" spans="2:31" x14ac:dyDescent="0.25">
      <c r="B249" s="661" t="s">
        <v>1210</v>
      </c>
      <c r="C249" s="661" t="s">
        <v>1211</v>
      </c>
      <c r="D249" s="663" t="s">
        <v>1212</v>
      </c>
      <c r="E249" s="745" t="s">
        <v>35</v>
      </c>
      <c r="F249" s="791"/>
      <c r="G249" s="606"/>
      <c r="H249" s="604">
        <f>G249*K250</f>
        <v>0</v>
      </c>
      <c r="I249" s="530"/>
      <c r="J249" s="505" t="s">
        <v>3</v>
      </c>
      <c r="K249" s="505">
        <v>23</v>
      </c>
      <c r="L249" s="505"/>
      <c r="M249" s="476"/>
      <c r="N249" s="397"/>
      <c r="O249" s="397"/>
      <c r="P249" s="397"/>
      <c r="Q249" s="397"/>
      <c r="R249" s="397"/>
      <c r="S249" s="397"/>
      <c r="T249" s="397"/>
      <c r="U249" s="397"/>
      <c r="V249" s="397"/>
      <c r="W249" s="397"/>
      <c r="X249" s="397"/>
      <c r="Y249" s="397"/>
      <c r="Z249" s="397"/>
      <c r="AA249" s="397"/>
      <c r="AB249" s="530"/>
      <c r="AC249" s="530"/>
      <c r="AD249" s="530"/>
      <c r="AE249" s="397"/>
    </row>
    <row r="250" spans="2:31" x14ac:dyDescent="0.25">
      <c r="B250" s="661" t="s">
        <v>1213</v>
      </c>
      <c r="C250" s="661" t="s">
        <v>1214</v>
      </c>
      <c r="D250" s="663" t="s">
        <v>1215</v>
      </c>
      <c r="E250" s="744" t="s">
        <v>304</v>
      </c>
      <c r="F250" s="790"/>
      <c r="G250" s="606"/>
      <c r="H250" s="604">
        <f>G250*K251</f>
        <v>0</v>
      </c>
      <c r="I250" s="530"/>
      <c r="J250" s="505"/>
      <c r="K250" s="505">
        <v>5</v>
      </c>
      <c r="L250" s="505"/>
      <c r="M250" s="476"/>
      <c r="N250" s="397"/>
      <c r="O250" s="397"/>
      <c r="P250" s="397"/>
      <c r="Q250" s="397"/>
      <c r="R250" s="397"/>
      <c r="S250" s="397"/>
      <c r="T250" s="397"/>
      <c r="U250" s="397"/>
      <c r="V250" s="397"/>
      <c r="W250" s="397"/>
      <c r="X250" s="397"/>
      <c r="Y250" s="397"/>
      <c r="Z250" s="397"/>
      <c r="AA250" s="397"/>
      <c r="AB250" s="530"/>
      <c r="AC250" s="530"/>
      <c r="AD250" s="530"/>
      <c r="AE250" s="397"/>
    </row>
    <row r="251" spans="2:31" x14ac:dyDescent="0.25">
      <c r="B251" s="661" t="s">
        <v>1216</v>
      </c>
      <c r="C251" s="661" t="s">
        <v>1217</v>
      </c>
      <c r="D251" s="663" t="s">
        <v>1218</v>
      </c>
      <c r="E251" s="744" t="s">
        <v>304</v>
      </c>
      <c r="F251" s="790"/>
      <c r="G251" s="606"/>
      <c r="H251" s="604">
        <f>G251*K252</f>
        <v>0</v>
      </c>
      <c r="I251" s="530"/>
      <c r="J251" s="505"/>
      <c r="K251" s="505">
        <v>7</v>
      </c>
      <c r="L251" s="505"/>
      <c r="M251" s="476"/>
      <c r="N251" s="397"/>
      <c r="O251" s="397"/>
      <c r="P251" s="397"/>
      <c r="Q251" s="397"/>
      <c r="R251" s="397"/>
      <c r="S251" s="397"/>
      <c r="T251" s="397"/>
      <c r="U251" s="397"/>
      <c r="V251" s="397"/>
      <c r="W251" s="397"/>
      <c r="X251" s="397"/>
      <c r="Y251" s="397"/>
      <c r="Z251" s="397"/>
      <c r="AA251" s="397"/>
      <c r="AB251" s="530"/>
      <c r="AC251" s="530"/>
      <c r="AD251" s="530"/>
      <c r="AE251" s="397"/>
    </row>
    <row r="252" spans="2:31" x14ac:dyDescent="0.25">
      <c r="B252" s="661" t="s">
        <v>1219</v>
      </c>
      <c r="C252" s="661" t="s">
        <v>1220</v>
      </c>
      <c r="D252" s="663" t="s">
        <v>1221</v>
      </c>
      <c r="E252" s="745" t="s">
        <v>35</v>
      </c>
      <c r="F252" s="791"/>
      <c r="G252" s="606"/>
      <c r="H252" s="604">
        <f>G252*K253</f>
        <v>0</v>
      </c>
      <c r="I252" s="530"/>
      <c r="J252" s="505"/>
      <c r="K252" s="505">
        <v>30</v>
      </c>
      <c r="L252" s="505"/>
      <c r="M252" s="476"/>
      <c r="N252" s="397"/>
      <c r="O252" s="397"/>
      <c r="P252" s="397"/>
      <c r="Q252" s="397"/>
      <c r="R252" s="397"/>
      <c r="S252" s="397"/>
      <c r="T252" s="397"/>
      <c r="U252" s="397"/>
      <c r="V252" s="397"/>
      <c r="W252" s="397"/>
      <c r="X252" s="397"/>
      <c r="Y252" s="397"/>
      <c r="Z252" s="397"/>
      <c r="AA252" s="397"/>
      <c r="AB252" s="530"/>
      <c r="AC252" s="530"/>
      <c r="AD252" s="530"/>
      <c r="AE252" s="397"/>
    </row>
    <row r="253" spans="2:31" x14ac:dyDescent="0.25">
      <c r="B253" s="661" t="s">
        <v>1222</v>
      </c>
      <c r="C253" s="661" t="s">
        <v>1223</v>
      </c>
      <c r="D253" s="663" t="s">
        <v>1224</v>
      </c>
      <c r="E253" s="745" t="s">
        <v>35</v>
      </c>
      <c r="F253" s="791"/>
      <c r="G253" s="606"/>
      <c r="H253" s="604">
        <f>G253*K254</f>
        <v>0</v>
      </c>
      <c r="I253" s="530"/>
      <c r="J253" s="505"/>
      <c r="K253" s="505">
        <v>5</v>
      </c>
      <c r="L253" s="505"/>
      <c r="M253" s="476"/>
      <c r="N253" s="397"/>
      <c r="O253" s="397"/>
      <c r="P253" s="397"/>
      <c r="Q253" s="397"/>
      <c r="R253" s="397"/>
      <c r="S253" s="397"/>
      <c r="T253" s="397"/>
      <c r="U253" s="397"/>
      <c r="V253" s="397"/>
      <c r="W253" s="397"/>
      <c r="X253" s="397"/>
      <c r="Y253" s="397"/>
      <c r="Z253" s="397"/>
      <c r="AA253" s="397"/>
      <c r="AB253" s="530"/>
      <c r="AC253" s="530"/>
      <c r="AD253" s="530"/>
      <c r="AE253" s="397"/>
    </row>
    <row r="254" spans="2:31" x14ac:dyDescent="0.25">
      <c r="B254" s="661" t="s">
        <v>1225</v>
      </c>
      <c r="C254" s="661" t="s">
        <v>1226</v>
      </c>
      <c r="D254" s="663" t="s">
        <v>1227</v>
      </c>
      <c r="E254" s="745" t="s">
        <v>35</v>
      </c>
      <c r="F254" s="791"/>
      <c r="G254" s="606"/>
      <c r="H254" s="604">
        <f>G254*K255</f>
        <v>0</v>
      </c>
      <c r="I254" s="530"/>
      <c r="J254" s="505"/>
      <c r="K254" s="505">
        <v>26</v>
      </c>
      <c r="L254" s="505"/>
      <c r="M254" s="476"/>
      <c r="N254" s="397"/>
      <c r="O254" s="397"/>
      <c r="P254" s="397"/>
      <c r="Q254" s="397"/>
      <c r="R254" s="397"/>
      <c r="S254" s="397"/>
      <c r="T254" s="397"/>
      <c r="U254" s="397"/>
      <c r="V254" s="397"/>
      <c r="W254" s="397"/>
      <c r="X254" s="397"/>
      <c r="Y254" s="397"/>
      <c r="Z254" s="397"/>
      <c r="AA254" s="397"/>
      <c r="AB254" s="530"/>
      <c r="AC254" s="530"/>
      <c r="AD254" s="530"/>
      <c r="AE254" s="397"/>
    </row>
    <row r="255" spans="2:31" x14ac:dyDescent="0.25">
      <c r="B255" s="661" t="s">
        <v>1228</v>
      </c>
      <c r="C255" s="661" t="s">
        <v>1229</v>
      </c>
      <c r="D255" s="663" t="s">
        <v>1230</v>
      </c>
      <c r="E255" s="745" t="s">
        <v>35</v>
      </c>
      <c r="F255" s="791"/>
      <c r="G255" s="606"/>
      <c r="H255" s="604">
        <f>G255*K256</f>
        <v>0</v>
      </c>
      <c r="I255" s="530"/>
      <c r="J255" s="417"/>
      <c r="K255" s="505">
        <v>13</v>
      </c>
      <c r="L255" s="505"/>
      <c r="M255" s="476"/>
      <c r="N255" s="397"/>
      <c r="O255" s="397"/>
      <c r="P255" s="397"/>
      <c r="Q255" s="397"/>
      <c r="R255" s="397"/>
      <c r="S255" s="397"/>
      <c r="T255" s="397"/>
      <c r="U255" s="397"/>
      <c r="V255" s="397"/>
      <c r="W255" s="397"/>
      <c r="X255" s="397"/>
      <c r="Y255" s="397"/>
      <c r="Z255" s="397"/>
      <c r="AA255" s="397"/>
      <c r="AB255" s="530"/>
      <c r="AC255" s="530"/>
      <c r="AD255" s="530"/>
      <c r="AE255" s="397"/>
    </row>
    <row r="256" spans="2:31" x14ac:dyDescent="0.25">
      <c r="B256" s="661" t="s">
        <v>1231</v>
      </c>
      <c r="C256" s="661" t="s">
        <v>1232</v>
      </c>
      <c r="D256" s="663" t="s">
        <v>1233</v>
      </c>
      <c r="E256" s="745" t="s">
        <v>35</v>
      </c>
      <c r="F256" s="791"/>
      <c r="G256" s="606"/>
      <c r="H256" s="604">
        <f>G256*K257</f>
        <v>0</v>
      </c>
      <c r="I256" s="530"/>
      <c r="J256" s="505" t="s">
        <v>3</v>
      </c>
      <c r="K256" s="505">
        <v>72</v>
      </c>
      <c r="L256" s="505"/>
      <c r="M256" s="476"/>
      <c r="N256" s="397"/>
      <c r="O256" s="397"/>
      <c r="P256" s="397"/>
      <c r="Q256" s="397"/>
      <c r="R256" s="397"/>
      <c r="S256" s="397"/>
      <c r="T256" s="397"/>
      <c r="U256" s="397"/>
      <c r="V256" s="397"/>
      <c r="W256" s="397"/>
      <c r="X256" s="397"/>
      <c r="Y256" s="397"/>
      <c r="Z256" s="397"/>
      <c r="AA256" s="397"/>
      <c r="AB256" s="530"/>
      <c r="AC256" s="530"/>
      <c r="AD256" s="530"/>
      <c r="AE256" s="397"/>
    </row>
    <row r="257" spans="2:31" x14ac:dyDescent="0.25">
      <c r="B257" s="661" t="s">
        <v>1234</v>
      </c>
      <c r="C257" s="661" t="s">
        <v>1235</v>
      </c>
      <c r="D257" s="663" t="s">
        <v>1236</v>
      </c>
      <c r="E257" s="745" t="s">
        <v>35</v>
      </c>
      <c r="F257" s="791"/>
      <c r="G257" s="606"/>
      <c r="H257" s="604">
        <f>G257*K258</f>
        <v>0</v>
      </c>
      <c r="I257" s="530"/>
      <c r="J257" s="505" t="s">
        <v>465</v>
      </c>
      <c r="K257" s="505">
        <v>4</v>
      </c>
      <c r="L257" s="505"/>
      <c r="M257" s="476"/>
      <c r="N257" s="397"/>
      <c r="O257" s="397"/>
      <c r="P257" s="397"/>
      <c r="Q257" s="397"/>
      <c r="R257" s="397"/>
      <c r="S257" s="397"/>
      <c r="T257" s="397"/>
      <c r="U257" s="397"/>
      <c r="V257" s="397"/>
      <c r="W257" s="397"/>
      <c r="X257" s="397"/>
      <c r="Y257" s="397"/>
      <c r="Z257" s="397"/>
      <c r="AA257" s="397"/>
      <c r="AB257" s="530"/>
      <c r="AC257" s="530"/>
      <c r="AD257" s="530"/>
      <c r="AE257" s="397"/>
    </row>
    <row r="258" spans="2:31" x14ac:dyDescent="0.25">
      <c r="B258" s="661" t="s">
        <v>1237</v>
      </c>
      <c r="C258" s="661" t="s">
        <v>1238</v>
      </c>
      <c r="D258" s="663" t="s">
        <v>1239</v>
      </c>
      <c r="E258" s="746" t="s">
        <v>307</v>
      </c>
      <c r="F258" s="792"/>
      <c r="G258" s="606"/>
      <c r="H258" s="604">
        <f>G258*K259</f>
        <v>0</v>
      </c>
      <c r="I258" s="530"/>
      <c r="J258" s="505" t="s">
        <v>465</v>
      </c>
      <c r="K258" s="505">
        <v>1</v>
      </c>
      <c r="L258" s="505"/>
      <c r="M258" s="476"/>
      <c r="N258" s="397"/>
      <c r="O258" s="397"/>
      <c r="P258" s="397"/>
      <c r="Q258" s="397"/>
      <c r="R258" s="397"/>
      <c r="S258" s="397"/>
      <c r="T258" s="397"/>
      <c r="U258" s="397"/>
      <c r="V258" s="397"/>
      <c r="W258" s="397"/>
      <c r="X258" s="397"/>
      <c r="Y258" s="397"/>
      <c r="Z258" s="397"/>
      <c r="AA258" s="397"/>
      <c r="AB258" s="530"/>
      <c r="AC258" s="530"/>
      <c r="AD258" s="530"/>
      <c r="AE258" s="397"/>
    </row>
    <row r="259" spans="2:31" x14ac:dyDescent="0.25">
      <c r="B259" s="661" t="s">
        <v>1240</v>
      </c>
      <c r="C259" s="661" t="s">
        <v>1241</v>
      </c>
      <c r="D259" s="663" t="s">
        <v>1242</v>
      </c>
      <c r="E259" s="746" t="s">
        <v>307</v>
      </c>
      <c r="F259" s="792"/>
      <c r="G259" s="606"/>
      <c r="H259" s="604">
        <f>G259*K260</f>
        <v>0</v>
      </c>
      <c r="I259" s="530"/>
      <c r="J259" s="505" t="s">
        <v>465</v>
      </c>
      <c r="K259" s="505">
        <v>37</v>
      </c>
      <c r="L259" s="505"/>
      <c r="M259" s="476"/>
      <c r="N259" s="397"/>
      <c r="O259" s="397"/>
      <c r="P259" s="397"/>
      <c r="Q259" s="397"/>
      <c r="R259" s="397"/>
      <c r="S259" s="397"/>
      <c r="T259" s="397"/>
      <c r="U259" s="397"/>
      <c r="V259" s="397"/>
      <c r="W259" s="397"/>
      <c r="X259" s="397"/>
      <c r="Y259" s="397"/>
      <c r="Z259" s="397"/>
      <c r="AA259" s="397"/>
      <c r="AB259" s="530"/>
      <c r="AC259" s="530"/>
      <c r="AD259" s="530"/>
      <c r="AE259" s="397"/>
    </row>
    <row r="260" spans="2:31" x14ac:dyDescent="0.25">
      <c r="B260" s="665" t="s">
        <v>1243</v>
      </c>
      <c r="C260" s="665" t="s">
        <v>1244</v>
      </c>
      <c r="D260" s="663" t="s">
        <v>1245</v>
      </c>
      <c r="E260" s="745" t="s">
        <v>35</v>
      </c>
      <c r="F260" s="791"/>
      <c r="G260" s="606"/>
      <c r="H260" s="604">
        <f>G260*K261</f>
        <v>0</v>
      </c>
      <c r="I260" s="530"/>
      <c r="J260" s="505" t="s">
        <v>465</v>
      </c>
      <c r="K260" s="505">
        <v>22</v>
      </c>
      <c r="L260" s="505"/>
      <c r="M260" s="476"/>
      <c r="N260" s="397"/>
      <c r="O260" s="397"/>
      <c r="P260" s="397"/>
      <c r="Q260" s="397"/>
      <c r="R260" s="397"/>
      <c r="S260" s="397"/>
      <c r="T260" s="397"/>
      <c r="U260" s="397"/>
      <c r="V260" s="397"/>
      <c r="W260" s="397"/>
      <c r="X260" s="397"/>
      <c r="Y260" s="397"/>
      <c r="Z260" s="397"/>
      <c r="AA260" s="397"/>
      <c r="AB260" s="530"/>
      <c r="AC260" s="530"/>
      <c r="AD260" s="530"/>
      <c r="AE260" s="397"/>
    </row>
    <row r="261" spans="2:31" x14ac:dyDescent="0.25">
      <c r="B261" s="665" t="s">
        <v>1246</v>
      </c>
      <c r="C261" s="665" t="s">
        <v>1247</v>
      </c>
      <c r="D261" s="663" t="s">
        <v>1248</v>
      </c>
      <c r="E261" s="744" t="s">
        <v>304</v>
      </c>
      <c r="F261" s="790"/>
      <c r="G261" s="606"/>
      <c r="H261" s="604">
        <f>G261*K262</f>
        <v>0</v>
      </c>
      <c r="I261" s="530"/>
      <c r="J261" s="537" t="s">
        <v>465</v>
      </c>
      <c r="K261" s="505">
        <v>5</v>
      </c>
      <c r="L261" s="505"/>
      <c r="M261" s="476"/>
      <c r="N261" s="397"/>
      <c r="O261" s="397"/>
      <c r="P261" s="397"/>
      <c r="Q261" s="397"/>
      <c r="R261" s="397"/>
      <c r="S261" s="397"/>
      <c r="T261" s="397"/>
      <c r="U261" s="397"/>
      <c r="V261" s="397"/>
      <c r="W261" s="397"/>
      <c r="X261" s="397"/>
      <c r="Y261" s="397"/>
      <c r="Z261" s="397"/>
      <c r="AA261" s="397"/>
      <c r="AB261" s="530"/>
      <c r="AC261" s="530"/>
      <c r="AD261" s="530"/>
      <c r="AE261" s="397"/>
    </row>
    <row r="262" spans="2:31" x14ac:dyDescent="0.25">
      <c r="B262" s="665" t="s">
        <v>1249</v>
      </c>
      <c r="C262" s="665" t="s">
        <v>1250</v>
      </c>
      <c r="D262" s="663" t="s">
        <v>1251</v>
      </c>
      <c r="E262" s="668" t="s">
        <v>308</v>
      </c>
      <c r="F262" s="794"/>
      <c r="G262" s="605"/>
      <c r="H262" s="604">
        <f>G262*K263</f>
        <v>0</v>
      </c>
      <c r="I262" s="530"/>
      <c r="J262" s="537" t="s">
        <v>465</v>
      </c>
      <c r="K262" s="505">
        <v>40</v>
      </c>
      <c r="L262" s="505"/>
      <c r="M262" s="476"/>
      <c r="N262" s="397"/>
      <c r="O262" s="397"/>
      <c r="P262" s="397"/>
      <c r="Q262" s="397"/>
      <c r="R262" s="397"/>
      <c r="S262" s="397"/>
      <c r="T262" s="397"/>
      <c r="U262" s="397"/>
      <c r="V262" s="397"/>
      <c r="W262" s="397"/>
      <c r="X262" s="397"/>
      <c r="Y262" s="397"/>
      <c r="Z262" s="397"/>
      <c r="AA262" s="397"/>
      <c r="AB262" s="530"/>
      <c r="AC262" s="530"/>
      <c r="AD262" s="530"/>
      <c r="AE262" s="397"/>
    </row>
    <row r="263" spans="2:31" x14ac:dyDescent="0.25">
      <c r="B263" s="661" t="s">
        <v>1252</v>
      </c>
      <c r="C263" s="661" t="s">
        <v>1253</v>
      </c>
      <c r="D263" s="663" t="s">
        <v>1254</v>
      </c>
      <c r="E263" s="746" t="s">
        <v>307</v>
      </c>
      <c r="F263" s="792"/>
      <c r="G263" s="606"/>
      <c r="H263" s="604">
        <f>G263*K264</f>
        <v>0</v>
      </c>
      <c r="I263" s="530"/>
      <c r="J263" s="537" t="s">
        <v>465</v>
      </c>
      <c r="K263" s="505">
        <v>13</v>
      </c>
      <c r="L263" s="505"/>
      <c r="M263" s="476"/>
      <c r="N263" s="397"/>
      <c r="O263" s="397"/>
      <c r="P263" s="397"/>
      <c r="Q263" s="397"/>
      <c r="R263" s="397"/>
      <c r="S263" s="397"/>
      <c r="T263" s="397"/>
      <c r="U263" s="397"/>
      <c r="V263" s="397"/>
      <c r="W263" s="397"/>
      <c r="X263" s="397"/>
      <c r="Y263" s="397"/>
      <c r="Z263" s="397"/>
      <c r="AA263" s="397"/>
      <c r="AB263" s="530"/>
      <c r="AC263" s="530"/>
      <c r="AD263" s="530"/>
      <c r="AE263" s="397"/>
    </row>
    <row r="264" spans="2:31" x14ac:dyDescent="0.25">
      <c r="B264" s="661" t="s">
        <v>1255</v>
      </c>
      <c r="C264" s="661" t="s">
        <v>1256</v>
      </c>
      <c r="D264" s="663" t="s">
        <v>1257</v>
      </c>
      <c r="E264" s="745" t="s">
        <v>35</v>
      </c>
      <c r="F264" s="791"/>
      <c r="G264" s="606"/>
      <c r="H264" s="604">
        <f>G264*K265</f>
        <v>0</v>
      </c>
      <c r="I264" s="530"/>
      <c r="J264" s="505" t="s">
        <v>465</v>
      </c>
      <c r="K264" s="505">
        <v>5</v>
      </c>
      <c r="L264" s="505"/>
      <c r="M264" s="476"/>
      <c r="N264" s="397"/>
      <c r="O264" s="397"/>
      <c r="P264" s="397"/>
      <c r="Q264" s="397"/>
      <c r="R264" s="397"/>
      <c r="S264" s="397"/>
      <c r="T264" s="397"/>
      <c r="U264" s="397"/>
      <c r="V264" s="397"/>
      <c r="W264" s="397"/>
      <c r="X264" s="397"/>
      <c r="Y264" s="397"/>
      <c r="Z264" s="397"/>
      <c r="AA264" s="397"/>
      <c r="AB264" s="530"/>
      <c r="AC264" s="530"/>
      <c r="AD264" s="530"/>
      <c r="AE264" s="397"/>
    </row>
    <row r="265" spans="2:31" x14ac:dyDescent="0.25">
      <c r="B265" s="661" t="s">
        <v>1258</v>
      </c>
      <c r="C265" s="661" t="s">
        <v>1259</v>
      </c>
      <c r="D265" s="663" t="s">
        <v>1260</v>
      </c>
      <c r="E265" s="746" t="s">
        <v>307</v>
      </c>
      <c r="F265" s="792"/>
      <c r="G265" s="606"/>
      <c r="H265" s="604">
        <f>G265*K266</f>
        <v>0</v>
      </c>
      <c r="I265" s="530"/>
      <c r="J265" s="505" t="s">
        <v>465</v>
      </c>
      <c r="K265" s="505">
        <v>9</v>
      </c>
      <c r="L265" s="505"/>
      <c r="M265" s="476"/>
      <c r="N265" s="397"/>
      <c r="O265" s="397"/>
      <c r="P265" s="397"/>
      <c r="Q265" s="397"/>
      <c r="R265" s="397"/>
      <c r="S265" s="397"/>
      <c r="T265" s="397"/>
      <c r="U265" s="397"/>
      <c r="V265" s="397"/>
      <c r="W265" s="397"/>
      <c r="X265" s="397"/>
      <c r="Y265" s="397"/>
      <c r="Z265" s="397"/>
      <c r="AA265" s="397"/>
      <c r="AB265" s="530"/>
      <c r="AC265" s="530"/>
      <c r="AD265" s="530"/>
      <c r="AE265" s="397"/>
    </row>
    <row r="266" spans="2:31" x14ac:dyDescent="0.25">
      <c r="B266" s="661" t="s">
        <v>1261</v>
      </c>
      <c r="C266" s="661" t="s">
        <v>1262</v>
      </c>
      <c r="D266" s="663" t="s">
        <v>1263</v>
      </c>
      <c r="E266" s="745" t="s">
        <v>35</v>
      </c>
      <c r="F266" s="791"/>
      <c r="G266" s="606"/>
      <c r="H266" s="604">
        <f>G266*K267</f>
        <v>0</v>
      </c>
      <c r="I266" s="530"/>
      <c r="J266" s="505" t="s">
        <v>465</v>
      </c>
      <c r="K266" s="505">
        <v>13</v>
      </c>
      <c r="L266" s="505"/>
      <c r="M266" s="476"/>
      <c r="N266" s="397"/>
      <c r="O266" s="397"/>
      <c r="P266" s="397"/>
      <c r="Q266" s="397"/>
      <c r="R266" s="397"/>
      <c r="S266" s="397"/>
      <c r="T266" s="397"/>
      <c r="U266" s="397"/>
      <c r="V266" s="397"/>
      <c r="W266" s="397"/>
      <c r="X266" s="397"/>
      <c r="Y266" s="397"/>
      <c r="Z266" s="397"/>
      <c r="AA266" s="397"/>
      <c r="AB266" s="530"/>
      <c r="AC266" s="530"/>
      <c r="AD266" s="530"/>
      <c r="AE266" s="397"/>
    </row>
    <row r="267" spans="2:31" x14ac:dyDescent="0.25">
      <c r="B267" s="661" t="s">
        <v>1264</v>
      </c>
      <c r="C267" s="661" t="s">
        <v>1265</v>
      </c>
      <c r="D267" s="663" t="s">
        <v>1266</v>
      </c>
      <c r="E267" s="745" t="s">
        <v>35</v>
      </c>
      <c r="F267" s="791"/>
      <c r="G267" s="606"/>
      <c r="H267" s="604">
        <f>G267*K268</f>
        <v>0</v>
      </c>
      <c r="I267" s="530"/>
      <c r="J267" s="505" t="s">
        <v>465</v>
      </c>
      <c r="K267" s="505">
        <v>2</v>
      </c>
      <c r="L267" s="505"/>
      <c r="M267" s="476"/>
      <c r="N267" s="397"/>
      <c r="O267" s="397"/>
      <c r="P267" s="397"/>
      <c r="Q267" s="397"/>
      <c r="R267" s="397"/>
      <c r="S267" s="397"/>
      <c r="T267" s="397"/>
      <c r="U267" s="397"/>
      <c r="V267" s="397"/>
      <c r="W267" s="397"/>
      <c r="X267" s="397"/>
      <c r="Y267" s="397"/>
      <c r="Z267" s="397"/>
      <c r="AA267" s="397"/>
      <c r="AB267" s="530"/>
      <c r="AC267" s="530"/>
      <c r="AD267" s="530"/>
      <c r="AE267" s="397"/>
    </row>
    <row r="268" spans="2:31" x14ac:dyDescent="0.25">
      <c r="B268" s="661" t="s">
        <v>1267</v>
      </c>
      <c r="C268" s="661" t="s">
        <v>1268</v>
      </c>
      <c r="D268" s="663" t="s">
        <v>1269</v>
      </c>
      <c r="E268" s="745" t="s">
        <v>35</v>
      </c>
      <c r="F268" s="791"/>
      <c r="G268" s="606"/>
      <c r="H268" s="604">
        <f>G268*K269</f>
        <v>0</v>
      </c>
      <c r="I268" s="530"/>
      <c r="J268" s="505" t="s">
        <v>465</v>
      </c>
      <c r="K268" s="505">
        <v>14</v>
      </c>
      <c r="L268" s="505"/>
      <c r="M268" s="476"/>
      <c r="N268" s="397"/>
      <c r="O268" s="397"/>
      <c r="P268" s="397"/>
      <c r="Q268" s="397"/>
      <c r="R268" s="397"/>
      <c r="S268" s="397"/>
      <c r="T268" s="397"/>
      <c r="U268" s="397"/>
      <c r="V268" s="397"/>
      <c r="W268" s="397"/>
      <c r="X268" s="397"/>
      <c r="Y268" s="397"/>
      <c r="Z268" s="397"/>
      <c r="AA268" s="397"/>
      <c r="AB268" s="530"/>
      <c r="AC268" s="530"/>
      <c r="AD268" s="530"/>
      <c r="AE268" s="397"/>
    </row>
    <row r="269" spans="2:31" x14ac:dyDescent="0.25">
      <c r="B269" s="661" t="s">
        <v>1270</v>
      </c>
      <c r="C269" s="661" t="s">
        <v>1271</v>
      </c>
      <c r="D269" s="663" t="s">
        <v>1272</v>
      </c>
      <c r="E269" s="745" t="s">
        <v>35</v>
      </c>
      <c r="F269" s="791"/>
      <c r="G269" s="606"/>
      <c r="H269" s="604">
        <f>G269*K270</f>
        <v>0</v>
      </c>
      <c r="I269" s="530"/>
      <c r="J269" s="505" t="s">
        <v>465</v>
      </c>
      <c r="K269" s="505">
        <v>3</v>
      </c>
      <c r="L269" s="505"/>
      <c r="M269" s="476"/>
      <c r="N269" s="397"/>
      <c r="O269" s="397"/>
      <c r="P269" s="397"/>
      <c r="Q269" s="397"/>
      <c r="R269" s="397"/>
      <c r="S269" s="397"/>
      <c r="T269" s="397"/>
      <c r="U269" s="397"/>
      <c r="V269" s="397"/>
      <c r="W269" s="397"/>
      <c r="X269" s="397"/>
      <c r="Y269" s="397"/>
      <c r="Z269" s="397"/>
      <c r="AA269" s="397"/>
      <c r="AB269" s="530"/>
      <c r="AC269" s="530"/>
      <c r="AD269" s="530"/>
      <c r="AE269" s="397"/>
    </row>
    <row r="270" spans="2:31" x14ac:dyDescent="0.25">
      <c r="B270" s="661" t="s">
        <v>1273</v>
      </c>
      <c r="C270" s="661" t="s">
        <v>1274</v>
      </c>
      <c r="D270" s="663" t="s">
        <v>1275</v>
      </c>
      <c r="E270" s="746" t="s">
        <v>307</v>
      </c>
      <c r="F270" s="792"/>
      <c r="G270" s="606"/>
      <c r="H270" s="604">
        <f>G270*K271</f>
        <v>0</v>
      </c>
      <c r="I270" s="530"/>
      <c r="J270" s="505" t="s">
        <v>465</v>
      </c>
      <c r="K270" s="505">
        <v>10</v>
      </c>
      <c r="L270" s="505"/>
      <c r="M270" s="476"/>
      <c r="N270" s="397"/>
      <c r="O270" s="397"/>
      <c r="P270" s="397"/>
      <c r="Q270" s="397"/>
      <c r="R270" s="397"/>
      <c r="S270" s="397"/>
      <c r="T270" s="397"/>
      <c r="U270" s="397"/>
      <c r="V270" s="397"/>
      <c r="W270" s="397"/>
      <c r="X270" s="397"/>
      <c r="Y270" s="397"/>
      <c r="Z270" s="397"/>
      <c r="AA270" s="397"/>
      <c r="AB270" s="530"/>
      <c r="AC270" s="530"/>
      <c r="AD270" s="530"/>
      <c r="AE270" s="397"/>
    </row>
    <row r="271" spans="2:31" x14ac:dyDescent="0.25">
      <c r="B271" s="661" t="s">
        <v>1276</v>
      </c>
      <c r="C271" s="661" t="s">
        <v>1277</v>
      </c>
      <c r="D271" s="663" t="s">
        <v>1278</v>
      </c>
      <c r="E271" s="746" t="s">
        <v>307</v>
      </c>
      <c r="F271" s="792"/>
      <c r="G271" s="606"/>
      <c r="H271" s="604">
        <f>G271*K272</f>
        <v>0</v>
      </c>
      <c r="I271" s="530"/>
      <c r="J271" s="505" t="s">
        <v>465</v>
      </c>
      <c r="K271" s="505">
        <v>7</v>
      </c>
      <c r="L271" s="505"/>
      <c r="M271" s="476"/>
      <c r="N271" s="397"/>
      <c r="O271" s="397"/>
      <c r="P271" s="397"/>
      <c r="Q271" s="397"/>
      <c r="R271" s="397"/>
      <c r="S271" s="397"/>
      <c r="T271" s="397"/>
      <c r="U271" s="397"/>
      <c r="V271" s="397"/>
      <c r="W271" s="397"/>
      <c r="X271" s="397"/>
      <c r="Y271" s="397"/>
      <c r="Z271" s="397"/>
      <c r="AA271" s="397"/>
      <c r="AB271" s="530"/>
      <c r="AC271" s="530"/>
      <c r="AD271" s="530"/>
      <c r="AE271" s="397"/>
    </row>
    <row r="272" spans="2:31" x14ac:dyDescent="0.25">
      <c r="B272" s="661" t="s">
        <v>1279</v>
      </c>
      <c r="C272" s="661" t="s">
        <v>1280</v>
      </c>
      <c r="D272" s="663" t="s">
        <v>1281</v>
      </c>
      <c r="E272" s="745" t="s">
        <v>35</v>
      </c>
      <c r="F272" s="791"/>
      <c r="G272" s="606"/>
      <c r="H272" s="604">
        <f>G272*K273</f>
        <v>0</v>
      </c>
      <c r="I272" s="530"/>
      <c r="J272" s="505" t="s">
        <v>465</v>
      </c>
      <c r="K272" s="505">
        <v>6</v>
      </c>
      <c r="L272" s="505"/>
      <c r="M272" s="476"/>
      <c r="N272" s="397"/>
      <c r="O272" s="397"/>
      <c r="P272" s="397"/>
      <c r="Q272" s="397"/>
      <c r="R272" s="397"/>
      <c r="S272" s="397"/>
      <c r="T272" s="397"/>
      <c r="U272" s="397"/>
      <c r="V272" s="397"/>
      <c r="W272" s="397"/>
      <c r="X272" s="397"/>
      <c r="Y272" s="397"/>
      <c r="Z272" s="397"/>
      <c r="AA272" s="397"/>
      <c r="AB272" s="530"/>
      <c r="AC272" s="530"/>
      <c r="AD272" s="530"/>
      <c r="AE272" s="397"/>
    </row>
    <row r="273" spans="2:31" x14ac:dyDescent="0.25">
      <c r="B273" s="661" t="s">
        <v>1282</v>
      </c>
      <c r="C273" s="661" t="s">
        <v>1283</v>
      </c>
      <c r="D273" s="663" t="s">
        <v>1284</v>
      </c>
      <c r="E273" s="745" t="s">
        <v>35</v>
      </c>
      <c r="F273" s="791"/>
      <c r="G273" s="606"/>
      <c r="H273" s="604">
        <f>G273*K274</f>
        <v>0</v>
      </c>
      <c r="I273" s="530"/>
      <c r="J273" s="505" t="s">
        <v>465</v>
      </c>
      <c r="K273" s="505">
        <v>18</v>
      </c>
      <c r="L273" s="505"/>
      <c r="M273" s="476"/>
      <c r="N273" s="397"/>
      <c r="O273" s="397"/>
      <c r="P273" s="397"/>
      <c r="Q273" s="397"/>
      <c r="R273" s="397"/>
      <c r="S273" s="397"/>
      <c r="T273" s="397"/>
      <c r="U273" s="397"/>
      <c r="V273" s="397"/>
      <c r="W273" s="397"/>
      <c r="X273" s="397"/>
      <c r="Y273" s="397"/>
      <c r="Z273" s="397"/>
      <c r="AA273" s="397"/>
      <c r="AB273" s="530"/>
      <c r="AC273" s="530"/>
      <c r="AD273" s="530"/>
      <c r="AE273" s="397"/>
    </row>
    <row r="274" spans="2:31" x14ac:dyDescent="0.25">
      <c r="B274" s="661" t="s">
        <v>1286</v>
      </c>
      <c r="C274" s="661" t="s">
        <v>1287</v>
      </c>
      <c r="D274" s="663" t="s">
        <v>1288</v>
      </c>
      <c r="E274" s="745" t="s">
        <v>35</v>
      </c>
      <c r="F274" s="791"/>
      <c r="G274" s="606"/>
      <c r="H274" s="604">
        <f>G274*K275</f>
        <v>0</v>
      </c>
      <c r="I274" s="530"/>
      <c r="J274" s="505" t="s">
        <v>1285</v>
      </c>
      <c r="K274" s="505">
        <v>4</v>
      </c>
      <c r="L274" s="505"/>
      <c r="M274" s="476"/>
      <c r="N274" s="397"/>
      <c r="O274" s="397"/>
      <c r="P274" s="397"/>
      <c r="Q274" s="397"/>
      <c r="R274" s="397"/>
      <c r="S274" s="397"/>
      <c r="T274" s="397"/>
      <c r="U274" s="397"/>
      <c r="V274" s="397"/>
      <c r="W274" s="397"/>
      <c r="X274" s="397"/>
      <c r="Y274" s="397"/>
      <c r="Z274" s="397"/>
      <c r="AA274" s="397"/>
      <c r="AB274" s="530"/>
      <c r="AC274" s="530"/>
      <c r="AD274" s="530"/>
      <c r="AE274" s="397"/>
    </row>
    <row r="275" spans="2:31" x14ac:dyDescent="0.25">
      <c r="B275" s="661" t="s">
        <v>1289</v>
      </c>
      <c r="C275" s="661" t="s">
        <v>1290</v>
      </c>
      <c r="D275" s="663" t="s">
        <v>1291</v>
      </c>
      <c r="E275" s="745" t="s">
        <v>35</v>
      </c>
      <c r="F275" s="791"/>
      <c r="G275" s="606"/>
      <c r="H275" s="604">
        <f>G275*K276</f>
        <v>0</v>
      </c>
      <c r="I275" s="530"/>
      <c r="J275" s="505" t="s">
        <v>1285</v>
      </c>
      <c r="K275" s="505">
        <v>13</v>
      </c>
      <c r="L275" s="505"/>
      <c r="M275" s="476"/>
      <c r="N275" s="397"/>
      <c r="O275" s="397"/>
      <c r="P275" s="397"/>
      <c r="Q275" s="397"/>
      <c r="R275" s="397"/>
      <c r="S275" s="397"/>
      <c r="T275" s="397"/>
      <c r="U275" s="397"/>
      <c r="V275" s="397"/>
      <c r="W275" s="397"/>
      <c r="X275" s="397"/>
      <c r="Y275" s="397"/>
      <c r="Z275" s="397"/>
      <c r="AA275" s="397"/>
      <c r="AB275" s="530"/>
      <c r="AC275" s="530"/>
      <c r="AD275" s="530"/>
      <c r="AE275" s="397"/>
    </row>
    <row r="276" spans="2:31" x14ac:dyDescent="0.25">
      <c r="B276" s="661" t="s">
        <v>1292</v>
      </c>
      <c r="C276" s="661" t="s">
        <v>1293</v>
      </c>
      <c r="D276" s="663" t="s">
        <v>1294</v>
      </c>
      <c r="E276" s="745" t="s">
        <v>35</v>
      </c>
      <c r="F276" s="791"/>
      <c r="G276" s="606"/>
      <c r="H276" s="604">
        <f>G276*K277</f>
        <v>0</v>
      </c>
      <c r="I276" s="530"/>
      <c r="J276" s="505" t="s">
        <v>1285</v>
      </c>
      <c r="K276" s="505">
        <v>5</v>
      </c>
      <c r="L276" s="505"/>
      <c r="M276" s="476"/>
      <c r="N276" s="397"/>
      <c r="O276" s="397"/>
      <c r="P276" s="397"/>
      <c r="Q276" s="397"/>
      <c r="R276" s="397"/>
      <c r="S276" s="397"/>
      <c r="T276" s="397"/>
      <c r="U276" s="397"/>
      <c r="V276" s="397"/>
      <c r="W276" s="397"/>
      <c r="X276" s="397"/>
      <c r="Y276" s="397"/>
      <c r="Z276" s="397"/>
      <c r="AA276" s="397"/>
      <c r="AB276" s="530"/>
      <c r="AC276" s="530"/>
      <c r="AD276" s="530"/>
      <c r="AE276" s="397"/>
    </row>
    <row r="277" spans="2:31" x14ac:dyDescent="0.25">
      <c r="B277" s="661" t="s">
        <v>1295</v>
      </c>
      <c r="C277" s="661" t="s">
        <v>1296</v>
      </c>
      <c r="D277" s="663" t="s">
        <v>1297</v>
      </c>
      <c r="E277" s="745" t="s">
        <v>35</v>
      </c>
      <c r="F277" s="791"/>
      <c r="G277" s="606"/>
      <c r="H277" s="604">
        <f>G277*K278</f>
        <v>0</v>
      </c>
      <c r="I277" s="530"/>
      <c r="J277" s="505" t="s">
        <v>1285</v>
      </c>
      <c r="K277" s="505">
        <v>5</v>
      </c>
      <c r="L277" s="505"/>
      <c r="M277" s="476"/>
      <c r="N277" s="397"/>
      <c r="O277" s="397"/>
      <c r="P277" s="397"/>
      <c r="Q277" s="397"/>
      <c r="R277" s="397"/>
      <c r="S277" s="397"/>
      <c r="T277" s="397"/>
      <c r="U277" s="397"/>
      <c r="V277" s="397"/>
      <c r="W277" s="397"/>
      <c r="X277" s="397"/>
      <c r="Y277" s="397"/>
      <c r="Z277" s="397"/>
      <c r="AA277" s="397"/>
      <c r="AB277" s="530"/>
      <c r="AC277" s="530"/>
      <c r="AD277" s="530"/>
      <c r="AE277" s="397"/>
    </row>
    <row r="278" spans="2:31" x14ac:dyDescent="0.25">
      <c r="B278" s="661" t="s">
        <v>1298</v>
      </c>
      <c r="C278" s="661" t="s">
        <v>1299</v>
      </c>
      <c r="D278" s="663" t="s">
        <v>1300</v>
      </c>
      <c r="E278" s="745" t="s">
        <v>35</v>
      </c>
      <c r="F278" s="791"/>
      <c r="G278" s="606"/>
      <c r="H278" s="604">
        <f>G278*K279</f>
        <v>0</v>
      </c>
      <c r="I278" s="530"/>
      <c r="J278" s="505" t="s">
        <v>1285</v>
      </c>
      <c r="K278" s="505">
        <v>6</v>
      </c>
      <c r="L278" s="505"/>
      <c r="M278" s="476"/>
      <c r="N278" s="397"/>
      <c r="O278" s="397"/>
      <c r="P278" s="397"/>
      <c r="Q278" s="397"/>
      <c r="R278" s="397"/>
      <c r="S278" s="397"/>
      <c r="T278" s="397"/>
      <c r="U278" s="397"/>
      <c r="V278" s="397"/>
      <c r="W278" s="397"/>
      <c r="X278" s="397"/>
      <c r="Y278" s="397"/>
      <c r="Z278" s="397"/>
      <c r="AA278" s="397"/>
      <c r="AB278" s="530"/>
      <c r="AC278" s="530"/>
      <c r="AD278" s="530"/>
      <c r="AE278" s="397"/>
    </row>
    <row r="279" spans="2:31" x14ac:dyDescent="0.25">
      <c r="B279" s="661" t="s">
        <v>1301</v>
      </c>
      <c r="C279" s="661" t="s">
        <v>1302</v>
      </c>
      <c r="D279" s="663" t="s">
        <v>1303</v>
      </c>
      <c r="E279" s="745" t="s">
        <v>35</v>
      </c>
      <c r="F279" s="791"/>
      <c r="G279" s="606"/>
      <c r="H279" s="604">
        <f>G279*K280</f>
        <v>0</v>
      </c>
      <c r="I279" s="530"/>
      <c r="J279" s="505" t="s">
        <v>1285</v>
      </c>
      <c r="K279" s="505">
        <v>1</v>
      </c>
      <c r="L279" s="505"/>
      <c r="M279" s="476"/>
      <c r="N279" s="397"/>
      <c r="O279" s="397"/>
      <c r="P279" s="397"/>
      <c r="Q279" s="397"/>
      <c r="R279" s="397"/>
      <c r="S279" s="397"/>
      <c r="T279" s="397"/>
      <c r="U279" s="397"/>
      <c r="V279" s="397"/>
      <c r="W279" s="397"/>
      <c r="X279" s="397"/>
      <c r="Y279" s="397"/>
      <c r="Z279" s="397"/>
      <c r="AA279" s="397"/>
      <c r="AB279" s="530"/>
      <c r="AC279" s="530"/>
      <c r="AD279" s="530"/>
      <c r="AE279" s="397"/>
    </row>
    <row r="280" spans="2:31" x14ac:dyDescent="0.25">
      <c r="B280" s="661" t="s">
        <v>1304</v>
      </c>
      <c r="C280" s="661" t="s">
        <v>1305</v>
      </c>
      <c r="D280" s="663" t="s">
        <v>1306</v>
      </c>
      <c r="E280" s="745" t="s">
        <v>35</v>
      </c>
      <c r="F280" s="791"/>
      <c r="G280" s="606"/>
      <c r="H280" s="604">
        <f>G280*K281</f>
        <v>0</v>
      </c>
      <c r="I280" s="530"/>
      <c r="J280" s="505" t="s">
        <v>1285</v>
      </c>
      <c r="K280" s="505">
        <v>5</v>
      </c>
      <c r="L280" s="505"/>
      <c r="M280" s="476"/>
      <c r="N280" s="397"/>
      <c r="O280" s="397"/>
      <c r="P280" s="397"/>
      <c r="Q280" s="397"/>
      <c r="R280" s="397"/>
      <c r="S280" s="397"/>
      <c r="T280" s="397"/>
      <c r="U280" s="397"/>
      <c r="V280" s="397"/>
      <c r="W280" s="397"/>
      <c r="X280" s="397"/>
      <c r="Y280" s="397"/>
      <c r="Z280" s="397"/>
      <c r="AA280" s="397"/>
      <c r="AB280" s="530"/>
      <c r="AC280" s="530"/>
      <c r="AD280" s="530"/>
      <c r="AE280" s="397"/>
    </row>
    <row r="281" spans="2:31" x14ac:dyDescent="0.25">
      <c r="B281" s="661" t="s">
        <v>1307</v>
      </c>
      <c r="C281" s="661" t="s">
        <v>1308</v>
      </c>
      <c r="D281" s="663" t="s">
        <v>1309</v>
      </c>
      <c r="E281" s="744" t="s">
        <v>304</v>
      </c>
      <c r="F281" s="790"/>
      <c r="G281" s="606"/>
      <c r="H281" s="604">
        <f>G281*K282</f>
        <v>0</v>
      </c>
      <c r="I281" s="530"/>
      <c r="J281" s="505" t="s">
        <v>1285</v>
      </c>
      <c r="K281" s="505">
        <v>0.2</v>
      </c>
      <c r="L281" s="505"/>
      <c r="M281" s="476"/>
      <c r="N281" s="397"/>
      <c r="O281" s="397"/>
      <c r="P281" s="397"/>
      <c r="Q281" s="397"/>
      <c r="R281" s="397"/>
      <c r="S281" s="397"/>
      <c r="T281" s="397"/>
      <c r="U281" s="397"/>
      <c r="V281" s="397"/>
      <c r="W281" s="397"/>
      <c r="X281" s="397"/>
      <c r="Y281" s="397"/>
      <c r="Z281" s="397"/>
      <c r="AA281" s="397"/>
      <c r="AB281" s="530"/>
      <c r="AC281" s="530"/>
      <c r="AD281" s="530"/>
      <c r="AE281" s="397"/>
    </row>
    <row r="282" spans="2:31" x14ac:dyDescent="0.25">
      <c r="B282" s="661" t="s">
        <v>1310</v>
      </c>
      <c r="C282" s="661" t="s">
        <v>1311</v>
      </c>
      <c r="D282" s="663" t="s">
        <v>1312</v>
      </c>
      <c r="E282" s="746" t="s">
        <v>307</v>
      </c>
      <c r="F282" s="792"/>
      <c r="G282" s="606"/>
      <c r="H282" s="604">
        <f>G282*K283</f>
        <v>0</v>
      </c>
      <c r="I282" s="530"/>
      <c r="J282" s="505"/>
      <c r="K282" s="505">
        <v>10</v>
      </c>
      <c r="L282" s="505"/>
      <c r="M282" s="476"/>
      <c r="N282" s="397"/>
      <c r="O282" s="397"/>
      <c r="P282" s="397"/>
      <c r="Q282" s="397"/>
      <c r="R282" s="397"/>
      <c r="S282" s="397"/>
      <c r="T282" s="397"/>
      <c r="U282" s="397"/>
      <c r="V282" s="397"/>
      <c r="W282" s="397"/>
      <c r="X282" s="397"/>
      <c r="Y282" s="397"/>
      <c r="Z282" s="397"/>
      <c r="AA282" s="397"/>
      <c r="AB282" s="530"/>
      <c r="AC282" s="530"/>
      <c r="AD282" s="530"/>
      <c r="AE282" s="397"/>
    </row>
    <row r="283" spans="2:31" x14ac:dyDescent="0.25">
      <c r="B283" s="661" t="s">
        <v>1313</v>
      </c>
      <c r="C283" s="661" t="s">
        <v>1314</v>
      </c>
      <c r="D283" s="663" t="s">
        <v>1315</v>
      </c>
      <c r="E283" s="745" t="s">
        <v>35</v>
      </c>
      <c r="F283" s="791"/>
      <c r="G283" s="606"/>
      <c r="H283" s="604">
        <f>G283*K284</f>
        <v>0</v>
      </c>
      <c r="I283" s="530"/>
      <c r="J283" s="505"/>
      <c r="K283" s="505">
        <v>27</v>
      </c>
      <c r="L283" s="505"/>
      <c r="M283" s="476"/>
      <c r="N283" s="397"/>
      <c r="O283" s="397"/>
      <c r="P283" s="397"/>
      <c r="Q283" s="397"/>
      <c r="R283" s="397"/>
      <c r="S283" s="397"/>
      <c r="T283" s="397"/>
      <c r="U283" s="397"/>
      <c r="V283" s="397"/>
      <c r="W283" s="397"/>
      <c r="X283" s="397"/>
      <c r="Y283" s="397"/>
      <c r="Z283" s="397"/>
      <c r="AA283" s="397"/>
      <c r="AB283" s="530"/>
      <c r="AC283" s="530"/>
      <c r="AD283" s="530"/>
      <c r="AE283" s="397"/>
    </row>
    <row r="284" spans="2:31" x14ac:dyDescent="0.25">
      <c r="B284" s="661" t="s">
        <v>1316</v>
      </c>
      <c r="C284" s="661" t="s">
        <v>1317</v>
      </c>
      <c r="D284" s="663" t="s">
        <v>1318</v>
      </c>
      <c r="E284" s="746" t="s">
        <v>307</v>
      </c>
      <c r="F284" s="792"/>
      <c r="G284" s="606"/>
      <c r="H284" s="604">
        <f>G284*K285</f>
        <v>0</v>
      </c>
      <c r="I284" s="530"/>
      <c r="J284" s="505" t="s">
        <v>3</v>
      </c>
      <c r="K284" s="505">
        <v>73</v>
      </c>
      <c r="L284" s="505"/>
      <c r="M284" s="476"/>
      <c r="N284" s="397"/>
      <c r="O284" s="397"/>
      <c r="P284" s="397"/>
      <c r="Q284" s="397"/>
      <c r="R284" s="397"/>
      <c r="S284" s="397"/>
      <c r="T284" s="397"/>
      <c r="U284" s="397"/>
      <c r="V284" s="397"/>
      <c r="W284" s="397"/>
      <c r="X284" s="397"/>
      <c r="Y284" s="397"/>
      <c r="Z284" s="397"/>
      <c r="AA284" s="397"/>
      <c r="AB284" s="530"/>
      <c r="AC284" s="530"/>
      <c r="AD284" s="530"/>
      <c r="AE284" s="397"/>
    </row>
    <row r="285" spans="2:31" x14ac:dyDescent="0.25">
      <c r="B285" s="661" t="s">
        <v>1319</v>
      </c>
      <c r="C285" s="661" t="s">
        <v>1320</v>
      </c>
      <c r="D285" s="663" t="s">
        <v>1321</v>
      </c>
      <c r="E285" s="746" t="s">
        <v>307</v>
      </c>
      <c r="F285" s="792"/>
      <c r="G285" s="606"/>
      <c r="H285" s="604">
        <f>G285*K286</f>
        <v>0</v>
      </c>
      <c r="I285" s="530"/>
      <c r="J285" s="505" t="s">
        <v>1285</v>
      </c>
      <c r="K285" s="505">
        <v>6</v>
      </c>
      <c r="L285" s="505"/>
      <c r="M285" s="476"/>
      <c r="N285" s="397"/>
      <c r="O285" s="397"/>
      <c r="P285" s="397"/>
      <c r="Q285" s="397"/>
      <c r="R285" s="397"/>
      <c r="S285" s="397"/>
      <c r="T285" s="397"/>
      <c r="U285" s="397"/>
      <c r="V285" s="397"/>
      <c r="W285" s="397"/>
      <c r="X285" s="397"/>
      <c r="Y285" s="397"/>
      <c r="Z285" s="397"/>
      <c r="AA285" s="397"/>
      <c r="AB285" s="530"/>
      <c r="AC285" s="530"/>
      <c r="AD285" s="530"/>
      <c r="AE285" s="397"/>
    </row>
    <row r="286" spans="2:31" x14ac:dyDescent="0.25">
      <c r="B286" s="661" t="s">
        <v>1322</v>
      </c>
      <c r="C286" s="661" t="s">
        <v>1323</v>
      </c>
      <c r="D286" s="663" t="s">
        <v>1324</v>
      </c>
      <c r="E286" s="746" t="s">
        <v>307</v>
      </c>
      <c r="F286" s="792"/>
      <c r="G286" s="606"/>
      <c r="H286" s="604">
        <f>G286*K287</f>
        <v>0</v>
      </c>
      <c r="I286" s="530"/>
      <c r="J286" s="505" t="s">
        <v>1285</v>
      </c>
      <c r="K286" s="505">
        <v>5</v>
      </c>
      <c r="L286" s="505"/>
      <c r="M286" s="476"/>
      <c r="N286" s="397"/>
      <c r="O286" s="397"/>
      <c r="P286" s="397"/>
      <c r="Q286" s="397"/>
      <c r="R286" s="397"/>
      <c r="S286" s="397"/>
      <c r="T286" s="397"/>
      <c r="U286" s="397"/>
      <c r="V286" s="397"/>
      <c r="W286" s="397"/>
      <c r="X286" s="397"/>
      <c r="Y286" s="397"/>
      <c r="Z286" s="397"/>
      <c r="AA286" s="397"/>
      <c r="AB286" s="530"/>
      <c r="AC286" s="530"/>
      <c r="AD286" s="530"/>
      <c r="AE286" s="397"/>
    </row>
    <row r="287" spans="2:31" x14ac:dyDescent="0.25">
      <c r="B287" s="661" t="s">
        <v>1325</v>
      </c>
      <c r="C287" s="661" t="s">
        <v>1326</v>
      </c>
      <c r="D287" s="663" t="s">
        <v>1327</v>
      </c>
      <c r="E287" s="745" t="s">
        <v>35</v>
      </c>
      <c r="F287" s="791"/>
      <c r="G287" s="606"/>
      <c r="H287" s="604">
        <f>G287*K288</f>
        <v>0</v>
      </c>
      <c r="I287" s="530"/>
      <c r="J287" s="505" t="s">
        <v>1285</v>
      </c>
      <c r="K287" s="505">
        <v>23</v>
      </c>
      <c r="L287" s="505"/>
      <c r="M287" s="476"/>
      <c r="N287" s="397"/>
      <c r="O287" s="397"/>
      <c r="P287" s="397"/>
      <c r="Q287" s="397"/>
      <c r="R287" s="397"/>
      <c r="S287" s="397"/>
      <c r="T287" s="397"/>
      <c r="U287" s="397"/>
      <c r="V287" s="397"/>
      <c r="W287" s="397"/>
      <c r="X287" s="397"/>
      <c r="Y287" s="397"/>
      <c r="Z287" s="397"/>
      <c r="AA287" s="397"/>
      <c r="AB287" s="530"/>
      <c r="AC287" s="530"/>
      <c r="AD287" s="530"/>
      <c r="AE287" s="397"/>
    </row>
    <row r="288" spans="2:31" x14ac:dyDescent="0.25">
      <c r="B288" s="661" t="s">
        <v>1328</v>
      </c>
      <c r="C288" s="661" t="s">
        <v>1329</v>
      </c>
      <c r="D288" s="663" t="s">
        <v>1330</v>
      </c>
      <c r="E288" s="745" t="s">
        <v>35</v>
      </c>
      <c r="F288" s="791"/>
      <c r="G288" s="606"/>
      <c r="H288" s="604">
        <f>G288*K289</f>
        <v>0</v>
      </c>
      <c r="I288" s="530"/>
      <c r="J288" s="505"/>
      <c r="K288" s="505">
        <v>5</v>
      </c>
      <c r="L288" s="505"/>
      <c r="M288" s="476"/>
      <c r="N288" s="397"/>
      <c r="O288" s="397"/>
      <c r="P288" s="397"/>
      <c r="Q288" s="397"/>
      <c r="R288" s="397"/>
      <c r="S288" s="397"/>
      <c r="T288" s="397"/>
      <c r="U288" s="397"/>
      <c r="V288" s="397"/>
      <c r="W288" s="397"/>
      <c r="X288" s="397"/>
      <c r="Y288" s="397"/>
      <c r="Z288" s="397"/>
      <c r="AA288" s="397"/>
      <c r="AB288" s="530"/>
      <c r="AC288" s="530"/>
      <c r="AD288" s="530"/>
      <c r="AE288" s="397"/>
    </row>
    <row r="289" spans="2:31" x14ac:dyDescent="0.25">
      <c r="B289" s="661" t="s">
        <v>1331</v>
      </c>
      <c r="C289" s="661" t="s">
        <v>1332</v>
      </c>
      <c r="D289" s="663" t="s">
        <v>1333</v>
      </c>
      <c r="E289" s="744" t="s">
        <v>304</v>
      </c>
      <c r="F289" s="790"/>
      <c r="G289" s="606"/>
      <c r="H289" s="604">
        <f>G289*K290</f>
        <v>0</v>
      </c>
      <c r="I289" s="530"/>
      <c r="J289" s="505"/>
      <c r="K289" s="505">
        <v>48</v>
      </c>
      <c r="L289" s="505"/>
      <c r="M289" s="476"/>
      <c r="N289" s="397"/>
      <c r="O289" s="397"/>
      <c r="P289" s="397"/>
      <c r="Q289" s="397"/>
      <c r="R289" s="397"/>
      <c r="S289" s="397"/>
      <c r="T289" s="397"/>
      <c r="U289" s="397"/>
      <c r="V289" s="397"/>
      <c r="W289" s="397"/>
      <c r="X289" s="397"/>
      <c r="Y289" s="397"/>
      <c r="Z289" s="397"/>
      <c r="AA289" s="397"/>
      <c r="AB289" s="530"/>
      <c r="AC289" s="530"/>
      <c r="AD289" s="530"/>
      <c r="AE289" s="397"/>
    </row>
    <row r="290" spans="2:31" x14ac:dyDescent="0.25">
      <c r="B290" s="661" t="s">
        <v>1334</v>
      </c>
      <c r="C290" s="661" t="s">
        <v>1335</v>
      </c>
      <c r="D290" s="663" t="s">
        <v>1336</v>
      </c>
      <c r="E290" s="745" t="s">
        <v>35</v>
      </c>
      <c r="F290" s="791"/>
      <c r="G290" s="606"/>
      <c r="H290" s="604">
        <f>G290*K291</f>
        <v>0</v>
      </c>
      <c r="I290" s="530"/>
      <c r="J290" s="505"/>
      <c r="K290" s="505">
        <v>11</v>
      </c>
      <c r="L290" s="505"/>
      <c r="M290" s="476"/>
      <c r="N290" s="397"/>
      <c r="O290" s="397"/>
      <c r="P290" s="397"/>
      <c r="Q290" s="397"/>
      <c r="R290" s="397"/>
      <c r="S290" s="397"/>
      <c r="T290" s="397"/>
      <c r="U290" s="397"/>
      <c r="V290" s="397"/>
      <c r="W290" s="397"/>
      <c r="X290" s="397"/>
      <c r="Y290" s="397"/>
      <c r="Z290" s="397"/>
      <c r="AA290" s="397"/>
      <c r="AB290" s="530"/>
      <c r="AC290" s="530"/>
      <c r="AD290" s="530"/>
      <c r="AE290" s="397"/>
    </row>
    <row r="291" spans="2:31" x14ac:dyDescent="0.25">
      <c r="B291" s="661" t="s">
        <v>1337</v>
      </c>
      <c r="C291" s="661" t="s">
        <v>1338</v>
      </c>
      <c r="D291" s="663" t="s">
        <v>1339</v>
      </c>
      <c r="E291" s="745" t="s">
        <v>35</v>
      </c>
      <c r="F291" s="791"/>
      <c r="G291" s="606"/>
      <c r="H291" s="604">
        <f>G291*K292</f>
        <v>0</v>
      </c>
      <c r="I291" s="530"/>
      <c r="J291" s="505"/>
      <c r="K291" s="505">
        <v>10</v>
      </c>
      <c r="L291" s="505"/>
      <c r="M291" s="476"/>
      <c r="N291" s="397"/>
      <c r="O291" s="397"/>
      <c r="P291" s="397"/>
      <c r="Q291" s="397"/>
      <c r="R291" s="397"/>
      <c r="S291" s="397"/>
      <c r="T291" s="397"/>
      <c r="U291" s="397"/>
      <c r="V291" s="397"/>
      <c r="W291" s="397"/>
      <c r="X291" s="397"/>
      <c r="Y291" s="397"/>
      <c r="Z291" s="397"/>
      <c r="AA291" s="397"/>
      <c r="AB291" s="530"/>
      <c r="AC291" s="530"/>
      <c r="AD291" s="530"/>
      <c r="AE291" s="397"/>
    </row>
    <row r="292" spans="2:31" x14ac:dyDescent="0.25">
      <c r="B292" s="661" t="s">
        <v>1340</v>
      </c>
      <c r="C292" s="661" t="s">
        <v>1341</v>
      </c>
      <c r="D292" s="663" t="s">
        <v>1342</v>
      </c>
      <c r="E292" s="746" t="s">
        <v>307</v>
      </c>
      <c r="F292" s="792"/>
      <c r="G292" s="606"/>
      <c r="H292" s="604">
        <f>G292*K293</f>
        <v>0</v>
      </c>
      <c r="I292" s="530"/>
      <c r="J292" s="505"/>
      <c r="K292" s="505">
        <v>3</v>
      </c>
      <c r="L292" s="505"/>
      <c r="M292" s="476"/>
      <c r="N292" s="397"/>
      <c r="O292" s="397"/>
      <c r="P292" s="397"/>
      <c r="Q292" s="397"/>
      <c r="R292" s="397"/>
      <c r="S292" s="397"/>
      <c r="T292" s="397"/>
      <c r="U292" s="397"/>
      <c r="V292" s="397"/>
      <c r="W292" s="397"/>
      <c r="X292" s="397"/>
      <c r="Y292" s="397"/>
      <c r="Z292" s="397"/>
      <c r="AA292" s="397"/>
      <c r="AB292" s="530"/>
      <c r="AC292" s="530"/>
      <c r="AD292" s="530"/>
      <c r="AE292" s="397"/>
    </row>
    <row r="293" spans="2:31" x14ac:dyDescent="0.25">
      <c r="B293" s="661" t="s">
        <v>1343</v>
      </c>
      <c r="C293" s="661" t="s">
        <v>1344</v>
      </c>
      <c r="D293" s="663" t="s">
        <v>1345</v>
      </c>
      <c r="E293" s="746" t="s">
        <v>307</v>
      </c>
      <c r="F293" s="792"/>
      <c r="G293" s="606"/>
      <c r="H293" s="604">
        <f>G293*K294</f>
        <v>0</v>
      </c>
      <c r="I293" s="530"/>
      <c r="J293" s="505"/>
      <c r="K293" s="505">
        <v>93</v>
      </c>
      <c r="L293" s="505"/>
      <c r="M293" s="476"/>
      <c r="N293" s="397"/>
      <c r="O293" s="397"/>
      <c r="P293" s="397"/>
      <c r="Q293" s="397"/>
      <c r="R293" s="397"/>
      <c r="S293" s="397"/>
      <c r="T293" s="397"/>
      <c r="U293" s="397"/>
      <c r="V293" s="397"/>
      <c r="W293" s="397"/>
      <c r="X293" s="397"/>
      <c r="Y293" s="397"/>
      <c r="Z293" s="397"/>
      <c r="AA293" s="397"/>
      <c r="AB293" s="530"/>
      <c r="AC293" s="530"/>
      <c r="AD293" s="530"/>
      <c r="AE293" s="397"/>
    </row>
    <row r="294" spans="2:31" x14ac:dyDescent="0.25">
      <c r="B294" s="661" t="s">
        <v>1346</v>
      </c>
      <c r="C294" s="661" t="s">
        <v>1347</v>
      </c>
      <c r="D294" s="663" t="s">
        <v>1348</v>
      </c>
      <c r="E294" s="746" t="s">
        <v>307</v>
      </c>
      <c r="F294" s="792"/>
      <c r="G294" s="606"/>
      <c r="H294" s="604">
        <f>G294*K295</f>
        <v>0</v>
      </c>
      <c r="I294" s="530"/>
      <c r="J294" s="505"/>
      <c r="K294" s="505">
        <v>47</v>
      </c>
      <c r="L294" s="505"/>
      <c r="M294" s="476"/>
      <c r="N294" s="397"/>
      <c r="O294" s="397"/>
      <c r="P294" s="397"/>
      <c r="Q294" s="397"/>
      <c r="R294" s="397"/>
      <c r="S294" s="397"/>
      <c r="T294" s="397"/>
      <c r="U294" s="397"/>
      <c r="V294" s="397"/>
      <c r="W294" s="397"/>
      <c r="X294" s="397"/>
      <c r="Y294" s="397"/>
      <c r="Z294" s="397"/>
      <c r="AA294" s="397"/>
      <c r="AB294" s="530"/>
      <c r="AC294" s="530"/>
      <c r="AD294" s="530"/>
      <c r="AE294" s="397"/>
    </row>
    <row r="295" spans="2:31" x14ac:dyDescent="0.25">
      <c r="B295" s="661" t="s">
        <v>1349</v>
      </c>
      <c r="C295" s="661" t="s">
        <v>1350</v>
      </c>
      <c r="D295" s="663" t="s">
        <v>1351</v>
      </c>
      <c r="E295" s="745" t="s">
        <v>35</v>
      </c>
      <c r="F295" s="791"/>
      <c r="G295" s="606"/>
      <c r="H295" s="604">
        <f>G295*K296</f>
        <v>0</v>
      </c>
      <c r="I295" s="530"/>
      <c r="J295" s="505"/>
      <c r="K295" s="505">
        <v>11</v>
      </c>
      <c r="L295" s="505"/>
      <c r="M295" s="476"/>
      <c r="N295" s="397"/>
      <c r="O295" s="397"/>
      <c r="P295" s="397"/>
      <c r="Q295" s="397"/>
      <c r="R295" s="397"/>
      <c r="S295" s="397"/>
      <c r="T295" s="397"/>
      <c r="U295" s="397"/>
      <c r="V295" s="397"/>
      <c r="W295" s="397"/>
      <c r="X295" s="397"/>
      <c r="Y295" s="397"/>
      <c r="Z295" s="397"/>
      <c r="AA295" s="397"/>
      <c r="AB295" s="530"/>
      <c r="AC295" s="530"/>
      <c r="AD295" s="530"/>
      <c r="AE295" s="397"/>
    </row>
    <row r="296" spans="2:31" x14ac:dyDescent="0.25">
      <c r="B296" s="661" t="s">
        <v>1352</v>
      </c>
      <c r="C296" s="661" t="s">
        <v>1353</v>
      </c>
      <c r="D296" s="663" t="s">
        <v>1354</v>
      </c>
      <c r="E296" s="745" t="s">
        <v>35</v>
      </c>
      <c r="F296" s="791"/>
      <c r="G296" s="606"/>
      <c r="H296" s="604">
        <f>G296*K297</f>
        <v>0</v>
      </c>
      <c r="I296" s="530"/>
      <c r="J296" s="505" t="s">
        <v>465</v>
      </c>
      <c r="K296" s="505">
        <v>1</v>
      </c>
      <c r="L296" s="505"/>
      <c r="M296" s="476"/>
      <c r="N296" s="397"/>
      <c r="O296" s="397"/>
      <c r="P296" s="397"/>
      <c r="Q296" s="397"/>
      <c r="R296" s="397"/>
      <c r="S296" s="397"/>
      <c r="T296" s="397"/>
      <c r="U296" s="397"/>
      <c r="V296" s="397"/>
      <c r="W296" s="397"/>
      <c r="X296" s="397"/>
      <c r="Y296" s="397"/>
      <c r="Z296" s="397"/>
      <c r="AA296" s="397"/>
      <c r="AB296" s="530"/>
      <c r="AC296" s="530"/>
      <c r="AD296" s="530"/>
      <c r="AE296" s="397"/>
    </row>
    <row r="297" spans="2:31" x14ac:dyDescent="0.25">
      <c r="B297" s="661" t="s">
        <v>1355</v>
      </c>
      <c r="C297" s="661" t="s">
        <v>1356</v>
      </c>
      <c r="D297" s="663" t="s">
        <v>1357</v>
      </c>
      <c r="E297" s="745" t="s">
        <v>35</v>
      </c>
      <c r="F297" s="791"/>
      <c r="G297" s="606"/>
      <c r="H297" s="604">
        <f>G297*K298</f>
        <v>0</v>
      </c>
      <c r="I297" s="530"/>
      <c r="J297" s="505" t="s">
        <v>465</v>
      </c>
      <c r="K297" s="505">
        <v>6</v>
      </c>
      <c r="L297" s="505"/>
      <c r="M297" s="476"/>
      <c r="N297" s="397"/>
      <c r="O297" s="397"/>
      <c r="P297" s="397"/>
      <c r="Q297" s="397"/>
      <c r="R297" s="397"/>
      <c r="S297" s="397"/>
      <c r="T297" s="397"/>
      <c r="U297" s="397"/>
      <c r="V297" s="397"/>
      <c r="W297" s="397"/>
      <c r="X297" s="397"/>
      <c r="Y297" s="397"/>
      <c r="Z297" s="397"/>
      <c r="AA297" s="397"/>
      <c r="AB297" s="530"/>
      <c r="AC297" s="530"/>
      <c r="AD297" s="530"/>
      <c r="AE297" s="397"/>
    </row>
    <row r="298" spans="2:31" x14ac:dyDescent="0.25">
      <c r="B298" s="661" t="s">
        <v>1358</v>
      </c>
      <c r="C298" s="661" t="s">
        <v>1359</v>
      </c>
      <c r="D298" s="663" t="s">
        <v>1360</v>
      </c>
      <c r="E298" s="745" t="s">
        <v>35</v>
      </c>
      <c r="F298" s="791"/>
      <c r="G298" s="606"/>
      <c r="H298" s="604">
        <f>G298*K299</f>
        <v>0</v>
      </c>
      <c r="I298" s="530"/>
      <c r="J298" s="505" t="s">
        <v>465</v>
      </c>
      <c r="K298" s="505">
        <v>5</v>
      </c>
      <c r="L298" s="505"/>
      <c r="M298" s="476"/>
      <c r="N298" s="397"/>
      <c r="O298" s="397"/>
      <c r="P298" s="397"/>
      <c r="Q298" s="397"/>
      <c r="R298" s="397"/>
      <c r="S298" s="397"/>
      <c r="T298" s="397"/>
      <c r="U298" s="397"/>
      <c r="V298" s="397"/>
      <c r="W298" s="397"/>
      <c r="X298" s="397"/>
      <c r="Y298" s="397"/>
      <c r="Z298" s="397"/>
      <c r="AA298" s="397"/>
      <c r="AB298" s="530"/>
      <c r="AC298" s="530"/>
      <c r="AD298" s="530"/>
      <c r="AE298" s="397"/>
    </row>
    <row r="299" spans="2:31" x14ac:dyDescent="0.25">
      <c r="B299" s="661" t="s">
        <v>1358</v>
      </c>
      <c r="C299" s="661" t="s">
        <v>1359</v>
      </c>
      <c r="D299" s="663" t="s">
        <v>1361</v>
      </c>
      <c r="E299" s="745" t="s">
        <v>35</v>
      </c>
      <c r="F299" s="791"/>
      <c r="G299" s="606"/>
      <c r="H299" s="604">
        <f>G299*K300</f>
        <v>0</v>
      </c>
      <c r="I299" s="530"/>
      <c r="J299" s="505" t="s">
        <v>465</v>
      </c>
      <c r="K299" s="505">
        <v>5</v>
      </c>
      <c r="L299" s="505"/>
      <c r="M299" s="476"/>
      <c r="N299" s="397"/>
      <c r="O299" s="397"/>
      <c r="P299" s="397"/>
      <c r="Q299" s="397"/>
      <c r="R299" s="397"/>
      <c r="S299" s="397"/>
      <c r="T299" s="397"/>
      <c r="U299" s="397"/>
      <c r="V299" s="397"/>
      <c r="W299" s="397"/>
      <c r="X299" s="397"/>
      <c r="Y299" s="397"/>
      <c r="Z299" s="397"/>
      <c r="AA299" s="397"/>
      <c r="AB299" s="530"/>
      <c r="AC299" s="530"/>
      <c r="AD299" s="530"/>
      <c r="AE299" s="397"/>
    </row>
    <row r="300" spans="2:31" x14ac:dyDescent="0.25">
      <c r="B300" s="661" t="s">
        <v>1362</v>
      </c>
      <c r="C300" s="661" t="s">
        <v>1363</v>
      </c>
      <c r="D300" s="663" t="s">
        <v>1364</v>
      </c>
      <c r="E300" s="745" t="s">
        <v>35</v>
      </c>
      <c r="F300" s="791"/>
      <c r="G300" s="606"/>
      <c r="H300" s="604">
        <f>G300*K301</f>
        <v>0</v>
      </c>
      <c r="I300" s="530"/>
      <c r="J300" s="505" t="s">
        <v>465</v>
      </c>
      <c r="K300" s="505">
        <v>2</v>
      </c>
      <c r="L300" s="505"/>
      <c r="M300" s="476"/>
      <c r="N300" s="397"/>
      <c r="O300" s="397"/>
      <c r="P300" s="397"/>
      <c r="Q300" s="397"/>
      <c r="R300" s="397"/>
      <c r="S300" s="397"/>
      <c r="T300" s="397"/>
      <c r="U300" s="397"/>
      <c r="V300" s="397"/>
      <c r="W300" s="397"/>
      <c r="X300" s="397"/>
      <c r="Y300" s="397"/>
      <c r="Z300" s="397"/>
      <c r="AA300" s="397"/>
      <c r="AB300" s="530"/>
      <c r="AC300" s="530"/>
      <c r="AD300" s="530"/>
      <c r="AE300" s="397"/>
    </row>
    <row r="301" spans="2:31" x14ac:dyDescent="0.25">
      <c r="B301" s="661" t="s">
        <v>1365</v>
      </c>
      <c r="C301" s="661" t="s">
        <v>1366</v>
      </c>
      <c r="D301" s="663" t="s">
        <v>1367</v>
      </c>
      <c r="E301" s="745" t="s">
        <v>35</v>
      </c>
      <c r="F301" s="791"/>
      <c r="G301" s="606"/>
      <c r="H301" s="604">
        <f>G301*K302</f>
        <v>0</v>
      </c>
      <c r="I301" s="530"/>
      <c r="J301" s="505" t="s">
        <v>465</v>
      </c>
      <c r="K301" s="505">
        <v>10</v>
      </c>
      <c r="L301" s="505"/>
      <c r="M301" s="476"/>
      <c r="N301" s="397"/>
      <c r="O301" s="397"/>
      <c r="P301" s="397"/>
      <c r="Q301" s="397"/>
      <c r="R301" s="397"/>
      <c r="S301" s="397"/>
      <c r="T301" s="397"/>
      <c r="U301" s="397"/>
      <c r="V301" s="397"/>
      <c r="W301" s="397"/>
      <c r="X301" s="397"/>
      <c r="Y301" s="397"/>
      <c r="Z301" s="397"/>
      <c r="AA301" s="397"/>
      <c r="AB301" s="530"/>
      <c r="AC301" s="530"/>
      <c r="AD301" s="530"/>
      <c r="AE301" s="397"/>
    </row>
    <row r="302" spans="2:31" x14ac:dyDescent="0.25">
      <c r="B302" s="661" t="s">
        <v>1368</v>
      </c>
      <c r="C302" s="661" t="s">
        <v>1369</v>
      </c>
      <c r="D302" s="663" t="s">
        <v>1370</v>
      </c>
      <c r="E302" s="745" t="s">
        <v>35</v>
      </c>
      <c r="F302" s="791"/>
      <c r="G302" s="606"/>
      <c r="H302" s="604">
        <f>G302*K303</f>
        <v>0</v>
      </c>
      <c r="I302" s="530"/>
      <c r="J302" s="505" t="s">
        <v>465</v>
      </c>
      <c r="K302" s="505">
        <v>8</v>
      </c>
      <c r="L302" s="505"/>
      <c r="M302" s="476"/>
      <c r="N302" s="397"/>
      <c r="O302" s="397"/>
      <c r="P302" s="397"/>
      <c r="Q302" s="397"/>
      <c r="R302" s="397"/>
      <c r="S302" s="397"/>
      <c r="T302" s="397"/>
      <c r="U302" s="397"/>
      <c r="V302" s="397"/>
      <c r="W302" s="397"/>
      <c r="X302" s="397"/>
      <c r="Y302" s="397"/>
      <c r="Z302" s="397"/>
      <c r="AA302" s="397"/>
      <c r="AB302" s="530"/>
      <c r="AC302" s="530"/>
      <c r="AD302" s="530"/>
      <c r="AE302" s="397"/>
    </row>
    <row r="303" spans="2:31" x14ac:dyDescent="0.25">
      <c r="B303" s="661" t="s">
        <v>1371</v>
      </c>
      <c r="C303" s="661" t="s">
        <v>1372</v>
      </c>
      <c r="D303" s="663" t="s">
        <v>1373</v>
      </c>
      <c r="E303" s="747" t="s">
        <v>305</v>
      </c>
      <c r="F303" s="793"/>
      <c r="G303" s="606"/>
      <c r="H303" s="604">
        <f>G303*K304</f>
        <v>0</v>
      </c>
      <c r="I303" s="530"/>
      <c r="J303" s="505" t="s">
        <v>465</v>
      </c>
      <c r="K303" s="505">
        <v>59</v>
      </c>
      <c r="L303" s="505"/>
      <c r="M303" s="476"/>
      <c r="N303" s="397"/>
      <c r="O303" s="397"/>
      <c r="P303" s="397"/>
      <c r="Q303" s="397"/>
      <c r="R303" s="397"/>
      <c r="S303" s="397"/>
      <c r="T303" s="397"/>
      <c r="U303" s="397"/>
      <c r="V303" s="397"/>
      <c r="W303" s="397"/>
      <c r="X303" s="397"/>
      <c r="Y303" s="397"/>
      <c r="Z303" s="397"/>
      <c r="AA303" s="397"/>
      <c r="AB303" s="530"/>
      <c r="AC303" s="530"/>
      <c r="AD303" s="530"/>
      <c r="AE303" s="397"/>
    </row>
    <row r="304" spans="2:31" x14ac:dyDescent="0.25">
      <c r="B304" s="661" t="s">
        <v>1374</v>
      </c>
      <c r="C304" s="661" t="s">
        <v>1375</v>
      </c>
      <c r="D304" s="663" t="s">
        <v>1376</v>
      </c>
      <c r="E304" s="746" t="s">
        <v>307</v>
      </c>
      <c r="F304" s="792"/>
      <c r="G304" s="606"/>
      <c r="H304" s="604">
        <f>G304*K305</f>
        <v>0</v>
      </c>
      <c r="I304" s="530"/>
      <c r="J304" s="505" t="s">
        <v>465</v>
      </c>
      <c r="K304" s="505">
        <v>8</v>
      </c>
      <c r="L304" s="505"/>
      <c r="M304" s="476"/>
      <c r="N304" s="397"/>
      <c r="O304" s="397"/>
      <c r="P304" s="397"/>
      <c r="Q304" s="397"/>
      <c r="R304" s="397"/>
      <c r="S304" s="397"/>
      <c r="T304" s="397"/>
      <c r="U304" s="397"/>
      <c r="V304" s="397"/>
      <c r="W304" s="397"/>
      <c r="X304" s="397"/>
      <c r="Y304" s="397"/>
      <c r="Z304" s="397"/>
      <c r="AA304" s="397"/>
      <c r="AB304" s="530"/>
      <c r="AC304" s="530"/>
      <c r="AD304" s="530"/>
      <c r="AE304" s="397"/>
    </row>
    <row r="305" spans="2:31" x14ac:dyDescent="0.25">
      <c r="B305" s="661" t="s">
        <v>1377</v>
      </c>
      <c r="C305" s="661" t="s">
        <v>1378</v>
      </c>
      <c r="D305" s="663" t="s">
        <v>1379</v>
      </c>
      <c r="E305" s="745" t="s">
        <v>35</v>
      </c>
      <c r="F305" s="791"/>
      <c r="G305" s="606"/>
      <c r="H305" s="604">
        <f>G305*K306</f>
        <v>0</v>
      </c>
      <c r="I305" s="530"/>
      <c r="J305" s="505" t="s">
        <v>465</v>
      </c>
      <c r="K305" s="505">
        <v>5</v>
      </c>
      <c r="L305" s="505"/>
      <c r="M305" s="476"/>
      <c r="N305" s="397"/>
      <c r="O305" s="397"/>
      <c r="P305" s="397"/>
      <c r="Q305" s="397"/>
      <c r="R305" s="397"/>
      <c r="S305" s="397"/>
      <c r="T305" s="397"/>
      <c r="U305" s="397"/>
      <c r="V305" s="397"/>
      <c r="W305" s="397"/>
      <c r="X305" s="397"/>
      <c r="Y305" s="397"/>
      <c r="Z305" s="397"/>
      <c r="AA305" s="397"/>
      <c r="AB305" s="530"/>
      <c r="AC305" s="530"/>
      <c r="AD305" s="530"/>
      <c r="AE305" s="397"/>
    </row>
    <row r="306" spans="2:31" x14ac:dyDescent="0.25">
      <c r="B306" s="661" t="s">
        <v>1380</v>
      </c>
      <c r="C306" s="661" t="s">
        <v>1381</v>
      </c>
      <c r="D306" s="663" t="s">
        <v>1382</v>
      </c>
      <c r="E306" s="744" t="s">
        <v>304</v>
      </c>
      <c r="F306" s="790"/>
      <c r="G306" s="606"/>
      <c r="H306" s="604">
        <f>G306*K307</f>
        <v>0</v>
      </c>
      <c r="I306" s="530"/>
      <c r="J306" s="505" t="s">
        <v>465</v>
      </c>
      <c r="K306" s="505">
        <v>2</v>
      </c>
      <c r="L306" s="505"/>
      <c r="M306" s="476"/>
      <c r="N306" s="397"/>
      <c r="O306" s="397"/>
      <c r="P306" s="397"/>
      <c r="Q306" s="397"/>
      <c r="R306" s="397"/>
      <c r="S306" s="397"/>
      <c r="T306" s="397"/>
      <c r="U306" s="397"/>
      <c r="V306" s="397"/>
      <c r="W306" s="397"/>
      <c r="X306" s="397"/>
      <c r="Y306" s="397"/>
      <c r="Z306" s="397"/>
      <c r="AA306" s="397"/>
      <c r="AB306" s="530"/>
      <c r="AC306" s="530"/>
      <c r="AD306" s="530"/>
      <c r="AE306" s="397"/>
    </row>
    <row r="307" spans="2:31" x14ac:dyDescent="0.25">
      <c r="B307" s="661" t="s">
        <v>1383</v>
      </c>
      <c r="C307" s="661" t="s">
        <v>1384</v>
      </c>
      <c r="D307" s="663" t="s">
        <v>1385</v>
      </c>
      <c r="E307" s="745" t="s">
        <v>35</v>
      </c>
      <c r="F307" s="791"/>
      <c r="G307" s="606"/>
      <c r="H307" s="604">
        <f>G307*K308</f>
        <v>0</v>
      </c>
      <c r="I307" s="530"/>
      <c r="J307" s="505" t="s">
        <v>465</v>
      </c>
      <c r="K307" s="505">
        <v>23</v>
      </c>
      <c r="L307" s="505"/>
      <c r="M307" s="476"/>
      <c r="N307" s="397"/>
      <c r="O307" s="397"/>
      <c r="P307" s="397"/>
      <c r="Q307" s="397"/>
      <c r="R307" s="397"/>
      <c r="S307" s="397"/>
      <c r="T307" s="397"/>
      <c r="U307" s="397"/>
      <c r="V307" s="397"/>
      <c r="W307" s="397"/>
      <c r="X307" s="397"/>
      <c r="Y307" s="397"/>
      <c r="Z307" s="397"/>
      <c r="AA307" s="397"/>
      <c r="AB307" s="530"/>
      <c r="AC307" s="530"/>
      <c r="AD307" s="530"/>
      <c r="AE307" s="397"/>
    </row>
    <row r="308" spans="2:31" x14ac:dyDescent="0.25">
      <c r="B308" s="661" t="s">
        <v>1386</v>
      </c>
      <c r="C308" s="661" t="s">
        <v>1387</v>
      </c>
      <c r="D308" s="663" t="s">
        <v>1388</v>
      </c>
      <c r="E308" s="745" t="s">
        <v>35</v>
      </c>
      <c r="F308" s="791"/>
      <c r="G308" s="606"/>
      <c r="H308" s="604">
        <f>G308*K309</f>
        <v>0</v>
      </c>
      <c r="I308" s="530"/>
      <c r="J308" s="505" t="s">
        <v>465</v>
      </c>
      <c r="K308" s="505">
        <v>0.2</v>
      </c>
      <c r="L308" s="505"/>
      <c r="M308" s="476"/>
      <c r="N308" s="397"/>
      <c r="O308" s="397"/>
      <c r="P308" s="397"/>
      <c r="Q308" s="397"/>
      <c r="R308" s="397"/>
      <c r="S308" s="397"/>
      <c r="T308" s="397"/>
      <c r="U308" s="397"/>
      <c r="V308" s="397"/>
      <c r="W308" s="397"/>
      <c r="X308" s="397"/>
      <c r="Y308" s="397"/>
      <c r="Z308" s="397"/>
      <c r="AA308" s="397"/>
      <c r="AB308" s="530"/>
      <c r="AC308" s="530"/>
      <c r="AD308" s="530"/>
      <c r="AE308" s="397"/>
    </row>
    <row r="309" spans="2:31" x14ac:dyDescent="0.25">
      <c r="B309" s="661" t="s">
        <v>1389</v>
      </c>
      <c r="C309" s="661" t="s">
        <v>1390</v>
      </c>
      <c r="D309" s="663" t="s">
        <v>1391</v>
      </c>
      <c r="E309" s="746" t="s">
        <v>307</v>
      </c>
      <c r="F309" s="792"/>
      <c r="G309" s="606"/>
      <c r="H309" s="604">
        <f>G309*K310</f>
        <v>0</v>
      </c>
      <c r="I309" s="530"/>
      <c r="J309" s="505" t="s">
        <v>465</v>
      </c>
      <c r="K309" s="505">
        <v>11</v>
      </c>
      <c r="L309" s="505"/>
      <c r="M309" s="476"/>
      <c r="N309" s="397"/>
      <c r="O309" s="397"/>
      <c r="P309" s="397"/>
      <c r="Q309" s="397"/>
      <c r="R309" s="397"/>
      <c r="S309" s="397"/>
      <c r="T309" s="397"/>
      <c r="U309" s="397"/>
      <c r="V309" s="397"/>
      <c r="W309" s="397"/>
      <c r="X309" s="397"/>
      <c r="Y309" s="397"/>
      <c r="Z309" s="397"/>
      <c r="AA309" s="397"/>
      <c r="AB309" s="530"/>
      <c r="AC309" s="530"/>
      <c r="AD309" s="530"/>
      <c r="AE309" s="397"/>
    </row>
    <row r="310" spans="2:31" x14ac:dyDescent="0.25">
      <c r="B310" s="661" t="s">
        <v>1392</v>
      </c>
      <c r="C310" s="661" t="s">
        <v>1393</v>
      </c>
      <c r="D310" s="663" t="s">
        <v>1394</v>
      </c>
      <c r="E310" s="744" t="s">
        <v>304</v>
      </c>
      <c r="F310" s="790"/>
      <c r="G310" s="606"/>
      <c r="H310" s="604">
        <f>G310*K311</f>
        <v>0</v>
      </c>
      <c r="I310" s="530"/>
      <c r="J310" s="505" t="s">
        <v>465</v>
      </c>
      <c r="K310" s="505">
        <v>8</v>
      </c>
      <c r="L310" s="505"/>
      <c r="M310" s="476"/>
      <c r="N310" s="397"/>
      <c r="O310" s="397"/>
      <c r="P310" s="397"/>
      <c r="Q310" s="397"/>
      <c r="R310" s="397"/>
      <c r="S310" s="397"/>
      <c r="T310" s="397"/>
      <c r="U310" s="397"/>
      <c r="V310" s="397"/>
      <c r="W310" s="397"/>
      <c r="X310" s="397"/>
      <c r="Y310" s="397"/>
      <c r="Z310" s="397"/>
      <c r="AA310" s="397"/>
      <c r="AB310" s="530"/>
      <c r="AC310" s="530"/>
      <c r="AD310" s="530"/>
      <c r="AE310" s="397"/>
    </row>
    <row r="311" spans="2:31" x14ac:dyDescent="0.25">
      <c r="B311" s="661" t="s">
        <v>1396</v>
      </c>
      <c r="C311" s="661" t="s">
        <v>1397</v>
      </c>
      <c r="D311" s="663" t="s">
        <v>1398</v>
      </c>
      <c r="E311" s="746" t="s">
        <v>307</v>
      </c>
      <c r="F311" s="792"/>
      <c r="G311" s="606"/>
      <c r="H311" s="604">
        <f>G311*K312</f>
        <v>0</v>
      </c>
      <c r="I311" s="530"/>
      <c r="J311" s="505" t="s">
        <v>1395</v>
      </c>
      <c r="K311" s="505">
        <v>18</v>
      </c>
      <c r="L311" s="505"/>
      <c r="M311" s="476"/>
      <c r="N311" s="397"/>
      <c r="O311" s="397"/>
      <c r="P311" s="397"/>
      <c r="Q311" s="397"/>
      <c r="R311" s="397"/>
      <c r="S311" s="397"/>
      <c r="T311" s="397"/>
      <c r="U311" s="397"/>
      <c r="V311" s="397"/>
      <c r="W311" s="397"/>
      <c r="X311" s="397"/>
      <c r="Y311" s="397"/>
      <c r="Z311" s="397"/>
      <c r="AA311" s="397"/>
      <c r="AB311" s="530"/>
      <c r="AC311" s="530"/>
      <c r="AD311" s="530"/>
      <c r="AE311" s="397"/>
    </row>
    <row r="312" spans="2:31" x14ac:dyDescent="0.25">
      <c r="B312" s="661" t="s">
        <v>1399</v>
      </c>
      <c r="C312" s="661" t="s">
        <v>1400</v>
      </c>
      <c r="D312" s="663" t="s">
        <v>1401</v>
      </c>
      <c r="E312" s="744" t="s">
        <v>304</v>
      </c>
      <c r="F312" s="790"/>
      <c r="G312" s="606"/>
      <c r="H312" s="604">
        <f>G312*K313</f>
        <v>0</v>
      </c>
      <c r="I312" s="530"/>
      <c r="J312" s="505" t="s">
        <v>1395</v>
      </c>
      <c r="K312" s="505">
        <v>14</v>
      </c>
      <c r="L312" s="505"/>
      <c r="M312" s="476"/>
      <c r="N312" s="397"/>
      <c r="O312" s="397"/>
      <c r="P312" s="397"/>
      <c r="Q312" s="397"/>
      <c r="R312" s="397"/>
      <c r="S312" s="397"/>
      <c r="T312" s="397"/>
      <c r="U312" s="397"/>
      <c r="V312" s="397"/>
      <c r="W312" s="397"/>
      <c r="X312" s="397"/>
      <c r="Y312" s="397"/>
      <c r="Z312" s="397"/>
      <c r="AA312" s="397"/>
      <c r="AB312" s="530"/>
      <c r="AC312" s="530"/>
      <c r="AD312" s="530"/>
      <c r="AE312" s="397"/>
    </row>
    <row r="313" spans="2:31" x14ac:dyDescent="0.25">
      <c r="B313" s="661" t="s">
        <v>1402</v>
      </c>
      <c r="C313" s="661" t="s">
        <v>1403</v>
      </c>
      <c r="D313" s="663" t="s">
        <v>1404</v>
      </c>
      <c r="E313" s="744" t="s">
        <v>304</v>
      </c>
      <c r="F313" s="790"/>
      <c r="G313" s="606"/>
      <c r="H313" s="604">
        <f>G313*K314</f>
        <v>0</v>
      </c>
      <c r="I313" s="530"/>
      <c r="J313" s="505" t="s">
        <v>1395</v>
      </c>
      <c r="K313" s="505">
        <v>14.5</v>
      </c>
      <c r="L313" s="505"/>
      <c r="M313" s="476"/>
      <c r="N313" s="397"/>
      <c r="O313" s="397"/>
      <c r="P313" s="397"/>
      <c r="Q313" s="397"/>
      <c r="R313" s="397"/>
      <c r="S313" s="397"/>
      <c r="T313" s="397"/>
      <c r="U313" s="397"/>
      <c r="V313" s="397"/>
      <c r="W313" s="397"/>
      <c r="X313" s="397"/>
      <c r="Y313" s="397"/>
      <c r="Z313" s="397"/>
      <c r="AA313" s="397"/>
      <c r="AB313" s="530"/>
      <c r="AC313" s="530"/>
      <c r="AD313" s="530"/>
      <c r="AE313" s="397"/>
    </row>
    <row r="314" spans="2:31" x14ac:dyDescent="0.25">
      <c r="B314" s="661" t="s">
        <v>1405</v>
      </c>
      <c r="C314" s="661" t="s">
        <v>1406</v>
      </c>
      <c r="D314" s="663" t="s">
        <v>1407</v>
      </c>
      <c r="E314" s="745" t="s">
        <v>35</v>
      </c>
      <c r="F314" s="791"/>
      <c r="G314" s="606"/>
      <c r="H314" s="604">
        <f>G314*K315</f>
        <v>0</v>
      </c>
      <c r="I314" s="530"/>
      <c r="J314" s="505" t="s">
        <v>1395</v>
      </c>
      <c r="K314" s="505">
        <v>12</v>
      </c>
      <c r="L314" s="505"/>
      <c r="M314" s="476"/>
      <c r="N314" s="397"/>
      <c r="O314" s="397"/>
      <c r="P314" s="397"/>
      <c r="Q314" s="397"/>
      <c r="R314" s="397"/>
      <c r="S314" s="397"/>
      <c r="T314" s="397"/>
      <c r="U314" s="397"/>
      <c r="V314" s="397"/>
      <c r="W314" s="397"/>
      <c r="X314" s="397"/>
      <c r="Y314" s="397"/>
      <c r="Z314" s="397"/>
      <c r="AA314" s="397"/>
      <c r="AB314" s="530"/>
      <c r="AC314" s="530"/>
      <c r="AD314" s="530"/>
      <c r="AE314" s="397"/>
    </row>
    <row r="315" spans="2:31" x14ac:dyDescent="0.25">
      <c r="B315" s="661" t="s">
        <v>1408</v>
      </c>
      <c r="C315" s="661" t="s">
        <v>1409</v>
      </c>
      <c r="D315" s="663" t="s">
        <v>1410</v>
      </c>
      <c r="E315" s="744" t="s">
        <v>304</v>
      </c>
      <c r="F315" s="790"/>
      <c r="G315" s="606"/>
      <c r="H315" s="604">
        <f>G315*K316</f>
        <v>0</v>
      </c>
      <c r="I315" s="530"/>
      <c r="J315" s="505" t="s">
        <v>1395</v>
      </c>
      <c r="K315" s="505">
        <v>4</v>
      </c>
      <c r="L315" s="505"/>
      <c r="M315" s="476"/>
      <c r="N315" s="397"/>
      <c r="O315" s="397"/>
      <c r="P315" s="397"/>
      <c r="Q315" s="397"/>
      <c r="R315" s="397"/>
      <c r="S315" s="397"/>
      <c r="T315" s="397"/>
      <c r="U315" s="397"/>
      <c r="V315" s="397"/>
      <c r="W315" s="397"/>
      <c r="X315" s="397"/>
      <c r="Y315" s="397"/>
      <c r="Z315" s="397"/>
      <c r="AA315" s="397"/>
      <c r="AB315" s="530"/>
      <c r="AC315" s="530"/>
      <c r="AD315" s="530"/>
      <c r="AE315" s="397"/>
    </row>
    <row r="316" spans="2:31" x14ac:dyDescent="0.25">
      <c r="B316" s="661" t="s">
        <v>1411</v>
      </c>
      <c r="C316" s="661" t="s">
        <v>1412</v>
      </c>
      <c r="D316" s="663" t="s">
        <v>1413</v>
      </c>
      <c r="E316" s="744" t="s">
        <v>304</v>
      </c>
      <c r="F316" s="790"/>
      <c r="G316" s="606"/>
      <c r="H316" s="604">
        <f>G316*K317</f>
        <v>0</v>
      </c>
      <c r="I316" s="530"/>
      <c r="J316" s="505" t="s">
        <v>1395</v>
      </c>
      <c r="K316" s="505">
        <v>98</v>
      </c>
      <c r="L316" s="505"/>
      <c r="M316" s="476"/>
      <c r="N316" s="397"/>
      <c r="O316" s="397"/>
      <c r="P316" s="397"/>
      <c r="Q316" s="397"/>
      <c r="R316" s="397"/>
      <c r="S316" s="397"/>
      <c r="T316" s="397"/>
      <c r="U316" s="397"/>
      <c r="V316" s="397"/>
      <c r="W316" s="397"/>
      <c r="X316" s="397"/>
      <c r="Y316" s="397"/>
      <c r="Z316" s="397"/>
      <c r="AA316" s="397"/>
      <c r="AB316" s="530"/>
      <c r="AC316" s="530"/>
      <c r="AD316" s="530"/>
      <c r="AE316" s="397"/>
    </row>
    <row r="317" spans="2:31" x14ac:dyDescent="0.25">
      <c r="B317" s="661" t="s">
        <v>1414</v>
      </c>
      <c r="C317" s="661" t="s">
        <v>1415</v>
      </c>
      <c r="D317" s="663" t="s">
        <v>1416</v>
      </c>
      <c r="E317" s="746" t="s">
        <v>307</v>
      </c>
      <c r="F317" s="792"/>
      <c r="G317" s="606"/>
      <c r="H317" s="604">
        <f>G317*K318</f>
        <v>0</v>
      </c>
      <c r="I317" s="530"/>
      <c r="J317" s="505" t="s">
        <v>1395</v>
      </c>
      <c r="K317" s="505">
        <v>12</v>
      </c>
      <c r="L317" s="505"/>
      <c r="M317" s="476"/>
      <c r="N317" s="397"/>
      <c r="O317" s="397"/>
      <c r="P317" s="397"/>
      <c r="Q317" s="397"/>
      <c r="R317" s="397"/>
      <c r="S317" s="397"/>
      <c r="T317" s="397"/>
      <c r="U317" s="397"/>
      <c r="V317" s="397"/>
      <c r="W317" s="397"/>
      <c r="X317" s="397"/>
      <c r="Y317" s="397"/>
      <c r="Z317" s="397"/>
      <c r="AA317" s="397"/>
      <c r="AB317" s="530"/>
      <c r="AC317" s="530"/>
      <c r="AD317" s="530"/>
      <c r="AE317" s="397"/>
    </row>
    <row r="318" spans="2:31" x14ac:dyDescent="0.25">
      <c r="B318" s="661" t="s">
        <v>1417</v>
      </c>
      <c r="C318" s="661" t="s">
        <v>1418</v>
      </c>
      <c r="D318" s="663" t="s">
        <v>1419</v>
      </c>
      <c r="E318" s="745" t="s">
        <v>35</v>
      </c>
      <c r="F318" s="791"/>
      <c r="G318" s="606"/>
      <c r="H318" s="604">
        <f>G318*K319</f>
        <v>0</v>
      </c>
      <c r="I318" s="530"/>
      <c r="J318" s="505" t="s">
        <v>1395</v>
      </c>
      <c r="K318" s="505">
        <v>10</v>
      </c>
      <c r="L318" s="505"/>
      <c r="M318" s="476"/>
      <c r="N318" s="397"/>
      <c r="O318" s="397"/>
      <c r="P318" s="397"/>
      <c r="Q318" s="397"/>
      <c r="R318" s="397"/>
      <c r="S318" s="397"/>
      <c r="T318" s="397"/>
      <c r="U318" s="397"/>
      <c r="V318" s="397"/>
      <c r="W318" s="397"/>
      <c r="X318" s="397"/>
      <c r="Y318" s="397"/>
      <c r="Z318" s="397"/>
      <c r="AA318" s="397"/>
      <c r="AB318" s="530"/>
      <c r="AC318" s="530"/>
      <c r="AD318" s="530"/>
      <c r="AE318" s="397"/>
    </row>
    <row r="319" spans="2:31" x14ac:dyDescent="0.25">
      <c r="B319" s="661" t="s">
        <v>1420</v>
      </c>
      <c r="C319" s="661" t="s">
        <v>1421</v>
      </c>
      <c r="D319" s="663" t="s">
        <v>1422</v>
      </c>
      <c r="E319" s="745" t="s">
        <v>35</v>
      </c>
      <c r="F319" s="791"/>
      <c r="G319" s="606"/>
      <c r="H319" s="604">
        <f>G319*K320</f>
        <v>0</v>
      </c>
      <c r="I319" s="530"/>
      <c r="J319" s="505" t="s">
        <v>1395</v>
      </c>
      <c r="K319" s="505">
        <v>1</v>
      </c>
      <c r="L319" s="505"/>
      <c r="M319" s="476"/>
      <c r="N319" s="397"/>
      <c r="O319" s="397"/>
      <c r="P319" s="397"/>
      <c r="Q319" s="397"/>
      <c r="R319" s="397"/>
      <c r="S319" s="397"/>
      <c r="T319" s="397"/>
      <c r="U319" s="397"/>
      <c r="V319" s="397"/>
      <c r="W319" s="397"/>
      <c r="X319" s="397"/>
      <c r="Y319" s="397"/>
      <c r="Z319" s="397"/>
      <c r="AA319" s="397"/>
      <c r="AB319" s="530"/>
      <c r="AC319" s="530"/>
      <c r="AD319" s="530"/>
      <c r="AE319" s="397"/>
    </row>
    <row r="320" spans="2:31" x14ac:dyDescent="0.25">
      <c r="B320" s="661" t="s">
        <v>1423</v>
      </c>
      <c r="C320" s="661" t="s">
        <v>1424</v>
      </c>
      <c r="D320" s="663" t="s">
        <v>1425</v>
      </c>
      <c r="E320" s="746" t="s">
        <v>307</v>
      </c>
      <c r="F320" s="792"/>
      <c r="G320" s="606"/>
      <c r="H320" s="604">
        <f>G320*K321</f>
        <v>0</v>
      </c>
      <c r="I320" s="530"/>
      <c r="J320" s="505" t="s">
        <v>1395</v>
      </c>
      <c r="K320" s="505">
        <v>1</v>
      </c>
      <c r="L320" s="505"/>
      <c r="M320" s="476"/>
      <c r="N320" s="397"/>
      <c r="O320" s="397"/>
      <c r="P320" s="397"/>
      <c r="Q320" s="397"/>
      <c r="R320" s="397"/>
      <c r="S320" s="397"/>
      <c r="T320" s="397"/>
      <c r="U320" s="397"/>
      <c r="V320" s="397"/>
      <c r="W320" s="397"/>
      <c r="X320" s="397"/>
      <c r="Y320" s="397"/>
      <c r="Z320" s="397"/>
      <c r="AA320" s="397"/>
      <c r="AB320" s="530"/>
      <c r="AC320" s="530"/>
      <c r="AD320" s="530"/>
      <c r="AE320" s="397"/>
    </row>
    <row r="321" spans="2:31" x14ac:dyDescent="0.25">
      <c r="B321" s="661" t="s">
        <v>1426</v>
      </c>
      <c r="C321" s="661" t="s">
        <v>1427</v>
      </c>
      <c r="D321" s="663" t="s">
        <v>1428</v>
      </c>
      <c r="E321" s="744" t="s">
        <v>304</v>
      </c>
      <c r="F321" s="790"/>
      <c r="G321" s="606"/>
      <c r="H321" s="604">
        <f>G321*K322</f>
        <v>0</v>
      </c>
      <c r="I321" s="530"/>
      <c r="J321" s="505" t="s">
        <v>1395</v>
      </c>
      <c r="K321" s="505">
        <v>53</v>
      </c>
      <c r="L321" s="505"/>
      <c r="M321" s="476"/>
      <c r="N321" s="397"/>
      <c r="O321" s="397"/>
      <c r="P321" s="397"/>
      <c r="Q321" s="397"/>
      <c r="R321" s="397"/>
      <c r="S321" s="397"/>
      <c r="T321" s="397"/>
      <c r="U321" s="397"/>
      <c r="V321" s="397"/>
      <c r="W321" s="397"/>
      <c r="X321" s="397"/>
      <c r="Y321" s="397"/>
      <c r="Z321" s="397"/>
      <c r="AA321" s="397"/>
      <c r="AB321" s="530"/>
      <c r="AC321" s="530"/>
      <c r="AD321" s="530"/>
      <c r="AE321" s="397"/>
    </row>
    <row r="322" spans="2:31" x14ac:dyDescent="0.25">
      <c r="B322" s="661" t="s">
        <v>1429</v>
      </c>
      <c r="C322" s="661" t="s">
        <v>1430</v>
      </c>
      <c r="D322" s="663" t="s">
        <v>1431</v>
      </c>
      <c r="E322" s="746" t="s">
        <v>307</v>
      </c>
      <c r="F322" s="792"/>
      <c r="G322" s="606"/>
      <c r="H322" s="604">
        <f>G322*K323</f>
        <v>0</v>
      </c>
      <c r="I322" s="530"/>
      <c r="J322" s="505" t="s">
        <v>1395</v>
      </c>
      <c r="K322" s="505">
        <v>24</v>
      </c>
      <c r="L322" s="505"/>
      <c r="M322" s="476"/>
      <c r="N322" s="397"/>
      <c r="O322" s="397"/>
      <c r="P322" s="397"/>
      <c r="Q322" s="397"/>
      <c r="R322" s="397"/>
      <c r="S322" s="397"/>
      <c r="T322" s="397"/>
      <c r="U322" s="397"/>
      <c r="V322" s="397"/>
      <c r="W322" s="397"/>
      <c r="X322" s="397"/>
      <c r="Y322" s="397"/>
      <c r="Z322" s="397"/>
      <c r="AA322" s="397"/>
      <c r="AB322" s="530"/>
      <c r="AC322" s="530"/>
      <c r="AD322" s="530"/>
      <c r="AE322" s="397"/>
    </row>
    <row r="323" spans="2:31" x14ac:dyDescent="0.25">
      <c r="B323" s="661" t="s">
        <v>1432</v>
      </c>
      <c r="C323" s="661" t="s">
        <v>1433</v>
      </c>
      <c r="D323" s="663" t="s">
        <v>1434</v>
      </c>
      <c r="E323" s="746" t="s">
        <v>307</v>
      </c>
      <c r="F323" s="792"/>
      <c r="G323" s="606"/>
      <c r="H323" s="604">
        <f>G323*K324</f>
        <v>0</v>
      </c>
      <c r="I323" s="530"/>
      <c r="J323" s="505" t="s">
        <v>1395</v>
      </c>
      <c r="K323" s="505">
        <v>4</v>
      </c>
      <c r="L323" s="505"/>
      <c r="M323" s="476"/>
      <c r="N323" s="397"/>
      <c r="O323" s="397"/>
      <c r="P323" s="397"/>
      <c r="Q323" s="397"/>
      <c r="R323" s="397"/>
      <c r="S323" s="397"/>
      <c r="T323" s="397"/>
      <c r="U323" s="397"/>
      <c r="V323" s="397"/>
      <c r="W323" s="397"/>
      <c r="X323" s="397"/>
      <c r="Y323" s="397"/>
      <c r="Z323" s="397"/>
      <c r="AA323" s="397"/>
      <c r="AB323" s="530"/>
      <c r="AC323" s="530"/>
      <c r="AD323" s="530"/>
      <c r="AE323" s="397"/>
    </row>
    <row r="324" spans="2:31" x14ac:dyDescent="0.25">
      <c r="B324" s="661" t="s">
        <v>1435</v>
      </c>
      <c r="C324" s="661" t="s">
        <v>1436</v>
      </c>
      <c r="D324" s="663" t="s">
        <v>1437</v>
      </c>
      <c r="E324" s="746" t="s">
        <v>307</v>
      </c>
      <c r="F324" s="792"/>
      <c r="G324" s="606"/>
      <c r="H324" s="604">
        <f>G324*K325</f>
        <v>0</v>
      </c>
      <c r="I324" s="530"/>
      <c r="J324" s="505" t="s">
        <v>1395</v>
      </c>
      <c r="K324" s="505">
        <v>22</v>
      </c>
      <c r="L324" s="505"/>
      <c r="M324" s="476"/>
      <c r="N324" s="397"/>
      <c r="O324" s="397"/>
      <c r="P324" s="397"/>
      <c r="Q324" s="397"/>
      <c r="R324" s="397"/>
      <c r="S324" s="397"/>
      <c r="T324" s="397"/>
      <c r="U324" s="397"/>
      <c r="V324" s="397"/>
      <c r="W324" s="397"/>
      <c r="X324" s="397"/>
      <c r="Y324" s="397"/>
      <c r="Z324" s="397"/>
      <c r="AA324" s="397"/>
      <c r="AB324" s="530"/>
      <c r="AC324" s="530"/>
      <c r="AD324" s="530"/>
      <c r="AE324" s="397"/>
    </row>
    <row r="325" spans="2:31" x14ac:dyDescent="0.25">
      <c r="B325" s="661" t="s">
        <v>1438</v>
      </c>
      <c r="C325" s="661" t="s">
        <v>1439</v>
      </c>
      <c r="D325" s="663" t="s">
        <v>1440</v>
      </c>
      <c r="E325" s="745" t="s">
        <v>35</v>
      </c>
      <c r="F325" s="791"/>
      <c r="G325" s="606"/>
      <c r="H325" s="604">
        <f>G325*K326</f>
        <v>0</v>
      </c>
      <c r="I325" s="530"/>
      <c r="J325" s="505" t="s">
        <v>1395</v>
      </c>
      <c r="K325" s="505">
        <v>2</v>
      </c>
      <c r="L325" s="505"/>
      <c r="M325" s="476"/>
      <c r="N325" s="397"/>
      <c r="O325" s="397"/>
      <c r="P325" s="397"/>
      <c r="Q325" s="397"/>
      <c r="R325" s="397"/>
      <c r="S325" s="397"/>
      <c r="T325" s="397"/>
      <c r="U325" s="397"/>
      <c r="V325" s="397"/>
      <c r="W325" s="397"/>
      <c r="X325" s="397"/>
      <c r="Y325" s="397"/>
      <c r="Z325" s="397"/>
      <c r="AA325" s="397"/>
      <c r="AB325" s="530"/>
      <c r="AC325" s="530"/>
      <c r="AD325" s="530"/>
      <c r="AE325" s="397"/>
    </row>
    <row r="326" spans="2:31" x14ac:dyDescent="0.25">
      <c r="B326" s="661" t="s">
        <v>1441</v>
      </c>
      <c r="C326" s="661" t="s">
        <v>1442</v>
      </c>
      <c r="D326" s="663" t="s">
        <v>1443</v>
      </c>
      <c r="E326" s="745" t="s">
        <v>35</v>
      </c>
      <c r="F326" s="791"/>
      <c r="G326" s="606"/>
      <c r="H326" s="604">
        <f>G326*K327</f>
        <v>0</v>
      </c>
      <c r="I326" s="530"/>
      <c r="J326" s="505" t="s">
        <v>1395</v>
      </c>
      <c r="K326" s="505">
        <v>0.3</v>
      </c>
      <c r="L326" s="505"/>
      <c r="M326" s="476"/>
      <c r="N326" s="397"/>
      <c r="O326" s="397"/>
      <c r="P326" s="397"/>
      <c r="Q326" s="397"/>
      <c r="R326" s="397"/>
      <c r="S326" s="397"/>
      <c r="T326" s="397"/>
      <c r="U326" s="397"/>
      <c r="V326" s="397"/>
      <c r="W326" s="397"/>
      <c r="X326" s="397"/>
      <c r="Y326" s="397"/>
      <c r="Z326" s="397"/>
      <c r="AA326" s="397"/>
      <c r="AB326" s="530"/>
      <c r="AC326" s="530"/>
      <c r="AD326" s="530"/>
      <c r="AE326" s="397"/>
    </row>
    <row r="327" spans="2:31" x14ac:dyDescent="0.25">
      <c r="B327" s="661" t="s">
        <v>1444</v>
      </c>
      <c r="C327" s="661" t="s">
        <v>1445</v>
      </c>
      <c r="D327" s="663" t="s">
        <v>1446</v>
      </c>
      <c r="E327" s="746" t="s">
        <v>307</v>
      </c>
      <c r="F327" s="792"/>
      <c r="G327" s="606"/>
      <c r="H327" s="604">
        <f>G327*K328</f>
        <v>0</v>
      </c>
      <c r="I327" s="530"/>
      <c r="J327" s="505" t="s">
        <v>1395</v>
      </c>
      <c r="K327" s="505">
        <v>2</v>
      </c>
      <c r="L327" s="505"/>
      <c r="M327" s="476"/>
      <c r="N327" s="397"/>
      <c r="O327" s="397"/>
      <c r="P327" s="397"/>
      <c r="Q327" s="397"/>
      <c r="R327" s="397"/>
      <c r="S327" s="397"/>
      <c r="T327" s="397"/>
      <c r="U327" s="397"/>
      <c r="V327" s="397"/>
      <c r="W327" s="397"/>
      <c r="X327" s="397"/>
      <c r="Y327" s="397"/>
      <c r="Z327" s="397"/>
      <c r="AA327" s="397"/>
      <c r="AB327" s="530"/>
      <c r="AC327" s="530"/>
      <c r="AD327" s="530"/>
      <c r="AE327" s="397"/>
    </row>
    <row r="328" spans="2:31" x14ac:dyDescent="0.25">
      <c r="B328" s="661" t="s">
        <v>1447</v>
      </c>
      <c r="C328" s="661" t="s">
        <v>1448</v>
      </c>
      <c r="D328" s="663" t="s">
        <v>1449</v>
      </c>
      <c r="E328" s="746" t="s">
        <v>307</v>
      </c>
      <c r="F328" s="792"/>
      <c r="G328" s="606"/>
      <c r="H328" s="604">
        <f>G328*K329</f>
        <v>0</v>
      </c>
      <c r="I328" s="530"/>
      <c r="J328" s="505" t="s">
        <v>1395</v>
      </c>
      <c r="K328" s="505">
        <v>54</v>
      </c>
      <c r="L328" s="505"/>
      <c r="M328" s="476"/>
      <c r="N328" s="397"/>
      <c r="O328" s="397"/>
      <c r="P328" s="397"/>
      <c r="Q328" s="397"/>
      <c r="R328" s="397"/>
      <c r="S328" s="397"/>
      <c r="T328" s="397"/>
      <c r="U328" s="397"/>
      <c r="V328" s="397"/>
      <c r="W328" s="397"/>
      <c r="X328" s="397"/>
      <c r="Y328" s="397"/>
      <c r="Z328" s="397"/>
      <c r="AA328" s="397"/>
      <c r="AB328" s="530"/>
      <c r="AC328" s="530"/>
      <c r="AD328" s="530"/>
      <c r="AE328" s="397"/>
    </row>
    <row r="329" spans="2:31" x14ac:dyDescent="0.25">
      <c r="B329" s="661" t="s">
        <v>1450</v>
      </c>
      <c r="C329" s="661" t="s">
        <v>1451</v>
      </c>
      <c r="D329" s="662" t="s">
        <v>1452</v>
      </c>
      <c r="E329" s="748" t="s">
        <v>309</v>
      </c>
      <c r="F329" s="780"/>
      <c r="G329" s="605"/>
      <c r="H329" s="604">
        <f>G329*K330</f>
        <v>0</v>
      </c>
      <c r="I329" s="530"/>
      <c r="J329" s="505" t="s">
        <v>1395</v>
      </c>
      <c r="K329" s="505">
        <v>29</v>
      </c>
      <c r="L329" s="505"/>
      <c r="M329" s="476"/>
      <c r="N329" s="397"/>
      <c r="O329" s="397"/>
      <c r="P329" s="397"/>
      <c r="Q329" s="397"/>
      <c r="R329" s="397"/>
      <c r="S329" s="397"/>
      <c r="T329" s="397"/>
      <c r="U329" s="397"/>
      <c r="V329" s="397"/>
      <c r="W329" s="397"/>
      <c r="X329" s="397"/>
      <c r="Y329" s="397"/>
      <c r="Z329" s="397"/>
      <c r="AA329" s="397"/>
      <c r="AB329" s="530"/>
      <c r="AC329" s="530"/>
      <c r="AD329" s="530"/>
      <c r="AE329" s="397"/>
    </row>
    <row r="330" spans="2:31" x14ac:dyDescent="0.25">
      <c r="B330" s="661" t="s">
        <v>1453</v>
      </c>
      <c r="C330" s="661" t="s">
        <v>1454</v>
      </c>
      <c r="D330" s="663" t="s">
        <v>1455</v>
      </c>
      <c r="E330" s="745" t="s">
        <v>35</v>
      </c>
      <c r="F330" s="791"/>
      <c r="G330" s="606"/>
      <c r="H330" s="604">
        <f>G330*K331</f>
        <v>0</v>
      </c>
      <c r="I330" s="530"/>
      <c r="J330" s="505" t="s">
        <v>1395</v>
      </c>
      <c r="K330" s="505">
        <v>13</v>
      </c>
      <c r="L330" s="505"/>
      <c r="M330" s="476"/>
      <c r="N330" s="397"/>
      <c r="O330" s="397"/>
      <c r="P330" s="397"/>
      <c r="Q330" s="397"/>
      <c r="R330" s="397"/>
      <c r="S330" s="397"/>
      <c r="T330" s="397"/>
      <c r="U330" s="397"/>
      <c r="V330" s="397"/>
      <c r="W330" s="397"/>
      <c r="X330" s="397"/>
      <c r="Y330" s="397"/>
      <c r="Z330" s="397"/>
      <c r="AA330" s="397"/>
      <c r="AB330" s="530"/>
      <c r="AC330" s="530"/>
      <c r="AD330" s="530"/>
      <c r="AE330" s="397"/>
    </row>
    <row r="331" spans="2:31" x14ac:dyDescent="0.25">
      <c r="B331" s="661" t="s">
        <v>1456</v>
      </c>
      <c r="C331" s="661" t="s">
        <v>1457</v>
      </c>
      <c r="D331" s="663" t="s">
        <v>1458</v>
      </c>
      <c r="E331" s="745" t="s">
        <v>35</v>
      </c>
      <c r="F331" s="791"/>
      <c r="G331" s="606"/>
      <c r="H331" s="604">
        <f>G331*K332</f>
        <v>0</v>
      </c>
      <c r="I331" s="530"/>
      <c r="J331" s="505" t="s">
        <v>1395</v>
      </c>
      <c r="K331" s="505">
        <v>15</v>
      </c>
      <c r="L331" s="505"/>
      <c r="M331" s="476"/>
      <c r="N331" s="397"/>
      <c r="O331" s="397"/>
      <c r="P331" s="397"/>
      <c r="Q331" s="397"/>
      <c r="R331" s="397"/>
      <c r="S331" s="397"/>
      <c r="T331" s="397"/>
      <c r="U331" s="397"/>
      <c r="V331" s="397"/>
      <c r="W331" s="397"/>
      <c r="X331" s="397"/>
      <c r="Y331" s="397"/>
      <c r="Z331" s="397"/>
      <c r="AA331" s="397"/>
      <c r="AB331" s="530"/>
      <c r="AC331" s="530"/>
      <c r="AD331" s="530"/>
      <c r="AE331" s="397"/>
    </row>
    <row r="332" spans="2:31" x14ac:dyDescent="0.25">
      <c r="B332" s="661" t="s">
        <v>1459</v>
      </c>
      <c r="C332" s="661" t="s">
        <v>1460</v>
      </c>
      <c r="D332" s="663" t="s">
        <v>1461</v>
      </c>
      <c r="E332" s="745" t="s">
        <v>35</v>
      </c>
      <c r="F332" s="791"/>
      <c r="G332" s="606"/>
      <c r="H332" s="604">
        <f>G332*K333</f>
        <v>0</v>
      </c>
      <c r="I332" s="530"/>
      <c r="J332" s="505" t="s">
        <v>1395</v>
      </c>
      <c r="K332" s="505">
        <v>5</v>
      </c>
      <c r="L332" s="505"/>
      <c r="M332" s="476"/>
      <c r="N332" s="397"/>
      <c r="O332" s="397"/>
      <c r="P332" s="397"/>
      <c r="Q332" s="397"/>
      <c r="R332" s="397"/>
      <c r="S332" s="397"/>
      <c r="T332" s="397"/>
      <c r="U332" s="397"/>
      <c r="V332" s="397"/>
      <c r="W332" s="397"/>
      <c r="X332" s="397"/>
      <c r="Y332" s="397"/>
      <c r="Z332" s="397"/>
      <c r="AA332" s="397"/>
      <c r="AB332" s="530"/>
      <c r="AC332" s="530"/>
      <c r="AD332" s="530"/>
      <c r="AE332" s="397"/>
    </row>
    <row r="333" spans="2:31" x14ac:dyDescent="0.25">
      <c r="B333" s="661" t="s">
        <v>1462</v>
      </c>
      <c r="C333" s="661" t="s">
        <v>1463</v>
      </c>
      <c r="D333" s="663" t="s">
        <v>1166</v>
      </c>
      <c r="E333" s="745" t="s">
        <v>35</v>
      </c>
      <c r="F333" s="791"/>
      <c r="G333" s="606"/>
      <c r="H333" s="604">
        <f>G333*K334</f>
        <v>0</v>
      </c>
      <c r="I333" s="530"/>
      <c r="J333" s="505" t="s">
        <v>1395</v>
      </c>
      <c r="K333" s="505">
        <v>8</v>
      </c>
      <c r="L333" s="505"/>
      <c r="M333" s="476"/>
      <c r="N333" s="397"/>
      <c r="O333" s="397"/>
      <c r="P333" s="397"/>
      <c r="Q333" s="397"/>
      <c r="R333" s="397"/>
      <c r="S333" s="397"/>
      <c r="T333" s="397"/>
      <c r="U333" s="397"/>
      <c r="V333" s="397"/>
      <c r="W333" s="397"/>
      <c r="X333" s="397"/>
      <c r="Y333" s="397"/>
      <c r="Z333" s="397"/>
      <c r="AA333" s="397"/>
      <c r="AB333" s="530"/>
      <c r="AC333" s="530"/>
      <c r="AD333" s="530"/>
      <c r="AE333" s="397"/>
    </row>
    <row r="334" spans="2:31" x14ac:dyDescent="0.25">
      <c r="B334" s="661" t="s">
        <v>1464</v>
      </c>
      <c r="C334" s="661" t="s">
        <v>1465</v>
      </c>
      <c r="D334" s="664" t="s">
        <v>1466</v>
      </c>
      <c r="E334" s="746" t="s">
        <v>307</v>
      </c>
      <c r="F334" s="792"/>
      <c r="G334" s="606"/>
      <c r="H334" s="604">
        <f>G334*K335</f>
        <v>0</v>
      </c>
      <c r="I334" s="530"/>
      <c r="J334" s="505" t="s">
        <v>1395</v>
      </c>
      <c r="K334" s="505">
        <v>70</v>
      </c>
      <c r="L334" s="505"/>
      <c r="M334" s="476"/>
      <c r="N334" s="397"/>
      <c r="O334" s="397"/>
      <c r="P334" s="397"/>
      <c r="Q334" s="397"/>
      <c r="R334" s="397"/>
      <c r="S334" s="397"/>
      <c r="T334" s="397"/>
      <c r="U334" s="397"/>
      <c r="V334" s="397"/>
      <c r="W334" s="397"/>
      <c r="X334" s="397"/>
      <c r="Y334" s="397"/>
      <c r="Z334" s="397"/>
      <c r="AA334" s="397"/>
      <c r="AB334" s="530"/>
      <c r="AC334" s="530"/>
      <c r="AD334" s="530"/>
      <c r="AE334" s="397"/>
    </row>
    <row r="335" spans="2:31" x14ac:dyDescent="0.25">
      <c r="B335" s="661" t="s">
        <v>1467</v>
      </c>
      <c r="C335" s="661" t="s">
        <v>1468</v>
      </c>
      <c r="D335" s="663" t="s">
        <v>1469</v>
      </c>
      <c r="E335" s="745" t="s">
        <v>35</v>
      </c>
      <c r="F335" s="791"/>
      <c r="G335" s="606"/>
      <c r="H335" s="604">
        <f>G335*K336</f>
        <v>0</v>
      </c>
      <c r="I335" s="574"/>
      <c r="J335" s="505" t="s">
        <v>1395</v>
      </c>
      <c r="K335" s="505">
        <v>18</v>
      </c>
      <c r="L335" s="505"/>
      <c r="M335" s="476"/>
      <c r="N335" s="397"/>
      <c r="O335" s="397"/>
      <c r="P335" s="397"/>
      <c r="Q335" s="397"/>
      <c r="R335" s="397"/>
      <c r="S335" s="397"/>
      <c r="T335" s="397"/>
      <c r="U335" s="397"/>
      <c r="V335" s="397"/>
      <c r="W335" s="397"/>
      <c r="X335" s="397"/>
      <c r="Y335" s="397"/>
      <c r="Z335" s="397"/>
      <c r="AA335" s="397"/>
      <c r="AB335" s="530"/>
      <c r="AC335" s="530"/>
      <c r="AD335" s="530"/>
      <c r="AE335" s="397"/>
    </row>
    <row r="336" spans="2:31" x14ac:dyDescent="0.25">
      <c r="B336" s="661" t="s">
        <v>1470</v>
      </c>
      <c r="C336" s="661" t="s">
        <v>1471</v>
      </c>
      <c r="D336" s="663" t="s">
        <v>1472</v>
      </c>
      <c r="E336" s="745" t="s">
        <v>35</v>
      </c>
      <c r="F336" s="791"/>
      <c r="G336" s="606"/>
      <c r="H336" s="604">
        <f>G336*K337</f>
        <v>0</v>
      </c>
      <c r="I336" s="530"/>
      <c r="J336" s="505" t="s">
        <v>1395</v>
      </c>
      <c r="K336" s="505">
        <v>22</v>
      </c>
      <c r="L336" s="505"/>
      <c r="M336" s="476"/>
      <c r="N336" s="397"/>
      <c r="O336" s="397"/>
      <c r="P336" s="397"/>
      <c r="Q336" s="397"/>
      <c r="R336" s="397"/>
      <c r="S336" s="397"/>
      <c r="T336" s="397"/>
      <c r="U336" s="397"/>
      <c r="V336" s="397"/>
      <c r="W336" s="397"/>
      <c r="X336" s="397"/>
      <c r="Y336" s="397"/>
      <c r="Z336" s="397"/>
      <c r="AA336" s="397"/>
      <c r="AB336" s="530"/>
      <c r="AC336" s="530"/>
      <c r="AD336" s="530"/>
      <c r="AE336" s="397"/>
    </row>
    <row r="337" spans="2:31" x14ac:dyDescent="0.25">
      <c r="B337" s="661" t="s">
        <v>1473</v>
      </c>
      <c r="C337" s="661" t="s">
        <v>1474</v>
      </c>
      <c r="D337" s="669" t="s">
        <v>1475</v>
      </c>
      <c r="E337" s="745" t="s">
        <v>35</v>
      </c>
      <c r="F337" s="791"/>
      <c r="G337" s="606"/>
      <c r="H337" s="604">
        <f>G337*K338</f>
        <v>0</v>
      </c>
      <c r="I337" s="530"/>
      <c r="J337" s="505" t="s">
        <v>1395</v>
      </c>
      <c r="K337" s="505">
        <v>1</v>
      </c>
      <c r="L337" s="505"/>
      <c r="M337" s="476"/>
      <c r="N337" s="397"/>
      <c r="O337" s="397"/>
      <c r="P337" s="397"/>
      <c r="Q337" s="397"/>
      <c r="R337" s="397"/>
      <c r="S337" s="397"/>
      <c r="T337" s="397"/>
      <c r="U337" s="397"/>
      <c r="V337" s="397"/>
      <c r="W337" s="397"/>
      <c r="X337" s="397"/>
      <c r="Y337" s="397"/>
      <c r="Z337" s="397"/>
      <c r="AA337" s="397"/>
      <c r="AB337" s="530"/>
      <c r="AC337" s="530"/>
      <c r="AD337" s="530"/>
      <c r="AE337" s="397"/>
    </row>
    <row r="338" spans="2:31" x14ac:dyDescent="0.25">
      <c r="B338" s="661" t="s">
        <v>1476</v>
      </c>
      <c r="C338" s="661" t="s">
        <v>1477</v>
      </c>
      <c r="D338" s="663" t="s">
        <v>1478</v>
      </c>
      <c r="E338" s="745" t="s">
        <v>35</v>
      </c>
      <c r="F338" s="791"/>
      <c r="G338" s="606"/>
      <c r="H338" s="604">
        <f>G338*K339</f>
        <v>0</v>
      </c>
      <c r="I338" s="530"/>
      <c r="J338" s="505" t="s">
        <v>1395</v>
      </c>
      <c r="K338" s="505">
        <v>13</v>
      </c>
      <c r="L338" s="505"/>
      <c r="M338" s="476"/>
      <c r="N338" s="397"/>
      <c r="O338" s="397"/>
      <c r="P338" s="397"/>
      <c r="Q338" s="397"/>
      <c r="R338" s="397"/>
      <c r="S338" s="397"/>
      <c r="T338" s="397"/>
      <c r="U338" s="397"/>
      <c r="V338" s="397"/>
      <c r="W338" s="397"/>
      <c r="X338" s="397"/>
      <c r="Y338" s="397"/>
      <c r="Z338" s="397"/>
      <c r="AA338" s="397"/>
      <c r="AB338" s="530"/>
      <c r="AC338" s="530"/>
      <c r="AD338" s="530"/>
      <c r="AE338" s="397"/>
    </row>
    <row r="339" spans="2:31" x14ac:dyDescent="0.25">
      <c r="B339" s="661" t="s">
        <v>1479</v>
      </c>
      <c r="C339" s="661" t="s">
        <v>1480</v>
      </c>
      <c r="D339" s="663" t="s">
        <v>1481</v>
      </c>
      <c r="E339" s="745" t="s">
        <v>35</v>
      </c>
      <c r="F339" s="791"/>
      <c r="G339" s="606"/>
      <c r="H339" s="604">
        <f>G339*K340</f>
        <v>0</v>
      </c>
      <c r="I339" s="530"/>
      <c r="J339" s="505" t="s">
        <v>1395</v>
      </c>
      <c r="K339" s="505">
        <v>96</v>
      </c>
      <c r="L339" s="505"/>
      <c r="M339" s="476"/>
      <c r="N339" s="397"/>
      <c r="O339" s="397"/>
      <c r="P339" s="397"/>
      <c r="Q339" s="397"/>
      <c r="R339" s="397"/>
      <c r="S339" s="397"/>
      <c r="T339" s="397"/>
      <c r="U339" s="397"/>
      <c r="V339" s="397"/>
      <c r="W339" s="397"/>
      <c r="X339" s="397"/>
      <c r="Y339" s="397"/>
      <c r="Z339" s="397"/>
      <c r="AA339" s="397"/>
      <c r="AB339" s="530"/>
      <c r="AC339" s="530"/>
      <c r="AD339" s="530"/>
      <c r="AE339" s="397"/>
    </row>
    <row r="340" spans="2:31" x14ac:dyDescent="0.25">
      <c r="B340" s="661" t="s">
        <v>1482</v>
      </c>
      <c r="C340" s="661" t="s">
        <v>1483</v>
      </c>
      <c r="D340" s="663" t="s">
        <v>1484</v>
      </c>
      <c r="E340" s="745" t="s">
        <v>35</v>
      </c>
      <c r="F340" s="791"/>
      <c r="G340" s="606"/>
      <c r="H340" s="604">
        <f>G340*K341</f>
        <v>0</v>
      </c>
      <c r="I340" s="530"/>
      <c r="J340" s="505" t="s">
        <v>1395</v>
      </c>
      <c r="K340" s="505">
        <v>3</v>
      </c>
      <c r="L340" s="505"/>
      <c r="M340" s="476"/>
      <c r="N340" s="397"/>
      <c r="O340" s="397"/>
      <c r="P340" s="397"/>
      <c r="Q340" s="397"/>
      <c r="R340" s="397"/>
      <c r="S340" s="397"/>
      <c r="T340" s="397"/>
      <c r="U340" s="397"/>
      <c r="V340" s="397"/>
      <c r="W340" s="397"/>
      <c r="X340" s="397"/>
      <c r="Y340" s="397"/>
      <c r="Z340" s="397"/>
      <c r="AA340" s="397"/>
      <c r="AB340" s="530"/>
      <c r="AC340" s="530"/>
      <c r="AD340" s="530"/>
      <c r="AE340" s="397"/>
    </row>
    <row r="341" spans="2:31" x14ac:dyDescent="0.25">
      <c r="B341" s="661" t="s">
        <v>1485</v>
      </c>
      <c r="C341" s="661" t="s">
        <v>1486</v>
      </c>
      <c r="D341" s="663" t="s">
        <v>1487</v>
      </c>
      <c r="E341" s="745" t="s">
        <v>35</v>
      </c>
      <c r="F341" s="791"/>
      <c r="G341" s="606"/>
      <c r="H341" s="604">
        <f>G341*K342</f>
        <v>0</v>
      </c>
      <c r="I341" s="530"/>
      <c r="J341" s="505" t="s">
        <v>1395</v>
      </c>
      <c r="K341" s="505">
        <v>24</v>
      </c>
      <c r="L341" s="505"/>
      <c r="M341" s="476"/>
      <c r="N341" s="397"/>
      <c r="O341" s="397"/>
      <c r="P341" s="397"/>
      <c r="Q341" s="397"/>
      <c r="R341" s="397"/>
      <c r="S341" s="397"/>
      <c r="T341" s="397"/>
      <c r="U341" s="397"/>
      <c r="V341" s="397"/>
      <c r="W341" s="397"/>
      <c r="X341" s="397"/>
      <c r="Y341" s="397"/>
      <c r="Z341" s="397"/>
      <c r="AA341" s="397"/>
      <c r="AB341" s="530"/>
      <c r="AC341" s="530"/>
      <c r="AD341" s="530"/>
      <c r="AE341" s="397"/>
    </row>
    <row r="342" spans="2:31" x14ac:dyDescent="0.25">
      <c r="B342" s="661" t="s">
        <v>1488</v>
      </c>
      <c r="C342" s="661" t="s">
        <v>1489</v>
      </c>
      <c r="D342" s="663" t="s">
        <v>1490</v>
      </c>
      <c r="E342" s="745" t="s">
        <v>35</v>
      </c>
      <c r="F342" s="791"/>
      <c r="G342" s="606"/>
      <c r="H342" s="604">
        <f>G342*K343</f>
        <v>0</v>
      </c>
      <c r="I342" s="530"/>
      <c r="J342" s="505" t="s">
        <v>1395</v>
      </c>
      <c r="K342" s="505">
        <v>96</v>
      </c>
      <c r="L342" s="505"/>
      <c r="M342" s="476"/>
      <c r="N342" s="397"/>
      <c r="O342" s="397"/>
      <c r="P342" s="397"/>
      <c r="Q342" s="397"/>
      <c r="R342" s="397"/>
      <c r="S342" s="397"/>
      <c r="T342" s="397"/>
      <c r="U342" s="397"/>
      <c r="V342" s="397"/>
      <c r="W342" s="397"/>
      <c r="X342" s="397"/>
      <c r="Y342" s="397"/>
      <c r="Z342" s="397"/>
      <c r="AA342" s="397"/>
      <c r="AB342" s="530"/>
      <c r="AC342" s="530"/>
      <c r="AD342" s="530"/>
      <c r="AE342" s="397"/>
    </row>
    <row r="343" spans="2:31" x14ac:dyDescent="0.25">
      <c r="B343" s="661" t="s">
        <v>1491</v>
      </c>
      <c r="C343" s="661" t="s">
        <v>1492</v>
      </c>
      <c r="D343" s="663" t="s">
        <v>1493</v>
      </c>
      <c r="E343" s="745" t="s">
        <v>35</v>
      </c>
      <c r="F343" s="791"/>
      <c r="G343" s="606"/>
      <c r="H343" s="604">
        <f>G343*K344</f>
        <v>0</v>
      </c>
      <c r="I343" s="530"/>
      <c r="J343" s="505" t="s">
        <v>1395</v>
      </c>
      <c r="K343" s="505">
        <v>59</v>
      </c>
      <c r="L343" s="505"/>
      <c r="M343" s="476"/>
      <c r="N343" s="397"/>
      <c r="O343" s="397"/>
      <c r="P343" s="397"/>
      <c r="Q343" s="397"/>
      <c r="R343" s="397"/>
      <c r="S343" s="397"/>
      <c r="T343" s="397"/>
      <c r="U343" s="397"/>
      <c r="V343" s="397"/>
      <c r="W343" s="397"/>
      <c r="X343" s="397"/>
      <c r="Y343" s="397"/>
      <c r="Z343" s="397"/>
      <c r="AA343" s="397"/>
      <c r="AB343" s="530"/>
      <c r="AC343" s="530"/>
      <c r="AD343" s="530"/>
      <c r="AE343" s="397"/>
    </row>
    <row r="344" spans="2:31" x14ac:dyDescent="0.25">
      <c r="B344" s="661" t="s">
        <v>1494</v>
      </c>
      <c r="C344" s="661" t="s">
        <v>1495</v>
      </c>
      <c r="D344" s="663" t="s">
        <v>1496</v>
      </c>
      <c r="E344" s="668" t="s">
        <v>308</v>
      </c>
      <c r="F344" s="794"/>
      <c r="G344" s="605"/>
      <c r="H344" s="604">
        <f>G344*K345</f>
        <v>0</v>
      </c>
      <c r="I344" s="530"/>
      <c r="J344" s="505" t="s">
        <v>1395</v>
      </c>
      <c r="K344" s="505">
        <v>48</v>
      </c>
      <c r="L344" s="505"/>
      <c r="M344" s="476"/>
      <c r="N344" s="397"/>
      <c r="O344" s="397"/>
      <c r="P344" s="397"/>
      <c r="Q344" s="397"/>
      <c r="R344" s="397"/>
      <c r="S344" s="397"/>
      <c r="T344" s="397"/>
      <c r="U344" s="397"/>
      <c r="V344" s="397"/>
      <c r="W344" s="397"/>
      <c r="X344" s="397"/>
      <c r="Y344" s="397"/>
      <c r="Z344" s="397"/>
      <c r="AA344" s="397"/>
      <c r="AB344" s="530"/>
      <c r="AC344" s="530"/>
      <c r="AD344" s="530"/>
      <c r="AE344" s="397"/>
    </row>
    <row r="345" spans="2:31" x14ac:dyDescent="0.25">
      <c r="B345" s="661" t="s">
        <v>1497</v>
      </c>
      <c r="C345" s="661" t="s">
        <v>1498</v>
      </c>
      <c r="D345" s="663" t="s">
        <v>1499</v>
      </c>
      <c r="E345" s="746" t="s">
        <v>307</v>
      </c>
      <c r="F345" s="792"/>
      <c r="G345" s="606"/>
      <c r="H345" s="604">
        <f>G345*K346</f>
        <v>0</v>
      </c>
      <c r="I345" s="530"/>
      <c r="J345" s="505" t="s">
        <v>1395</v>
      </c>
      <c r="K345" s="505">
        <v>20</v>
      </c>
      <c r="L345" s="505"/>
      <c r="M345" s="476"/>
      <c r="N345" s="397"/>
      <c r="O345" s="397"/>
      <c r="P345" s="397"/>
      <c r="Q345" s="397"/>
      <c r="R345" s="397"/>
      <c r="S345" s="397"/>
      <c r="T345" s="397"/>
      <c r="U345" s="397"/>
      <c r="V345" s="397"/>
      <c r="W345" s="397"/>
      <c r="X345" s="397"/>
      <c r="Y345" s="397"/>
      <c r="Z345" s="397"/>
      <c r="AA345" s="397"/>
      <c r="AB345" s="530"/>
      <c r="AC345" s="530"/>
      <c r="AD345" s="530"/>
      <c r="AE345" s="397"/>
    </row>
    <row r="346" spans="2:31" x14ac:dyDescent="0.25">
      <c r="B346" s="661" t="s">
        <v>1500</v>
      </c>
      <c r="C346" s="661" t="s">
        <v>1501</v>
      </c>
      <c r="D346" s="664" t="s">
        <v>1502</v>
      </c>
      <c r="E346" s="744" t="s">
        <v>304</v>
      </c>
      <c r="F346" s="790"/>
      <c r="G346" s="606"/>
      <c r="H346" s="604">
        <f>G346*K347</f>
        <v>0</v>
      </c>
      <c r="I346" s="530"/>
      <c r="J346" s="505" t="s">
        <v>465</v>
      </c>
      <c r="K346" s="505">
        <v>13</v>
      </c>
      <c r="L346" s="505"/>
      <c r="M346" s="476"/>
      <c r="N346" s="397"/>
      <c r="O346" s="397"/>
      <c r="P346" s="397"/>
      <c r="Q346" s="397"/>
      <c r="R346" s="397"/>
      <c r="S346" s="397"/>
      <c r="T346" s="397"/>
      <c r="U346" s="397"/>
      <c r="V346" s="397"/>
      <c r="W346" s="397"/>
      <c r="X346" s="397"/>
      <c r="Y346" s="397"/>
      <c r="Z346" s="397"/>
      <c r="AA346" s="397"/>
      <c r="AB346" s="530"/>
      <c r="AC346" s="530"/>
      <c r="AD346" s="530"/>
      <c r="AE346" s="397"/>
    </row>
    <row r="347" spans="2:31" x14ac:dyDescent="0.25">
      <c r="B347" s="661" t="s">
        <v>1503</v>
      </c>
      <c r="C347" s="661" t="s">
        <v>1504</v>
      </c>
      <c r="D347" s="663" t="s">
        <v>1505</v>
      </c>
      <c r="E347" s="745" t="s">
        <v>35</v>
      </c>
      <c r="F347" s="791"/>
      <c r="G347" s="606"/>
      <c r="H347" s="604">
        <f>G347*K348</f>
        <v>0</v>
      </c>
      <c r="I347" s="574"/>
      <c r="J347" s="537" t="s">
        <v>1506</v>
      </c>
      <c r="K347" s="505">
        <v>82</v>
      </c>
      <c r="L347" s="505"/>
      <c r="M347" s="476"/>
      <c r="N347" s="397"/>
      <c r="O347" s="397"/>
      <c r="P347" s="397"/>
      <c r="Q347" s="397"/>
      <c r="R347" s="397"/>
      <c r="S347" s="397"/>
      <c r="T347" s="397"/>
      <c r="U347" s="397"/>
      <c r="V347" s="397"/>
      <c r="W347" s="397"/>
      <c r="X347" s="397"/>
      <c r="Y347" s="397"/>
      <c r="Z347" s="397"/>
      <c r="AA347" s="397"/>
      <c r="AB347" s="530"/>
      <c r="AC347" s="530"/>
      <c r="AD347" s="530"/>
      <c r="AE347" s="397"/>
    </row>
    <row r="348" spans="2:31" x14ac:dyDescent="0.25">
      <c r="B348" s="661" t="s">
        <v>1507</v>
      </c>
      <c r="C348" s="661" t="s">
        <v>1508</v>
      </c>
      <c r="D348" s="663" t="s">
        <v>1509</v>
      </c>
      <c r="E348" s="745" t="s">
        <v>35</v>
      </c>
      <c r="F348" s="791"/>
      <c r="G348" s="606"/>
      <c r="H348" s="604">
        <f>G348*K349</f>
        <v>0</v>
      </c>
      <c r="I348" s="530"/>
      <c r="J348" s="537" t="s">
        <v>1506</v>
      </c>
      <c r="K348" s="505">
        <v>10</v>
      </c>
      <c r="L348" s="505"/>
      <c r="M348" s="476"/>
      <c r="N348" s="397"/>
      <c r="O348" s="397"/>
      <c r="P348" s="397"/>
      <c r="Q348" s="397"/>
      <c r="R348" s="397"/>
      <c r="S348" s="397"/>
      <c r="T348" s="397"/>
      <c r="U348" s="397"/>
      <c r="V348" s="397"/>
      <c r="W348" s="397"/>
      <c r="X348" s="397"/>
      <c r="Y348" s="397"/>
      <c r="Z348" s="397"/>
      <c r="AA348" s="397"/>
      <c r="AB348" s="530"/>
      <c r="AC348" s="530"/>
      <c r="AD348" s="530"/>
      <c r="AE348" s="397"/>
    </row>
    <row r="349" spans="2:31" ht="19.5" customHeight="1" x14ac:dyDescent="0.25">
      <c r="B349" s="661" t="s">
        <v>1510</v>
      </c>
      <c r="C349" s="661" t="s">
        <v>1511</v>
      </c>
      <c r="D349" s="663" t="s">
        <v>1512</v>
      </c>
      <c r="E349" s="756" t="s">
        <v>402</v>
      </c>
      <c r="F349" s="795"/>
      <c r="G349" s="606"/>
      <c r="H349" s="604"/>
      <c r="I349" s="530"/>
      <c r="J349" s="505" t="s">
        <v>1513</v>
      </c>
      <c r="K349" s="505">
        <v>6</v>
      </c>
      <c r="L349" s="505"/>
      <c r="M349" s="476"/>
      <c r="N349" s="397"/>
      <c r="O349" s="397"/>
      <c r="P349" s="397"/>
      <c r="Q349" s="397"/>
      <c r="R349" s="397"/>
      <c r="S349" s="397"/>
      <c r="T349" s="397"/>
      <c r="U349" s="397"/>
      <c r="V349" s="397"/>
      <c r="W349" s="397"/>
      <c r="X349" s="397"/>
      <c r="Y349" s="397"/>
      <c r="Z349" s="397"/>
      <c r="AA349" s="397"/>
      <c r="AB349" s="530"/>
      <c r="AC349" s="530"/>
      <c r="AD349" s="530"/>
      <c r="AE349" s="397"/>
    </row>
    <row r="350" spans="2:31" ht="19.5" customHeight="1" x14ac:dyDescent="0.25">
      <c r="B350" s="661" t="s">
        <v>1514</v>
      </c>
      <c r="C350" s="661" t="s">
        <v>1515</v>
      </c>
      <c r="D350" s="663" t="s">
        <v>1516</v>
      </c>
      <c r="E350" s="766" t="s">
        <v>1624</v>
      </c>
      <c r="F350" s="796"/>
      <c r="G350" s="606"/>
      <c r="H350" s="604"/>
      <c r="I350" s="587" t="s">
        <v>323</v>
      </c>
      <c r="J350" s="505" t="s">
        <v>1513</v>
      </c>
      <c r="K350" s="505"/>
      <c r="L350" s="579"/>
      <c r="M350" s="397"/>
      <c r="N350" s="397"/>
      <c r="O350" s="397"/>
      <c r="P350" s="397"/>
      <c r="Q350" s="397"/>
      <c r="R350" s="397"/>
      <c r="S350" s="397"/>
      <c r="T350" s="397"/>
      <c r="U350" s="397"/>
      <c r="V350" s="397"/>
      <c r="W350" s="397"/>
      <c r="X350" s="397"/>
      <c r="Y350" s="397"/>
      <c r="Z350" s="397"/>
      <c r="AA350" s="397"/>
      <c r="AB350" s="530"/>
      <c r="AC350" s="530"/>
      <c r="AD350" s="530"/>
      <c r="AE350" s="397"/>
    </row>
    <row r="351" spans="2:31" ht="19.5" customHeight="1" x14ac:dyDescent="0.25">
      <c r="B351" s="661" t="s">
        <v>1517</v>
      </c>
      <c r="C351" s="661" t="s">
        <v>1518</v>
      </c>
      <c r="D351" s="663" t="s">
        <v>1519</v>
      </c>
      <c r="E351" s="766" t="s">
        <v>1624</v>
      </c>
      <c r="F351" s="796"/>
      <c r="G351" s="606"/>
      <c r="H351" s="604"/>
      <c r="I351" s="588" t="s">
        <v>376</v>
      </c>
      <c r="J351" s="505" t="s">
        <v>1513</v>
      </c>
      <c r="K351" s="505"/>
      <c r="L351" s="579"/>
      <c r="M351" s="397"/>
      <c r="N351" s="397"/>
      <c r="O351" s="397"/>
      <c r="P351" s="397"/>
      <c r="Q351" s="397"/>
      <c r="R351" s="397"/>
      <c r="S351" s="397"/>
      <c r="T351" s="397"/>
      <c r="U351" s="397"/>
      <c r="V351" s="397"/>
      <c r="W351" s="397"/>
      <c r="X351" s="397"/>
      <c r="Y351" s="397"/>
      <c r="Z351" s="397"/>
      <c r="AA351" s="397"/>
      <c r="AB351" s="530"/>
      <c r="AC351" s="530"/>
      <c r="AD351" s="530"/>
      <c r="AE351" s="397"/>
    </row>
    <row r="352" spans="2:31" ht="19.5" customHeight="1" x14ac:dyDescent="0.25">
      <c r="B352" s="661" t="s">
        <v>1520</v>
      </c>
      <c r="C352" s="661" t="s">
        <v>1521</v>
      </c>
      <c r="D352" s="663" t="s">
        <v>1522</v>
      </c>
      <c r="E352" s="766" t="s">
        <v>1624</v>
      </c>
      <c r="F352" s="796"/>
      <c r="G352" s="606"/>
      <c r="H352" s="604"/>
      <c r="I352" s="589" t="s">
        <v>378</v>
      </c>
      <c r="J352" s="505" t="s">
        <v>1513</v>
      </c>
      <c r="K352" s="505"/>
      <c r="L352" s="579"/>
      <c r="M352" s="397"/>
      <c r="N352" s="397"/>
      <c r="O352" s="397"/>
      <c r="P352" s="397"/>
      <c r="Q352" s="397"/>
      <c r="R352" s="397"/>
      <c r="S352" s="397"/>
      <c r="T352" s="397"/>
      <c r="U352" s="397"/>
      <c r="V352" s="397"/>
      <c r="W352" s="397"/>
      <c r="X352" s="397"/>
      <c r="Y352" s="397"/>
      <c r="Z352" s="397"/>
      <c r="AA352" s="397"/>
      <c r="AB352" s="530"/>
      <c r="AC352" s="530"/>
      <c r="AD352" s="530"/>
      <c r="AE352" s="397"/>
    </row>
    <row r="353" spans="2:30" ht="19.5" customHeight="1" x14ac:dyDescent="0.25">
      <c r="B353" s="661" t="s">
        <v>1523</v>
      </c>
      <c r="C353" s="661" t="s">
        <v>1524</v>
      </c>
      <c r="D353" s="663" t="s">
        <v>1525</v>
      </c>
      <c r="E353" s="767" t="s">
        <v>1842</v>
      </c>
      <c r="F353" s="797"/>
      <c r="G353" s="606"/>
      <c r="H353" s="604"/>
      <c r="I353" s="590" t="s">
        <v>380</v>
      </c>
      <c r="J353" s="505" t="s">
        <v>1513</v>
      </c>
      <c r="K353" s="505"/>
      <c r="L353" s="579"/>
      <c r="M353" s="397"/>
      <c r="N353" s="397"/>
      <c r="O353" s="397"/>
      <c r="P353" s="397"/>
      <c r="Q353" s="397"/>
      <c r="R353" s="397"/>
      <c r="S353" s="397"/>
      <c r="T353" s="397"/>
      <c r="U353" s="397"/>
      <c r="V353" s="397"/>
      <c r="W353" s="397"/>
      <c r="X353" s="397"/>
      <c r="Y353" s="397"/>
      <c r="Z353" s="397"/>
      <c r="AA353" s="397"/>
      <c r="AB353" s="530"/>
      <c r="AC353" s="530"/>
      <c r="AD353" s="530"/>
    </row>
    <row r="354" spans="2:30" ht="19.5" customHeight="1" x14ac:dyDescent="0.25">
      <c r="B354" s="661" t="s">
        <v>1526</v>
      </c>
      <c r="C354" s="661" t="s">
        <v>1527</v>
      </c>
      <c r="D354" s="663" t="s">
        <v>1528</v>
      </c>
      <c r="E354" s="766" t="s">
        <v>1624</v>
      </c>
      <c r="F354" s="796"/>
      <c r="G354" s="606"/>
      <c r="H354" s="604"/>
      <c r="I354" s="591" t="s">
        <v>382</v>
      </c>
      <c r="J354" s="505" t="s">
        <v>1513</v>
      </c>
      <c r="K354" s="505"/>
      <c r="L354" s="579"/>
      <c r="M354" s="397"/>
      <c r="N354" s="397"/>
      <c r="O354" s="397"/>
      <c r="P354" s="397"/>
      <c r="Q354" s="397"/>
      <c r="R354" s="397"/>
      <c r="S354" s="397"/>
      <c r="T354" s="397"/>
      <c r="U354" s="397"/>
      <c r="V354" s="397"/>
      <c r="W354" s="397"/>
      <c r="X354" s="397"/>
      <c r="Y354" s="397"/>
      <c r="Z354" s="397"/>
      <c r="AA354" s="397"/>
      <c r="AB354" s="530"/>
      <c r="AC354" s="530"/>
      <c r="AD354" s="530"/>
    </row>
    <row r="355" spans="2:30" ht="19.5" customHeight="1" x14ac:dyDescent="0.25">
      <c r="B355" s="661" t="s">
        <v>1529</v>
      </c>
      <c r="C355" s="661" t="s">
        <v>1530</v>
      </c>
      <c r="D355" s="663" t="s">
        <v>1531</v>
      </c>
      <c r="E355" s="768" t="s">
        <v>321</v>
      </c>
      <c r="F355" s="798"/>
      <c r="G355" s="606"/>
      <c r="H355" s="604"/>
      <c r="I355" s="592" t="s">
        <v>400</v>
      </c>
      <c r="J355" s="505" t="s">
        <v>1513</v>
      </c>
      <c r="K355" s="505"/>
      <c r="L355" s="579"/>
      <c r="M355" s="397"/>
      <c r="N355" s="397"/>
      <c r="O355" s="397"/>
      <c r="P355" s="397"/>
      <c r="Q355" s="397"/>
      <c r="R355" s="397"/>
      <c r="S355" s="397"/>
      <c r="T355" s="397"/>
      <c r="U355" s="397"/>
      <c r="V355" s="397"/>
      <c r="W355" s="397"/>
      <c r="X355" s="397"/>
      <c r="Y355" s="397"/>
      <c r="Z355" s="397"/>
      <c r="AA355" s="397"/>
      <c r="AB355" s="530"/>
      <c r="AC355" s="530"/>
      <c r="AD355" s="530"/>
    </row>
    <row r="356" spans="2:30" ht="19.5" customHeight="1" x14ac:dyDescent="0.25">
      <c r="B356" s="661" t="s">
        <v>1532</v>
      </c>
      <c r="C356" s="661" t="s">
        <v>1533</v>
      </c>
      <c r="D356" s="663" t="s">
        <v>1844</v>
      </c>
      <c r="E356" s="769" t="s">
        <v>1802</v>
      </c>
      <c r="F356" s="799"/>
      <c r="G356" s="606"/>
      <c r="H356" s="604"/>
      <c r="I356" s="593" t="s">
        <v>385</v>
      </c>
      <c r="J356" s="505" t="s">
        <v>1513</v>
      </c>
      <c r="K356" s="505"/>
      <c r="L356" s="579"/>
      <c r="M356" s="397"/>
      <c r="N356" s="397"/>
      <c r="O356" s="397"/>
      <c r="P356" s="397"/>
      <c r="Q356" s="397"/>
      <c r="R356" s="397"/>
      <c r="S356" s="397"/>
      <c r="T356" s="397"/>
      <c r="U356" s="397"/>
      <c r="V356" s="397"/>
      <c r="W356" s="397"/>
      <c r="X356" s="397"/>
      <c r="Y356" s="397"/>
      <c r="Z356" s="397"/>
      <c r="AA356" s="397"/>
      <c r="AB356" s="530"/>
      <c r="AC356" s="530"/>
      <c r="AD356" s="530"/>
    </row>
    <row r="357" spans="2:30" ht="19.5" customHeight="1" x14ac:dyDescent="0.25">
      <c r="B357" s="661" t="s">
        <v>1534</v>
      </c>
      <c r="C357" s="661" t="s">
        <v>1535</v>
      </c>
      <c r="D357" s="663" t="s">
        <v>1845</v>
      </c>
      <c r="E357" s="769" t="s">
        <v>1802</v>
      </c>
      <c r="F357" s="799"/>
      <c r="G357" s="606"/>
      <c r="H357" s="604"/>
      <c r="I357" s="594" t="s">
        <v>408</v>
      </c>
      <c r="J357" s="505" t="s">
        <v>1513</v>
      </c>
      <c r="K357" s="505"/>
      <c r="L357" s="579"/>
      <c r="M357" s="397"/>
      <c r="N357" s="397"/>
      <c r="O357" s="397"/>
      <c r="P357" s="397"/>
      <c r="Q357" s="397"/>
      <c r="R357" s="397"/>
      <c r="S357" s="397"/>
      <c r="T357" s="397"/>
      <c r="U357" s="397"/>
      <c r="V357" s="397"/>
      <c r="W357" s="397"/>
      <c r="X357" s="397"/>
      <c r="Y357" s="397"/>
      <c r="Z357" s="397"/>
      <c r="AA357" s="397"/>
      <c r="AB357" s="530"/>
      <c r="AC357" s="530"/>
      <c r="AD357" s="530"/>
    </row>
    <row r="358" spans="2:30" ht="19.5" customHeight="1" x14ac:dyDescent="0.25">
      <c r="B358" s="661" t="s">
        <v>1536</v>
      </c>
      <c r="C358" s="661" t="s">
        <v>1537</v>
      </c>
      <c r="D358" s="663" t="s">
        <v>1538</v>
      </c>
      <c r="E358" s="766" t="s">
        <v>1624</v>
      </c>
      <c r="F358" s="796"/>
      <c r="G358" s="606"/>
      <c r="H358" s="604"/>
      <c r="I358" s="595" t="s">
        <v>409</v>
      </c>
      <c r="J358" s="505" t="s">
        <v>1513</v>
      </c>
      <c r="K358" s="505"/>
      <c r="L358" s="579"/>
      <c r="M358" s="397"/>
      <c r="N358" s="397"/>
      <c r="O358" s="397"/>
      <c r="P358" s="397"/>
      <c r="Q358" s="397"/>
      <c r="R358" s="397"/>
      <c r="S358" s="397"/>
      <c r="T358" s="397"/>
      <c r="U358" s="397"/>
      <c r="V358" s="397"/>
      <c r="W358" s="397"/>
      <c r="X358" s="397"/>
      <c r="Y358" s="397"/>
      <c r="Z358" s="397"/>
      <c r="AA358" s="397"/>
      <c r="AB358" s="530"/>
      <c r="AC358" s="530"/>
      <c r="AD358" s="530"/>
    </row>
    <row r="359" spans="2:30" ht="19.5" customHeight="1" x14ac:dyDescent="0.25">
      <c r="B359" s="661" t="s">
        <v>1539</v>
      </c>
      <c r="C359" s="661" t="s">
        <v>1540</v>
      </c>
      <c r="D359" s="663" t="s">
        <v>1541</v>
      </c>
      <c r="E359" s="767" t="s">
        <v>1842</v>
      </c>
      <c r="F359" s="797"/>
      <c r="G359" s="606"/>
      <c r="H359" s="604"/>
      <c r="I359" s="596" t="s">
        <v>1624</v>
      </c>
      <c r="J359" s="505" t="s">
        <v>1513</v>
      </c>
      <c r="K359" s="505"/>
      <c r="L359" s="579"/>
      <c r="M359" s="397"/>
      <c r="N359" s="397"/>
      <c r="O359" s="397"/>
      <c r="P359" s="397"/>
      <c r="Q359" s="397"/>
      <c r="R359" s="397"/>
      <c r="S359" s="397"/>
      <c r="T359" s="397"/>
      <c r="U359" s="397"/>
      <c r="V359" s="397"/>
      <c r="W359" s="397"/>
      <c r="X359" s="397"/>
      <c r="Y359" s="397"/>
      <c r="Z359" s="397"/>
      <c r="AA359" s="397"/>
      <c r="AB359" s="530"/>
      <c r="AC359" s="530"/>
      <c r="AD359" s="530"/>
    </row>
    <row r="360" spans="2:30" ht="19.5" customHeight="1" x14ac:dyDescent="0.25">
      <c r="B360" s="661" t="s">
        <v>1542</v>
      </c>
      <c r="C360" s="661" t="s">
        <v>1543</v>
      </c>
      <c r="D360" s="663" t="s">
        <v>1544</v>
      </c>
      <c r="E360" s="770" t="s">
        <v>380</v>
      </c>
      <c r="F360" s="800"/>
      <c r="G360" s="606"/>
      <c r="H360" s="604"/>
      <c r="I360" s="597" t="s">
        <v>402</v>
      </c>
      <c r="J360" s="505" t="s">
        <v>1513</v>
      </c>
      <c r="K360" s="505"/>
      <c r="L360" s="579"/>
      <c r="M360" s="397"/>
      <c r="N360" s="397"/>
      <c r="O360" s="397"/>
      <c r="P360" s="397"/>
      <c r="Q360" s="397"/>
      <c r="R360" s="397"/>
      <c r="S360" s="397"/>
      <c r="T360" s="397"/>
      <c r="U360" s="397"/>
      <c r="V360" s="397"/>
      <c r="W360" s="397"/>
      <c r="X360" s="397"/>
      <c r="Y360" s="397"/>
      <c r="Z360" s="397"/>
      <c r="AA360" s="397"/>
      <c r="AB360" s="530"/>
      <c r="AC360" s="530"/>
      <c r="AD360" s="530"/>
    </row>
    <row r="361" spans="2:30" ht="19.5" customHeight="1" x14ac:dyDescent="0.25">
      <c r="B361" s="661" t="s">
        <v>1545</v>
      </c>
      <c r="C361" s="661" t="s">
        <v>1546</v>
      </c>
      <c r="D361" s="663" t="s">
        <v>1547</v>
      </c>
      <c r="E361" s="771" t="s">
        <v>382</v>
      </c>
      <c r="F361" s="801"/>
      <c r="G361" s="606"/>
      <c r="H361" s="604"/>
      <c r="I361" s="533" t="s">
        <v>403</v>
      </c>
      <c r="J361" s="505" t="s">
        <v>1513</v>
      </c>
      <c r="K361" s="505"/>
      <c r="L361" s="579"/>
      <c r="M361" s="397"/>
      <c r="N361" s="397"/>
      <c r="O361" s="397"/>
      <c r="P361" s="397"/>
      <c r="Q361" s="397"/>
      <c r="R361" s="397"/>
      <c r="S361" s="397"/>
      <c r="T361" s="397"/>
      <c r="U361" s="397"/>
      <c r="V361" s="397"/>
      <c r="W361" s="397"/>
      <c r="X361" s="397"/>
      <c r="Y361" s="397"/>
      <c r="Z361" s="397"/>
      <c r="AA361" s="397"/>
      <c r="AB361" s="530"/>
      <c r="AC361" s="530"/>
      <c r="AD361" s="530"/>
    </row>
    <row r="362" spans="2:30" ht="19.5" customHeight="1" x14ac:dyDescent="0.25">
      <c r="B362" s="661" t="s">
        <v>1548</v>
      </c>
      <c r="C362" s="661" t="s">
        <v>1549</v>
      </c>
      <c r="D362" s="663" t="s">
        <v>1550</v>
      </c>
      <c r="E362" s="772" t="s">
        <v>339</v>
      </c>
      <c r="F362" s="802"/>
      <c r="G362" s="606"/>
      <c r="H362" s="604"/>
      <c r="I362" s="535" t="s">
        <v>404</v>
      </c>
      <c r="J362" s="505" t="s">
        <v>1513</v>
      </c>
      <c r="K362" s="505"/>
      <c r="L362" s="579"/>
      <c r="M362" s="397"/>
      <c r="N362" s="397"/>
      <c r="O362" s="397"/>
      <c r="P362" s="397"/>
      <c r="Q362" s="397"/>
      <c r="R362" s="397"/>
      <c r="S362" s="397"/>
      <c r="T362" s="397"/>
      <c r="U362" s="397"/>
      <c r="V362" s="397"/>
      <c r="W362" s="397"/>
      <c r="X362" s="397"/>
      <c r="Y362" s="397"/>
      <c r="Z362" s="397"/>
      <c r="AA362" s="397"/>
      <c r="AB362" s="530"/>
      <c r="AC362" s="530"/>
      <c r="AD362" s="530"/>
    </row>
    <row r="363" spans="2:30" ht="19.5" customHeight="1" x14ac:dyDescent="0.25">
      <c r="B363" s="661" t="s">
        <v>1846</v>
      </c>
      <c r="C363" s="661" t="s">
        <v>1847</v>
      </c>
      <c r="D363" s="663" t="s">
        <v>1848</v>
      </c>
      <c r="E363" s="769" t="s">
        <v>1802</v>
      </c>
      <c r="F363" s="799"/>
      <c r="G363" s="606"/>
      <c r="H363" s="604"/>
      <c r="I363" s="598" t="s">
        <v>405</v>
      </c>
      <c r="J363" s="505" t="s">
        <v>1513</v>
      </c>
      <c r="K363" s="505"/>
      <c r="L363" s="579"/>
      <c r="M363" s="397"/>
      <c r="N363" s="397"/>
      <c r="O363" s="397"/>
      <c r="P363" s="397"/>
      <c r="Q363" s="397"/>
      <c r="R363" s="397"/>
      <c r="S363" s="397"/>
      <c r="T363" s="397"/>
      <c r="U363" s="397"/>
      <c r="V363" s="397"/>
      <c r="W363" s="397"/>
      <c r="X363" s="397"/>
      <c r="Y363" s="397"/>
      <c r="Z363" s="397"/>
      <c r="AA363" s="397"/>
      <c r="AB363" s="530"/>
      <c r="AC363" s="530"/>
      <c r="AD363" s="530"/>
    </row>
    <row r="364" spans="2:30" ht="19.5" customHeight="1" x14ac:dyDescent="0.25">
      <c r="B364" s="661" t="s">
        <v>1849</v>
      </c>
      <c r="C364" s="661" t="s">
        <v>1850</v>
      </c>
      <c r="D364" s="663" t="s">
        <v>1851</v>
      </c>
      <c r="E364" s="767" t="s">
        <v>1842</v>
      </c>
      <c r="F364" s="797"/>
      <c r="G364" s="606"/>
      <c r="H364" s="604"/>
      <c r="I364" s="536" t="s">
        <v>406</v>
      </c>
      <c r="J364" s="505" t="s">
        <v>1513</v>
      </c>
      <c r="K364" s="505"/>
      <c r="L364" s="579"/>
      <c r="M364" s="397"/>
      <c r="N364" s="397"/>
      <c r="O364" s="397"/>
      <c r="P364" s="397"/>
      <c r="Q364" s="397"/>
      <c r="R364" s="397"/>
      <c r="S364" s="397"/>
      <c r="T364" s="397"/>
      <c r="U364" s="397"/>
      <c r="V364" s="397"/>
      <c r="W364" s="397"/>
      <c r="X364" s="397"/>
      <c r="Y364" s="397"/>
      <c r="Z364" s="397"/>
      <c r="AA364" s="397"/>
      <c r="AB364" s="530"/>
      <c r="AC364" s="530"/>
      <c r="AD364" s="530"/>
    </row>
    <row r="365" spans="2:30" ht="19.5" customHeight="1" x14ac:dyDescent="0.25">
      <c r="B365" s="661" t="s">
        <v>1852</v>
      </c>
      <c r="C365" s="661" t="s">
        <v>1853</v>
      </c>
      <c r="D365" s="663" t="s">
        <v>1854</v>
      </c>
      <c r="E365" s="769" t="s">
        <v>1802</v>
      </c>
      <c r="F365" s="799"/>
      <c r="G365" s="606"/>
      <c r="H365" s="604"/>
      <c r="I365" s="527" t="s">
        <v>401</v>
      </c>
      <c r="J365" s="505" t="s">
        <v>1513</v>
      </c>
      <c r="K365" s="505"/>
      <c r="L365" s="579"/>
      <c r="M365" s="397"/>
      <c r="N365" s="397"/>
      <c r="O365" s="397"/>
      <c r="P365" s="397"/>
      <c r="Q365" s="397"/>
      <c r="R365" s="397"/>
      <c r="S365" s="397"/>
      <c r="T365" s="397"/>
      <c r="U365" s="397"/>
      <c r="V365" s="397"/>
      <c r="W365" s="397"/>
      <c r="X365" s="397"/>
      <c r="Y365" s="397"/>
      <c r="Z365" s="397"/>
      <c r="AA365" s="397"/>
      <c r="AB365" s="530"/>
      <c r="AC365" s="530"/>
      <c r="AD365" s="530"/>
    </row>
    <row r="366" spans="2:30" ht="19.5" customHeight="1" x14ac:dyDescent="0.25">
      <c r="B366" s="661" t="s">
        <v>1855</v>
      </c>
      <c r="C366" s="661" t="s">
        <v>1856</v>
      </c>
      <c r="D366" s="663" t="s">
        <v>1857</v>
      </c>
      <c r="E366" s="769" t="s">
        <v>1802</v>
      </c>
      <c r="F366" s="799"/>
      <c r="G366" s="606"/>
      <c r="H366" s="604"/>
      <c r="I366" s="528" t="s">
        <v>407</v>
      </c>
      <c r="J366" s="505" t="s">
        <v>1513</v>
      </c>
      <c r="K366" s="505"/>
      <c r="L366" s="579"/>
      <c r="M366" s="397"/>
      <c r="N366" s="397"/>
      <c r="O366" s="397"/>
      <c r="P366" s="397"/>
      <c r="Q366" s="397"/>
      <c r="R366" s="397"/>
      <c r="S366" s="397"/>
      <c r="T366" s="397"/>
      <c r="U366" s="397"/>
      <c r="V366" s="397"/>
      <c r="W366" s="397"/>
      <c r="X366" s="397"/>
      <c r="Y366" s="397"/>
      <c r="Z366" s="397"/>
      <c r="AA366" s="397"/>
      <c r="AB366" s="530"/>
      <c r="AC366" s="530"/>
      <c r="AD366" s="530"/>
    </row>
    <row r="367" spans="2:30" ht="19.5" customHeight="1" x14ac:dyDescent="0.25">
      <c r="B367" s="661" t="s">
        <v>1858</v>
      </c>
      <c r="C367" s="661" t="s">
        <v>1859</v>
      </c>
      <c r="D367" s="663" t="s">
        <v>1860</v>
      </c>
      <c r="E367" s="768" t="s">
        <v>321</v>
      </c>
      <c r="F367" s="798"/>
      <c r="G367" s="606"/>
      <c r="H367" s="604"/>
      <c r="I367" s="599" t="s">
        <v>1621</v>
      </c>
      <c r="J367" s="505" t="s">
        <v>1513</v>
      </c>
      <c r="K367" s="505"/>
      <c r="L367" s="579"/>
      <c r="M367" s="397"/>
      <c r="N367" s="397"/>
      <c r="O367" s="397"/>
      <c r="P367" s="397"/>
      <c r="Q367" s="397"/>
      <c r="R367" s="397"/>
      <c r="S367" s="397"/>
      <c r="T367" s="397"/>
      <c r="U367" s="397"/>
      <c r="V367" s="397"/>
      <c r="W367" s="397"/>
      <c r="X367" s="397"/>
      <c r="Y367" s="397"/>
      <c r="Z367" s="397"/>
      <c r="AA367" s="397"/>
      <c r="AB367" s="530"/>
      <c r="AC367" s="530"/>
      <c r="AD367" s="530"/>
    </row>
    <row r="368" spans="2:30" ht="19.5" customHeight="1" x14ac:dyDescent="0.25">
      <c r="B368" s="661" t="s">
        <v>1861</v>
      </c>
      <c r="C368" s="661" t="s">
        <v>1862</v>
      </c>
      <c r="D368" s="663" t="s">
        <v>1863</v>
      </c>
      <c r="E368" s="767" t="s">
        <v>1842</v>
      </c>
      <c r="F368" s="797"/>
      <c r="G368" s="606"/>
      <c r="H368" s="604"/>
      <c r="I368" s="600" t="s">
        <v>1625</v>
      </c>
      <c r="J368" s="505" t="s">
        <v>1513</v>
      </c>
      <c r="K368" s="505"/>
      <c r="L368" s="579"/>
      <c r="M368" s="397"/>
      <c r="N368" s="397"/>
      <c r="O368" s="397"/>
      <c r="P368" s="397"/>
      <c r="Q368" s="397"/>
      <c r="R368" s="397"/>
      <c r="S368" s="397"/>
      <c r="T368" s="397"/>
      <c r="U368" s="397"/>
      <c r="V368" s="397"/>
      <c r="W368" s="397"/>
      <c r="X368" s="397"/>
      <c r="Y368" s="397"/>
      <c r="Z368" s="397"/>
      <c r="AA368" s="397"/>
      <c r="AB368" s="530"/>
      <c r="AC368" s="530"/>
      <c r="AD368" s="530"/>
    </row>
    <row r="369" spans="2:30" ht="19.5" customHeight="1" x14ac:dyDescent="0.25">
      <c r="B369" s="661" t="s">
        <v>1864</v>
      </c>
      <c r="C369" s="661" t="s">
        <v>1865</v>
      </c>
      <c r="D369" s="663" t="s">
        <v>1866</v>
      </c>
      <c r="E369" s="767" t="s">
        <v>1842</v>
      </c>
      <c r="F369" s="797"/>
      <c r="G369" s="606"/>
      <c r="H369" s="604"/>
      <c r="I369" s="601" t="s">
        <v>1622</v>
      </c>
      <c r="J369" s="505" t="s">
        <v>1513</v>
      </c>
      <c r="K369" s="505"/>
      <c r="L369" s="579"/>
      <c r="M369" s="397"/>
      <c r="N369" s="397"/>
      <c r="O369" s="397"/>
      <c r="P369" s="397"/>
      <c r="Q369" s="397"/>
      <c r="R369" s="397"/>
      <c r="S369" s="397"/>
      <c r="T369" s="397"/>
      <c r="U369" s="397"/>
      <c r="V369" s="397"/>
      <c r="W369" s="397"/>
      <c r="X369" s="397"/>
      <c r="Y369" s="397"/>
      <c r="Z369" s="397"/>
      <c r="AA369" s="397"/>
      <c r="AB369" s="530"/>
      <c r="AC369" s="530"/>
      <c r="AD369" s="530"/>
    </row>
    <row r="370" spans="2:30" ht="19.5" customHeight="1" x14ac:dyDescent="0.25">
      <c r="B370" s="661" t="s">
        <v>1867</v>
      </c>
      <c r="C370" s="661" t="s">
        <v>1868</v>
      </c>
      <c r="D370" s="663" t="s">
        <v>1869</v>
      </c>
      <c r="E370" s="769" t="s">
        <v>1802</v>
      </c>
      <c r="F370" s="799"/>
      <c r="G370" s="606"/>
      <c r="H370" s="604"/>
      <c r="I370" s="675" t="s">
        <v>1842</v>
      </c>
      <c r="J370" s="505" t="s">
        <v>1513</v>
      </c>
      <c r="K370" s="505"/>
      <c r="L370" s="579"/>
      <c r="M370" s="397"/>
      <c r="N370" s="397"/>
      <c r="O370" s="397"/>
      <c r="P370" s="397"/>
      <c r="Q370" s="397"/>
      <c r="R370" s="397"/>
      <c r="S370" s="397"/>
      <c r="T370" s="397"/>
      <c r="U370" s="397"/>
      <c r="V370" s="397"/>
      <c r="W370" s="397"/>
      <c r="X370" s="397"/>
      <c r="Y370" s="397"/>
      <c r="Z370" s="397"/>
      <c r="AA370" s="397"/>
      <c r="AB370" s="530"/>
      <c r="AC370" s="530"/>
      <c r="AD370" s="530"/>
    </row>
    <row r="371" spans="2:30" ht="19.5" customHeight="1" x14ac:dyDescent="0.25">
      <c r="B371" s="661" t="s">
        <v>1870</v>
      </c>
      <c r="C371" s="661" t="s">
        <v>1871</v>
      </c>
      <c r="D371" s="663" t="s">
        <v>1872</v>
      </c>
      <c r="E371" s="773" t="s">
        <v>323</v>
      </c>
      <c r="F371" s="803"/>
      <c r="G371" s="606"/>
      <c r="H371" s="604"/>
      <c r="I371" s="602" t="s">
        <v>1616</v>
      </c>
      <c r="J371" s="505" t="s">
        <v>1513</v>
      </c>
      <c r="K371" s="505"/>
      <c r="L371" s="579"/>
      <c r="M371" s="397"/>
      <c r="N371" s="397"/>
      <c r="O371" s="397"/>
      <c r="P371" s="397"/>
      <c r="Q371" s="397"/>
      <c r="R371" s="397"/>
      <c r="S371" s="397"/>
      <c r="T371" s="397"/>
      <c r="U371" s="397"/>
      <c r="V371" s="397"/>
      <c r="W371" s="397"/>
      <c r="X371" s="397"/>
      <c r="Y371" s="397"/>
      <c r="Z371" s="397"/>
      <c r="AA371" s="397"/>
      <c r="AB371" s="530"/>
      <c r="AC371" s="530"/>
      <c r="AD371" s="530"/>
    </row>
    <row r="372" spans="2:30" ht="19.5" customHeight="1" x14ac:dyDescent="0.25">
      <c r="B372" s="661" t="s">
        <v>1873</v>
      </c>
      <c r="C372" s="661" t="s">
        <v>1874</v>
      </c>
      <c r="D372" s="663" t="s">
        <v>1875</v>
      </c>
      <c r="E372" s="756" t="s">
        <v>402</v>
      </c>
      <c r="F372" s="795"/>
      <c r="G372" s="606"/>
      <c r="H372" s="604"/>
      <c r="I372" s="602" t="s">
        <v>1843</v>
      </c>
      <c r="J372" s="505" t="s">
        <v>1513</v>
      </c>
      <c r="K372" s="505"/>
      <c r="L372" s="579"/>
      <c r="M372" s="397"/>
      <c r="N372" s="397"/>
      <c r="O372" s="397"/>
      <c r="P372" s="397"/>
      <c r="Q372" s="397"/>
      <c r="R372" s="397"/>
      <c r="S372" s="397"/>
      <c r="T372" s="397"/>
      <c r="U372" s="397"/>
      <c r="V372" s="397"/>
      <c r="W372" s="397"/>
      <c r="X372" s="397"/>
      <c r="Y372" s="397"/>
      <c r="Z372" s="397"/>
      <c r="AA372" s="397"/>
      <c r="AB372" s="530"/>
      <c r="AC372" s="530"/>
      <c r="AD372" s="530"/>
    </row>
    <row r="373" spans="2:30" ht="19.5" customHeight="1" x14ac:dyDescent="0.25">
      <c r="B373" s="661" t="s">
        <v>1876</v>
      </c>
      <c r="C373" s="661" t="s">
        <v>1877</v>
      </c>
      <c r="D373" s="663" t="s">
        <v>1878</v>
      </c>
      <c r="E373" s="769" t="s">
        <v>1802</v>
      </c>
      <c r="F373" s="799"/>
      <c r="G373" s="606"/>
      <c r="H373" s="604"/>
      <c r="I373" s="603" t="s">
        <v>339</v>
      </c>
      <c r="J373" s="505" t="s">
        <v>1579</v>
      </c>
      <c r="K373" s="505"/>
      <c r="L373" s="579"/>
      <c r="M373" s="397"/>
      <c r="N373" s="397"/>
      <c r="O373" s="397"/>
      <c r="P373" s="397"/>
      <c r="Q373" s="397"/>
      <c r="R373" s="397"/>
      <c r="S373" s="397"/>
      <c r="T373" s="397"/>
      <c r="U373" s="397"/>
      <c r="V373" s="397"/>
      <c r="W373" s="397"/>
      <c r="X373" s="397"/>
      <c r="Y373" s="397"/>
      <c r="Z373" s="397"/>
      <c r="AA373" s="397"/>
      <c r="AB373" s="530"/>
      <c r="AC373" s="530"/>
      <c r="AD373" s="530"/>
    </row>
    <row r="374" spans="2:30" ht="19.5" customHeight="1" x14ac:dyDescent="0.25">
      <c r="B374" s="661" t="s">
        <v>1879</v>
      </c>
      <c r="C374" s="661" t="s">
        <v>1880</v>
      </c>
      <c r="D374" s="663" t="s">
        <v>1881</v>
      </c>
      <c r="E374" s="768" t="s">
        <v>321</v>
      </c>
      <c r="F374" s="798"/>
      <c r="G374" s="606"/>
      <c r="H374" s="604"/>
      <c r="I374" s="603" t="s">
        <v>321</v>
      </c>
      <c r="J374" s="505" t="s">
        <v>1582</v>
      </c>
      <c r="K374" s="505"/>
      <c r="L374" s="579"/>
      <c r="M374" s="397"/>
      <c r="N374" s="397"/>
      <c r="O374" s="397"/>
      <c r="P374" s="397"/>
      <c r="Q374" s="397"/>
      <c r="R374" s="397"/>
      <c r="S374" s="397"/>
      <c r="T374" s="397"/>
      <c r="U374" s="397"/>
      <c r="V374" s="397"/>
      <c r="W374" s="397"/>
      <c r="X374" s="397"/>
      <c r="Y374" s="397"/>
      <c r="Z374" s="397"/>
      <c r="AA374" s="397"/>
      <c r="AB374" s="530"/>
      <c r="AC374" s="530"/>
      <c r="AD374" s="530"/>
    </row>
    <row r="375" spans="2:30" ht="19.5" customHeight="1" x14ac:dyDescent="0.25">
      <c r="B375" s="661" t="s">
        <v>1882</v>
      </c>
      <c r="C375" s="661" t="s">
        <v>1883</v>
      </c>
      <c r="D375" s="663" t="s">
        <v>1884</v>
      </c>
      <c r="E375" s="772" t="s">
        <v>339</v>
      </c>
      <c r="F375" s="802"/>
      <c r="G375" s="606"/>
      <c r="H375" s="604"/>
      <c r="J375" s="505" t="s">
        <v>1582</v>
      </c>
      <c r="K375" s="505">
        <v>25</v>
      </c>
      <c r="L375" s="579"/>
      <c r="M375" s="397"/>
      <c r="N375" s="397"/>
      <c r="O375" s="397"/>
      <c r="P375" s="397"/>
      <c r="Q375" s="397"/>
      <c r="R375" s="397"/>
      <c r="S375" s="397"/>
      <c r="T375" s="397"/>
      <c r="U375" s="397"/>
      <c r="V375" s="397"/>
      <c r="W375" s="397"/>
      <c r="X375" s="397"/>
      <c r="Y375" s="397"/>
      <c r="Z375" s="397"/>
      <c r="AA375" s="397"/>
      <c r="AB375" s="530"/>
      <c r="AC375" s="530"/>
      <c r="AD375" s="530"/>
    </row>
    <row r="376" spans="2:30" ht="19.5" customHeight="1" x14ac:dyDescent="0.25">
      <c r="B376" s="661" t="s">
        <v>1885</v>
      </c>
      <c r="C376" s="661" t="s">
        <v>1886</v>
      </c>
      <c r="D376" s="663" t="s">
        <v>1887</v>
      </c>
      <c r="E376" s="767" t="s">
        <v>1842</v>
      </c>
      <c r="F376" s="797"/>
      <c r="G376" s="606"/>
      <c r="H376" s="604"/>
      <c r="J376" s="505" t="s">
        <v>465</v>
      </c>
      <c r="K376" s="505">
        <v>30</v>
      </c>
      <c r="L376" s="579"/>
      <c r="M376" s="397"/>
      <c r="N376" s="397"/>
      <c r="O376" s="397"/>
      <c r="P376" s="397"/>
      <c r="Q376" s="397"/>
      <c r="R376" s="397"/>
      <c r="S376" s="397"/>
      <c r="T376" s="397"/>
      <c r="U376" s="397"/>
      <c r="V376" s="397"/>
      <c r="W376" s="397"/>
      <c r="X376" s="397"/>
      <c r="Y376" s="397"/>
      <c r="Z376" s="397"/>
      <c r="AA376" s="397"/>
      <c r="AB376" s="530"/>
      <c r="AC376" s="530"/>
      <c r="AD376" s="530"/>
    </row>
    <row r="377" spans="2:30" ht="19.5" customHeight="1" x14ac:dyDescent="0.25">
      <c r="B377" s="661" t="s">
        <v>1888</v>
      </c>
      <c r="C377" s="661" t="s">
        <v>1889</v>
      </c>
      <c r="D377" s="663" t="s">
        <v>1890</v>
      </c>
      <c r="E377" s="767" t="s">
        <v>1842</v>
      </c>
      <c r="F377" s="797"/>
      <c r="G377" s="606"/>
      <c r="H377" s="604"/>
      <c r="J377" s="505" t="s">
        <v>465</v>
      </c>
      <c r="K377" s="505">
        <v>40</v>
      </c>
      <c r="L377" s="579"/>
      <c r="M377" s="397"/>
      <c r="N377" s="397"/>
      <c r="O377" s="397"/>
      <c r="P377" s="397"/>
      <c r="Q377" s="397"/>
      <c r="R377" s="397"/>
      <c r="S377" s="397"/>
      <c r="T377" s="397"/>
      <c r="U377" s="397"/>
      <c r="V377" s="397"/>
      <c r="W377" s="397"/>
      <c r="X377" s="397"/>
      <c r="Y377" s="397"/>
      <c r="Z377" s="397"/>
      <c r="AA377" s="397"/>
      <c r="AB377" s="530"/>
      <c r="AC377" s="530"/>
      <c r="AD377" s="530"/>
    </row>
    <row r="378" spans="2:30" ht="19.5" customHeight="1" x14ac:dyDescent="0.25">
      <c r="B378" s="661" t="s">
        <v>1891</v>
      </c>
      <c r="C378" s="661" t="s">
        <v>1892</v>
      </c>
      <c r="D378" s="663" t="s">
        <v>1893</v>
      </c>
      <c r="E378" s="767" t="s">
        <v>1842</v>
      </c>
      <c r="F378" s="797"/>
      <c r="G378" s="606"/>
      <c r="H378" s="604"/>
      <c r="J378" s="505" t="s">
        <v>465</v>
      </c>
      <c r="K378" s="505">
        <v>12</v>
      </c>
      <c r="L378" s="579"/>
      <c r="M378" s="397"/>
      <c r="N378" s="397"/>
      <c r="O378" s="397"/>
      <c r="P378" s="397"/>
      <c r="Q378" s="397"/>
      <c r="R378" s="397"/>
      <c r="S378" s="397"/>
      <c r="T378" s="397"/>
      <c r="U378" s="397"/>
      <c r="V378" s="397"/>
      <c r="W378" s="397"/>
      <c r="X378" s="397"/>
      <c r="Y378" s="397"/>
      <c r="Z378" s="397"/>
      <c r="AA378" s="397"/>
      <c r="AB378" s="530"/>
      <c r="AC378" s="530"/>
      <c r="AD378" s="530"/>
    </row>
    <row r="379" spans="2:30" ht="19.5" customHeight="1" x14ac:dyDescent="0.25">
      <c r="B379" s="661" t="s">
        <v>1894</v>
      </c>
      <c r="C379" s="661" t="s">
        <v>1895</v>
      </c>
      <c r="D379" s="663" t="s">
        <v>1896</v>
      </c>
      <c r="E379" s="767" t="s">
        <v>1842</v>
      </c>
      <c r="F379" s="797"/>
      <c r="G379" s="606"/>
      <c r="H379" s="604"/>
      <c r="J379" s="531"/>
      <c r="K379" s="505">
        <v>34</v>
      </c>
      <c r="L379" s="579"/>
      <c r="M379" s="397"/>
      <c r="N379" s="397"/>
      <c r="O379" s="397"/>
      <c r="P379" s="397"/>
      <c r="Q379" s="397"/>
      <c r="R379" s="397"/>
      <c r="S379" s="397"/>
      <c r="T379" s="397"/>
      <c r="U379" s="397"/>
      <c r="V379" s="397"/>
      <c r="W379" s="397"/>
      <c r="X379" s="397"/>
      <c r="Y379" s="397"/>
      <c r="Z379" s="397"/>
      <c r="AA379" s="397"/>
      <c r="AB379" s="530"/>
      <c r="AC379" s="530"/>
      <c r="AD379" s="530"/>
    </row>
    <row r="380" spans="2:30" ht="19.5" customHeight="1" x14ac:dyDescent="0.25">
      <c r="B380" s="661" t="s">
        <v>1897</v>
      </c>
      <c r="C380" s="661" t="s">
        <v>1898</v>
      </c>
      <c r="D380" s="663" t="s">
        <v>1899</v>
      </c>
      <c r="E380" s="767" t="s">
        <v>1842</v>
      </c>
      <c r="F380" s="797"/>
      <c r="G380" s="606"/>
      <c r="H380" s="604"/>
      <c r="I380" s="530"/>
      <c r="J380" s="531"/>
      <c r="K380" s="580"/>
      <c r="L380" s="581"/>
      <c r="M380" s="530"/>
      <c r="N380" s="530"/>
      <c r="O380" s="530"/>
      <c r="P380" s="397"/>
      <c r="Q380" s="397"/>
      <c r="R380" s="397"/>
      <c r="S380" s="397"/>
      <c r="T380" s="397"/>
      <c r="U380" s="397"/>
      <c r="V380" s="397"/>
      <c r="W380" s="397"/>
      <c r="X380" s="397"/>
      <c r="Y380" s="397"/>
      <c r="Z380" s="397"/>
      <c r="AA380" s="397"/>
      <c r="AB380" s="530"/>
      <c r="AC380" s="530"/>
      <c r="AD380" s="530"/>
    </row>
    <row r="381" spans="2:30" ht="19.5" customHeight="1" x14ac:dyDescent="0.25">
      <c r="B381" s="661" t="s">
        <v>1900</v>
      </c>
      <c r="C381" s="661" t="s">
        <v>1901</v>
      </c>
      <c r="D381" s="663" t="s">
        <v>1902</v>
      </c>
      <c r="E381" s="767" t="s">
        <v>1842</v>
      </c>
      <c r="F381" s="797"/>
      <c r="G381" s="606"/>
      <c r="H381" s="604"/>
      <c r="I381" s="530"/>
      <c r="J381" s="531"/>
      <c r="K381" s="580"/>
      <c r="L381" s="581"/>
      <c r="M381" s="530"/>
      <c r="N381" s="530"/>
      <c r="O381" s="530"/>
      <c r="P381" s="397"/>
      <c r="Q381" s="397"/>
      <c r="R381" s="397"/>
      <c r="S381" s="397"/>
      <c r="T381" s="397"/>
      <c r="U381" s="397"/>
      <c r="V381" s="397"/>
      <c r="W381" s="397"/>
      <c r="X381" s="397"/>
      <c r="Y381" s="397"/>
      <c r="Z381" s="397"/>
      <c r="AA381" s="397"/>
      <c r="AB381" s="530"/>
      <c r="AC381" s="530"/>
      <c r="AD381" s="530"/>
    </row>
    <row r="382" spans="2:30" ht="19.5" customHeight="1" x14ac:dyDescent="0.25">
      <c r="B382" s="661" t="s">
        <v>1903</v>
      </c>
      <c r="C382" s="661" t="s">
        <v>1904</v>
      </c>
      <c r="D382" s="663" t="s">
        <v>1905</v>
      </c>
      <c r="E382" s="767" t="s">
        <v>1842</v>
      </c>
      <c r="F382" s="797"/>
      <c r="G382" s="606"/>
      <c r="H382" s="604"/>
      <c r="I382" s="530"/>
      <c r="J382" s="531"/>
      <c r="K382" s="580"/>
      <c r="L382" s="581"/>
      <c r="M382" s="530"/>
      <c r="N382" s="530"/>
      <c r="O382" s="530"/>
      <c r="P382" s="397"/>
      <c r="Q382" s="397"/>
      <c r="R382" s="397"/>
      <c r="S382" s="397"/>
      <c r="T382" s="397"/>
      <c r="U382" s="397"/>
      <c r="V382" s="397"/>
      <c r="W382" s="397"/>
      <c r="X382" s="397"/>
      <c r="Y382" s="397"/>
      <c r="Z382" s="397"/>
      <c r="AA382" s="397"/>
      <c r="AB382" s="530"/>
      <c r="AC382" s="530"/>
      <c r="AD382" s="530"/>
    </row>
    <row r="383" spans="2:30" s="1" customFormat="1" ht="19.5" customHeight="1" x14ac:dyDescent="0.25">
      <c r="B383" s="661" t="s">
        <v>1906</v>
      </c>
      <c r="C383" s="661" t="s">
        <v>1907</v>
      </c>
      <c r="D383" s="663" t="s">
        <v>1908</v>
      </c>
      <c r="E383" s="767" t="s">
        <v>1842</v>
      </c>
      <c r="F383" s="797"/>
      <c r="G383" s="606"/>
      <c r="H383" s="604"/>
      <c r="I383" s="530"/>
      <c r="J383" s="531"/>
      <c r="K383" s="580"/>
      <c r="L383" s="581"/>
      <c r="M383" s="530"/>
      <c r="N383" s="530"/>
      <c r="O383" s="530"/>
      <c r="P383" s="530"/>
      <c r="Q383" s="530"/>
      <c r="R383" s="530"/>
      <c r="S383" s="530"/>
      <c r="T383" s="530"/>
      <c r="U383" s="530"/>
      <c r="V383" s="530"/>
      <c r="W383" s="530"/>
      <c r="X383" s="530"/>
      <c r="Y383" s="530"/>
      <c r="Z383" s="530"/>
      <c r="AA383" s="530"/>
      <c r="AB383" s="530"/>
      <c r="AC383" s="530"/>
      <c r="AD383" s="530"/>
    </row>
    <row r="384" spans="2:30" s="1" customFormat="1" ht="19.5" customHeight="1" x14ac:dyDescent="0.25">
      <c r="B384" s="661" t="s">
        <v>1909</v>
      </c>
      <c r="C384" s="661" t="s">
        <v>1910</v>
      </c>
      <c r="D384" s="663" t="s">
        <v>1911</v>
      </c>
      <c r="E384" s="768" t="s">
        <v>321</v>
      </c>
      <c r="F384" s="798"/>
      <c r="G384" s="606"/>
      <c r="H384" s="604"/>
      <c r="I384" s="530"/>
      <c r="J384" s="531"/>
      <c r="K384" s="580"/>
      <c r="L384" s="581"/>
      <c r="M384" s="530"/>
      <c r="N384" s="530"/>
      <c r="O384" s="530"/>
      <c r="P384" s="530"/>
      <c r="Q384" s="530"/>
      <c r="R384" s="530"/>
      <c r="S384" s="530"/>
      <c r="T384" s="530"/>
      <c r="U384" s="530"/>
      <c r="V384" s="530"/>
      <c r="W384" s="530"/>
      <c r="X384" s="530"/>
      <c r="Y384" s="530"/>
      <c r="Z384" s="530"/>
      <c r="AA384" s="530"/>
      <c r="AB384" s="530"/>
      <c r="AC384" s="530"/>
      <c r="AD384" s="530"/>
    </row>
    <row r="385" spans="2:30" s="1" customFormat="1" ht="19.5" customHeight="1" x14ac:dyDescent="0.25">
      <c r="B385" s="661" t="s">
        <v>1912</v>
      </c>
      <c r="C385" s="661" t="s">
        <v>1913</v>
      </c>
      <c r="D385" s="663" t="s">
        <v>1914</v>
      </c>
      <c r="E385" s="767" t="s">
        <v>1842</v>
      </c>
      <c r="F385" s="797"/>
      <c r="G385" s="606"/>
      <c r="H385" s="604"/>
      <c r="I385" s="530"/>
      <c r="J385" s="531"/>
      <c r="K385" s="580"/>
      <c r="L385" s="581"/>
      <c r="M385" s="530"/>
      <c r="N385" s="530"/>
      <c r="O385" s="530"/>
      <c r="P385" s="530"/>
      <c r="Q385" s="530"/>
      <c r="R385" s="530"/>
      <c r="S385" s="530"/>
      <c r="T385" s="530"/>
      <c r="U385" s="530"/>
      <c r="V385" s="530"/>
      <c r="W385" s="530"/>
      <c r="X385" s="530"/>
      <c r="Y385" s="530"/>
      <c r="Z385" s="530"/>
      <c r="AA385" s="530"/>
      <c r="AB385" s="530"/>
      <c r="AC385" s="530"/>
      <c r="AD385" s="530"/>
    </row>
    <row r="386" spans="2:30" s="1" customFormat="1" ht="19.5" customHeight="1" x14ac:dyDescent="0.25">
      <c r="B386" s="661" t="s">
        <v>1915</v>
      </c>
      <c r="C386" s="661" t="s">
        <v>1916</v>
      </c>
      <c r="D386" s="663" t="s">
        <v>1917</v>
      </c>
      <c r="E386" s="769" t="s">
        <v>1802</v>
      </c>
      <c r="F386" s="799"/>
      <c r="G386" s="606"/>
      <c r="H386" s="604"/>
      <c r="I386" s="530"/>
      <c r="J386" s="531"/>
      <c r="K386" s="580"/>
      <c r="L386" s="581"/>
      <c r="M386" s="530"/>
      <c r="N386" s="530"/>
      <c r="O386" s="530"/>
      <c r="P386" s="530"/>
      <c r="Q386" s="530"/>
      <c r="R386" s="530"/>
      <c r="S386" s="530"/>
      <c r="T386" s="530"/>
      <c r="U386" s="530"/>
      <c r="V386" s="530"/>
      <c r="W386" s="530"/>
      <c r="X386" s="530"/>
      <c r="Y386" s="530"/>
      <c r="Z386" s="530"/>
      <c r="AA386" s="530"/>
      <c r="AB386" s="530"/>
      <c r="AC386" s="530"/>
      <c r="AD386" s="530"/>
    </row>
    <row r="387" spans="2:30" s="1" customFormat="1" ht="19.5" customHeight="1" x14ac:dyDescent="0.25">
      <c r="B387" s="661" t="s">
        <v>1918</v>
      </c>
      <c r="C387" s="661" t="s">
        <v>1919</v>
      </c>
      <c r="D387" s="663" t="s">
        <v>1920</v>
      </c>
      <c r="E387" s="768" t="s">
        <v>321</v>
      </c>
      <c r="F387" s="798"/>
      <c r="G387" s="606"/>
      <c r="H387" s="604"/>
      <c r="I387" s="530"/>
      <c r="J387" s="531"/>
      <c r="K387" s="580"/>
      <c r="L387" s="581"/>
      <c r="M387" s="530"/>
      <c r="N387" s="530"/>
      <c r="O387" s="530"/>
      <c r="P387" s="530"/>
      <c r="Q387" s="530"/>
      <c r="R387" s="530"/>
      <c r="S387" s="530"/>
      <c r="T387" s="530"/>
      <c r="U387" s="530"/>
      <c r="V387" s="530"/>
      <c r="W387" s="530"/>
      <c r="X387" s="530"/>
      <c r="Y387" s="530"/>
      <c r="Z387" s="530"/>
      <c r="AA387" s="530"/>
      <c r="AB387" s="530"/>
      <c r="AC387" s="530"/>
      <c r="AD387" s="530"/>
    </row>
    <row r="388" spans="2:30" s="1" customFormat="1" ht="19.5" customHeight="1" x14ac:dyDescent="0.25">
      <c r="B388" s="661" t="s">
        <v>1921</v>
      </c>
      <c r="C388" s="661" t="s">
        <v>1922</v>
      </c>
      <c r="D388" s="663" t="s">
        <v>1923</v>
      </c>
      <c r="E388" s="769" t="s">
        <v>1802</v>
      </c>
      <c r="F388" s="799"/>
      <c r="G388" s="606"/>
      <c r="H388" s="604"/>
      <c r="I388" s="530"/>
      <c r="J388" s="531"/>
      <c r="K388" s="580"/>
      <c r="L388" s="581"/>
      <c r="M388" s="530"/>
      <c r="N388" s="530"/>
      <c r="O388" s="530"/>
      <c r="P388" s="530"/>
      <c r="Q388" s="530"/>
      <c r="R388" s="530"/>
      <c r="S388" s="530"/>
      <c r="T388" s="530"/>
      <c r="U388" s="530"/>
      <c r="V388" s="530"/>
      <c r="W388" s="530"/>
      <c r="X388" s="530"/>
      <c r="Y388" s="530"/>
      <c r="Z388" s="530"/>
      <c r="AA388" s="530"/>
      <c r="AB388" s="530"/>
      <c r="AC388" s="530"/>
      <c r="AD388" s="530"/>
    </row>
    <row r="389" spans="2:30" s="1" customFormat="1" ht="19.5" customHeight="1" x14ac:dyDescent="0.25">
      <c r="B389" s="661" t="s">
        <v>1924</v>
      </c>
      <c r="C389" s="661" t="s">
        <v>1925</v>
      </c>
      <c r="D389" s="663" t="s">
        <v>1926</v>
      </c>
      <c r="E389" s="768" t="s">
        <v>321</v>
      </c>
      <c r="F389" s="798"/>
      <c r="G389" s="606"/>
      <c r="H389" s="604"/>
      <c r="I389" s="530"/>
      <c r="J389" s="531"/>
      <c r="K389" s="580"/>
      <c r="L389" s="581"/>
      <c r="M389" s="530"/>
      <c r="N389" s="530"/>
      <c r="O389" s="530"/>
      <c r="P389" s="530"/>
      <c r="Q389" s="530"/>
      <c r="R389" s="530"/>
      <c r="S389" s="530"/>
      <c r="T389" s="530"/>
      <c r="U389" s="530"/>
      <c r="V389" s="530"/>
      <c r="W389" s="530"/>
      <c r="X389" s="530"/>
      <c r="Y389" s="530"/>
      <c r="Z389" s="530"/>
      <c r="AA389" s="530"/>
      <c r="AB389" s="530"/>
      <c r="AC389" s="530"/>
      <c r="AD389" s="530"/>
    </row>
    <row r="390" spans="2:30" s="1" customFormat="1" ht="19.5" customHeight="1" x14ac:dyDescent="0.25">
      <c r="B390" s="661" t="s">
        <v>1927</v>
      </c>
      <c r="C390" s="661" t="s">
        <v>1928</v>
      </c>
      <c r="D390" s="663" t="s">
        <v>1929</v>
      </c>
      <c r="E390" s="770" t="s">
        <v>380</v>
      </c>
      <c r="F390" s="800"/>
      <c r="G390" s="606"/>
      <c r="H390" s="604"/>
      <c r="I390" s="530"/>
      <c r="J390" s="531"/>
      <c r="K390" s="580"/>
      <c r="L390" s="581"/>
      <c r="M390" s="530"/>
      <c r="N390" s="530"/>
      <c r="O390" s="530"/>
      <c r="P390" s="530"/>
      <c r="Q390" s="530"/>
      <c r="R390" s="530"/>
      <c r="S390" s="530"/>
      <c r="T390" s="530"/>
      <c r="U390" s="530"/>
      <c r="V390" s="530"/>
      <c r="W390" s="530"/>
      <c r="X390" s="530"/>
      <c r="Y390" s="530"/>
      <c r="Z390" s="530"/>
      <c r="AA390" s="530"/>
      <c r="AB390" s="530"/>
      <c r="AC390" s="530"/>
      <c r="AD390" s="530"/>
    </row>
    <row r="391" spans="2:30" s="1" customFormat="1" ht="19.5" customHeight="1" x14ac:dyDescent="0.25">
      <c r="B391" s="661" t="s">
        <v>1930</v>
      </c>
      <c r="C391" s="661" t="s">
        <v>1931</v>
      </c>
      <c r="D391" s="663" t="s">
        <v>1932</v>
      </c>
      <c r="E391" s="770" t="s">
        <v>380</v>
      </c>
      <c r="F391" s="800"/>
      <c r="G391" s="606"/>
      <c r="H391" s="604"/>
      <c r="I391" s="530"/>
      <c r="J391" s="531"/>
      <c r="K391" s="580"/>
      <c r="L391" s="581"/>
      <c r="M391" s="530"/>
      <c r="N391" s="530"/>
      <c r="O391" s="530"/>
      <c r="P391" s="530"/>
      <c r="Q391" s="530"/>
      <c r="R391" s="530"/>
      <c r="S391" s="530"/>
      <c r="T391" s="530"/>
      <c r="U391" s="530"/>
      <c r="V391" s="530"/>
      <c r="W391" s="530"/>
      <c r="X391" s="530"/>
      <c r="Y391" s="530"/>
      <c r="Z391" s="530"/>
      <c r="AA391" s="530"/>
      <c r="AB391" s="530"/>
      <c r="AC391" s="530"/>
      <c r="AD391" s="530"/>
    </row>
    <row r="392" spans="2:30" s="1" customFormat="1" ht="19.5" customHeight="1" x14ac:dyDescent="0.25">
      <c r="B392" s="661" t="s">
        <v>1933</v>
      </c>
      <c r="C392" s="661" t="s">
        <v>1934</v>
      </c>
      <c r="D392" s="663" t="s">
        <v>1935</v>
      </c>
      <c r="E392" s="770" t="s">
        <v>380</v>
      </c>
      <c r="F392" s="800"/>
      <c r="G392" s="606"/>
      <c r="H392" s="604"/>
      <c r="I392" s="530"/>
      <c r="J392" s="531"/>
      <c r="K392" s="580"/>
      <c r="L392" s="581"/>
      <c r="M392" s="530"/>
      <c r="N392" s="530"/>
      <c r="O392" s="530"/>
      <c r="P392" s="530"/>
      <c r="Q392" s="530"/>
      <c r="R392" s="530"/>
      <c r="S392" s="530"/>
      <c r="T392" s="530"/>
      <c r="U392" s="530"/>
      <c r="V392" s="530"/>
      <c r="W392" s="530"/>
      <c r="X392" s="530"/>
      <c r="Y392" s="530"/>
      <c r="Z392" s="530"/>
      <c r="AA392" s="530"/>
      <c r="AB392" s="530"/>
      <c r="AC392" s="530"/>
      <c r="AD392" s="530"/>
    </row>
    <row r="393" spans="2:30" s="1" customFormat="1" ht="19.5" customHeight="1" x14ac:dyDescent="0.25">
      <c r="B393" s="661" t="s">
        <v>1936</v>
      </c>
      <c r="C393" s="661" t="s">
        <v>1937</v>
      </c>
      <c r="D393" s="663" t="s">
        <v>1938</v>
      </c>
      <c r="E393" s="770" t="s">
        <v>380</v>
      </c>
      <c r="F393" s="800"/>
      <c r="G393" s="606"/>
      <c r="H393" s="604"/>
      <c r="I393" s="530"/>
      <c r="J393" s="531"/>
      <c r="K393" s="580"/>
      <c r="L393" s="581"/>
      <c r="M393" s="530"/>
      <c r="N393" s="530"/>
      <c r="O393" s="530"/>
      <c r="P393" s="530"/>
      <c r="Q393" s="530"/>
      <c r="R393" s="530"/>
      <c r="S393" s="530"/>
      <c r="T393" s="530"/>
      <c r="U393" s="530"/>
      <c r="V393" s="530"/>
      <c r="W393" s="530"/>
      <c r="X393" s="530"/>
      <c r="Y393" s="530"/>
      <c r="Z393" s="530"/>
      <c r="AA393" s="530"/>
      <c r="AB393" s="530"/>
      <c r="AC393" s="530"/>
      <c r="AD393" s="530"/>
    </row>
    <row r="394" spans="2:30" s="1" customFormat="1" ht="19.5" customHeight="1" x14ac:dyDescent="0.25">
      <c r="B394" s="661" t="s">
        <v>1939</v>
      </c>
      <c r="C394" s="661" t="s">
        <v>1940</v>
      </c>
      <c r="D394" s="663" t="s">
        <v>1941</v>
      </c>
      <c r="E394" s="770" t="s">
        <v>380</v>
      </c>
      <c r="F394" s="800"/>
      <c r="G394" s="606"/>
      <c r="H394" s="604"/>
      <c r="I394" s="530"/>
      <c r="J394" s="531"/>
      <c r="K394" s="580"/>
      <c r="L394" s="581"/>
      <c r="M394" s="530"/>
      <c r="N394" s="530"/>
      <c r="O394" s="530"/>
      <c r="P394" s="530"/>
      <c r="Q394" s="530"/>
      <c r="R394" s="530"/>
      <c r="S394" s="530"/>
      <c r="T394" s="530"/>
      <c r="U394" s="530"/>
      <c r="V394" s="530"/>
      <c r="W394" s="530"/>
      <c r="X394" s="530"/>
      <c r="Y394" s="530"/>
      <c r="Z394" s="530"/>
      <c r="AA394" s="530"/>
      <c r="AB394" s="530"/>
      <c r="AC394" s="530"/>
      <c r="AD394" s="530"/>
    </row>
    <row r="395" spans="2:30" s="1" customFormat="1" ht="19.5" customHeight="1" x14ac:dyDescent="0.25">
      <c r="B395" s="661" t="s">
        <v>1942</v>
      </c>
      <c r="C395" s="661" t="s">
        <v>1943</v>
      </c>
      <c r="D395" s="663" t="s">
        <v>1944</v>
      </c>
      <c r="E395" s="770" t="s">
        <v>380</v>
      </c>
      <c r="F395" s="800"/>
      <c r="G395" s="606"/>
      <c r="H395" s="604"/>
      <c r="I395" s="530"/>
      <c r="J395" s="531"/>
      <c r="K395" s="580"/>
      <c r="L395" s="581"/>
      <c r="M395" s="530"/>
      <c r="N395" s="530"/>
      <c r="O395" s="530"/>
      <c r="P395" s="530"/>
      <c r="Q395" s="530"/>
      <c r="R395" s="530"/>
      <c r="S395" s="530"/>
      <c r="T395" s="530"/>
      <c r="U395" s="530"/>
      <c r="V395" s="530"/>
      <c r="W395" s="530"/>
      <c r="X395" s="530"/>
      <c r="Y395" s="530"/>
      <c r="Z395" s="530"/>
      <c r="AA395" s="530"/>
      <c r="AB395" s="530"/>
      <c r="AC395" s="530"/>
      <c r="AD395" s="530"/>
    </row>
    <row r="396" spans="2:30" s="1" customFormat="1" ht="19.5" customHeight="1" x14ac:dyDescent="0.25">
      <c r="B396" s="661" t="s">
        <v>1945</v>
      </c>
      <c r="C396" s="661" t="s">
        <v>1946</v>
      </c>
      <c r="D396" s="663" t="s">
        <v>1947</v>
      </c>
      <c r="E396" s="770" t="s">
        <v>380</v>
      </c>
      <c r="F396" s="800"/>
      <c r="G396" s="606"/>
      <c r="H396" s="604"/>
      <c r="I396" s="530"/>
      <c r="J396" s="531"/>
      <c r="K396" s="580"/>
      <c r="L396" s="581"/>
      <c r="M396" s="530"/>
      <c r="N396" s="530"/>
      <c r="O396" s="530"/>
      <c r="P396" s="530"/>
      <c r="Q396" s="530"/>
      <c r="R396" s="530"/>
      <c r="S396" s="530"/>
      <c r="T396" s="530"/>
      <c r="U396" s="530"/>
      <c r="V396" s="530"/>
      <c r="W396" s="530"/>
      <c r="X396" s="530"/>
      <c r="Y396" s="530"/>
      <c r="Z396" s="530"/>
      <c r="AA396" s="530"/>
      <c r="AB396" s="530"/>
      <c r="AC396" s="530"/>
      <c r="AD396" s="530"/>
    </row>
    <row r="397" spans="2:30" s="1" customFormat="1" ht="19.5" customHeight="1" x14ac:dyDescent="0.25">
      <c r="B397" s="661" t="s">
        <v>1948</v>
      </c>
      <c r="C397" s="661" t="s">
        <v>1949</v>
      </c>
      <c r="D397" s="663" t="s">
        <v>1950</v>
      </c>
      <c r="E397" s="770" t="s">
        <v>380</v>
      </c>
      <c r="F397" s="800"/>
      <c r="G397" s="606"/>
      <c r="H397" s="604"/>
      <c r="I397" s="530"/>
      <c r="J397" s="531"/>
      <c r="K397" s="580"/>
      <c r="L397" s="581"/>
      <c r="M397" s="530"/>
      <c r="N397" s="530"/>
      <c r="O397" s="530"/>
      <c r="P397" s="530"/>
      <c r="Q397" s="530"/>
      <c r="R397" s="530"/>
      <c r="S397" s="530"/>
      <c r="T397" s="530"/>
      <c r="U397" s="530"/>
      <c r="V397" s="530"/>
      <c r="W397" s="530"/>
      <c r="X397" s="530"/>
      <c r="Y397" s="530"/>
      <c r="Z397" s="530"/>
      <c r="AA397" s="530"/>
      <c r="AB397" s="530"/>
      <c r="AC397" s="530"/>
      <c r="AD397" s="530"/>
    </row>
    <row r="398" spans="2:30" s="1" customFormat="1" ht="19.5" customHeight="1" x14ac:dyDescent="0.25">
      <c r="B398" s="661" t="s">
        <v>1951</v>
      </c>
      <c r="C398" s="661" t="s">
        <v>1952</v>
      </c>
      <c r="D398" s="663" t="s">
        <v>1953</v>
      </c>
      <c r="E398" s="770" t="s">
        <v>380</v>
      </c>
      <c r="F398" s="800"/>
      <c r="G398" s="606"/>
      <c r="H398" s="604"/>
      <c r="I398" s="530"/>
      <c r="J398" s="531"/>
      <c r="K398" s="580"/>
      <c r="L398" s="581"/>
      <c r="M398" s="530"/>
      <c r="N398" s="530"/>
      <c r="O398" s="530"/>
      <c r="P398" s="530"/>
      <c r="Q398" s="530"/>
      <c r="R398" s="530"/>
      <c r="S398" s="530"/>
      <c r="T398" s="530"/>
      <c r="U398" s="530"/>
      <c r="V398" s="530"/>
      <c r="W398" s="530"/>
      <c r="X398" s="530"/>
      <c r="Y398" s="530"/>
      <c r="Z398" s="530"/>
      <c r="AA398" s="530"/>
      <c r="AB398" s="530"/>
      <c r="AC398" s="530"/>
      <c r="AD398" s="530"/>
    </row>
    <row r="399" spans="2:30" s="1" customFormat="1" ht="19.5" customHeight="1" x14ac:dyDescent="0.25">
      <c r="B399" s="661" t="s">
        <v>1954</v>
      </c>
      <c r="C399" s="661" t="s">
        <v>1955</v>
      </c>
      <c r="D399" s="663" t="s">
        <v>1956</v>
      </c>
      <c r="E399" s="770" t="s">
        <v>380</v>
      </c>
      <c r="F399" s="800"/>
      <c r="G399" s="606"/>
      <c r="H399" s="604"/>
      <c r="I399" s="530"/>
      <c r="J399" s="531"/>
      <c r="K399" s="580"/>
      <c r="L399" s="581"/>
      <c r="M399" s="530"/>
      <c r="N399" s="530"/>
      <c r="O399" s="530"/>
      <c r="P399" s="530"/>
      <c r="Q399" s="530"/>
      <c r="R399" s="530"/>
      <c r="S399" s="530"/>
      <c r="T399" s="530"/>
      <c r="U399" s="530"/>
      <c r="V399" s="530"/>
      <c r="W399" s="530"/>
      <c r="X399" s="530"/>
      <c r="Y399" s="530"/>
      <c r="Z399" s="530"/>
      <c r="AA399" s="530"/>
      <c r="AB399" s="530"/>
      <c r="AC399" s="530"/>
      <c r="AD399" s="530"/>
    </row>
    <row r="400" spans="2:30" s="1" customFormat="1" ht="19.5" customHeight="1" x14ac:dyDescent="0.25">
      <c r="B400" s="661" t="s">
        <v>1957</v>
      </c>
      <c r="C400" s="661" t="s">
        <v>1958</v>
      </c>
      <c r="D400" s="663" t="s">
        <v>1959</v>
      </c>
      <c r="E400" s="756" t="s">
        <v>402</v>
      </c>
      <c r="F400" s="795"/>
      <c r="G400" s="606"/>
      <c r="H400" s="604"/>
      <c r="I400" s="530"/>
      <c r="J400" s="531"/>
      <c r="K400" s="580"/>
      <c r="L400" s="581"/>
      <c r="M400" s="530"/>
      <c r="N400" s="530"/>
      <c r="O400" s="530"/>
      <c r="P400" s="530"/>
      <c r="Q400" s="530"/>
      <c r="R400" s="530"/>
      <c r="S400" s="530"/>
      <c r="T400" s="530"/>
      <c r="U400" s="530"/>
      <c r="V400" s="530"/>
      <c r="W400" s="530"/>
      <c r="X400" s="530"/>
      <c r="Y400" s="530"/>
      <c r="Z400" s="530"/>
      <c r="AA400" s="530"/>
      <c r="AB400" s="530"/>
      <c r="AC400" s="530"/>
      <c r="AD400" s="530"/>
    </row>
    <row r="401" spans="2:30" s="1" customFormat="1" ht="19.5" customHeight="1" x14ac:dyDescent="0.25">
      <c r="B401" s="661" t="s">
        <v>1960</v>
      </c>
      <c r="C401" s="661" t="s">
        <v>1961</v>
      </c>
      <c r="D401" s="663" t="s">
        <v>1962</v>
      </c>
      <c r="E401" s="771" t="s">
        <v>382</v>
      </c>
      <c r="F401" s="801"/>
      <c r="G401" s="606"/>
      <c r="H401" s="604"/>
      <c r="I401" s="530"/>
      <c r="J401" s="531"/>
      <c r="K401" s="580"/>
      <c r="L401" s="581"/>
      <c r="M401" s="530"/>
      <c r="N401" s="530"/>
      <c r="O401" s="530"/>
      <c r="P401" s="530"/>
      <c r="Q401" s="530"/>
      <c r="R401" s="530"/>
      <c r="S401" s="530"/>
      <c r="T401" s="530"/>
      <c r="U401" s="530"/>
      <c r="V401" s="530"/>
      <c r="W401" s="530"/>
      <c r="X401" s="530"/>
      <c r="Y401" s="530"/>
      <c r="Z401" s="530"/>
      <c r="AA401" s="530"/>
      <c r="AB401" s="530"/>
      <c r="AC401" s="530"/>
      <c r="AD401" s="530"/>
    </row>
    <row r="402" spans="2:30" s="1" customFormat="1" ht="19.5" customHeight="1" x14ac:dyDescent="0.25">
      <c r="B402" s="661" t="s">
        <v>1963</v>
      </c>
      <c r="C402" s="661" t="s">
        <v>1964</v>
      </c>
      <c r="D402" s="663" t="s">
        <v>1965</v>
      </c>
      <c r="E402" s="766" t="s">
        <v>1624</v>
      </c>
      <c r="F402" s="796"/>
      <c r="G402" s="606"/>
      <c r="H402" s="604"/>
      <c r="I402" s="530"/>
      <c r="J402" s="531"/>
      <c r="K402" s="580"/>
      <c r="L402" s="581"/>
      <c r="M402" s="530"/>
      <c r="N402" s="530"/>
      <c r="O402" s="530"/>
      <c r="P402" s="530"/>
      <c r="Q402" s="530"/>
      <c r="R402" s="530"/>
      <c r="S402" s="530"/>
      <c r="T402" s="530"/>
      <c r="U402" s="530"/>
      <c r="V402" s="530"/>
      <c r="W402" s="530"/>
      <c r="X402" s="530"/>
      <c r="Y402" s="530"/>
      <c r="Z402" s="530"/>
      <c r="AA402" s="530"/>
      <c r="AB402" s="530"/>
      <c r="AC402" s="530"/>
      <c r="AD402" s="530"/>
    </row>
    <row r="403" spans="2:30" s="1" customFormat="1" ht="19.5" customHeight="1" x14ac:dyDescent="0.25">
      <c r="B403" s="661" t="s">
        <v>1966</v>
      </c>
      <c r="C403" s="661" t="s">
        <v>1967</v>
      </c>
      <c r="D403" s="663" t="s">
        <v>1968</v>
      </c>
      <c r="E403" s="756" t="s">
        <v>402</v>
      </c>
      <c r="F403" s="795"/>
      <c r="G403" s="606"/>
      <c r="H403" s="604"/>
      <c r="I403" s="530"/>
      <c r="J403" s="531"/>
      <c r="K403" s="580"/>
      <c r="L403" s="581"/>
      <c r="M403" s="530"/>
      <c r="N403" s="530"/>
      <c r="O403" s="530"/>
      <c r="P403" s="530"/>
      <c r="Q403" s="530"/>
      <c r="R403" s="530"/>
      <c r="S403" s="530"/>
      <c r="T403" s="530"/>
      <c r="U403" s="530"/>
      <c r="V403" s="530"/>
      <c r="W403" s="530"/>
      <c r="X403" s="530"/>
      <c r="Y403" s="530"/>
      <c r="Z403" s="530"/>
      <c r="AA403" s="530"/>
      <c r="AB403" s="530"/>
      <c r="AC403" s="530"/>
      <c r="AD403" s="530"/>
    </row>
    <row r="404" spans="2:30" s="1" customFormat="1" ht="19.5" customHeight="1" x14ac:dyDescent="0.25">
      <c r="B404" s="661" t="s">
        <v>1969</v>
      </c>
      <c r="C404" s="661" t="s">
        <v>1970</v>
      </c>
      <c r="D404" s="663" t="s">
        <v>1971</v>
      </c>
      <c r="E404" s="756" t="s">
        <v>402</v>
      </c>
      <c r="F404" s="795"/>
      <c r="G404" s="606"/>
      <c r="H404" s="604"/>
      <c r="I404" s="530"/>
      <c r="J404" s="531"/>
      <c r="K404" s="580"/>
      <c r="L404" s="581"/>
      <c r="M404" s="530"/>
      <c r="N404" s="530"/>
      <c r="O404" s="530"/>
      <c r="P404" s="530"/>
      <c r="Q404" s="530"/>
      <c r="R404" s="530"/>
      <c r="S404" s="530"/>
      <c r="T404" s="530"/>
      <c r="U404" s="530"/>
      <c r="V404" s="530"/>
      <c r="W404" s="530"/>
      <c r="X404" s="530"/>
      <c r="Y404" s="530"/>
      <c r="Z404" s="530"/>
      <c r="AA404" s="530"/>
      <c r="AB404" s="530"/>
      <c r="AC404" s="530"/>
      <c r="AD404" s="530"/>
    </row>
    <row r="405" spans="2:30" s="1" customFormat="1" ht="19.5" customHeight="1" x14ac:dyDescent="0.25">
      <c r="B405" s="661" t="s">
        <v>1972</v>
      </c>
      <c r="C405" s="661" t="s">
        <v>1973</v>
      </c>
      <c r="D405" s="663" t="s">
        <v>1974</v>
      </c>
      <c r="E405" s="769" t="s">
        <v>1802</v>
      </c>
      <c r="F405" s="799"/>
      <c r="G405" s="606"/>
      <c r="H405" s="604"/>
      <c r="I405" s="530"/>
      <c r="J405" s="531"/>
      <c r="K405" s="580"/>
      <c r="L405" s="581"/>
      <c r="M405" s="530"/>
      <c r="N405" s="530"/>
      <c r="O405" s="530"/>
      <c r="P405" s="530"/>
      <c r="Q405" s="530"/>
      <c r="R405" s="530"/>
      <c r="S405" s="530"/>
      <c r="T405" s="530"/>
      <c r="U405" s="530"/>
      <c r="V405" s="530"/>
      <c r="W405" s="530"/>
      <c r="X405" s="530"/>
      <c r="Y405" s="530"/>
      <c r="Z405" s="530"/>
      <c r="AA405" s="530"/>
      <c r="AB405" s="530"/>
      <c r="AC405" s="530"/>
      <c r="AD405" s="530"/>
    </row>
    <row r="406" spans="2:30" s="1" customFormat="1" ht="19.5" customHeight="1" x14ac:dyDescent="0.25">
      <c r="B406" s="661" t="s">
        <v>1975</v>
      </c>
      <c r="C406" s="661" t="s">
        <v>1976</v>
      </c>
      <c r="D406" s="663" t="s">
        <v>1974</v>
      </c>
      <c r="E406" s="769" t="s">
        <v>1802</v>
      </c>
      <c r="F406" s="799"/>
      <c r="G406" s="606"/>
      <c r="H406" s="604"/>
      <c r="I406" s="530"/>
      <c r="J406" s="531"/>
      <c r="K406" s="580"/>
      <c r="L406" s="581"/>
      <c r="M406" s="530"/>
      <c r="N406" s="530"/>
      <c r="O406" s="530"/>
      <c r="P406" s="530"/>
      <c r="Q406" s="530"/>
      <c r="R406" s="530"/>
      <c r="S406" s="530"/>
      <c r="T406" s="530"/>
      <c r="U406" s="530"/>
      <c r="V406" s="530"/>
      <c r="W406" s="530"/>
      <c r="X406" s="530"/>
      <c r="Y406" s="530"/>
      <c r="Z406" s="530"/>
      <c r="AA406" s="530"/>
      <c r="AB406" s="530"/>
      <c r="AC406" s="530"/>
      <c r="AD406" s="530"/>
    </row>
    <row r="407" spans="2:30" s="1" customFormat="1" ht="19.5" customHeight="1" x14ac:dyDescent="0.25">
      <c r="B407" s="661" t="s">
        <v>1977</v>
      </c>
      <c r="C407" s="661" t="s">
        <v>1978</v>
      </c>
      <c r="D407" s="663" t="s">
        <v>1979</v>
      </c>
      <c r="E407" s="773" t="s">
        <v>323</v>
      </c>
      <c r="F407" s="803"/>
      <c r="G407" s="606"/>
      <c r="H407" s="604"/>
      <c r="I407" s="530"/>
      <c r="J407" s="531"/>
      <c r="K407" s="580"/>
      <c r="L407" s="581"/>
      <c r="M407" s="530"/>
      <c r="N407" s="530"/>
      <c r="O407" s="530"/>
      <c r="P407" s="530"/>
      <c r="Q407" s="530"/>
      <c r="R407" s="530"/>
      <c r="S407" s="530"/>
      <c r="T407" s="530"/>
      <c r="U407" s="530"/>
      <c r="V407" s="530"/>
      <c r="W407" s="530"/>
      <c r="X407" s="530"/>
      <c r="Y407" s="530"/>
      <c r="Z407" s="530"/>
      <c r="AA407" s="530"/>
      <c r="AB407" s="530"/>
      <c r="AC407" s="530"/>
      <c r="AD407" s="530"/>
    </row>
    <row r="408" spans="2:30" s="1" customFormat="1" ht="19.5" customHeight="1" x14ac:dyDescent="0.25">
      <c r="B408" s="661" t="s">
        <v>1980</v>
      </c>
      <c r="C408" s="661" t="s">
        <v>1981</v>
      </c>
      <c r="D408" s="663" t="s">
        <v>1982</v>
      </c>
      <c r="E408" s="766" t="s">
        <v>1624</v>
      </c>
      <c r="F408" s="796"/>
      <c r="G408" s="606"/>
      <c r="H408" s="604"/>
      <c r="I408" s="530"/>
      <c r="J408" s="531"/>
      <c r="K408" s="580"/>
      <c r="L408" s="581"/>
      <c r="M408" s="530"/>
      <c r="N408" s="530"/>
      <c r="O408" s="530"/>
      <c r="P408" s="530"/>
      <c r="Q408" s="530"/>
      <c r="R408" s="530"/>
      <c r="S408" s="530"/>
      <c r="T408" s="530"/>
      <c r="U408" s="530"/>
      <c r="V408" s="530"/>
      <c r="W408" s="530"/>
      <c r="X408" s="530"/>
      <c r="Y408" s="530"/>
      <c r="Z408" s="530"/>
      <c r="AA408" s="530"/>
      <c r="AB408" s="530"/>
      <c r="AC408" s="530"/>
      <c r="AD408" s="530"/>
    </row>
    <row r="409" spans="2:30" s="1" customFormat="1" ht="19.5" customHeight="1" x14ac:dyDescent="0.25">
      <c r="B409" s="661" t="s">
        <v>1983</v>
      </c>
      <c r="C409" s="661" t="s">
        <v>1984</v>
      </c>
      <c r="D409" s="663" t="s">
        <v>1985</v>
      </c>
      <c r="E409" s="756" t="s">
        <v>402</v>
      </c>
      <c r="F409" s="795"/>
      <c r="G409" s="606"/>
      <c r="H409" s="604"/>
      <c r="I409" s="530"/>
      <c r="J409" s="531"/>
      <c r="K409" s="580"/>
      <c r="L409" s="581"/>
      <c r="M409" s="530"/>
      <c r="N409" s="530"/>
      <c r="O409" s="530"/>
      <c r="P409" s="530"/>
      <c r="Q409" s="530"/>
      <c r="R409" s="530"/>
      <c r="S409" s="530"/>
      <c r="T409" s="530"/>
      <c r="U409" s="530"/>
      <c r="V409" s="530"/>
      <c r="W409" s="530"/>
      <c r="X409" s="530"/>
      <c r="Y409" s="530"/>
      <c r="Z409" s="530"/>
      <c r="AA409" s="530"/>
      <c r="AB409" s="530"/>
      <c r="AC409" s="530"/>
      <c r="AD409" s="530"/>
    </row>
    <row r="410" spans="2:30" s="1" customFormat="1" ht="19.5" customHeight="1" x14ac:dyDescent="0.25">
      <c r="B410" s="661" t="s">
        <v>1986</v>
      </c>
      <c r="C410" s="661" t="s">
        <v>1987</v>
      </c>
      <c r="D410" s="663" t="s">
        <v>1988</v>
      </c>
      <c r="E410" s="756" t="s">
        <v>402</v>
      </c>
      <c r="F410" s="795"/>
      <c r="G410" s="606"/>
      <c r="H410" s="604"/>
      <c r="I410" s="530"/>
      <c r="J410" s="531"/>
      <c r="K410" s="580"/>
      <c r="L410" s="581"/>
      <c r="M410" s="530"/>
      <c r="N410" s="530"/>
      <c r="O410" s="530"/>
      <c r="P410" s="530"/>
      <c r="Q410" s="530"/>
      <c r="R410" s="530"/>
      <c r="S410" s="530"/>
      <c r="T410" s="530"/>
      <c r="U410" s="530"/>
      <c r="V410" s="530"/>
      <c r="W410" s="530"/>
      <c r="X410" s="530"/>
      <c r="Y410" s="530"/>
      <c r="Z410" s="530"/>
      <c r="AA410" s="530"/>
      <c r="AB410" s="530"/>
      <c r="AC410" s="530"/>
      <c r="AD410" s="530"/>
    </row>
    <row r="411" spans="2:30" s="1" customFormat="1" ht="19.5" customHeight="1" x14ac:dyDescent="0.25">
      <c r="B411" s="661" t="s">
        <v>1989</v>
      </c>
      <c r="C411" s="661" t="s">
        <v>1990</v>
      </c>
      <c r="D411" s="663" t="s">
        <v>1991</v>
      </c>
      <c r="E411" s="756" t="s">
        <v>402</v>
      </c>
      <c r="F411" s="795"/>
      <c r="G411" s="606"/>
      <c r="H411" s="604"/>
      <c r="I411" s="530"/>
      <c r="J411" s="531"/>
      <c r="K411" s="580"/>
      <c r="L411" s="581"/>
      <c r="M411" s="530"/>
      <c r="N411" s="530"/>
      <c r="O411" s="530"/>
      <c r="P411" s="530"/>
      <c r="Q411" s="530"/>
      <c r="R411" s="530"/>
      <c r="S411" s="530"/>
      <c r="T411" s="530"/>
      <c r="U411" s="530"/>
      <c r="V411" s="530"/>
      <c r="W411" s="530"/>
      <c r="X411" s="530"/>
      <c r="Y411" s="530"/>
      <c r="Z411" s="530"/>
      <c r="AA411" s="530"/>
      <c r="AB411" s="530"/>
      <c r="AC411" s="530"/>
      <c r="AD411" s="530"/>
    </row>
    <row r="412" spans="2:30" s="1" customFormat="1" ht="19.5" customHeight="1" x14ac:dyDescent="0.25">
      <c r="B412" s="661" t="s">
        <v>1992</v>
      </c>
      <c r="C412" s="661" t="s">
        <v>1993</v>
      </c>
      <c r="D412" s="663" t="s">
        <v>1994</v>
      </c>
      <c r="E412" s="756" t="s">
        <v>402</v>
      </c>
      <c r="F412" s="795"/>
      <c r="G412" s="606"/>
      <c r="H412" s="604"/>
      <c r="I412" s="530"/>
      <c r="J412" s="531"/>
      <c r="K412" s="580"/>
      <c r="L412" s="581"/>
      <c r="M412" s="530"/>
      <c r="N412" s="530"/>
      <c r="O412" s="530"/>
      <c r="P412" s="530"/>
      <c r="Q412" s="530"/>
      <c r="R412" s="530"/>
      <c r="S412" s="530"/>
      <c r="T412" s="530"/>
      <c r="U412" s="530"/>
      <c r="V412" s="530"/>
      <c r="W412" s="530"/>
      <c r="X412" s="530"/>
      <c r="Y412" s="530"/>
      <c r="Z412" s="530"/>
      <c r="AA412" s="530"/>
      <c r="AB412" s="530"/>
      <c r="AC412" s="530"/>
      <c r="AD412" s="530"/>
    </row>
    <row r="413" spans="2:30" s="1" customFormat="1" ht="19.5" customHeight="1" x14ac:dyDescent="0.25">
      <c r="B413" s="661" t="s">
        <v>1995</v>
      </c>
      <c r="C413" s="661" t="s">
        <v>1996</v>
      </c>
      <c r="D413" s="663" t="s">
        <v>1997</v>
      </c>
      <c r="E413" s="756" t="s">
        <v>402</v>
      </c>
      <c r="F413" s="795"/>
      <c r="G413" s="606"/>
      <c r="H413" s="604"/>
      <c r="I413" s="530"/>
      <c r="J413" s="531"/>
      <c r="K413" s="580"/>
      <c r="L413" s="581"/>
      <c r="M413" s="530"/>
      <c r="N413" s="530"/>
      <c r="O413" s="530"/>
      <c r="P413" s="530"/>
      <c r="Q413" s="530"/>
      <c r="R413" s="530"/>
      <c r="S413" s="530"/>
      <c r="T413" s="530"/>
      <c r="U413" s="530"/>
      <c r="V413" s="530"/>
      <c r="W413" s="530"/>
      <c r="X413" s="530"/>
      <c r="Y413" s="530"/>
      <c r="Z413" s="530"/>
      <c r="AA413" s="530"/>
      <c r="AB413" s="530"/>
      <c r="AC413" s="530"/>
      <c r="AD413" s="530"/>
    </row>
    <row r="414" spans="2:30" s="1" customFormat="1" ht="19.5" customHeight="1" x14ac:dyDescent="0.25">
      <c r="B414" s="661" t="s">
        <v>1998</v>
      </c>
      <c r="C414" s="661" t="s">
        <v>1999</v>
      </c>
      <c r="D414" s="663" t="s">
        <v>2000</v>
      </c>
      <c r="E414" s="766" t="s">
        <v>1624</v>
      </c>
      <c r="F414" s="796"/>
      <c r="G414" s="606"/>
      <c r="H414" s="604"/>
      <c r="I414" s="530"/>
      <c r="J414" s="531"/>
      <c r="K414" s="580"/>
      <c r="L414" s="581"/>
      <c r="M414" s="530"/>
      <c r="N414" s="530"/>
      <c r="O414" s="530"/>
      <c r="P414" s="530"/>
      <c r="Q414" s="530"/>
      <c r="R414" s="530"/>
      <c r="S414" s="530"/>
      <c r="T414" s="530"/>
      <c r="U414" s="530"/>
      <c r="V414" s="530"/>
      <c r="W414" s="530"/>
      <c r="X414" s="530"/>
      <c r="Y414" s="530"/>
      <c r="Z414" s="530"/>
      <c r="AA414" s="530"/>
      <c r="AB414" s="530"/>
      <c r="AC414" s="530"/>
      <c r="AD414" s="530"/>
    </row>
    <row r="415" spans="2:30" s="1" customFormat="1" ht="19.5" customHeight="1" x14ac:dyDescent="0.25">
      <c r="B415" s="661" t="s">
        <v>2001</v>
      </c>
      <c r="C415" s="661" t="s">
        <v>2002</v>
      </c>
      <c r="D415" s="663" t="s">
        <v>2000</v>
      </c>
      <c r="E415" s="766" t="s">
        <v>1624</v>
      </c>
      <c r="F415" s="796"/>
      <c r="G415" s="606"/>
      <c r="H415" s="604"/>
      <c r="I415" s="530"/>
      <c r="J415" s="531"/>
      <c r="K415" s="580"/>
      <c r="L415" s="581"/>
      <c r="M415" s="530"/>
      <c r="N415" s="530"/>
      <c r="O415" s="530"/>
      <c r="P415" s="530"/>
      <c r="Q415" s="530"/>
      <c r="R415" s="530"/>
      <c r="S415" s="530"/>
      <c r="T415" s="530"/>
      <c r="U415" s="530"/>
      <c r="V415" s="530"/>
      <c r="W415" s="530"/>
      <c r="X415" s="530"/>
      <c r="Y415" s="530"/>
      <c r="Z415" s="530"/>
      <c r="AA415" s="530"/>
      <c r="AB415" s="530"/>
      <c r="AC415" s="530"/>
      <c r="AD415" s="530"/>
    </row>
    <row r="416" spans="2:30" s="1" customFormat="1" ht="19.5" customHeight="1" x14ac:dyDescent="0.25">
      <c r="B416" s="661" t="s">
        <v>2003</v>
      </c>
      <c r="C416" s="661" t="s">
        <v>2004</v>
      </c>
      <c r="D416" s="663" t="s">
        <v>2000</v>
      </c>
      <c r="E416" s="766" t="s">
        <v>1624</v>
      </c>
      <c r="F416" s="796"/>
      <c r="G416" s="606"/>
      <c r="H416" s="604"/>
      <c r="I416" s="530"/>
      <c r="J416" s="531"/>
      <c r="K416" s="580"/>
      <c r="L416" s="581"/>
      <c r="M416" s="530"/>
      <c r="N416" s="530"/>
      <c r="O416" s="530"/>
      <c r="P416" s="530"/>
      <c r="Q416" s="530"/>
      <c r="R416" s="530"/>
      <c r="S416" s="530"/>
      <c r="T416" s="530"/>
      <c r="U416" s="530"/>
      <c r="V416" s="530"/>
      <c r="W416" s="530"/>
      <c r="X416" s="530"/>
      <c r="Y416" s="530"/>
      <c r="Z416" s="530"/>
      <c r="AA416" s="530"/>
      <c r="AB416" s="530"/>
      <c r="AC416" s="530"/>
      <c r="AD416" s="530"/>
    </row>
    <row r="417" spans="2:30" s="1" customFormat="1" ht="19.5" customHeight="1" x14ac:dyDescent="0.25">
      <c r="B417" s="661" t="s">
        <v>2005</v>
      </c>
      <c r="C417" s="661" t="s">
        <v>2006</v>
      </c>
      <c r="D417" s="663" t="s">
        <v>2007</v>
      </c>
      <c r="E417" s="766" t="s">
        <v>1624</v>
      </c>
      <c r="F417" s="796"/>
      <c r="G417" s="606"/>
      <c r="H417" s="604"/>
      <c r="I417" s="530"/>
      <c r="J417" s="531"/>
      <c r="K417" s="580"/>
      <c r="L417" s="581"/>
      <c r="M417" s="530"/>
      <c r="N417" s="530"/>
      <c r="O417" s="530"/>
      <c r="P417" s="530"/>
      <c r="Q417" s="530"/>
      <c r="R417" s="530"/>
      <c r="S417" s="530"/>
      <c r="T417" s="530"/>
      <c r="U417" s="530"/>
      <c r="V417" s="530"/>
      <c r="W417" s="530"/>
      <c r="X417" s="530"/>
      <c r="Y417" s="530"/>
      <c r="Z417" s="530"/>
      <c r="AA417" s="530"/>
      <c r="AB417" s="530"/>
      <c r="AC417" s="530"/>
      <c r="AD417" s="530"/>
    </row>
    <row r="418" spans="2:30" s="1" customFormat="1" ht="19.5" customHeight="1" x14ac:dyDescent="0.25">
      <c r="B418" s="661" t="s">
        <v>2008</v>
      </c>
      <c r="C418" s="661" t="s">
        <v>2009</v>
      </c>
      <c r="D418" s="663" t="s">
        <v>2010</v>
      </c>
      <c r="E418" s="766" t="s">
        <v>1624</v>
      </c>
      <c r="F418" s="796"/>
      <c r="G418" s="606"/>
      <c r="H418" s="604"/>
      <c r="I418" s="530"/>
      <c r="J418" s="531"/>
      <c r="K418" s="580"/>
      <c r="L418" s="581"/>
      <c r="M418" s="530"/>
      <c r="N418" s="530"/>
      <c r="O418" s="530"/>
      <c r="P418" s="530"/>
      <c r="Q418" s="530"/>
      <c r="R418" s="530"/>
      <c r="S418" s="530"/>
      <c r="T418" s="530"/>
      <c r="U418" s="530"/>
      <c r="V418" s="530"/>
      <c r="W418" s="530"/>
      <c r="X418" s="530"/>
      <c r="Y418" s="530"/>
      <c r="Z418" s="530"/>
      <c r="AA418" s="530"/>
      <c r="AB418" s="530"/>
      <c r="AC418" s="530"/>
      <c r="AD418" s="530"/>
    </row>
    <row r="419" spans="2:30" s="1" customFormat="1" ht="19.5" customHeight="1" x14ac:dyDescent="0.25">
      <c r="B419" s="661" t="s">
        <v>2011</v>
      </c>
      <c r="C419" s="661" t="s">
        <v>2012</v>
      </c>
      <c r="D419" s="663" t="s">
        <v>2013</v>
      </c>
      <c r="E419" s="766" t="s">
        <v>1624</v>
      </c>
      <c r="F419" s="796"/>
      <c r="G419" s="606"/>
      <c r="H419" s="604"/>
      <c r="I419" s="530"/>
      <c r="J419" s="531"/>
      <c r="K419" s="580"/>
      <c r="L419" s="581"/>
      <c r="M419" s="530"/>
      <c r="N419" s="530"/>
      <c r="O419" s="530"/>
      <c r="P419" s="530"/>
      <c r="Q419" s="530"/>
      <c r="R419" s="530"/>
      <c r="S419" s="530"/>
      <c r="T419" s="530"/>
      <c r="U419" s="530"/>
      <c r="V419" s="530"/>
      <c r="W419" s="530"/>
      <c r="X419" s="530"/>
      <c r="Y419" s="530"/>
      <c r="Z419" s="530"/>
      <c r="AA419" s="530"/>
      <c r="AB419" s="530"/>
      <c r="AC419" s="530"/>
      <c r="AD419" s="530"/>
    </row>
    <row r="420" spans="2:30" s="1" customFormat="1" ht="19.5" customHeight="1" x14ac:dyDescent="0.25">
      <c r="B420" s="661" t="s">
        <v>2014</v>
      </c>
      <c r="C420" s="661" t="s">
        <v>2015</v>
      </c>
      <c r="D420" s="663" t="s">
        <v>2016</v>
      </c>
      <c r="E420" s="766" t="s">
        <v>1624</v>
      </c>
      <c r="F420" s="796"/>
      <c r="G420" s="606"/>
      <c r="H420" s="604"/>
      <c r="I420" s="530"/>
      <c r="J420" s="531"/>
      <c r="K420" s="580"/>
      <c r="L420" s="581"/>
      <c r="M420" s="530"/>
      <c r="N420" s="530"/>
      <c r="O420" s="530"/>
      <c r="P420" s="530"/>
      <c r="Q420" s="530"/>
      <c r="R420" s="530"/>
      <c r="S420" s="530"/>
      <c r="T420" s="530"/>
      <c r="U420" s="530"/>
      <c r="V420" s="530"/>
      <c r="W420" s="530"/>
      <c r="X420" s="530"/>
      <c r="Y420" s="530"/>
      <c r="Z420" s="530"/>
      <c r="AA420" s="530"/>
      <c r="AB420" s="530"/>
      <c r="AC420" s="530"/>
      <c r="AD420" s="530"/>
    </row>
    <row r="421" spans="2:30" s="1" customFormat="1" ht="19.5" customHeight="1" x14ac:dyDescent="0.25">
      <c r="B421" s="661" t="s">
        <v>2017</v>
      </c>
      <c r="C421" s="661" t="s">
        <v>2018</v>
      </c>
      <c r="D421" s="663" t="s">
        <v>2019</v>
      </c>
      <c r="E421" s="769" t="s">
        <v>1802</v>
      </c>
      <c r="F421" s="799"/>
      <c r="G421" s="606"/>
      <c r="H421" s="604"/>
      <c r="I421" s="530"/>
      <c r="J421" s="531"/>
      <c r="K421" s="580"/>
      <c r="L421" s="581"/>
      <c r="M421" s="530"/>
      <c r="N421" s="530"/>
      <c r="O421" s="530"/>
      <c r="P421" s="530"/>
      <c r="Q421" s="530"/>
      <c r="R421" s="530"/>
      <c r="S421" s="530"/>
      <c r="T421" s="530"/>
      <c r="U421" s="530"/>
      <c r="V421" s="530"/>
      <c r="W421" s="530"/>
      <c r="X421" s="530"/>
      <c r="Y421" s="530"/>
      <c r="Z421" s="530"/>
      <c r="AA421" s="530"/>
      <c r="AB421" s="530"/>
      <c r="AC421" s="530"/>
      <c r="AD421" s="530"/>
    </row>
    <row r="422" spans="2:30" s="1" customFormat="1" ht="19.5" customHeight="1" x14ac:dyDescent="0.25">
      <c r="B422" s="661" t="s">
        <v>2020</v>
      </c>
      <c r="C422" s="661" t="s">
        <v>2021</v>
      </c>
      <c r="D422" s="663" t="s">
        <v>2022</v>
      </c>
      <c r="E422" s="771" t="s">
        <v>382</v>
      </c>
      <c r="F422" s="801"/>
      <c r="G422" s="606"/>
      <c r="H422" s="604"/>
      <c r="I422" s="530"/>
      <c r="J422" s="531"/>
      <c r="K422" s="580"/>
      <c r="L422" s="581"/>
      <c r="M422" s="530"/>
      <c r="N422" s="530"/>
      <c r="O422" s="530"/>
      <c r="P422" s="530"/>
      <c r="Q422" s="530"/>
      <c r="R422" s="530"/>
      <c r="S422" s="530"/>
      <c r="T422" s="530"/>
      <c r="U422" s="530"/>
      <c r="V422" s="530"/>
      <c r="W422" s="530"/>
      <c r="X422" s="530"/>
      <c r="Y422" s="530"/>
      <c r="Z422" s="530"/>
      <c r="AA422" s="530"/>
      <c r="AB422" s="530"/>
      <c r="AC422" s="530"/>
      <c r="AD422" s="530"/>
    </row>
    <row r="423" spans="2:30" s="1" customFormat="1" ht="19.5" customHeight="1" x14ac:dyDescent="0.25">
      <c r="B423" s="661" t="s">
        <v>2023</v>
      </c>
      <c r="C423" s="661" t="s">
        <v>2024</v>
      </c>
      <c r="D423" s="663" t="s">
        <v>2025</v>
      </c>
      <c r="E423" s="767" t="s">
        <v>1842</v>
      </c>
      <c r="F423" s="797"/>
      <c r="G423" s="606"/>
      <c r="H423" s="604"/>
      <c r="I423" s="530"/>
      <c r="J423" s="531"/>
      <c r="K423" s="580"/>
      <c r="L423" s="581"/>
      <c r="M423" s="530"/>
      <c r="N423" s="530"/>
      <c r="O423" s="530"/>
      <c r="P423" s="530"/>
      <c r="Q423" s="530"/>
      <c r="R423" s="530"/>
      <c r="S423" s="530"/>
      <c r="T423" s="530"/>
      <c r="U423" s="530"/>
      <c r="V423" s="530"/>
      <c r="W423" s="530"/>
      <c r="X423" s="530"/>
      <c r="Y423" s="530"/>
      <c r="Z423" s="530"/>
      <c r="AA423" s="530"/>
      <c r="AB423" s="530"/>
      <c r="AC423" s="530"/>
      <c r="AD423" s="530"/>
    </row>
    <row r="424" spans="2:30" s="1" customFormat="1" ht="19.5" customHeight="1" x14ac:dyDescent="0.25">
      <c r="B424" s="661" t="s">
        <v>2026</v>
      </c>
      <c r="C424" s="661" t="s">
        <v>2027</v>
      </c>
      <c r="D424" s="663" t="s">
        <v>2028</v>
      </c>
      <c r="E424" s="767" t="s">
        <v>1842</v>
      </c>
      <c r="F424" s="797"/>
      <c r="G424" s="606"/>
      <c r="H424" s="604"/>
      <c r="I424" s="530"/>
      <c r="J424" s="531"/>
      <c r="K424" s="580"/>
      <c r="L424" s="581"/>
      <c r="M424" s="530"/>
      <c r="N424" s="530"/>
      <c r="O424" s="530"/>
      <c r="P424" s="530"/>
      <c r="Q424" s="530"/>
      <c r="R424" s="530"/>
      <c r="S424" s="530"/>
      <c r="T424" s="530"/>
      <c r="U424" s="530"/>
      <c r="V424" s="530"/>
      <c r="W424" s="530"/>
      <c r="X424" s="530"/>
      <c r="Y424" s="530"/>
      <c r="Z424" s="530"/>
      <c r="AA424" s="530"/>
      <c r="AB424" s="530"/>
      <c r="AC424" s="530"/>
      <c r="AD424" s="530"/>
    </row>
    <row r="425" spans="2:30" s="1" customFormat="1" ht="19.5" customHeight="1" x14ac:dyDescent="0.25">
      <c r="B425" s="661" t="s">
        <v>2029</v>
      </c>
      <c r="C425" s="661" t="s">
        <v>2030</v>
      </c>
      <c r="D425" s="663" t="s">
        <v>2031</v>
      </c>
      <c r="E425" s="767" t="s">
        <v>1842</v>
      </c>
      <c r="F425" s="797"/>
      <c r="G425" s="606"/>
      <c r="H425" s="604"/>
      <c r="I425" s="530"/>
      <c r="J425" s="531"/>
      <c r="K425" s="580"/>
      <c r="L425" s="581"/>
      <c r="M425" s="530"/>
      <c r="N425" s="530"/>
      <c r="O425" s="530"/>
      <c r="P425" s="530"/>
      <c r="Q425" s="530"/>
      <c r="R425" s="530"/>
      <c r="S425" s="530"/>
      <c r="T425" s="530"/>
      <c r="U425" s="530"/>
      <c r="V425" s="530"/>
      <c r="W425" s="530"/>
      <c r="X425" s="530"/>
      <c r="Y425" s="530"/>
      <c r="Z425" s="530"/>
      <c r="AA425" s="530"/>
      <c r="AB425" s="530"/>
      <c r="AC425" s="530"/>
      <c r="AD425" s="530"/>
    </row>
    <row r="426" spans="2:30" s="1" customFormat="1" ht="19.5" customHeight="1" x14ac:dyDescent="0.25">
      <c r="B426" s="774" t="s">
        <v>2032</v>
      </c>
      <c r="C426" s="774" t="s">
        <v>2033</v>
      </c>
      <c r="D426" s="775" t="s">
        <v>2034</v>
      </c>
      <c r="E426" s="767" t="s">
        <v>1842</v>
      </c>
      <c r="F426" s="797"/>
      <c r="G426" s="606"/>
      <c r="H426" s="604"/>
      <c r="I426" s="530"/>
      <c r="J426" s="531"/>
      <c r="K426" s="580"/>
      <c r="L426" s="581"/>
      <c r="M426" s="530"/>
      <c r="N426" s="530"/>
      <c r="O426" s="530"/>
      <c r="P426" s="530"/>
      <c r="Q426" s="530"/>
      <c r="R426" s="530"/>
      <c r="S426" s="530"/>
      <c r="T426" s="530"/>
      <c r="U426" s="530"/>
      <c r="V426" s="530"/>
      <c r="W426" s="530"/>
      <c r="X426" s="530"/>
      <c r="Y426" s="530"/>
      <c r="Z426" s="530"/>
      <c r="AA426" s="530"/>
      <c r="AB426" s="530"/>
      <c r="AC426" s="530"/>
      <c r="AD426" s="530"/>
    </row>
    <row r="427" spans="2:30" s="1" customFormat="1" ht="19.5" customHeight="1" x14ac:dyDescent="0.25">
      <c r="B427" s="661" t="s">
        <v>2035</v>
      </c>
      <c r="C427" s="661" t="s">
        <v>2036</v>
      </c>
      <c r="D427" s="663" t="s">
        <v>2037</v>
      </c>
      <c r="E427" s="767" t="s">
        <v>1842</v>
      </c>
      <c r="F427" s="797"/>
      <c r="G427" s="606"/>
      <c r="H427" s="604"/>
      <c r="I427" s="530"/>
      <c r="J427" s="531"/>
      <c r="K427" s="580"/>
      <c r="L427" s="581"/>
      <c r="M427" s="530"/>
      <c r="N427" s="530"/>
      <c r="O427" s="530"/>
      <c r="P427" s="530"/>
      <c r="Q427" s="530"/>
      <c r="R427" s="530"/>
      <c r="S427" s="530"/>
      <c r="T427" s="530"/>
      <c r="U427" s="530"/>
      <c r="V427" s="530"/>
      <c r="W427" s="530"/>
      <c r="X427" s="530"/>
      <c r="Y427" s="530"/>
      <c r="Z427" s="530"/>
      <c r="AA427" s="530"/>
      <c r="AB427" s="530"/>
      <c r="AC427" s="530"/>
      <c r="AD427" s="530"/>
    </row>
    <row r="428" spans="2:30" s="1" customFormat="1" ht="19.5" customHeight="1" x14ac:dyDescent="0.25">
      <c r="B428" s="661" t="s">
        <v>2038</v>
      </c>
      <c r="C428" s="661" t="s">
        <v>2039</v>
      </c>
      <c r="D428" s="663" t="s">
        <v>2040</v>
      </c>
      <c r="E428" s="767" t="s">
        <v>1842</v>
      </c>
      <c r="F428" s="797"/>
      <c r="G428" s="606"/>
      <c r="H428" s="604"/>
      <c r="I428" s="530"/>
      <c r="J428" s="531"/>
      <c r="K428" s="580"/>
      <c r="L428" s="581"/>
      <c r="M428" s="530"/>
      <c r="N428" s="530"/>
      <c r="O428" s="530"/>
      <c r="P428" s="530"/>
      <c r="Q428" s="530"/>
      <c r="R428" s="530"/>
      <c r="S428" s="530"/>
      <c r="T428" s="530"/>
      <c r="U428" s="530"/>
      <c r="V428" s="530"/>
      <c r="W428" s="530"/>
      <c r="X428" s="530"/>
      <c r="Y428" s="530"/>
      <c r="Z428" s="530"/>
      <c r="AA428" s="530"/>
      <c r="AB428" s="530"/>
      <c r="AC428" s="530"/>
      <c r="AD428" s="530"/>
    </row>
    <row r="429" spans="2:30" s="1" customFormat="1" ht="19.5" customHeight="1" x14ac:dyDescent="0.25">
      <c r="B429" s="661" t="s">
        <v>2041</v>
      </c>
      <c r="C429" s="661" t="s">
        <v>2042</v>
      </c>
      <c r="D429" s="663" t="s">
        <v>2043</v>
      </c>
      <c r="E429" s="767" t="s">
        <v>1842</v>
      </c>
      <c r="F429" s="797"/>
      <c r="G429" s="606"/>
      <c r="H429" s="604"/>
      <c r="I429" s="530"/>
      <c r="J429" s="531"/>
      <c r="K429" s="580"/>
      <c r="L429" s="581"/>
      <c r="M429" s="530"/>
      <c r="N429" s="530"/>
      <c r="O429" s="530"/>
      <c r="P429" s="530"/>
      <c r="Q429" s="530"/>
      <c r="R429" s="530"/>
      <c r="S429" s="530"/>
      <c r="T429" s="530"/>
      <c r="U429" s="530"/>
      <c r="V429" s="530"/>
      <c r="W429" s="530"/>
      <c r="X429" s="530"/>
      <c r="Y429" s="530"/>
      <c r="Z429" s="530"/>
      <c r="AA429" s="530"/>
      <c r="AB429" s="530"/>
      <c r="AC429" s="530"/>
      <c r="AD429" s="530"/>
    </row>
    <row r="430" spans="2:30" s="1" customFormat="1" ht="19.5" customHeight="1" x14ac:dyDescent="0.25">
      <c r="B430" s="661" t="s">
        <v>2044</v>
      </c>
      <c r="C430" s="661" t="s">
        <v>2045</v>
      </c>
      <c r="D430" s="663" t="s">
        <v>2046</v>
      </c>
      <c r="E430" s="767" t="s">
        <v>1842</v>
      </c>
      <c r="F430" s="797"/>
      <c r="G430" s="606"/>
      <c r="H430" s="604"/>
      <c r="I430" s="530"/>
      <c r="J430" s="531"/>
      <c r="K430" s="580"/>
      <c r="L430" s="581"/>
      <c r="M430" s="530"/>
      <c r="N430" s="530"/>
      <c r="O430" s="530"/>
      <c r="P430" s="530"/>
      <c r="Q430" s="530"/>
      <c r="R430" s="530"/>
      <c r="S430" s="530"/>
      <c r="T430" s="530"/>
      <c r="U430" s="530"/>
      <c r="V430" s="530"/>
      <c r="W430" s="530"/>
      <c r="X430" s="530"/>
      <c r="Y430" s="530"/>
      <c r="Z430" s="530"/>
      <c r="AA430" s="530"/>
      <c r="AB430" s="530"/>
      <c r="AC430" s="530"/>
      <c r="AD430" s="530"/>
    </row>
    <row r="431" spans="2:30" s="1" customFormat="1" ht="19.5" customHeight="1" x14ac:dyDescent="0.25">
      <c r="B431" s="661" t="s">
        <v>2047</v>
      </c>
      <c r="C431" s="661" t="s">
        <v>2048</v>
      </c>
      <c r="D431" s="663" t="s">
        <v>2049</v>
      </c>
      <c r="E431" s="767" t="s">
        <v>1842</v>
      </c>
      <c r="F431" s="797"/>
      <c r="G431" s="606"/>
      <c r="H431" s="604"/>
      <c r="I431" s="530"/>
      <c r="J431" s="531"/>
      <c r="K431" s="580"/>
      <c r="L431" s="581"/>
      <c r="M431" s="530"/>
      <c r="N431" s="530"/>
      <c r="O431" s="530"/>
      <c r="P431" s="530"/>
      <c r="Q431" s="530"/>
      <c r="R431" s="530"/>
      <c r="S431" s="530"/>
      <c r="T431" s="530"/>
      <c r="U431" s="530"/>
      <c r="V431" s="530"/>
      <c r="W431" s="530"/>
      <c r="X431" s="530"/>
      <c r="Y431" s="530"/>
      <c r="Z431" s="530"/>
      <c r="AA431" s="530"/>
      <c r="AB431" s="530"/>
      <c r="AC431" s="530"/>
      <c r="AD431" s="530"/>
    </row>
    <row r="432" spans="2:30" s="1" customFormat="1" ht="19.5" customHeight="1" x14ac:dyDescent="0.25">
      <c r="B432" s="661" t="s">
        <v>2050</v>
      </c>
      <c r="C432" s="661" t="s">
        <v>2051</v>
      </c>
      <c r="D432" s="663" t="s">
        <v>2052</v>
      </c>
      <c r="E432" s="767" t="s">
        <v>1842</v>
      </c>
      <c r="F432" s="797"/>
      <c r="G432" s="606"/>
      <c r="H432" s="604"/>
      <c r="I432" s="530"/>
      <c r="J432" s="531"/>
      <c r="K432" s="580"/>
      <c r="L432" s="581"/>
      <c r="M432" s="530"/>
      <c r="N432" s="530"/>
      <c r="O432" s="530"/>
      <c r="P432" s="530"/>
      <c r="Q432" s="530"/>
      <c r="R432" s="530"/>
      <c r="S432" s="530"/>
      <c r="T432" s="530"/>
      <c r="U432" s="530"/>
      <c r="V432" s="530"/>
      <c r="W432" s="530"/>
      <c r="X432" s="530"/>
      <c r="Y432" s="530"/>
      <c r="Z432" s="530"/>
      <c r="AA432" s="530"/>
      <c r="AB432" s="530"/>
      <c r="AC432" s="530"/>
      <c r="AD432" s="530"/>
    </row>
    <row r="433" spans="2:30" s="1" customFormat="1" ht="19.5" customHeight="1" x14ac:dyDescent="0.25">
      <c r="B433" s="661" t="s">
        <v>2053</v>
      </c>
      <c r="C433" s="661" t="s">
        <v>2054</v>
      </c>
      <c r="D433" s="663" t="s">
        <v>2055</v>
      </c>
      <c r="E433" s="767" t="s">
        <v>1842</v>
      </c>
      <c r="F433" s="797"/>
      <c r="G433" s="606"/>
      <c r="H433" s="604"/>
      <c r="I433" s="530"/>
      <c r="J433" s="531"/>
      <c r="K433" s="580"/>
      <c r="L433" s="581"/>
      <c r="M433" s="530"/>
      <c r="N433" s="530"/>
      <c r="O433" s="530"/>
      <c r="P433" s="530"/>
      <c r="Q433" s="530"/>
      <c r="R433" s="530"/>
      <c r="S433" s="530"/>
      <c r="T433" s="530"/>
      <c r="U433" s="530"/>
      <c r="V433" s="530"/>
      <c r="W433" s="530"/>
      <c r="X433" s="530"/>
      <c r="Y433" s="530"/>
      <c r="Z433" s="530"/>
      <c r="AA433" s="530"/>
      <c r="AB433" s="530"/>
      <c r="AC433" s="530"/>
      <c r="AD433" s="530"/>
    </row>
    <row r="434" spans="2:30" s="1" customFormat="1" ht="19.5" customHeight="1" x14ac:dyDescent="0.25">
      <c r="B434" s="661" t="s">
        <v>2056</v>
      </c>
      <c r="C434" s="661" t="s">
        <v>2057</v>
      </c>
      <c r="D434" s="663" t="s">
        <v>2058</v>
      </c>
      <c r="E434" s="767" t="s">
        <v>1842</v>
      </c>
      <c r="F434" s="797"/>
      <c r="G434" s="606"/>
      <c r="H434" s="604"/>
      <c r="I434" s="530"/>
      <c r="J434" s="531"/>
      <c r="K434" s="580"/>
      <c r="L434" s="581"/>
      <c r="M434" s="530"/>
      <c r="N434" s="530"/>
      <c r="O434" s="530"/>
      <c r="P434" s="530"/>
      <c r="Q434" s="530"/>
      <c r="R434" s="530"/>
      <c r="S434" s="530"/>
      <c r="T434" s="530"/>
      <c r="U434" s="530"/>
      <c r="V434" s="530"/>
      <c r="W434" s="530"/>
      <c r="X434" s="530"/>
      <c r="Y434" s="530"/>
      <c r="Z434" s="530"/>
      <c r="AA434" s="530"/>
      <c r="AB434" s="530"/>
      <c r="AC434" s="530"/>
      <c r="AD434" s="530"/>
    </row>
    <row r="435" spans="2:30" s="1" customFormat="1" ht="19.5" customHeight="1" x14ac:dyDescent="0.25">
      <c r="B435" s="661" t="s">
        <v>2059</v>
      </c>
      <c r="C435" s="661" t="s">
        <v>2060</v>
      </c>
      <c r="D435" s="663" t="s">
        <v>2061</v>
      </c>
      <c r="E435" s="767" t="s">
        <v>1842</v>
      </c>
      <c r="F435" s="797"/>
      <c r="G435" s="606"/>
      <c r="H435" s="604"/>
      <c r="I435" s="530"/>
      <c r="J435" s="531"/>
      <c r="K435" s="580"/>
      <c r="L435" s="581"/>
      <c r="M435" s="530"/>
      <c r="N435" s="530"/>
      <c r="O435" s="530"/>
      <c r="P435" s="530"/>
      <c r="Q435" s="530"/>
      <c r="R435" s="530"/>
      <c r="S435" s="530"/>
      <c r="T435" s="530"/>
      <c r="U435" s="530"/>
      <c r="V435" s="530"/>
      <c r="W435" s="530"/>
      <c r="X435" s="530"/>
      <c r="Y435" s="530"/>
      <c r="Z435" s="530"/>
      <c r="AA435" s="530"/>
      <c r="AB435" s="530"/>
      <c r="AC435" s="530"/>
      <c r="AD435" s="530"/>
    </row>
    <row r="436" spans="2:30" s="1" customFormat="1" ht="19.5" customHeight="1" x14ac:dyDescent="0.25">
      <c r="B436" s="661" t="s">
        <v>2062</v>
      </c>
      <c r="C436" s="661" t="s">
        <v>2063</v>
      </c>
      <c r="D436" s="663" t="s">
        <v>2064</v>
      </c>
      <c r="E436" s="767" t="s">
        <v>1842</v>
      </c>
      <c r="F436" s="797"/>
      <c r="G436" s="606"/>
      <c r="H436" s="604"/>
      <c r="I436" s="530"/>
      <c r="J436" s="531"/>
      <c r="K436" s="580"/>
      <c r="L436" s="581"/>
      <c r="M436" s="530"/>
      <c r="N436" s="530"/>
      <c r="O436" s="530"/>
      <c r="P436" s="530"/>
      <c r="Q436" s="530"/>
      <c r="R436" s="530"/>
      <c r="S436" s="530"/>
      <c r="T436" s="530"/>
      <c r="U436" s="530"/>
      <c r="V436" s="530"/>
      <c r="W436" s="530"/>
      <c r="X436" s="530"/>
      <c r="Y436" s="530"/>
      <c r="Z436" s="530"/>
      <c r="AA436" s="530"/>
      <c r="AB436" s="530"/>
      <c r="AC436" s="530"/>
      <c r="AD436" s="530"/>
    </row>
    <row r="437" spans="2:30" s="1" customFormat="1" ht="19.5" customHeight="1" x14ac:dyDescent="0.25">
      <c r="B437" s="661" t="s">
        <v>2065</v>
      </c>
      <c r="C437" s="661" t="s">
        <v>2066</v>
      </c>
      <c r="D437" s="663" t="s">
        <v>2067</v>
      </c>
      <c r="E437" s="767" t="s">
        <v>1842</v>
      </c>
      <c r="F437" s="797"/>
      <c r="G437" s="606"/>
      <c r="H437" s="604"/>
      <c r="I437" s="530"/>
      <c r="J437" s="531"/>
      <c r="K437" s="580"/>
      <c r="L437" s="581"/>
      <c r="M437" s="530"/>
      <c r="N437" s="530"/>
      <c r="O437" s="530"/>
      <c r="P437" s="530"/>
      <c r="Q437" s="530"/>
      <c r="R437" s="530"/>
      <c r="S437" s="530"/>
      <c r="T437" s="530"/>
      <c r="U437" s="530"/>
      <c r="V437" s="530"/>
      <c r="W437" s="530"/>
      <c r="X437" s="530"/>
      <c r="Y437" s="530"/>
      <c r="Z437" s="530"/>
      <c r="AA437" s="530"/>
      <c r="AB437" s="530"/>
      <c r="AC437" s="530"/>
      <c r="AD437" s="530"/>
    </row>
    <row r="438" spans="2:30" s="1" customFormat="1" ht="19.5" customHeight="1" x14ac:dyDescent="0.25">
      <c r="B438" s="661" t="s">
        <v>2068</v>
      </c>
      <c r="C438" s="661" t="s">
        <v>2069</v>
      </c>
      <c r="D438" s="663" t="s">
        <v>2070</v>
      </c>
      <c r="E438" s="767" t="s">
        <v>1842</v>
      </c>
      <c r="F438" s="797"/>
      <c r="G438" s="606"/>
      <c r="H438" s="604"/>
      <c r="I438" s="530"/>
      <c r="J438" s="531"/>
      <c r="K438" s="580"/>
      <c r="L438" s="581"/>
      <c r="M438" s="530"/>
      <c r="N438" s="530"/>
      <c r="O438" s="530"/>
      <c r="P438" s="530"/>
      <c r="Q438" s="530"/>
      <c r="R438" s="530"/>
      <c r="S438" s="530"/>
      <c r="T438" s="530"/>
      <c r="U438" s="530"/>
      <c r="V438" s="530"/>
      <c r="W438" s="530"/>
      <c r="X438" s="530"/>
      <c r="Y438" s="530"/>
      <c r="Z438" s="530"/>
      <c r="AA438" s="530"/>
      <c r="AB438" s="530"/>
      <c r="AC438" s="530"/>
      <c r="AD438" s="530"/>
    </row>
    <row r="439" spans="2:30" s="1" customFormat="1" ht="19.5" customHeight="1" x14ac:dyDescent="0.25">
      <c r="B439" s="661" t="s">
        <v>2071</v>
      </c>
      <c r="C439" s="661" t="s">
        <v>2072</v>
      </c>
      <c r="D439" s="663" t="s">
        <v>2073</v>
      </c>
      <c r="E439" s="767" t="s">
        <v>1842</v>
      </c>
      <c r="F439" s="797"/>
      <c r="G439" s="606"/>
      <c r="H439" s="604"/>
      <c r="I439" s="530"/>
      <c r="J439" s="531"/>
      <c r="K439" s="580"/>
      <c r="L439" s="581"/>
      <c r="M439" s="530"/>
      <c r="N439" s="530"/>
      <c r="O439" s="530"/>
      <c r="P439" s="530"/>
      <c r="Q439" s="530"/>
      <c r="R439" s="530"/>
      <c r="S439" s="530"/>
      <c r="T439" s="530"/>
      <c r="U439" s="530"/>
      <c r="V439" s="530"/>
      <c r="W439" s="530"/>
      <c r="X439" s="530"/>
      <c r="Y439" s="530"/>
      <c r="Z439" s="530"/>
      <c r="AA439" s="530"/>
      <c r="AB439" s="530"/>
      <c r="AC439" s="530"/>
      <c r="AD439" s="530"/>
    </row>
    <row r="440" spans="2:30" s="1" customFormat="1" ht="19.5" customHeight="1" x14ac:dyDescent="0.25">
      <c r="B440" s="661" t="s">
        <v>2074</v>
      </c>
      <c r="C440" s="661" t="s">
        <v>2075</v>
      </c>
      <c r="D440" s="663" t="s">
        <v>2076</v>
      </c>
      <c r="E440" s="767" t="s">
        <v>1842</v>
      </c>
      <c r="F440" s="797"/>
      <c r="G440" s="606"/>
      <c r="H440" s="604"/>
      <c r="I440" s="530"/>
      <c r="J440" s="531"/>
      <c r="K440" s="580"/>
      <c r="L440" s="581"/>
      <c r="M440" s="530"/>
      <c r="N440" s="530"/>
      <c r="O440" s="530"/>
      <c r="P440" s="530"/>
      <c r="Q440" s="530"/>
      <c r="R440" s="530"/>
      <c r="S440" s="530"/>
      <c r="T440" s="530"/>
      <c r="U440" s="530"/>
      <c r="V440" s="530"/>
      <c r="W440" s="530"/>
      <c r="X440" s="530"/>
      <c r="Y440" s="530"/>
      <c r="Z440" s="530"/>
      <c r="AA440" s="530"/>
      <c r="AB440" s="530"/>
      <c r="AC440" s="530"/>
      <c r="AD440" s="530"/>
    </row>
    <row r="441" spans="2:30" s="1" customFormat="1" ht="19.5" customHeight="1" x14ac:dyDescent="0.25">
      <c r="B441" s="661" t="s">
        <v>2077</v>
      </c>
      <c r="C441" s="661" t="s">
        <v>2078</v>
      </c>
      <c r="D441" s="663" t="s">
        <v>2079</v>
      </c>
      <c r="E441" s="767" t="s">
        <v>1842</v>
      </c>
      <c r="F441" s="797"/>
      <c r="G441" s="606"/>
      <c r="H441" s="604"/>
      <c r="I441" s="530"/>
      <c r="J441" s="531"/>
      <c r="K441" s="580"/>
      <c r="L441" s="581"/>
      <c r="M441" s="530"/>
      <c r="N441" s="530"/>
      <c r="O441" s="530"/>
      <c r="P441" s="530"/>
      <c r="Q441" s="530"/>
      <c r="R441" s="530"/>
      <c r="S441" s="530"/>
      <c r="T441" s="530"/>
      <c r="U441" s="530"/>
      <c r="V441" s="530"/>
      <c r="W441" s="530"/>
      <c r="X441" s="530"/>
      <c r="Y441" s="530"/>
      <c r="Z441" s="530"/>
      <c r="AA441" s="530"/>
      <c r="AB441" s="530"/>
      <c r="AC441" s="530"/>
      <c r="AD441" s="530"/>
    </row>
    <row r="442" spans="2:30" s="1" customFormat="1" ht="19.5" customHeight="1" x14ac:dyDescent="0.25">
      <c r="B442" s="661" t="s">
        <v>2080</v>
      </c>
      <c r="C442" s="661" t="s">
        <v>2081</v>
      </c>
      <c r="D442" s="663" t="s">
        <v>2082</v>
      </c>
      <c r="E442" s="767" t="s">
        <v>1842</v>
      </c>
      <c r="F442" s="797"/>
      <c r="G442" s="606"/>
      <c r="H442" s="604"/>
      <c r="I442" s="530"/>
      <c r="J442" s="531"/>
      <c r="K442" s="580"/>
      <c r="L442" s="581"/>
      <c r="M442" s="530"/>
      <c r="N442" s="530"/>
      <c r="O442" s="530"/>
      <c r="P442" s="530"/>
      <c r="Q442" s="530"/>
      <c r="R442" s="530"/>
      <c r="S442" s="530"/>
      <c r="T442" s="530"/>
      <c r="U442" s="530"/>
      <c r="V442" s="530"/>
      <c r="W442" s="530"/>
      <c r="X442" s="530"/>
      <c r="Y442" s="530"/>
      <c r="Z442" s="530"/>
      <c r="AA442" s="530"/>
      <c r="AB442" s="530"/>
      <c r="AC442" s="530"/>
      <c r="AD442" s="530"/>
    </row>
    <row r="443" spans="2:30" s="1" customFormat="1" ht="19.5" customHeight="1" x14ac:dyDescent="0.25">
      <c r="B443" s="661" t="s">
        <v>2083</v>
      </c>
      <c r="C443" s="661" t="s">
        <v>2084</v>
      </c>
      <c r="D443" s="663" t="s">
        <v>2085</v>
      </c>
      <c r="E443" s="767" t="s">
        <v>1842</v>
      </c>
      <c r="F443" s="797"/>
      <c r="G443" s="606"/>
      <c r="H443" s="604"/>
      <c r="I443" s="530"/>
      <c r="J443" s="531"/>
      <c r="K443" s="580"/>
      <c r="L443" s="581"/>
      <c r="M443" s="530"/>
      <c r="N443" s="530"/>
      <c r="O443" s="530"/>
      <c r="P443" s="530"/>
      <c r="Q443" s="530"/>
      <c r="R443" s="530"/>
      <c r="S443" s="530"/>
      <c r="T443" s="530"/>
      <c r="U443" s="530"/>
      <c r="V443" s="530"/>
      <c r="W443" s="530"/>
      <c r="X443" s="530"/>
      <c r="Y443" s="530"/>
      <c r="Z443" s="530"/>
      <c r="AA443" s="530"/>
      <c r="AB443" s="530"/>
      <c r="AC443" s="530"/>
      <c r="AD443" s="530"/>
    </row>
    <row r="444" spans="2:30" s="1" customFormat="1" ht="19.5" customHeight="1" x14ac:dyDescent="0.25">
      <c r="B444" s="661" t="s">
        <v>2086</v>
      </c>
      <c r="C444" s="661" t="s">
        <v>2087</v>
      </c>
      <c r="D444" s="663" t="s">
        <v>2088</v>
      </c>
      <c r="E444" s="767" t="s">
        <v>1842</v>
      </c>
      <c r="F444" s="797"/>
      <c r="G444" s="606"/>
      <c r="H444" s="604"/>
      <c r="I444" s="530"/>
      <c r="J444" s="531"/>
      <c r="K444" s="580"/>
      <c r="L444" s="581"/>
      <c r="M444" s="530"/>
      <c r="N444" s="530"/>
      <c r="O444" s="530"/>
      <c r="P444" s="530"/>
      <c r="Q444" s="530"/>
      <c r="R444" s="530"/>
      <c r="S444" s="530"/>
      <c r="T444" s="530"/>
      <c r="U444" s="530"/>
      <c r="V444" s="530"/>
      <c r="W444" s="530"/>
      <c r="X444" s="530"/>
      <c r="Y444" s="530"/>
      <c r="Z444" s="530"/>
      <c r="AA444" s="530"/>
      <c r="AB444" s="530"/>
      <c r="AC444" s="530"/>
      <c r="AD444" s="530"/>
    </row>
    <row r="445" spans="2:30" s="1" customFormat="1" ht="19.5" customHeight="1" x14ac:dyDescent="0.25">
      <c r="B445" s="661" t="s">
        <v>2089</v>
      </c>
      <c r="C445" s="661" t="s">
        <v>2090</v>
      </c>
      <c r="D445" s="663" t="s">
        <v>2091</v>
      </c>
      <c r="E445" s="767" t="s">
        <v>1842</v>
      </c>
      <c r="F445" s="797"/>
      <c r="G445" s="606"/>
      <c r="H445" s="604"/>
      <c r="I445" s="530"/>
      <c r="J445" s="531"/>
      <c r="K445" s="580"/>
      <c r="L445" s="581"/>
      <c r="M445" s="530"/>
      <c r="N445" s="530"/>
      <c r="O445" s="530"/>
      <c r="P445" s="530"/>
      <c r="Q445" s="530"/>
      <c r="R445" s="530"/>
      <c r="S445" s="530"/>
      <c r="T445" s="530"/>
      <c r="U445" s="530"/>
      <c r="V445" s="530"/>
      <c r="W445" s="530"/>
      <c r="X445" s="530"/>
      <c r="Y445" s="530"/>
      <c r="Z445" s="530"/>
      <c r="AA445" s="530"/>
      <c r="AB445" s="530"/>
      <c r="AC445" s="530"/>
      <c r="AD445" s="530"/>
    </row>
    <row r="446" spans="2:30" s="1" customFormat="1" ht="19.5" customHeight="1" x14ac:dyDescent="0.25">
      <c r="B446" s="661" t="s">
        <v>2092</v>
      </c>
      <c r="C446" s="661" t="s">
        <v>2093</v>
      </c>
      <c r="D446" s="663" t="s">
        <v>2094</v>
      </c>
      <c r="E446" s="767" t="s">
        <v>1842</v>
      </c>
      <c r="F446" s="797"/>
      <c r="G446" s="606"/>
      <c r="H446" s="604"/>
      <c r="I446" s="530"/>
      <c r="J446" s="531"/>
      <c r="K446" s="580"/>
      <c r="L446" s="581"/>
      <c r="M446" s="530"/>
      <c r="N446" s="530"/>
      <c r="O446" s="530"/>
      <c r="P446" s="530"/>
      <c r="Q446" s="530"/>
      <c r="R446" s="530"/>
      <c r="S446" s="530"/>
      <c r="T446" s="530"/>
      <c r="U446" s="530"/>
      <c r="V446" s="530"/>
      <c r="W446" s="530"/>
      <c r="X446" s="530"/>
      <c r="Y446" s="530"/>
      <c r="Z446" s="530"/>
      <c r="AA446" s="530"/>
      <c r="AB446" s="530"/>
      <c r="AC446" s="530"/>
      <c r="AD446" s="530"/>
    </row>
    <row r="447" spans="2:30" s="1" customFormat="1" ht="19.5" customHeight="1" x14ac:dyDescent="0.25">
      <c r="B447" s="661" t="s">
        <v>2095</v>
      </c>
      <c r="C447" s="661" t="s">
        <v>2096</v>
      </c>
      <c r="D447" s="663" t="s">
        <v>2097</v>
      </c>
      <c r="E447" s="767" t="s">
        <v>1842</v>
      </c>
      <c r="F447" s="797"/>
      <c r="G447" s="606"/>
      <c r="H447" s="604"/>
      <c r="I447" s="530"/>
      <c r="J447" s="531"/>
      <c r="K447" s="580"/>
      <c r="L447" s="581"/>
      <c r="M447" s="530"/>
      <c r="N447" s="530"/>
      <c r="O447" s="530"/>
      <c r="P447" s="530"/>
      <c r="Q447" s="530"/>
      <c r="R447" s="530"/>
      <c r="S447" s="530"/>
      <c r="T447" s="530"/>
      <c r="U447" s="530"/>
      <c r="V447" s="530"/>
      <c r="W447" s="530"/>
      <c r="X447" s="530"/>
      <c r="Y447" s="530"/>
      <c r="Z447" s="530"/>
      <c r="AA447" s="530"/>
      <c r="AB447" s="530"/>
      <c r="AC447" s="530"/>
      <c r="AD447" s="530"/>
    </row>
    <row r="448" spans="2:30" s="1" customFormat="1" ht="19.5" customHeight="1" x14ac:dyDescent="0.25">
      <c r="B448" s="661" t="s">
        <v>2098</v>
      </c>
      <c r="C448" s="661" t="s">
        <v>2099</v>
      </c>
      <c r="D448" s="663" t="s">
        <v>2100</v>
      </c>
      <c r="E448" s="767" t="s">
        <v>1842</v>
      </c>
      <c r="F448" s="797"/>
      <c r="G448" s="606"/>
      <c r="H448" s="604"/>
      <c r="I448" s="530"/>
      <c r="J448" s="531"/>
      <c r="K448" s="580"/>
      <c r="L448" s="581"/>
      <c r="M448" s="530"/>
      <c r="N448" s="530"/>
      <c r="O448" s="530"/>
      <c r="P448" s="530"/>
      <c r="Q448" s="530"/>
      <c r="R448" s="530"/>
      <c r="S448" s="530"/>
      <c r="T448" s="530"/>
      <c r="U448" s="530"/>
      <c r="V448" s="530"/>
      <c r="W448" s="530"/>
      <c r="X448" s="530"/>
      <c r="Y448" s="530"/>
      <c r="Z448" s="530"/>
      <c r="AA448" s="530"/>
      <c r="AB448" s="530"/>
      <c r="AC448" s="530"/>
      <c r="AD448" s="530"/>
    </row>
    <row r="449" spans="2:30" s="1" customFormat="1" ht="19.5" customHeight="1" x14ac:dyDescent="0.25">
      <c r="B449" s="661" t="s">
        <v>2101</v>
      </c>
      <c r="C449" s="661" t="s">
        <v>2102</v>
      </c>
      <c r="D449" s="663" t="s">
        <v>2103</v>
      </c>
      <c r="E449" s="767" t="s">
        <v>1842</v>
      </c>
      <c r="F449" s="797"/>
      <c r="G449" s="606"/>
      <c r="H449" s="604"/>
      <c r="I449" s="530"/>
      <c r="J449" s="531"/>
      <c r="K449" s="580"/>
      <c r="L449" s="581"/>
      <c r="M449" s="530"/>
      <c r="N449" s="530"/>
      <c r="O449" s="530"/>
      <c r="P449" s="530"/>
      <c r="Q449" s="530"/>
      <c r="R449" s="530"/>
      <c r="S449" s="530"/>
      <c r="T449" s="530"/>
      <c r="U449" s="530"/>
      <c r="V449" s="530"/>
      <c r="W449" s="530"/>
      <c r="X449" s="530"/>
      <c r="Y449" s="530"/>
      <c r="Z449" s="530"/>
      <c r="AA449" s="530"/>
      <c r="AB449" s="530"/>
      <c r="AC449" s="530"/>
      <c r="AD449" s="530"/>
    </row>
    <row r="450" spans="2:30" s="1" customFormat="1" ht="19.5" customHeight="1" x14ac:dyDescent="0.25">
      <c r="B450" s="661" t="s">
        <v>2104</v>
      </c>
      <c r="C450" s="661" t="s">
        <v>2105</v>
      </c>
      <c r="D450" s="663" t="s">
        <v>2106</v>
      </c>
      <c r="E450" s="767" t="s">
        <v>1842</v>
      </c>
      <c r="F450" s="797"/>
      <c r="G450" s="606"/>
      <c r="H450" s="604"/>
      <c r="I450" s="530"/>
      <c r="J450" s="531"/>
      <c r="K450" s="580"/>
      <c r="L450" s="581"/>
      <c r="M450" s="530"/>
      <c r="N450" s="530"/>
      <c r="O450" s="530"/>
      <c r="P450" s="530"/>
      <c r="Q450" s="530"/>
      <c r="R450" s="530"/>
      <c r="S450" s="530"/>
      <c r="T450" s="530"/>
      <c r="U450" s="530"/>
      <c r="V450" s="530"/>
      <c r="W450" s="530"/>
      <c r="X450" s="530"/>
      <c r="Y450" s="530"/>
      <c r="Z450" s="530"/>
      <c r="AA450" s="530"/>
      <c r="AB450" s="530"/>
      <c r="AC450" s="530"/>
      <c r="AD450" s="530"/>
    </row>
    <row r="451" spans="2:30" s="1" customFormat="1" ht="19.5" customHeight="1" x14ac:dyDescent="0.25">
      <c r="B451" s="661" t="s">
        <v>2107</v>
      </c>
      <c r="C451" s="661" t="s">
        <v>2108</v>
      </c>
      <c r="D451" s="663" t="s">
        <v>2109</v>
      </c>
      <c r="E451" s="767" t="s">
        <v>1842</v>
      </c>
      <c r="F451" s="797"/>
      <c r="G451" s="606"/>
      <c r="H451" s="604"/>
      <c r="I451" s="530"/>
      <c r="J451" s="531"/>
      <c r="K451" s="580"/>
      <c r="L451" s="581"/>
      <c r="M451" s="530"/>
      <c r="N451" s="530"/>
      <c r="O451" s="530"/>
      <c r="P451" s="530"/>
      <c r="Q451" s="530"/>
      <c r="R451" s="530"/>
      <c r="S451" s="530"/>
      <c r="T451" s="530"/>
      <c r="U451" s="530"/>
      <c r="V451" s="530"/>
      <c r="W451" s="530"/>
      <c r="X451" s="530"/>
      <c r="Y451" s="530"/>
      <c r="Z451" s="530"/>
      <c r="AA451" s="530"/>
      <c r="AB451" s="530"/>
      <c r="AC451" s="530"/>
      <c r="AD451" s="530"/>
    </row>
    <row r="452" spans="2:30" s="1" customFormat="1" ht="19.5" customHeight="1" x14ac:dyDescent="0.25">
      <c r="B452" s="661" t="s">
        <v>2110</v>
      </c>
      <c r="C452" s="661" t="s">
        <v>2111</v>
      </c>
      <c r="D452" s="663" t="s">
        <v>2112</v>
      </c>
      <c r="E452" s="767" t="s">
        <v>1842</v>
      </c>
      <c r="F452" s="797"/>
      <c r="G452" s="606"/>
      <c r="H452" s="604"/>
      <c r="I452" s="530"/>
      <c r="J452" s="531"/>
      <c r="K452" s="580"/>
      <c r="L452" s="581"/>
      <c r="M452" s="530"/>
      <c r="N452" s="530"/>
      <c r="O452" s="530"/>
      <c r="P452" s="530"/>
      <c r="Q452" s="530"/>
      <c r="R452" s="530"/>
      <c r="S452" s="530"/>
      <c r="T452" s="530"/>
      <c r="U452" s="530"/>
      <c r="V452" s="530"/>
      <c r="W452" s="530"/>
      <c r="X452" s="530"/>
      <c r="Y452" s="530"/>
      <c r="Z452" s="530"/>
      <c r="AA452" s="530"/>
      <c r="AB452" s="530"/>
      <c r="AC452" s="530"/>
      <c r="AD452" s="530"/>
    </row>
    <row r="453" spans="2:30" s="1" customFormat="1" ht="19.5" customHeight="1" x14ac:dyDescent="0.25">
      <c r="B453" s="661" t="s">
        <v>2113</v>
      </c>
      <c r="C453" s="661" t="s">
        <v>2114</v>
      </c>
      <c r="D453" s="663" t="s">
        <v>2115</v>
      </c>
      <c r="E453" s="767" t="s">
        <v>1842</v>
      </c>
      <c r="F453" s="797"/>
      <c r="G453" s="606"/>
      <c r="H453" s="604"/>
      <c r="I453" s="530"/>
      <c r="J453" s="531"/>
      <c r="K453" s="580"/>
      <c r="L453" s="581"/>
      <c r="M453" s="530"/>
      <c r="N453" s="530"/>
      <c r="O453" s="530"/>
      <c r="P453" s="530"/>
      <c r="Q453" s="530"/>
      <c r="R453" s="530"/>
      <c r="S453" s="530"/>
      <c r="T453" s="530"/>
      <c r="U453" s="530"/>
      <c r="V453" s="530"/>
      <c r="W453" s="530"/>
      <c r="X453" s="530"/>
      <c r="Y453" s="530"/>
      <c r="Z453" s="530"/>
      <c r="AA453" s="530"/>
      <c r="AB453" s="530"/>
      <c r="AC453" s="530"/>
      <c r="AD453" s="530"/>
    </row>
    <row r="454" spans="2:30" s="1" customFormat="1" ht="19.5" customHeight="1" x14ac:dyDescent="0.25">
      <c r="B454" s="661" t="s">
        <v>2116</v>
      </c>
      <c r="C454" s="661" t="s">
        <v>2117</v>
      </c>
      <c r="D454" s="663" t="s">
        <v>2118</v>
      </c>
      <c r="E454" s="767" t="s">
        <v>1842</v>
      </c>
      <c r="F454" s="797"/>
      <c r="G454" s="606"/>
      <c r="H454" s="604"/>
      <c r="I454" s="530"/>
      <c r="J454" s="531"/>
      <c r="K454" s="580"/>
      <c r="L454" s="581"/>
      <c r="M454" s="530"/>
      <c r="N454" s="530"/>
      <c r="O454" s="530"/>
      <c r="P454" s="530"/>
      <c r="Q454" s="530"/>
      <c r="R454" s="530"/>
      <c r="S454" s="530"/>
      <c r="T454" s="530"/>
      <c r="U454" s="530"/>
      <c r="V454" s="530"/>
      <c r="W454" s="530"/>
      <c r="X454" s="530"/>
      <c r="Y454" s="530"/>
      <c r="Z454" s="530"/>
      <c r="AA454" s="530"/>
      <c r="AB454" s="530"/>
      <c r="AC454" s="530"/>
      <c r="AD454" s="530"/>
    </row>
    <row r="455" spans="2:30" s="1" customFormat="1" ht="19.5" customHeight="1" x14ac:dyDescent="0.25">
      <c r="B455" s="661" t="s">
        <v>2119</v>
      </c>
      <c r="C455" s="661" t="s">
        <v>2120</v>
      </c>
      <c r="D455" s="663" t="s">
        <v>2121</v>
      </c>
      <c r="E455" s="773" t="s">
        <v>323</v>
      </c>
      <c r="F455" s="803"/>
      <c r="G455" s="606"/>
      <c r="H455" s="604"/>
      <c r="I455" s="530"/>
      <c r="J455" s="531"/>
      <c r="K455" s="580"/>
      <c r="L455" s="581"/>
      <c r="M455" s="530"/>
      <c r="N455" s="530"/>
      <c r="O455" s="530"/>
      <c r="P455" s="530"/>
      <c r="Q455" s="530"/>
      <c r="R455" s="530"/>
      <c r="S455" s="530"/>
      <c r="T455" s="530"/>
      <c r="U455" s="530"/>
      <c r="V455" s="530"/>
      <c r="W455" s="530"/>
      <c r="X455" s="530"/>
      <c r="Y455" s="530"/>
      <c r="Z455" s="530"/>
      <c r="AA455" s="530"/>
      <c r="AB455" s="530"/>
      <c r="AC455" s="530"/>
      <c r="AD455" s="530"/>
    </row>
    <row r="456" spans="2:30" s="1" customFormat="1" ht="19.5" customHeight="1" x14ac:dyDescent="0.25">
      <c r="B456" s="661" t="s">
        <v>2122</v>
      </c>
      <c r="C456" s="661" t="s">
        <v>2123</v>
      </c>
      <c r="D456" s="663" t="s">
        <v>2124</v>
      </c>
      <c r="E456" s="766" t="s">
        <v>1624</v>
      </c>
      <c r="F456" s="796"/>
      <c r="G456" s="606"/>
      <c r="H456" s="604"/>
      <c r="I456" s="530"/>
      <c r="J456" s="531"/>
      <c r="K456" s="580"/>
      <c r="L456" s="581"/>
      <c r="M456" s="530"/>
      <c r="N456" s="530"/>
      <c r="O456" s="530"/>
      <c r="P456" s="530"/>
      <c r="Q456" s="530"/>
      <c r="R456" s="530"/>
      <c r="S456" s="530"/>
      <c r="T456" s="530"/>
      <c r="U456" s="530"/>
      <c r="V456" s="530"/>
      <c r="W456" s="530"/>
      <c r="X456" s="530"/>
      <c r="Y456" s="530"/>
      <c r="Z456" s="530"/>
      <c r="AA456" s="530"/>
      <c r="AB456" s="530"/>
      <c r="AC456" s="530"/>
      <c r="AD456" s="530"/>
    </row>
    <row r="457" spans="2:30" s="1" customFormat="1" ht="19.5" customHeight="1" x14ac:dyDescent="0.25">
      <c r="B457" s="661" t="s">
        <v>2125</v>
      </c>
      <c r="C457" s="661" t="s">
        <v>2126</v>
      </c>
      <c r="D457" s="663" t="s">
        <v>2127</v>
      </c>
      <c r="E457" s="756" t="s">
        <v>402</v>
      </c>
      <c r="F457" s="795"/>
      <c r="G457" s="606"/>
      <c r="H457" s="604"/>
      <c r="I457" s="530"/>
      <c r="J457" s="531"/>
      <c r="K457" s="580"/>
      <c r="L457" s="581"/>
      <c r="M457" s="530"/>
      <c r="N457" s="530"/>
      <c r="O457" s="530"/>
      <c r="P457" s="530"/>
      <c r="Q457" s="530"/>
      <c r="R457" s="530"/>
      <c r="S457" s="530"/>
      <c r="T457" s="530"/>
      <c r="U457" s="530"/>
      <c r="V457" s="530"/>
      <c r="W457" s="530"/>
      <c r="X457" s="530"/>
      <c r="Y457" s="530"/>
      <c r="Z457" s="530"/>
      <c r="AA457" s="530"/>
      <c r="AB457" s="530"/>
      <c r="AC457" s="530"/>
      <c r="AD457" s="530"/>
    </row>
    <row r="458" spans="2:30" s="1" customFormat="1" ht="19.5" customHeight="1" x14ac:dyDescent="0.25">
      <c r="B458" s="661" t="s">
        <v>2128</v>
      </c>
      <c r="C458" s="661" t="s">
        <v>2129</v>
      </c>
      <c r="D458" s="663" t="s">
        <v>2130</v>
      </c>
      <c r="E458" s="756" t="s">
        <v>402</v>
      </c>
      <c r="F458" s="795"/>
      <c r="G458" s="606"/>
      <c r="H458" s="604"/>
      <c r="I458" s="530"/>
      <c r="J458" s="531"/>
      <c r="K458" s="580"/>
      <c r="L458" s="581"/>
      <c r="M458" s="530"/>
      <c r="N458" s="530"/>
      <c r="O458" s="530"/>
      <c r="P458" s="530"/>
      <c r="Q458" s="530"/>
      <c r="R458" s="530"/>
      <c r="S458" s="530"/>
      <c r="T458" s="530"/>
      <c r="U458" s="530"/>
      <c r="V458" s="530"/>
      <c r="W458" s="530"/>
      <c r="X458" s="530"/>
      <c r="Y458" s="530"/>
      <c r="Z458" s="530"/>
      <c r="AA458" s="530"/>
      <c r="AB458" s="530"/>
      <c r="AC458" s="530"/>
      <c r="AD458" s="530"/>
    </row>
    <row r="459" spans="2:30" s="1" customFormat="1" ht="19.5" customHeight="1" x14ac:dyDescent="0.25">
      <c r="B459" s="661" t="s">
        <v>2131</v>
      </c>
      <c r="C459" s="661" t="s">
        <v>2132</v>
      </c>
      <c r="D459" s="663" t="s">
        <v>1881</v>
      </c>
      <c r="E459" s="768" t="s">
        <v>321</v>
      </c>
      <c r="F459" s="798"/>
      <c r="G459" s="606"/>
      <c r="H459" s="604"/>
      <c r="I459" s="530"/>
      <c r="J459" s="531"/>
      <c r="K459" s="580"/>
      <c r="L459" s="581"/>
      <c r="M459" s="530"/>
      <c r="N459" s="530"/>
      <c r="O459" s="530"/>
      <c r="P459" s="530"/>
      <c r="Q459" s="530"/>
      <c r="R459" s="530"/>
      <c r="S459" s="530"/>
      <c r="T459" s="530"/>
      <c r="U459" s="530"/>
      <c r="V459" s="530"/>
      <c r="W459" s="530"/>
      <c r="X459" s="530"/>
      <c r="Y459" s="530"/>
      <c r="Z459" s="530"/>
      <c r="AA459" s="530"/>
      <c r="AB459" s="530"/>
      <c r="AC459" s="530"/>
      <c r="AD459" s="530"/>
    </row>
    <row r="460" spans="2:30" s="1" customFormat="1" ht="19.5" customHeight="1" x14ac:dyDescent="0.25">
      <c r="B460" s="661" t="s">
        <v>2133</v>
      </c>
      <c r="C460" s="661" t="s">
        <v>2134</v>
      </c>
      <c r="D460" s="663" t="s">
        <v>2135</v>
      </c>
      <c r="E460" s="767" t="s">
        <v>1842</v>
      </c>
      <c r="F460" s="797"/>
      <c r="G460" s="606"/>
      <c r="H460" s="604"/>
      <c r="I460" s="530"/>
      <c r="J460" s="531"/>
      <c r="K460" s="580"/>
      <c r="L460" s="581"/>
      <c r="M460" s="530"/>
      <c r="N460" s="530"/>
      <c r="O460" s="530"/>
      <c r="P460" s="530"/>
      <c r="Q460" s="530"/>
      <c r="R460" s="530"/>
      <c r="S460" s="530"/>
      <c r="T460" s="530"/>
      <c r="U460" s="530"/>
      <c r="V460" s="530"/>
      <c r="W460" s="530"/>
      <c r="X460" s="530"/>
      <c r="Y460" s="530"/>
      <c r="Z460" s="530"/>
      <c r="AA460" s="530"/>
      <c r="AB460" s="530"/>
      <c r="AC460" s="530"/>
      <c r="AD460" s="530"/>
    </row>
    <row r="461" spans="2:30" s="1" customFormat="1" ht="19.5" customHeight="1" x14ac:dyDescent="0.25">
      <c r="B461" s="661" t="s">
        <v>2136</v>
      </c>
      <c r="C461" s="661" t="s">
        <v>2137</v>
      </c>
      <c r="D461" s="663" t="s">
        <v>2138</v>
      </c>
      <c r="E461" s="767" t="s">
        <v>1842</v>
      </c>
      <c r="F461" s="797"/>
      <c r="G461" s="606"/>
      <c r="H461" s="604"/>
      <c r="I461" s="530"/>
      <c r="J461" s="531"/>
      <c r="K461" s="580"/>
      <c r="L461" s="581"/>
      <c r="M461" s="530"/>
      <c r="N461" s="530"/>
      <c r="O461" s="530"/>
      <c r="P461" s="530"/>
      <c r="Q461" s="530"/>
      <c r="R461" s="530"/>
      <c r="S461" s="530"/>
      <c r="T461" s="530"/>
      <c r="U461" s="530"/>
      <c r="V461" s="530"/>
      <c r="W461" s="530"/>
      <c r="X461" s="530"/>
      <c r="Y461" s="530"/>
      <c r="Z461" s="530"/>
      <c r="AA461" s="530"/>
      <c r="AB461" s="530"/>
      <c r="AC461" s="530"/>
      <c r="AD461" s="530"/>
    </row>
    <row r="462" spans="2:30" s="1" customFormat="1" ht="19.5" customHeight="1" x14ac:dyDescent="0.25">
      <c r="B462" s="661" t="s">
        <v>2139</v>
      </c>
      <c r="C462" s="661" t="s">
        <v>2140</v>
      </c>
      <c r="D462" s="663" t="s">
        <v>2141</v>
      </c>
      <c r="E462" s="767" t="s">
        <v>1842</v>
      </c>
      <c r="F462" s="797"/>
      <c r="G462" s="606"/>
      <c r="H462" s="604"/>
      <c r="I462" s="530"/>
      <c r="J462" s="531"/>
      <c r="K462" s="580"/>
      <c r="L462" s="581"/>
      <c r="M462" s="530"/>
      <c r="N462" s="530"/>
      <c r="O462" s="530"/>
      <c r="P462" s="530"/>
      <c r="Q462" s="530"/>
      <c r="R462" s="530"/>
      <c r="S462" s="530"/>
      <c r="T462" s="530"/>
      <c r="U462" s="530"/>
      <c r="V462" s="530"/>
      <c r="W462" s="530"/>
      <c r="X462" s="530"/>
      <c r="Y462" s="530"/>
      <c r="Z462" s="530"/>
      <c r="AA462" s="530"/>
      <c r="AB462" s="530"/>
      <c r="AC462" s="530"/>
      <c r="AD462" s="530"/>
    </row>
    <row r="463" spans="2:30" s="1" customFormat="1" ht="19.5" customHeight="1" x14ac:dyDescent="0.25">
      <c r="B463" s="661" t="s">
        <v>2142</v>
      </c>
      <c r="C463" s="661" t="s">
        <v>2143</v>
      </c>
      <c r="D463" s="663" t="s">
        <v>2144</v>
      </c>
      <c r="E463" s="756" t="s">
        <v>402</v>
      </c>
      <c r="F463" s="795"/>
      <c r="G463" s="606"/>
      <c r="H463" s="604"/>
      <c r="I463" s="530"/>
      <c r="J463" s="531"/>
      <c r="K463" s="580"/>
      <c r="L463" s="581"/>
      <c r="M463" s="530"/>
      <c r="N463" s="530"/>
      <c r="O463" s="530"/>
      <c r="P463" s="530"/>
      <c r="Q463" s="530"/>
      <c r="R463" s="530"/>
      <c r="S463" s="530"/>
      <c r="T463" s="530"/>
      <c r="U463" s="530"/>
      <c r="V463" s="530"/>
      <c r="W463" s="530"/>
      <c r="X463" s="530"/>
      <c r="Y463" s="530"/>
      <c r="Z463" s="530"/>
      <c r="AA463" s="530"/>
      <c r="AB463" s="530"/>
      <c r="AC463" s="530"/>
      <c r="AD463" s="530"/>
    </row>
    <row r="464" spans="2:30" s="1" customFormat="1" ht="19.5" customHeight="1" x14ac:dyDescent="0.25">
      <c r="B464" s="661" t="s">
        <v>2145</v>
      </c>
      <c r="C464" s="661" t="s">
        <v>2146</v>
      </c>
      <c r="D464" s="663" t="s">
        <v>2147</v>
      </c>
      <c r="E464" s="767" t="s">
        <v>1842</v>
      </c>
      <c r="F464" s="797"/>
      <c r="G464" s="606"/>
      <c r="H464" s="604"/>
      <c r="I464" s="530"/>
      <c r="J464" s="531"/>
      <c r="K464" s="580"/>
      <c r="L464" s="581"/>
      <c r="M464" s="530"/>
      <c r="N464" s="530"/>
      <c r="O464" s="530"/>
      <c r="P464" s="530"/>
      <c r="Q464" s="530"/>
      <c r="R464" s="530"/>
      <c r="S464" s="530"/>
      <c r="T464" s="530"/>
      <c r="U464" s="530"/>
      <c r="V464" s="530"/>
      <c r="W464" s="530"/>
      <c r="X464" s="530"/>
      <c r="Y464" s="530"/>
      <c r="Z464" s="530"/>
      <c r="AA464" s="530"/>
      <c r="AB464" s="530"/>
      <c r="AC464" s="530"/>
      <c r="AD464" s="530"/>
    </row>
    <row r="465" spans="2:30" s="1" customFormat="1" ht="19.5" customHeight="1" x14ac:dyDescent="0.25">
      <c r="B465" s="661" t="s">
        <v>2148</v>
      </c>
      <c r="C465" s="661" t="s">
        <v>2149</v>
      </c>
      <c r="D465" s="663" t="s">
        <v>2150</v>
      </c>
      <c r="E465" s="756" t="s">
        <v>402</v>
      </c>
      <c r="F465" s="795"/>
      <c r="G465" s="606"/>
      <c r="H465" s="604"/>
      <c r="I465" s="530"/>
      <c r="J465" s="531"/>
      <c r="K465" s="580"/>
      <c r="L465" s="581"/>
      <c r="M465" s="530"/>
      <c r="N465" s="530"/>
      <c r="O465" s="530"/>
      <c r="P465" s="530"/>
      <c r="Q465" s="530"/>
      <c r="R465" s="530"/>
      <c r="S465" s="530"/>
      <c r="T465" s="530"/>
      <c r="U465" s="530"/>
      <c r="V465" s="530"/>
      <c r="W465" s="530"/>
      <c r="X465" s="530"/>
      <c r="Y465" s="530"/>
      <c r="Z465" s="530"/>
      <c r="AA465" s="530"/>
      <c r="AB465" s="530"/>
      <c r="AC465" s="530"/>
      <c r="AD465" s="530"/>
    </row>
    <row r="466" spans="2:30" s="1" customFormat="1" ht="19.5" customHeight="1" x14ac:dyDescent="0.25">
      <c r="B466" s="661" t="s">
        <v>2151</v>
      </c>
      <c r="C466" s="661" t="s">
        <v>2152</v>
      </c>
      <c r="D466" s="663" t="s">
        <v>2153</v>
      </c>
      <c r="E466" s="756" t="s">
        <v>402</v>
      </c>
      <c r="F466" s="795"/>
      <c r="G466" s="606"/>
      <c r="H466" s="604"/>
      <c r="I466" s="530"/>
      <c r="J466" s="531"/>
      <c r="K466" s="580"/>
      <c r="L466" s="581"/>
      <c r="M466" s="530"/>
      <c r="N466" s="530"/>
      <c r="O466" s="530"/>
      <c r="P466" s="530"/>
      <c r="Q466" s="530"/>
      <c r="R466" s="530"/>
      <c r="S466" s="530"/>
      <c r="T466" s="530"/>
      <c r="U466" s="530"/>
      <c r="V466" s="530"/>
      <c r="W466" s="530"/>
      <c r="X466" s="530"/>
      <c r="Y466" s="530"/>
      <c r="Z466" s="530"/>
      <c r="AA466" s="530"/>
      <c r="AB466" s="530"/>
      <c r="AC466" s="530"/>
      <c r="AD466" s="530"/>
    </row>
    <row r="467" spans="2:30" s="1" customFormat="1" ht="19.5" customHeight="1" x14ac:dyDescent="0.25">
      <c r="B467" s="661" t="s">
        <v>2154</v>
      </c>
      <c r="C467" s="661" t="s">
        <v>2155</v>
      </c>
      <c r="D467" s="663" t="s">
        <v>2156</v>
      </c>
      <c r="E467" s="766" t="s">
        <v>1624</v>
      </c>
      <c r="F467" s="796"/>
      <c r="G467" s="606"/>
      <c r="H467" s="604"/>
      <c r="I467" s="530"/>
      <c r="J467" s="531"/>
      <c r="K467" s="580"/>
      <c r="L467" s="581"/>
      <c r="M467" s="530"/>
      <c r="N467" s="530"/>
      <c r="O467" s="530"/>
      <c r="P467" s="530"/>
      <c r="Q467" s="530"/>
      <c r="R467" s="530"/>
      <c r="S467" s="530"/>
      <c r="T467" s="530"/>
      <c r="U467" s="530"/>
      <c r="V467" s="530"/>
      <c r="W467" s="530"/>
      <c r="X467" s="530"/>
      <c r="Y467" s="530"/>
      <c r="Z467" s="530"/>
      <c r="AA467" s="530"/>
      <c r="AB467" s="530"/>
      <c r="AC467" s="530"/>
      <c r="AD467" s="530"/>
    </row>
    <row r="468" spans="2:30" s="1" customFormat="1" ht="19.5" customHeight="1" x14ac:dyDescent="0.25">
      <c r="B468" s="661" t="s">
        <v>2157</v>
      </c>
      <c r="C468" s="661" t="s">
        <v>2158</v>
      </c>
      <c r="D468" s="663" t="s">
        <v>2159</v>
      </c>
      <c r="E468" s="767" t="s">
        <v>1842</v>
      </c>
      <c r="F468" s="797"/>
      <c r="G468" s="606"/>
      <c r="H468" s="604"/>
      <c r="I468" s="530"/>
      <c r="J468" s="531"/>
      <c r="K468" s="580"/>
      <c r="L468" s="581"/>
      <c r="M468" s="530"/>
      <c r="N468" s="530"/>
      <c r="O468" s="530"/>
      <c r="P468" s="530"/>
      <c r="Q468" s="530"/>
      <c r="R468" s="530"/>
      <c r="S468" s="530"/>
      <c r="T468" s="530"/>
      <c r="U468" s="530"/>
      <c r="V468" s="530"/>
      <c r="W468" s="530"/>
      <c r="X468" s="530"/>
      <c r="Y468" s="530"/>
      <c r="Z468" s="530"/>
      <c r="AA468" s="530"/>
      <c r="AB468" s="530"/>
      <c r="AC468" s="530"/>
      <c r="AD468" s="530"/>
    </row>
    <row r="469" spans="2:30" s="1" customFormat="1" ht="19.5" customHeight="1" x14ac:dyDescent="0.25">
      <c r="B469" s="661" t="s">
        <v>2160</v>
      </c>
      <c r="C469" s="661" t="s">
        <v>2161</v>
      </c>
      <c r="D469" s="663" t="s">
        <v>2162</v>
      </c>
      <c r="E469" s="771" t="s">
        <v>382</v>
      </c>
      <c r="F469" s="801"/>
      <c r="G469" s="606"/>
      <c r="H469" s="604"/>
      <c r="I469" s="530"/>
      <c r="J469" s="531"/>
      <c r="K469" s="580"/>
      <c r="L469" s="581"/>
      <c r="M469" s="530"/>
      <c r="N469" s="530"/>
      <c r="O469" s="530"/>
      <c r="P469" s="530"/>
      <c r="Q469" s="530"/>
      <c r="R469" s="530"/>
      <c r="S469" s="530"/>
      <c r="T469" s="530"/>
      <c r="U469" s="530"/>
      <c r="V469" s="530"/>
      <c r="W469" s="530"/>
      <c r="X469" s="530"/>
      <c r="Y469" s="530"/>
      <c r="Z469" s="530"/>
      <c r="AA469" s="530"/>
      <c r="AB469" s="530"/>
      <c r="AC469" s="530"/>
      <c r="AD469" s="530"/>
    </row>
    <row r="470" spans="2:30" s="1" customFormat="1" ht="19.5" customHeight="1" x14ac:dyDescent="0.25">
      <c r="B470" s="661" t="s">
        <v>2163</v>
      </c>
      <c r="C470" s="661" t="s">
        <v>2164</v>
      </c>
      <c r="D470" s="663" t="s">
        <v>2165</v>
      </c>
      <c r="E470" s="767" t="s">
        <v>1842</v>
      </c>
      <c r="F470" s="797"/>
      <c r="G470" s="606"/>
      <c r="H470" s="604"/>
      <c r="I470" s="530"/>
      <c r="J470" s="531"/>
      <c r="K470" s="580"/>
      <c r="L470" s="581"/>
      <c r="M470" s="530"/>
      <c r="N470" s="530"/>
      <c r="O470" s="530"/>
      <c r="P470" s="530"/>
      <c r="Q470" s="530"/>
      <c r="R470" s="530"/>
      <c r="S470" s="530"/>
      <c r="T470" s="530"/>
      <c r="U470" s="530"/>
      <c r="V470" s="530"/>
      <c r="W470" s="530"/>
      <c r="X470" s="530"/>
      <c r="Y470" s="530"/>
      <c r="Z470" s="530"/>
      <c r="AA470" s="530"/>
      <c r="AB470" s="530"/>
      <c r="AC470" s="530"/>
      <c r="AD470" s="530"/>
    </row>
    <row r="471" spans="2:30" s="1" customFormat="1" ht="19.5" customHeight="1" x14ac:dyDescent="0.25">
      <c r="B471" s="661" t="s">
        <v>2166</v>
      </c>
      <c r="C471" s="661" t="s">
        <v>2167</v>
      </c>
      <c r="D471" s="663" t="s">
        <v>2168</v>
      </c>
      <c r="E471" s="756" t="s">
        <v>402</v>
      </c>
      <c r="F471" s="795"/>
      <c r="G471" s="606"/>
      <c r="H471" s="604"/>
      <c r="I471" s="530"/>
      <c r="J471" s="531"/>
      <c r="K471" s="580"/>
      <c r="L471" s="581"/>
      <c r="M471" s="530"/>
      <c r="N471" s="530"/>
      <c r="O471" s="530"/>
      <c r="P471" s="530"/>
      <c r="Q471" s="530"/>
      <c r="R471" s="530"/>
      <c r="S471" s="530"/>
      <c r="T471" s="530"/>
      <c r="U471" s="530"/>
      <c r="V471" s="530"/>
      <c r="W471" s="530"/>
      <c r="X471" s="530"/>
      <c r="Y471" s="530"/>
      <c r="Z471" s="530"/>
      <c r="AA471" s="530"/>
      <c r="AB471" s="530"/>
      <c r="AC471" s="530"/>
      <c r="AD471" s="530"/>
    </row>
    <row r="472" spans="2:30" s="1" customFormat="1" ht="19.5" customHeight="1" x14ac:dyDescent="0.25">
      <c r="B472" s="661" t="s">
        <v>2169</v>
      </c>
      <c r="C472" s="661" t="s">
        <v>2170</v>
      </c>
      <c r="D472" s="663" t="s">
        <v>2171</v>
      </c>
      <c r="E472" s="756" t="s">
        <v>402</v>
      </c>
      <c r="F472" s="795"/>
      <c r="G472" s="606"/>
      <c r="H472" s="604"/>
      <c r="I472" s="530"/>
      <c r="J472" s="531"/>
      <c r="K472" s="580"/>
      <c r="L472" s="581"/>
      <c r="M472" s="530"/>
      <c r="N472" s="530"/>
      <c r="O472" s="530"/>
      <c r="P472" s="530"/>
      <c r="Q472" s="530"/>
      <c r="R472" s="530"/>
      <c r="S472" s="530"/>
      <c r="T472" s="530"/>
      <c r="U472" s="530"/>
      <c r="V472" s="530"/>
      <c r="W472" s="530"/>
      <c r="X472" s="530"/>
      <c r="Y472" s="530"/>
      <c r="Z472" s="530"/>
      <c r="AA472" s="530"/>
      <c r="AB472" s="530"/>
      <c r="AC472" s="530"/>
      <c r="AD472" s="530"/>
    </row>
    <row r="473" spans="2:30" s="1" customFormat="1" ht="19.5" customHeight="1" x14ac:dyDescent="0.25">
      <c r="B473" s="661" t="s">
        <v>2172</v>
      </c>
      <c r="C473" s="661" t="s">
        <v>2173</v>
      </c>
      <c r="D473" s="663" t="s">
        <v>2174</v>
      </c>
      <c r="E473" s="770" t="s">
        <v>380</v>
      </c>
      <c r="F473" s="800"/>
      <c r="G473" s="606"/>
      <c r="H473" s="604"/>
      <c r="I473" s="530"/>
      <c r="J473" s="531"/>
      <c r="K473" s="580"/>
      <c r="L473" s="581"/>
      <c r="M473" s="530"/>
      <c r="N473" s="530"/>
      <c r="O473" s="530"/>
      <c r="P473" s="530"/>
      <c r="Q473" s="530"/>
      <c r="R473" s="530"/>
      <c r="S473" s="530"/>
      <c r="T473" s="530"/>
      <c r="U473" s="530"/>
      <c r="V473" s="530"/>
      <c r="W473" s="530"/>
      <c r="X473" s="530"/>
      <c r="Y473" s="530"/>
      <c r="Z473" s="530"/>
      <c r="AA473" s="530"/>
      <c r="AB473" s="530"/>
      <c r="AC473" s="530"/>
      <c r="AD473" s="530"/>
    </row>
    <row r="474" spans="2:30" s="1" customFormat="1" ht="19.5" customHeight="1" x14ac:dyDescent="0.25">
      <c r="B474" s="661" t="s">
        <v>2175</v>
      </c>
      <c r="C474" s="661" t="s">
        <v>2176</v>
      </c>
      <c r="D474" s="663" t="s">
        <v>2177</v>
      </c>
      <c r="E474" s="767" t="s">
        <v>1842</v>
      </c>
      <c r="F474" s="797"/>
      <c r="G474" s="606"/>
      <c r="H474" s="604"/>
      <c r="I474" s="530"/>
      <c r="J474" s="531"/>
      <c r="K474" s="580"/>
      <c r="L474" s="581"/>
      <c r="M474" s="530"/>
      <c r="N474" s="530"/>
      <c r="O474" s="530"/>
      <c r="P474" s="530"/>
      <c r="Q474" s="530"/>
      <c r="R474" s="530"/>
      <c r="S474" s="530"/>
      <c r="T474" s="530"/>
      <c r="U474" s="530"/>
      <c r="V474" s="530"/>
      <c r="W474" s="530"/>
      <c r="X474" s="530"/>
      <c r="Y474" s="530"/>
      <c r="Z474" s="530"/>
      <c r="AA474" s="530"/>
      <c r="AB474" s="530"/>
      <c r="AC474" s="530"/>
      <c r="AD474" s="530"/>
    </row>
    <row r="475" spans="2:30" s="1" customFormat="1" ht="19.5" customHeight="1" x14ac:dyDescent="0.25">
      <c r="B475" s="661" t="s">
        <v>2178</v>
      </c>
      <c r="C475" s="661" t="s">
        <v>2179</v>
      </c>
      <c r="D475" s="663" t="s">
        <v>2180</v>
      </c>
      <c r="E475" s="756" t="s">
        <v>402</v>
      </c>
      <c r="F475" s="795"/>
      <c r="G475" s="606"/>
      <c r="H475" s="604"/>
      <c r="I475" s="530"/>
      <c r="J475" s="531"/>
      <c r="K475" s="580"/>
      <c r="L475" s="581"/>
      <c r="M475" s="530"/>
      <c r="N475" s="530"/>
      <c r="O475" s="530"/>
      <c r="P475" s="530"/>
      <c r="Q475" s="530"/>
      <c r="R475" s="530"/>
      <c r="S475" s="530"/>
      <c r="T475" s="530"/>
      <c r="U475" s="530"/>
      <c r="V475" s="530"/>
      <c r="W475" s="530"/>
      <c r="X475" s="530"/>
      <c r="Y475" s="530"/>
      <c r="Z475" s="530"/>
      <c r="AA475" s="530"/>
      <c r="AB475" s="530"/>
      <c r="AC475" s="530"/>
      <c r="AD475" s="530"/>
    </row>
    <row r="476" spans="2:30" s="1" customFormat="1" ht="19.5" customHeight="1" x14ac:dyDescent="0.25">
      <c r="B476" s="661" t="s">
        <v>2181</v>
      </c>
      <c r="C476" s="661" t="s">
        <v>2182</v>
      </c>
      <c r="D476" s="663" t="s">
        <v>2183</v>
      </c>
      <c r="E476" s="767" t="s">
        <v>1842</v>
      </c>
      <c r="F476" s="797"/>
      <c r="G476" s="606"/>
      <c r="H476" s="604"/>
      <c r="I476" s="530"/>
      <c r="J476" s="531"/>
      <c r="K476" s="580"/>
      <c r="L476" s="581"/>
      <c r="M476" s="530"/>
      <c r="N476" s="530"/>
      <c r="O476" s="530"/>
      <c r="P476" s="530"/>
      <c r="Q476" s="530"/>
      <c r="R476" s="530"/>
      <c r="S476" s="530"/>
      <c r="T476" s="530"/>
      <c r="U476" s="530"/>
      <c r="V476" s="530"/>
      <c r="W476" s="530"/>
      <c r="X476" s="530"/>
      <c r="Y476" s="530"/>
      <c r="Z476" s="530"/>
      <c r="AA476" s="530"/>
      <c r="AB476" s="530"/>
      <c r="AC476" s="530"/>
      <c r="AD476" s="530"/>
    </row>
    <row r="477" spans="2:30" s="1" customFormat="1" ht="19.5" customHeight="1" x14ac:dyDescent="0.25">
      <c r="B477" s="661" t="s">
        <v>2184</v>
      </c>
      <c r="C477" s="661" t="s">
        <v>2185</v>
      </c>
      <c r="D477" s="776" t="s">
        <v>2186</v>
      </c>
      <c r="E477" s="766" t="s">
        <v>1624</v>
      </c>
      <c r="F477" s="796"/>
      <c r="G477" s="606"/>
      <c r="H477" s="604"/>
      <c r="I477" s="530"/>
      <c r="J477" s="531"/>
      <c r="K477" s="580"/>
      <c r="L477" s="581"/>
      <c r="M477" s="530"/>
      <c r="N477" s="530"/>
      <c r="O477" s="530"/>
      <c r="P477" s="530"/>
      <c r="Q477" s="530"/>
      <c r="R477" s="530"/>
      <c r="S477" s="530"/>
      <c r="T477" s="530"/>
      <c r="U477" s="530"/>
      <c r="V477" s="530"/>
      <c r="W477" s="530"/>
      <c r="X477" s="530"/>
      <c r="Y477" s="530"/>
      <c r="Z477" s="530"/>
      <c r="AA477" s="530"/>
      <c r="AB477" s="530"/>
      <c r="AC477" s="530"/>
      <c r="AD477" s="530"/>
    </row>
    <row r="478" spans="2:30" s="1" customFormat="1" ht="19.5" customHeight="1" x14ac:dyDescent="0.25">
      <c r="B478" s="665" t="s">
        <v>2187</v>
      </c>
      <c r="C478" s="665" t="s">
        <v>2188</v>
      </c>
      <c r="D478" s="663" t="s">
        <v>2189</v>
      </c>
      <c r="E478" s="768" t="s">
        <v>321</v>
      </c>
      <c r="F478" s="798"/>
      <c r="G478" s="606"/>
      <c r="H478" s="604"/>
      <c r="I478" s="530"/>
      <c r="J478" s="531"/>
      <c r="K478" s="580"/>
      <c r="L478" s="581"/>
      <c r="M478" s="530"/>
      <c r="N478" s="530"/>
      <c r="O478" s="530"/>
      <c r="P478" s="530"/>
      <c r="Q478" s="530"/>
      <c r="R478" s="530"/>
      <c r="S478" s="530"/>
      <c r="T478" s="530"/>
      <c r="U478" s="530"/>
      <c r="V478" s="530"/>
      <c r="W478" s="530"/>
      <c r="X478" s="530"/>
      <c r="Y478" s="530"/>
      <c r="Z478" s="530"/>
      <c r="AA478" s="530"/>
      <c r="AB478" s="530"/>
      <c r="AC478" s="530"/>
      <c r="AD478" s="530"/>
    </row>
    <row r="479" spans="2:30" s="1" customFormat="1" ht="19.5" customHeight="1" x14ac:dyDescent="0.25">
      <c r="B479" s="665" t="s">
        <v>2190</v>
      </c>
      <c r="C479" s="665" t="s">
        <v>2191</v>
      </c>
      <c r="D479" s="776" t="s">
        <v>2192</v>
      </c>
      <c r="E479" s="756" t="s">
        <v>402</v>
      </c>
      <c r="F479" s="795"/>
      <c r="G479" s="606"/>
      <c r="H479" s="604"/>
      <c r="I479" s="530"/>
      <c r="J479" s="531"/>
      <c r="K479" s="580"/>
      <c r="L479" s="581"/>
      <c r="M479" s="530"/>
      <c r="N479" s="530"/>
      <c r="O479" s="530"/>
      <c r="P479" s="530"/>
      <c r="Q479" s="530"/>
      <c r="R479" s="530"/>
      <c r="S479" s="530"/>
      <c r="T479" s="530"/>
      <c r="U479" s="530"/>
      <c r="V479" s="530"/>
      <c r="W479" s="530"/>
      <c r="X479" s="530"/>
      <c r="Y479" s="530"/>
      <c r="Z479" s="530"/>
      <c r="AA479" s="530"/>
      <c r="AB479" s="530"/>
      <c r="AC479" s="530"/>
      <c r="AD479" s="530"/>
    </row>
    <row r="480" spans="2:30" s="1" customFormat="1" ht="19.5" customHeight="1" x14ac:dyDescent="0.25">
      <c r="B480" s="665" t="s">
        <v>2193</v>
      </c>
      <c r="C480" s="665" t="s">
        <v>2194</v>
      </c>
      <c r="D480" s="663" t="s">
        <v>2195</v>
      </c>
      <c r="E480" s="766" t="s">
        <v>1624</v>
      </c>
      <c r="F480" s="796"/>
      <c r="G480" s="606"/>
      <c r="H480" s="604"/>
      <c r="I480" s="530"/>
      <c r="J480" s="531"/>
      <c r="K480" s="580"/>
      <c r="L480" s="581"/>
      <c r="M480" s="530"/>
      <c r="N480" s="530"/>
      <c r="O480" s="530"/>
      <c r="P480" s="530"/>
      <c r="Q480" s="530"/>
      <c r="R480" s="530"/>
      <c r="S480" s="530"/>
      <c r="T480" s="530"/>
      <c r="U480" s="530"/>
      <c r="V480" s="530"/>
      <c r="W480" s="530"/>
      <c r="X480" s="530"/>
      <c r="Y480" s="530"/>
      <c r="Z480" s="530"/>
      <c r="AA480" s="530"/>
      <c r="AB480" s="530"/>
      <c r="AC480" s="530"/>
      <c r="AD480" s="530"/>
    </row>
    <row r="481" spans="2:30" s="1" customFormat="1" ht="19.5" customHeight="1" x14ac:dyDescent="0.25">
      <c r="B481" s="665" t="s">
        <v>2196</v>
      </c>
      <c r="C481" s="665" t="s">
        <v>2197</v>
      </c>
      <c r="D481" s="663" t="s">
        <v>2198</v>
      </c>
      <c r="E481" s="767" t="s">
        <v>1842</v>
      </c>
      <c r="F481" s="797"/>
      <c r="G481" s="606"/>
      <c r="H481" s="604"/>
      <c r="I481" s="530"/>
      <c r="J481" s="531"/>
      <c r="K481" s="580"/>
      <c r="L481" s="581"/>
      <c r="M481" s="530"/>
      <c r="N481" s="530"/>
      <c r="O481" s="530"/>
      <c r="P481" s="530"/>
      <c r="Q481" s="530"/>
      <c r="R481" s="530"/>
      <c r="S481" s="530"/>
      <c r="T481" s="530"/>
      <c r="U481" s="530"/>
      <c r="V481" s="530"/>
      <c r="W481" s="530"/>
      <c r="X481" s="530"/>
      <c r="Y481" s="530"/>
      <c r="Z481" s="530"/>
      <c r="AA481" s="530"/>
      <c r="AB481" s="530"/>
      <c r="AC481" s="530"/>
      <c r="AD481" s="530"/>
    </row>
    <row r="482" spans="2:30" s="1" customFormat="1" ht="19.5" customHeight="1" x14ac:dyDescent="0.25">
      <c r="B482" s="665" t="s">
        <v>2199</v>
      </c>
      <c r="C482" s="665" t="s">
        <v>2200</v>
      </c>
      <c r="D482" s="663" t="s">
        <v>2198</v>
      </c>
      <c r="E482" s="767" t="s">
        <v>1842</v>
      </c>
      <c r="F482" s="797"/>
      <c r="G482" s="606"/>
      <c r="H482" s="604"/>
      <c r="I482" s="530"/>
      <c r="J482" s="531"/>
      <c r="K482" s="580"/>
      <c r="L482" s="581"/>
      <c r="M482" s="530"/>
      <c r="N482" s="530"/>
      <c r="O482" s="530"/>
      <c r="P482" s="530"/>
      <c r="Q482" s="530"/>
      <c r="R482" s="530"/>
      <c r="S482" s="530"/>
      <c r="T482" s="530"/>
      <c r="U482" s="530"/>
      <c r="V482" s="530"/>
      <c r="W482" s="530"/>
      <c r="X482" s="530"/>
      <c r="Y482" s="530"/>
      <c r="Z482" s="530"/>
      <c r="AA482" s="530"/>
      <c r="AB482" s="530"/>
      <c r="AC482" s="530"/>
      <c r="AD482" s="530"/>
    </row>
    <row r="483" spans="2:30" s="1" customFormat="1" ht="19.5" customHeight="1" x14ac:dyDescent="0.25">
      <c r="B483" s="665" t="s">
        <v>2201</v>
      </c>
      <c r="C483" s="665" t="s">
        <v>2202</v>
      </c>
      <c r="D483" s="663" t="s">
        <v>2203</v>
      </c>
      <c r="E483" s="768" t="s">
        <v>321</v>
      </c>
      <c r="F483" s="798"/>
      <c r="G483" s="606"/>
      <c r="H483" s="604"/>
      <c r="I483" s="530"/>
      <c r="J483" s="531"/>
      <c r="K483" s="580"/>
      <c r="L483" s="581"/>
      <c r="M483" s="530"/>
      <c r="N483" s="530"/>
      <c r="O483" s="530"/>
      <c r="P483" s="530"/>
      <c r="Q483" s="530"/>
      <c r="R483" s="530"/>
      <c r="S483" s="530"/>
      <c r="T483" s="530"/>
      <c r="U483" s="530"/>
      <c r="V483" s="530"/>
      <c r="W483" s="530"/>
      <c r="X483" s="530"/>
      <c r="Y483" s="530"/>
      <c r="Z483" s="530"/>
      <c r="AA483" s="530"/>
      <c r="AB483" s="530"/>
      <c r="AC483" s="530"/>
      <c r="AD483" s="530"/>
    </row>
    <row r="484" spans="2:30" s="1" customFormat="1" ht="19.5" customHeight="1" x14ac:dyDescent="0.25">
      <c r="B484" s="665" t="s">
        <v>2204</v>
      </c>
      <c r="C484" s="665" t="s">
        <v>2205</v>
      </c>
      <c r="D484" s="663" t="s">
        <v>2206</v>
      </c>
      <c r="E484" s="768" t="s">
        <v>321</v>
      </c>
      <c r="F484" s="798"/>
      <c r="G484" s="606"/>
      <c r="H484" s="604"/>
      <c r="I484" s="530"/>
      <c r="J484" s="531"/>
      <c r="K484" s="580"/>
      <c r="L484" s="581"/>
      <c r="M484" s="530"/>
      <c r="N484" s="530"/>
      <c r="O484" s="530"/>
      <c r="P484" s="530"/>
      <c r="Q484" s="530"/>
      <c r="R484" s="530"/>
      <c r="S484" s="530"/>
      <c r="T484" s="530"/>
      <c r="U484" s="530"/>
      <c r="V484" s="530"/>
      <c r="W484" s="530"/>
      <c r="X484" s="530"/>
      <c r="Y484" s="530"/>
      <c r="Z484" s="530"/>
      <c r="AA484" s="530"/>
      <c r="AB484" s="530"/>
      <c r="AC484" s="530"/>
      <c r="AD484" s="530"/>
    </row>
    <row r="485" spans="2:30" s="1" customFormat="1" ht="19.5" customHeight="1" x14ac:dyDescent="0.25">
      <c r="B485" s="665" t="s">
        <v>2207</v>
      </c>
      <c r="C485" s="665" t="s">
        <v>2208</v>
      </c>
      <c r="D485" s="664" t="s">
        <v>2209</v>
      </c>
      <c r="E485" s="767" t="s">
        <v>1842</v>
      </c>
      <c r="F485" s="797"/>
      <c r="G485" s="606"/>
      <c r="H485" s="604"/>
      <c r="I485" s="530"/>
      <c r="J485" s="531"/>
      <c r="K485" s="580"/>
      <c r="L485" s="581"/>
      <c r="M485" s="530"/>
      <c r="N485" s="530"/>
      <c r="O485" s="530"/>
      <c r="P485" s="530"/>
      <c r="Q485" s="530"/>
      <c r="R485" s="530"/>
      <c r="S485" s="530"/>
      <c r="T485" s="530"/>
      <c r="U485" s="530"/>
      <c r="V485" s="530"/>
      <c r="W485" s="530"/>
      <c r="X485" s="530"/>
      <c r="Y485" s="530"/>
      <c r="Z485" s="530"/>
      <c r="AA485" s="530"/>
      <c r="AB485" s="530"/>
      <c r="AC485" s="530"/>
      <c r="AD485" s="530"/>
    </row>
    <row r="486" spans="2:30" s="1" customFormat="1" ht="19.5" customHeight="1" x14ac:dyDescent="0.25">
      <c r="B486" s="665" t="s">
        <v>2210</v>
      </c>
      <c r="C486" s="665" t="s">
        <v>2211</v>
      </c>
      <c r="D486" s="777" t="s">
        <v>2212</v>
      </c>
      <c r="E486" s="767" t="s">
        <v>1842</v>
      </c>
      <c r="F486" s="797"/>
      <c r="G486" s="606"/>
      <c r="H486" s="604"/>
      <c r="I486" s="530"/>
      <c r="J486" s="531"/>
      <c r="K486" s="580"/>
      <c r="L486" s="581"/>
      <c r="M486" s="530"/>
      <c r="N486" s="530"/>
      <c r="O486" s="530"/>
      <c r="P486" s="530"/>
      <c r="Q486" s="530"/>
      <c r="R486" s="530"/>
      <c r="S486" s="530"/>
      <c r="T486" s="530"/>
      <c r="U486" s="530"/>
      <c r="V486" s="530"/>
      <c r="W486" s="530"/>
      <c r="X486" s="530"/>
      <c r="Y486" s="530"/>
      <c r="Z486" s="530"/>
      <c r="AA486" s="530"/>
      <c r="AB486" s="530"/>
      <c r="AC486" s="530"/>
      <c r="AD486" s="530"/>
    </row>
    <row r="487" spans="2:30" s="1" customFormat="1" ht="19.5" customHeight="1" x14ac:dyDescent="0.25">
      <c r="B487" s="665" t="s">
        <v>2213</v>
      </c>
      <c r="C487" s="665" t="s">
        <v>2214</v>
      </c>
      <c r="D487" s="777" t="s">
        <v>2215</v>
      </c>
      <c r="E487" s="767" t="s">
        <v>1842</v>
      </c>
      <c r="F487" s="797"/>
      <c r="G487" s="606"/>
      <c r="H487" s="604"/>
      <c r="I487" s="530"/>
      <c r="J487" s="531"/>
      <c r="K487" s="580"/>
      <c r="L487" s="581"/>
      <c r="M487" s="530"/>
      <c r="N487" s="530"/>
      <c r="O487" s="530"/>
      <c r="P487" s="530"/>
      <c r="Q487" s="530"/>
      <c r="R487" s="530"/>
      <c r="S487" s="530"/>
      <c r="T487" s="530"/>
      <c r="U487" s="530"/>
      <c r="V487" s="530"/>
      <c r="W487" s="530"/>
      <c r="X487" s="530"/>
      <c r="Y487" s="530"/>
      <c r="Z487" s="530"/>
      <c r="AA487" s="530"/>
      <c r="AB487" s="530"/>
      <c r="AC487" s="530"/>
      <c r="AD487" s="530"/>
    </row>
    <row r="488" spans="2:30" s="1" customFormat="1" ht="19.5" customHeight="1" x14ac:dyDescent="0.25">
      <c r="B488" s="665" t="s">
        <v>2216</v>
      </c>
      <c r="C488" s="665" t="s">
        <v>2217</v>
      </c>
      <c r="D488" s="663" t="s">
        <v>2218</v>
      </c>
      <c r="E488" s="768" t="s">
        <v>321</v>
      </c>
      <c r="F488" s="798"/>
      <c r="G488" s="606"/>
      <c r="H488" s="604"/>
      <c r="I488" s="530"/>
      <c r="J488" s="531"/>
      <c r="K488" s="580"/>
      <c r="L488" s="581"/>
      <c r="M488" s="530"/>
      <c r="N488" s="530"/>
      <c r="O488" s="530"/>
      <c r="P488" s="530"/>
      <c r="Q488" s="530"/>
      <c r="R488" s="530"/>
      <c r="S488" s="530"/>
      <c r="T488" s="530"/>
      <c r="U488" s="530"/>
      <c r="V488" s="530"/>
      <c r="W488" s="530"/>
      <c r="X488" s="530"/>
      <c r="Y488" s="530"/>
      <c r="Z488" s="530"/>
      <c r="AA488" s="530"/>
      <c r="AB488" s="530"/>
      <c r="AC488" s="530"/>
      <c r="AD488" s="530"/>
    </row>
    <row r="489" spans="2:30" s="1" customFormat="1" ht="19.5" customHeight="1" x14ac:dyDescent="0.25">
      <c r="B489" s="665" t="s">
        <v>2219</v>
      </c>
      <c r="C489" s="665" t="s">
        <v>2220</v>
      </c>
      <c r="D489" s="663" t="s">
        <v>2221</v>
      </c>
      <c r="E489" s="767" t="s">
        <v>1842</v>
      </c>
      <c r="F489" s="797"/>
      <c r="G489" s="606"/>
      <c r="H489" s="604"/>
      <c r="I489" s="530"/>
      <c r="J489" s="531"/>
      <c r="K489" s="580"/>
      <c r="L489" s="581"/>
      <c r="M489" s="530"/>
      <c r="N489" s="530"/>
      <c r="O489" s="530"/>
      <c r="P489" s="530"/>
      <c r="Q489" s="530"/>
      <c r="R489" s="530"/>
      <c r="S489" s="530"/>
      <c r="T489" s="530"/>
      <c r="U489" s="530"/>
      <c r="V489" s="530"/>
      <c r="W489" s="530"/>
      <c r="X489" s="530"/>
      <c r="Y489" s="530"/>
      <c r="Z489" s="530"/>
      <c r="AA489" s="530"/>
      <c r="AB489" s="530"/>
      <c r="AC489" s="530"/>
      <c r="AD489" s="530"/>
    </row>
    <row r="490" spans="2:30" s="1" customFormat="1" ht="19.5" customHeight="1" x14ac:dyDescent="0.25">
      <c r="B490" s="665" t="s">
        <v>2222</v>
      </c>
      <c r="C490" s="665" t="s">
        <v>2223</v>
      </c>
      <c r="D490" s="663" t="s">
        <v>2224</v>
      </c>
      <c r="E490" s="766" t="s">
        <v>1624</v>
      </c>
      <c r="F490" s="796"/>
      <c r="G490" s="606"/>
      <c r="H490" s="604"/>
      <c r="I490" s="530"/>
      <c r="J490" s="531"/>
      <c r="K490" s="580"/>
      <c r="L490" s="581"/>
      <c r="M490" s="530"/>
      <c r="N490" s="530"/>
      <c r="O490" s="530"/>
      <c r="P490" s="530"/>
      <c r="Q490" s="530"/>
      <c r="R490" s="530"/>
      <c r="S490" s="530"/>
      <c r="T490" s="530"/>
      <c r="U490" s="530"/>
      <c r="V490" s="530"/>
      <c r="W490" s="530"/>
      <c r="X490" s="530"/>
      <c r="Y490" s="530"/>
      <c r="Z490" s="530"/>
      <c r="AA490" s="530"/>
      <c r="AB490" s="530"/>
      <c r="AC490" s="530"/>
      <c r="AD490" s="530"/>
    </row>
    <row r="491" spans="2:30" s="1" customFormat="1" ht="19.5" customHeight="1" x14ac:dyDescent="0.25">
      <c r="B491" s="665" t="s">
        <v>2225</v>
      </c>
      <c r="C491" s="665" t="s">
        <v>2226</v>
      </c>
      <c r="D491" s="663" t="s">
        <v>2227</v>
      </c>
      <c r="E491" s="768" t="s">
        <v>321</v>
      </c>
      <c r="F491" s="798"/>
      <c r="G491" s="606"/>
      <c r="H491" s="604"/>
      <c r="I491" s="530"/>
      <c r="J491" s="531"/>
      <c r="K491" s="580"/>
      <c r="L491" s="581"/>
      <c r="M491" s="530"/>
      <c r="N491" s="530"/>
      <c r="O491" s="530"/>
      <c r="P491" s="530"/>
      <c r="Q491" s="530"/>
      <c r="R491" s="530"/>
      <c r="S491" s="530"/>
      <c r="T491" s="530"/>
      <c r="U491" s="530"/>
      <c r="V491" s="530"/>
      <c r="W491" s="530"/>
      <c r="X491" s="530"/>
      <c r="Y491" s="530"/>
      <c r="Z491" s="530"/>
      <c r="AA491" s="530"/>
      <c r="AB491" s="530"/>
      <c r="AC491" s="530"/>
      <c r="AD491" s="530"/>
    </row>
    <row r="492" spans="2:30" s="1" customFormat="1" ht="19.5" customHeight="1" x14ac:dyDescent="0.25">
      <c r="B492" s="665" t="s">
        <v>2228</v>
      </c>
      <c r="C492" s="665" t="s">
        <v>2229</v>
      </c>
      <c r="D492" s="663" t="s">
        <v>1902</v>
      </c>
      <c r="E492" s="767" t="s">
        <v>1842</v>
      </c>
      <c r="F492" s="797"/>
      <c r="G492" s="606"/>
      <c r="H492" s="604"/>
      <c r="I492" s="530"/>
      <c r="J492" s="531"/>
      <c r="K492" s="580"/>
      <c r="L492" s="581"/>
      <c r="M492" s="530"/>
      <c r="N492" s="530"/>
      <c r="O492" s="530"/>
      <c r="P492" s="530"/>
      <c r="Q492" s="530"/>
      <c r="R492" s="530"/>
      <c r="S492" s="530"/>
      <c r="T492" s="530"/>
      <c r="U492" s="530"/>
      <c r="V492" s="530"/>
      <c r="W492" s="530"/>
      <c r="X492" s="530"/>
      <c r="Y492" s="530"/>
      <c r="Z492" s="530"/>
      <c r="AA492" s="530"/>
      <c r="AB492" s="530"/>
      <c r="AC492" s="530"/>
      <c r="AD492" s="530"/>
    </row>
    <row r="493" spans="2:30" s="1" customFormat="1" ht="19.5" customHeight="1" x14ac:dyDescent="0.25">
      <c r="B493" s="665" t="s">
        <v>2230</v>
      </c>
      <c r="C493" s="665" t="s">
        <v>2231</v>
      </c>
      <c r="D493" s="663" t="s">
        <v>2232</v>
      </c>
      <c r="E493" s="768" t="s">
        <v>321</v>
      </c>
      <c r="F493" s="798"/>
      <c r="G493" s="606"/>
      <c r="H493" s="604"/>
      <c r="I493" s="530"/>
      <c r="J493" s="531"/>
      <c r="K493" s="580"/>
      <c r="L493" s="581"/>
      <c r="M493" s="530"/>
      <c r="N493" s="530"/>
      <c r="O493" s="530"/>
      <c r="P493" s="530"/>
      <c r="Q493" s="530"/>
      <c r="R493" s="530"/>
      <c r="S493" s="530"/>
      <c r="T493" s="530"/>
      <c r="U493" s="530"/>
      <c r="V493" s="530"/>
      <c r="W493" s="530"/>
      <c r="X493" s="530"/>
      <c r="Y493" s="530"/>
      <c r="Z493" s="530"/>
      <c r="AA493" s="530"/>
      <c r="AB493" s="530"/>
      <c r="AC493" s="530"/>
      <c r="AD493" s="530"/>
    </row>
    <row r="494" spans="2:30" s="1" customFormat="1" ht="19.5" customHeight="1" x14ac:dyDescent="0.25">
      <c r="B494" s="665" t="s">
        <v>2233</v>
      </c>
      <c r="C494" s="665" t="s">
        <v>2234</v>
      </c>
      <c r="D494" s="663" t="s">
        <v>1914</v>
      </c>
      <c r="E494" s="767" t="s">
        <v>1842</v>
      </c>
      <c r="F494" s="797"/>
      <c r="G494" s="606"/>
      <c r="H494" s="604"/>
      <c r="I494" s="530"/>
      <c r="J494" s="531"/>
      <c r="K494" s="580"/>
      <c r="L494" s="581"/>
      <c r="M494" s="530"/>
      <c r="N494" s="530"/>
      <c r="O494" s="530"/>
      <c r="P494" s="530"/>
      <c r="Q494" s="530"/>
      <c r="R494" s="530"/>
      <c r="S494" s="530"/>
      <c r="T494" s="530"/>
      <c r="U494" s="530"/>
      <c r="V494" s="530"/>
      <c r="W494" s="530"/>
      <c r="X494" s="530"/>
      <c r="Y494" s="530"/>
      <c r="Z494" s="530"/>
      <c r="AA494" s="530"/>
      <c r="AB494" s="530"/>
      <c r="AC494" s="530"/>
      <c r="AD494" s="530"/>
    </row>
    <row r="495" spans="2:30" s="1" customFormat="1" ht="19.5" customHeight="1" x14ac:dyDescent="0.25">
      <c r="B495" s="665" t="s">
        <v>2235</v>
      </c>
      <c r="C495" s="665" t="s">
        <v>2236</v>
      </c>
      <c r="D495" s="663" t="s">
        <v>1899</v>
      </c>
      <c r="E495" s="767" t="s">
        <v>1842</v>
      </c>
      <c r="F495" s="797"/>
      <c r="G495" s="606"/>
      <c r="H495" s="604"/>
      <c r="I495" s="530"/>
      <c r="J495" s="531"/>
      <c r="K495" s="580"/>
      <c r="L495" s="581"/>
      <c r="M495" s="530"/>
      <c r="N495" s="530"/>
      <c r="O495" s="530"/>
      <c r="P495" s="530"/>
      <c r="Q495" s="530"/>
      <c r="R495" s="530"/>
      <c r="S495" s="530"/>
      <c r="T495" s="530"/>
      <c r="U495" s="530"/>
      <c r="V495" s="530"/>
      <c r="W495" s="530"/>
      <c r="X495" s="530"/>
      <c r="Y495" s="530"/>
      <c r="Z495" s="530"/>
      <c r="AA495" s="530"/>
      <c r="AB495" s="530"/>
      <c r="AC495" s="530"/>
      <c r="AD495" s="530"/>
    </row>
    <row r="496" spans="2:30" s="1" customFormat="1" ht="19.5" customHeight="1" x14ac:dyDescent="0.25">
      <c r="B496" s="665" t="s">
        <v>2237</v>
      </c>
      <c r="C496" s="665" t="s">
        <v>2238</v>
      </c>
      <c r="D496" s="663" t="s">
        <v>2239</v>
      </c>
      <c r="E496" s="767" t="s">
        <v>1842</v>
      </c>
      <c r="F496" s="797"/>
      <c r="G496" s="606"/>
      <c r="H496" s="604"/>
      <c r="I496" s="530"/>
      <c r="J496" s="531"/>
      <c r="K496" s="580"/>
      <c r="L496" s="581"/>
      <c r="M496" s="530"/>
      <c r="N496" s="530"/>
      <c r="O496" s="530"/>
      <c r="P496" s="530"/>
      <c r="Q496" s="530"/>
      <c r="R496" s="530"/>
      <c r="S496" s="530"/>
      <c r="T496" s="530"/>
      <c r="U496" s="530"/>
      <c r="V496" s="530"/>
      <c r="W496" s="530"/>
      <c r="X496" s="530"/>
      <c r="Y496" s="530"/>
      <c r="Z496" s="530"/>
      <c r="AA496" s="530"/>
      <c r="AB496" s="530"/>
      <c r="AC496" s="530"/>
      <c r="AD496" s="530"/>
    </row>
    <row r="497" spans="2:30" s="1" customFormat="1" ht="19.5" customHeight="1" x14ac:dyDescent="0.25">
      <c r="B497" s="665" t="s">
        <v>2240</v>
      </c>
      <c r="C497" s="665" t="s">
        <v>2241</v>
      </c>
      <c r="D497" s="663" t="s">
        <v>2242</v>
      </c>
      <c r="E497" s="773" t="s">
        <v>323</v>
      </c>
      <c r="F497" s="803"/>
      <c r="G497" s="606"/>
      <c r="H497" s="604"/>
      <c r="I497" s="530"/>
      <c r="J497" s="531"/>
      <c r="K497" s="580"/>
      <c r="L497" s="581"/>
      <c r="M497" s="530"/>
      <c r="N497" s="530"/>
      <c r="O497" s="530"/>
      <c r="P497" s="530"/>
      <c r="Q497" s="530"/>
      <c r="R497" s="530"/>
      <c r="S497" s="530"/>
      <c r="T497" s="530"/>
      <c r="U497" s="530"/>
      <c r="V497" s="530"/>
      <c r="W497" s="530"/>
      <c r="X497" s="530"/>
      <c r="Y497" s="530"/>
      <c r="Z497" s="530"/>
      <c r="AA497" s="530"/>
      <c r="AB497" s="530"/>
      <c r="AC497" s="530"/>
      <c r="AD497" s="530"/>
    </row>
    <row r="498" spans="2:30" s="1" customFormat="1" ht="19.5" customHeight="1" x14ac:dyDescent="0.25">
      <c r="B498" s="665" t="s">
        <v>2243</v>
      </c>
      <c r="C498" s="665" t="s">
        <v>2244</v>
      </c>
      <c r="D498" s="663" t="s">
        <v>2245</v>
      </c>
      <c r="E498" s="768" t="s">
        <v>321</v>
      </c>
      <c r="F498" s="798"/>
      <c r="G498" s="606"/>
      <c r="H498" s="604"/>
      <c r="I498" s="530"/>
      <c r="J498" s="531"/>
      <c r="K498" s="580"/>
      <c r="L498" s="581"/>
      <c r="M498" s="530"/>
      <c r="N498" s="530"/>
      <c r="O498" s="530"/>
      <c r="P498" s="530"/>
      <c r="Q498" s="530"/>
      <c r="R498" s="530"/>
      <c r="S498" s="530"/>
      <c r="T498" s="530"/>
      <c r="U498" s="530"/>
      <c r="V498" s="530"/>
      <c r="W498" s="530"/>
      <c r="X498" s="530"/>
      <c r="Y498" s="530"/>
      <c r="Z498" s="530"/>
      <c r="AA498" s="530"/>
      <c r="AB498" s="530"/>
      <c r="AC498" s="530"/>
      <c r="AD498" s="530"/>
    </row>
    <row r="499" spans="2:30" s="1" customFormat="1" ht="19.5" customHeight="1" x14ac:dyDescent="0.25">
      <c r="B499" s="665" t="s">
        <v>2246</v>
      </c>
      <c r="C499" s="665" t="s">
        <v>2247</v>
      </c>
      <c r="D499" s="663" t="s">
        <v>2248</v>
      </c>
      <c r="E499" s="773" t="s">
        <v>323</v>
      </c>
      <c r="F499" s="803"/>
      <c r="G499" s="606"/>
      <c r="H499" s="604"/>
      <c r="I499" s="530"/>
      <c r="J499" s="531"/>
      <c r="K499" s="580"/>
      <c r="L499" s="581"/>
      <c r="M499" s="530"/>
      <c r="N499" s="530"/>
      <c r="O499" s="530"/>
      <c r="P499" s="530"/>
      <c r="Q499" s="530"/>
      <c r="R499" s="530"/>
      <c r="S499" s="530"/>
      <c r="T499" s="530"/>
      <c r="U499" s="530"/>
      <c r="V499" s="530"/>
      <c r="W499" s="530"/>
      <c r="X499" s="530"/>
      <c r="Y499" s="530"/>
      <c r="Z499" s="530"/>
      <c r="AA499" s="530"/>
      <c r="AB499" s="530"/>
      <c r="AC499" s="530"/>
      <c r="AD499" s="530"/>
    </row>
    <row r="500" spans="2:30" s="1" customFormat="1" ht="19.5" customHeight="1" x14ac:dyDescent="0.25">
      <c r="B500" s="665" t="s">
        <v>2249</v>
      </c>
      <c r="C500" s="665" t="s">
        <v>2250</v>
      </c>
      <c r="D500" s="663" t="s">
        <v>2251</v>
      </c>
      <c r="E500" s="769" t="s">
        <v>1802</v>
      </c>
      <c r="F500" s="799"/>
      <c r="G500" s="606"/>
      <c r="H500" s="604"/>
      <c r="I500" s="530"/>
      <c r="J500" s="531"/>
      <c r="K500" s="580"/>
      <c r="L500" s="581"/>
      <c r="M500" s="530"/>
      <c r="N500" s="530"/>
      <c r="O500" s="530"/>
      <c r="P500" s="530"/>
      <c r="Q500" s="530"/>
      <c r="R500" s="530"/>
      <c r="S500" s="530"/>
      <c r="T500" s="530"/>
      <c r="U500" s="530"/>
      <c r="V500" s="530"/>
      <c r="W500" s="530"/>
      <c r="X500" s="530"/>
      <c r="Y500" s="530"/>
      <c r="Z500" s="530"/>
      <c r="AA500" s="530"/>
      <c r="AB500" s="530"/>
      <c r="AC500" s="530"/>
      <c r="AD500" s="530"/>
    </row>
    <row r="501" spans="2:30" s="1" customFormat="1" ht="19.5" customHeight="1" x14ac:dyDescent="0.25">
      <c r="B501" s="665" t="s">
        <v>2252</v>
      </c>
      <c r="C501" s="665" t="s">
        <v>2253</v>
      </c>
      <c r="D501" s="663" t="s">
        <v>2254</v>
      </c>
      <c r="E501" s="768" t="s">
        <v>321</v>
      </c>
      <c r="F501" s="798"/>
      <c r="G501" s="606"/>
      <c r="H501" s="604"/>
      <c r="I501" s="530"/>
      <c r="J501" s="531"/>
      <c r="K501" s="580"/>
      <c r="L501" s="581"/>
      <c r="M501" s="530"/>
      <c r="N501" s="530"/>
      <c r="O501" s="530"/>
      <c r="P501" s="530"/>
      <c r="Q501" s="530"/>
      <c r="R501" s="530"/>
      <c r="S501" s="530"/>
      <c r="T501" s="530"/>
      <c r="U501" s="530"/>
      <c r="V501" s="530"/>
      <c r="W501" s="530"/>
      <c r="X501" s="530"/>
      <c r="Y501" s="530"/>
      <c r="Z501" s="530"/>
      <c r="AA501" s="530"/>
      <c r="AB501" s="530"/>
      <c r="AC501" s="530"/>
      <c r="AD501" s="530"/>
    </row>
    <row r="502" spans="2:30" s="1" customFormat="1" ht="19.5" customHeight="1" x14ac:dyDescent="0.25">
      <c r="B502" s="665" t="s">
        <v>2255</v>
      </c>
      <c r="C502" s="665" t="s">
        <v>2256</v>
      </c>
      <c r="D502" s="663" t="s">
        <v>1905</v>
      </c>
      <c r="E502" s="767" t="s">
        <v>1842</v>
      </c>
      <c r="F502" s="797"/>
      <c r="G502" s="606"/>
      <c r="H502" s="604"/>
      <c r="I502" s="530"/>
      <c r="J502" s="531"/>
      <c r="K502" s="580"/>
      <c r="L502" s="581"/>
      <c r="M502" s="530"/>
      <c r="N502" s="530"/>
      <c r="O502" s="530"/>
      <c r="P502" s="530"/>
      <c r="Q502" s="530"/>
      <c r="R502" s="530"/>
      <c r="S502" s="530"/>
      <c r="T502" s="530"/>
      <c r="U502" s="530"/>
      <c r="V502" s="530"/>
      <c r="W502" s="530"/>
      <c r="X502" s="530"/>
      <c r="Y502" s="530"/>
      <c r="Z502" s="530"/>
      <c r="AA502" s="530"/>
      <c r="AB502" s="530"/>
      <c r="AC502" s="530"/>
      <c r="AD502" s="530"/>
    </row>
    <row r="503" spans="2:30" s="1" customFormat="1" ht="19.5" customHeight="1" x14ac:dyDescent="0.25">
      <c r="B503" s="665" t="s">
        <v>2257</v>
      </c>
      <c r="C503" s="665" t="s">
        <v>2258</v>
      </c>
      <c r="D503" s="663" t="s">
        <v>2232</v>
      </c>
      <c r="E503" s="768" t="s">
        <v>321</v>
      </c>
      <c r="F503" s="798"/>
      <c r="G503" s="606"/>
      <c r="H503" s="604"/>
      <c r="I503" s="530"/>
      <c r="J503" s="531"/>
      <c r="K503" s="580"/>
      <c r="L503" s="581"/>
      <c r="M503" s="530"/>
      <c r="N503" s="530"/>
      <c r="O503" s="530"/>
      <c r="P503" s="530"/>
      <c r="Q503" s="530"/>
      <c r="R503" s="530"/>
      <c r="S503" s="530"/>
      <c r="T503" s="530"/>
      <c r="U503" s="530"/>
      <c r="V503" s="530"/>
      <c r="W503" s="530"/>
      <c r="X503" s="530"/>
      <c r="Y503" s="530"/>
      <c r="Z503" s="530"/>
      <c r="AA503" s="530"/>
      <c r="AB503" s="530"/>
      <c r="AC503" s="530"/>
      <c r="AD503" s="530"/>
    </row>
    <row r="504" spans="2:30" s="1" customFormat="1" ht="19.5" customHeight="1" x14ac:dyDescent="0.25">
      <c r="B504" s="665" t="s">
        <v>2259</v>
      </c>
      <c r="C504" s="665" t="s">
        <v>2260</v>
      </c>
      <c r="D504" s="663" t="s">
        <v>2261</v>
      </c>
      <c r="E504" s="773" t="s">
        <v>323</v>
      </c>
      <c r="F504" s="803"/>
      <c r="G504" s="606"/>
      <c r="H504" s="604"/>
      <c r="I504" s="530"/>
      <c r="J504" s="531"/>
      <c r="K504" s="580"/>
      <c r="L504" s="581"/>
      <c r="M504" s="530"/>
      <c r="N504" s="530"/>
      <c r="O504" s="530"/>
      <c r="P504" s="530"/>
      <c r="Q504" s="530"/>
      <c r="R504" s="530"/>
      <c r="S504" s="530"/>
      <c r="T504" s="530"/>
      <c r="U504" s="530"/>
      <c r="V504" s="530"/>
      <c r="W504" s="530"/>
      <c r="X504" s="530"/>
      <c r="Y504" s="530"/>
      <c r="Z504" s="530"/>
      <c r="AA504" s="530"/>
      <c r="AB504" s="530"/>
      <c r="AC504" s="530"/>
      <c r="AD504" s="530"/>
    </row>
    <row r="505" spans="2:30" s="1" customFormat="1" ht="19.5" customHeight="1" x14ac:dyDescent="0.25">
      <c r="B505" s="665" t="s">
        <v>2262</v>
      </c>
      <c r="C505" s="665" t="s">
        <v>2263</v>
      </c>
      <c r="D505" s="663" t="s">
        <v>2264</v>
      </c>
      <c r="E505" s="766" t="s">
        <v>1624</v>
      </c>
      <c r="F505" s="796"/>
      <c r="G505" s="606"/>
      <c r="H505" s="604"/>
      <c r="I505" s="530"/>
      <c r="J505" s="531"/>
      <c r="K505" s="580"/>
      <c r="L505" s="581"/>
      <c r="M505" s="530"/>
      <c r="N505" s="530"/>
      <c r="O505" s="530"/>
      <c r="P505" s="530"/>
      <c r="Q505" s="530"/>
      <c r="R505" s="530"/>
      <c r="S505" s="530"/>
      <c r="T505" s="530"/>
      <c r="U505" s="530"/>
      <c r="V505" s="530"/>
      <c r="W505" s="530"/>
      <c r="X505" s="530"/>
      <c r="Y505" s="530"/>
      <c r="Z505" s="530"/>
      <c r="AA505" s="530"/>
      <c r="AB505" s="530"/>
      <c r="AC505" s="530"/>
      <c r="AD505" s="530"/>
    </row>
    <row r="506" spans="2:30" s="1" customFormat="1" ht="19.5" customHeight="1" x14ac:dyDescent="0.25">
      <c r="B506" s="665" t="s">
        <v>2265</v>
      </c>
      <c r="C506" s="665" t="s">
        <v>2266</v>
      </c>
      <c r="D506" s="663" t="s">
        <v>2267</v>
      </c>
      <c r="E506" s="767" t="s">
        <v>1842</v>
      </c>
      <c r="F506" s="797"/>
      <c r="G506" s="606"/>
      <c r="H506" s="604"/>
      <c r="I506" s="530"/>
      <c r="J506" s="531"/>
      <c r="K506" s="580"/>
      <c r="L506" s="581"/>
      <c r="M506" s="530"/>
      <c r="N506" s="530"/>
      <c r="O506" s="530"/>
      <c r="P506" s="530"/>
      <c r="Q506" s="530"/>
      <c r="R506" s="530"/>
      <c r="S506" s="530"/>
      <c r="T506" s="530"/>
      <c r="U506" s="530"/>
      <c r="V506" s="530"/>
      <c r="W506" s="530"/>
      <c r="X506" s="530"/>
      <c r="Y506" s="530"/>
      <c r="Z506" s="530"/>
      <c r="AA506" s="530"/>
      <c r="AB506" s="530"/>
      <c r="AC506" s="530"/>
      <c r="AD506" s="530"/>
    </row>
    <row r="507" spans="2:30" s="1" customFormat="1" ht="19.5" customHeight="1" x14ac:dyDescent="0.25">
      <c r="B507" s="665" t="s">
        <v>2268</v>
      </c>
      <c r="C507" s="665" t="s">
        <v>2269</v>
      </c>
      <c r="D507" s="663" t="s">
        <v>2270</v>
      </c>
      <c r="E507" s="767" t="s">
        <v>1842</v>
      </c>
      <c r="F507" s="797"/>
      <c r="G507" s="606"/>
      <c r="H507" s="604"/>
      <c r="I507" s="530"/>
      <c r="J507" s="531"/>
      <c r="K507" s="580"/>
      <c r="L507" s="581"/>
      <c r="M507" s="530"/>
      <c r="N507" s="530"/>
      <c r="O507" s="530"/>
      <c r="P507" s="530"/>
      <c r="Q507" s="530"/>
      <c r="R507" s="530"/>
      <c r="S507" s="530"/>
      <c r="T507" s="530"/>
      <c r="U507" s="530"/>
      <c r="V507" s="530"/>
      <c r="W507" s="530"/>
      <c r="X507" s="530"/>
      <c r="Y507" s="530"/>
      <c r="Z507" s="530"/>
      <c r="AA507" s="530"/>
      <c r="AB507" s="530"/>
      <c r="AC507" s="530"/>
      <c r="AD507" s="530"/>
    </row>
    <row r="508" spans="2:30" s="1" customFormat="1" ht="19.5" customHeight="1" x14ac:dyDescent="0.25">
      <c r="B508" s="665" t="s">
        <v>2271</v>
      </c>
      <c r="C508" s="665" t="s">
        <v>2272</v>
      </c>
      <c r="D508" s="663" t="s">
        <v>2273</v>
      </c>
      <c r="E508" s="767" t="s">
        <v>1842</v>
      </c>
      <c r="F508" s="797"/>
      <c r="G508" s="606"/>
      <c r="H508" s="604"/>
      <c r="I508" s="530"/>
      <c r="J508" s="531"/>
      <c r="K508" s="580"/>
      <c r="L508" s="581"/>
      <c r="M508" s="530"/>
      <c r="N508" s="530"/>
      <c r="O508" s="530"/>
      <c r="P508" s="530"/>
      <c r="Q508" s="530"/>
      <c r="R508" s="530"/>
      <c r="S508" s="530"/>
      <c r="T508" s="530"/>
      <c r="U508" s="530"/>
      <c r="V508" s="530"/>
      <c r="W508" s="530"/>
      <c r="X508" s="530"/>
      <c r="Y508" s="530"/>
      <c r="Z508" s="530"/>
      <c r="AA508" s="530"/>
      <c r="AB508" s="530"/>
      <c r="AC508" s="530"/>
      <c r="AD508" s="530"/>
    </row>
    <row r="509" spans="2:30" s="1" customFormat="1" ht="19.5" customHeight="1" x14ac:dyDescent="0.25">
      <c r="B509" s="665" t="s">
        <v>2274</v>
      </c>
      <c r="C509" s="665" t="s">
        <v>2275</v>
      </c>
      <c r="D509" s="663" t="s">
        <v>2276</v>
      </c>
      <c r="E509" s="756" t="s">
        <v>402</v>
      </c>
      <c r="F509" s="795"/>
      <c r="G509" s="606"/>
      <c r="H509" s="604"/>
      <c r="I509" s="530"/>
      <c r="J509" s="531"/>
      <c r="K509" s="580"/>
      <c r="L509" s="581"/>
      <c r="M509" s="530"/>
      <c r="N509" s="530"/>
      <c r="O509" s="530"/>
      <c r="P509" s="530"/>
      <c r="Q509" s="530"/>
      <c r="R509" s="530"/>
      <c r="S509" s="530"/>
      <c r="T509" s="530"/>
      <c r="U509" s="530"/>
      <c r="V509" s="530"/>
      <c r="W509" s="530"/>
      <c r="X509" s="530"/>
      <c r="Y509" s="530"/>
      <c r="Z509" s="530"/>
      <c r="AA509" s="530"/>
      <c r="AB509" s="530"/>
      <c r="AC509" s="530"/>
      <c r="AD509" s="530"/>
    </row>
    <row r="510" spans="2:30" s="1" customFormat="1" ht="19.5" customHeight="1" x14ac:dyDescent="0.25">
      <c r="B510" s="665" t="s">
        <v>2277</v>
      </c>
      <c r="C510" s="665" t="s">
        <v>2278</v>
      </c>
      <c r="D510" s="663" t="s">
        <v>2279</v>
      </c>
      <c r="E510" s="769" t="s">
        <v>1802</v>
      </c>
      <c r="F510" s="799"/>
      <c r="G510" s="606"/>
      <c r="H510" s="604"/>
      <c r="I510" s="530"/>
      <c r="J510" s="531"/>
      <c r="K510" s="580"/>
      <c r="L510" s="581"/>
      <c r="M510" s="530"/>
      <c r="N510" s="530"/>
      <c r="O510" s="530"/>
      <c r="P510" s="530"/>
      <c r="Q510" s="530"/>
      <c r="R510" s="530"/>
      <c r="S510" s="530"/>
      <c r="T510" s="530"/>
      <c r="U510" s="530"/>
      <c r="V510" s="530"/>
      <c r="W510" s="530"/>
      <c r="X510" s="530"/>
      <c r="Y510" s="530"/>
      <c r="Z510" s="530"/>
      <c r="AA510" s="530"/>
      <c r="AB510" s="530"/>
      <c r="AC510" s="530"/>
      <c r="AD510" s="530"/>
    </row>
    <row r="511" spans="2:30" s="1" customFormat="1" ht="19.5" customHeight="1" x14ac:dyDescent="0.25">
      <c r="B511" s="665" t="s">
        <v>2280</v>
      </c>
      <c r="C511" s="665" t="s">
        <v>2281</v>
      </c>
      <c r="D511" s="663" t="s">
        <v>2282</v>
      </c>
      <c r="E511" s="768" t="s">
        <v>321</v>
      </c>
      <c r="F511" s="798"/>
      <c r="G511" s="606"/>
      <c r="H511" s="604"/>
      <c r="I511" s="530"/>
      <c r="J511" s="531"/>
      <c r="K511" s="580"/>
      <c r="L511" s="581"/>
      <c r="M511" s="530"/>
      <c r="N511" s="530"/>
      <c r="O511" s="530"/>
      <c r="P511" s="530"/>
      <c r="Q511" s="530"/>
      <c r="R511" s="530"/>
      <c r="S511" s="530"/>
      <c r="T511" s="530"/>
      <c r="U511" s="530"/>
      <c r="V511" s="530"/>
      <c r="W511" s="530"/>
      <c r="X511" s="530"/>
      <c r="Y511" s="530"/>
      <c r="Z511" s="530"/>
      <c r="AA511" s="530"/>
      <c r="AB511" s="530"/>
      <c r="AC511" s="530"/>
      <c r="AD511" s="530"/>
    </row>
    <row r="512" spans="2:30" s="1" customFormat="1" ht="19.5" customHeight="1" x14ac:dyDescent="0.25">
      <c r="B512" s="665" t="s">
        <v>2283</v>
      </c>
      <c r="C512" s="665" t="s">
        <v>2284</v>
      </c>
      <c r="D512" s="663" t="s">
        <v>2285</v>
      </c>
      <c r="E512" s="756" t="s">
        <v>402</v>
      </c>
      <c r="F512" s="795"/>
      <c r="G512" s="606"/>
      <c r="H512" s="604"/>
      <c r="I512" s="530"/>
      <c r="J512" s="531"/>
      <c r="K512" s="580"/>
      <c r="L512" s="581"/>
      <c r="M512" s="530"/>
      <c r="N512" s="530"/>
      <c r="O512" s="530"/>
      <c r="P512" s="530"/>
      <c r="Q512" s="530"/>
      <c r="R512" s="530"/>
      <c r="S512" s="530"/>
      <c r="T512" s="530"/>
      <c r="U512" s="530"/>
      <c r="V512" s="530"/>
      <c r="W512" s="530"/>
      <c r="X512" s="530"/>
      <c r="Y512" s="530"/>
      <c r="Z512" s="530"/>
      <c r="AA512" s="530"/>
      <c r="AB512" s="530"/>
      <c r="AC512" s="530"/>
      <c r="AD512" s="530"/>
    </row>
    <row r="513" spans="2:30" s="1" customFormat="1" ht="19.5" customHeight="1" x14ac:dyDescent="0.25">
      <c r="B513" s="665" t="s">
        <v>2286</v>
      </c>
      <c r="C513" s="665" t="s">
        <v>2287</v>
      </c>
      <c r="D513" s="663" t="s">
        <v>2288</v>
      </c>
      <c r="E513" s="756" t="s">
        <v>402</v>
      </c>
      <c r="F513" s="795"/>
      <c r="G513" s="606"/>
      <c r="H513" s="604"/>
      <c r="I513" s="530"/>
      <c r="J513" s="531"/>
      <c r="K513" s="580"/>
      <c r="L513" s="581"/>
      <c r="M513" s="530"/>
      <c r="N513" s="530"/>
      <c r="O513" s="530"/>
      <c r="P513" s="530"/>
      <c r="Q513" s="530"/>
      <c r="R513" s="530"/>
      <c r="S513" s="530"/>
      <c r="T513" s="530"/>
      <c r="U513" s="530"/>
      <c r="V513" s="530"/>
      <c r="W513" s="530"/>
      <c r="X513" s="530"/>
      <c r="Y513" s="530"/>
      <c r="Z513" s="530"/>
      <c r="AA513" s="530"/>
      <c r="AB513" s="530"/>
      <c r="AC513" s="530"/>
      <c r="AD513" s="530"/>
    </row>
    <row r="514" spans="2:30" s="1" customFormat="1" ht="19.5" customHeight="1" x14ac:dyDescent="0.25">
      <c r="B514" s="665" t="s">
        <v>2289</v>
      </c>
      <c r="C514" s="665" t="s">
        <v>2290</v>
      </c>
      <c r="D514" s="663" t="s">
        <v>2291</v>
      </c>
      <c r="E514" s="766" t="s">
        <v>1624</v>
      </c>
      <c r="F514" s="796"/>
      <c r="G514" s="606"/>
      <c r="H514" s="604"/>
      <c r="I514" s="530"/>
      <c r="J514" s="531"/>
      <c r="K514" s="580"/>
      <c r="L514" s="581"/>
      <c r="M514" s="530"/>
      <c r="N514" s="530"/>
      <c r="O514" s="530"/>
      <c r="P514" s="530"/>
      <c r="Q514" s="530"/>
      <c r="R514" s="530"/>
      <c r="S514" s="530"/>
      <c r="T514" s="530"/>
      <c r="U514" s="530"/>
      <c r="V514" s="530"/>
      <c r="W514" s="530"/>
      <c r="X514" s="530"/>
      <c r="Y514" s="530"/>
      <c r="Z514" s="530"/>
      <c r="AA514" s="530"/>
      <c r="AB514" s="530"/>
      <c r="AC514" s="530"/>
      <c r="AD514" s="530"/>
    </row>
    <row r="515" spans="2:30" s="1" customFormat="1" ht="19.5" customHeight="1" x14ac:dyDescent="0.25">
      <c r="B515" s="665" t="s">
        <v>2292</v>
      </c>
      <c r="C515" s="665" t="s">
        <v>2293</v>
      </c>
      <c r="D515" s="663" t="s">
        <v>2294</v>
      </c>
      <c r="E515" s="766" t="s">
        <v>1624</v>
      </c>
      <c r="F515" s="796"/>
      <c r="G515" s="606"/>
      <c r="H515" s="604"/>
      <c r="I515" s="530"/>
      <c r="J515" s="531"/>
      <c r="K515" s="580"/>
      <c r="L515" s="581"/>
      <c r="M515" s="530"/>
      <c r="N515" s="530"/>
      <c r="O515" s="530"/>
      <c r="P515" s="530"/>
      <c r="Q515" s="530"/>
      <c r="R515" s="530"/>
      <c r="S515" s="530"/>
      <c r="T515" s="530"/>
      <c r="U515" s="530"/>
      <c r="V515" s="530"/>
      <c r="W515" s="530"/>
      <c r="X515" s="530"/>
      <c r="Y515" s="530"/>
      <c r="Z515" s="530"/>
      <c r="AA515" s="530"/>
      <c r="AB515" s="530"/>
      <c r="AC515" s="530"/>
      <c r="AD515" s="530"/>
    </row>
    <row r="516" spans="2:30" s="1" customFormat="1" ht="19.5" customHeight="1" x14ac:dyDescent="0.25">
      <c r="B516" s="665" t="s">
        <v>2295</v>
      </c>
      <c r="C516" s="665" t="s">
        <v>2296</v>
      </c>
      <c r="D516" s="663" t="s">
        <v>2297</v>
      </c>
      <c r="E516" s="756" t="s">
        <v>402</v>
      </c>
      <c r="F516" s="795"/>
      <c r="G516" s="606"/>
      <c r="H516" s="604"/>
      <c r="I516" s="530"/>
      <c r="J516" s="531"/>
      <c r="K516" s="580"/>
      <c r="L516" s="581"/>
      <c r="M516" s="530"/>
      <c r="N516" s="530"/>
      <c r="O516" s="530"/>
      <c r="P516" s="530"/>
      <c r="Q516" s="530"/>
      <c r="R516" s="530"/>
      <c r="S516" s="530"/>
      <c r="T516" s="530"/>
      <c r="U516" s="530"/>
      <c r="V516" s="530"/>
      <c r="W516" s="530"/>
      <c r="X516" s="530"/>
      <c r="Y516" s="530"/>
      <c r="Z516" s="530"/>
      <c r="AA516" s="530"/>
      <c r="AB516" s="530"/>
      <c r="AC516" s="530"/>
      <c r="AD516" s="530"/>
    </row>
    <row r="517" spans="2:30" s="1" customFormat="1" ht="19.5" customHeight="1" x14ac:dyDescent="0.25">
      <c r="B517" s="665" t="s">
        <v>2298</v>
      </c>
      <c r="C517" s="665" t="s">
        <v>2299</v>
      </c>
      <c r="D517" s="663" t="s">
        <v>2300</v>
      </c>
      <c r="E517" s="767" t="s">
        <v>1842</v>
      </c>
      <c r="F517" s="797"/>
      <c r="G517" s="606"/>
      <c r="H517" s="604"/>
      <c r="I517" s="530"/>
      <c r="J517" s="531"/>
      <c r="K517" s="580"/>
      <c r="L517" s="581"/>
      <c r="M517" s="530"/>
      <c r="N517" s="530"/>
      <c r="O517" s="530"/>
      <c r="P517" s="530"/>
      <c r="Q517" s="530"/>
      <c r="R517" s="530"/>
      <c r="S517" s="530"/>
      <c r="T517" s="530"/>
      <c r="U517" s="530"/>
      <c r="V517" s="530"/>
      <c r="W517" s="530"/>
      <c r="X517" s="530"/>
      <c r="Y517" s="530"/>
      <c r="Z517" s="530"/>
      <c r="AA517" s="530"/>
      <c r="AB517" s="530"/>
      <c r="AC517" s="530"/>
      <c r="AD517" s="530"/>
    </row>
    <row r="518" spans="2:30" s="1" customFormat="1" ht="19.5" customHeight="1" x14ac:dyDescent="0.25">
      <c r="B518" s="665" t="s">
        <v>2301</v>
      </c>
      <c r="C518" s="665" t="s">
        <v>2302</v>
      </c>
      <c r="D518" s="663" t="s">
        <v>2303</v>
      </c>
      <c r="E518" s="768" t="s">
        <v>321</v>
      </c>
      <c r="F518" s="798"/>
      <c r="G518" s="606"/>
      <c r="H518" s="604"/>
      <c r="I518" s="530"/>
      <c r="J518" s="531"/>
      <c r="K518" s="580"/>
      <c r="L518" s="581"/>
      <c r="M518" s="530"/>
      <c r="N518" s="530"/>
      <c r="O518" s="530"/>
      <c r="P518" s="530"/>
      <c r="Q518" s="530"/>
      <c r="R518" s="530"/>
      <c r="S518" s="530"/>
      <c r="T518" s="530"/>
      <c r="U518" s="530"/>
      <c r="V518" s="530"/>
      <c r="W518" s="530"/>
      <c r="X518" s="530"/>
      <c r="Y518" s="530"/>
      <c r="Z518" s="530"/>
      <c r="AA518" s="530"/>
      <c r="AB518" s="530"/>
      <c r="AC518" s="530"/>
      <c r="AD518" s="530"/>
    </row>
    <row r="519" spans="2:30" s="1" customFormat="1" ht="19.5" customHeight="1" x14ac:dyDescent="0.25">
      <c r="B519" s="665" t="s">
        <v>2304</v>
      </c>
      <c r="C519" s="665" t="s">
        <v>2305</v>
      </c>
      <c r="D519" s="664" t="s">
        <v>2306</v>
      </c>
      <c r="E519" s="767" t="s">
        <v>1842</v>
      </c>
      <c r="F519" s="797"/>
      <c r="G519" s="606"/>
      <c r="H519" s="604"/>
      <c r="I519" s="530"/>
      <c r="J519" s="531"/>
      <c r="K519" s="580"/>
      <c r="L519" s="581"/>
      <c r="M519" s="530"/>
      <c r="N519" s="530"/>
      <c r="O519" s="530"/>
      <c r="P519" s="530"/>
      <c r="Q519" s="530"/>
      <c r="R519" s="530"/>
      <c r="S519" s="530"/>
      <c r="T519" s="530"/>
      <c r="U519" s="530"/>
      <c r="V519" s="530"/>
      <c r="W519" s="530"/>
      <c r="X519" s="530"/>
      <c r="Y519" s="530"/>
      <c r="Z519" s="530"/>
      <c r="AA519" s="530"/>
      <c r="AB519" s="530"/>
      <c r="AC519" s="530"/>
      <c r="AD519" s="530"/>
    </row>
    <row r="520" spans="2:30" s="1" customFormat="1" ht="19.5" customHeight="1" x14ac:dyDescent="0.25">
      <c r="B520" s="665" t="s">
        <v>2307</v>
      </c>
      <c r="C520" s="665" t="s">
        <v>2308</v>
      </c>
      <c r="D520" s="664" t="s">
        <v>2309</v>
      </c>
      <c r="E520" s="767" t="s">
        <v>1842</v>
      </c>
      <c r="F520" s="797"/>
      <c r="G520" s="606"/>
      <c r="H520" s="604"/>
      <c r="I520" s="530"/>
      <c r="J520" s="531"/>
      <c r="K520" s="580"/>
      <c r="L520" s="581"/>
      <c r="M520" s="530"/>
      <c r="N520" s="530"/>
      <c r="O520" s="530"/>
      <c r="P520" s="530"/>
      <c r="Q520" s="530"/>
      <c r="R520" s="530"/>
      <c r="S520" s="530"/>
      <c r="T520" s="530"/>
      <c r="U520" s="530"/>
      <c r="V520" s="530"/>
      <c r="W520" s="530"/>
      <c r="X520" s="530"/>
      <c r="Y520" s="530"/>
      <c r="Z520" s="530"/>
      <c r="AA520" s="530"/>
      <c r="AB520" s="530"/>
      <c r="AC520" s="530"/>
      <c r="AD520" s="530"/>
    </row>
    <row r="521" spans="2:30" s="1" customFormat="1" ht="19.5" customHeight="1" x14ac:dyDescent="0.25">
      <c r="B521" s="665" t="s">
        <v>2310</v>
      </c>
      <c r="C521" s="665" t="s">
        <v>2311</v>
      </c>
      <c r="D521" s="664" t="s">
        <v>2312</v>
      </c>
      <c r="E521" s="766" t="s">
        <v>1624</v>
      </c>
      <c r="F521" s="796"/>
      <c r="G521" s="606"/>
      <c r="H521" s="604"/>
      <c r="I521" s="530"/>
      <c r="J521" s="531"/>
      <c r="K521" s="580"/>
      <c r="L521" s="581"/>
      <c r="M521" s="530"/>
      <c r="N521" s="530"/>
      <c r="O521" s="530"/>
      <c r="P521" s="530"/>
      <c r="Q521" s="530"/>
      <c r="R521" s="530"/>
      <c r="S521" s="530"/>
      <c r="T521" s="530"/>
      <c r="U521" s="530"/>
      <c r="V521" s="530"/>
      <c r="W521" s="530"/>
      <c r="X521" s="530"/>
      <c r="Y521" s="530"/>
      <c r="Z521" s="530"/>
      <c r="AA521" s="530"/>
      <c r="AB521" s="530"/>
      <c r="AC521" s="530"/>
      <c r="AD521" s="530"/>
    </row>
    <row r="522" spans="2:30" s="1" customFormat="1" ht="19.5" customHeight="1" x14ac:dyDescent="0.25">
      <c r="B522" s="665" t="s">
        <v>2313</v>
      </c>
      <c r="C522" s="665" t="s">
        <v>2314</v>
      </c>
      <c r="D522" s="663" t="s">
        <v>2315</v>
      </c>
      <c r="E522" s="767" t="s">
        <v>1842</v>
      </c>
      <c r="F522" s="797"/>
      <c r="G522" s="606"/>
      <c r="H522" s="604"/>
      <c r="I522" s="530"/>
      <c r="J522" s="531"/>
      <c r="K522" s="580"/>
      <c r="L522" s="581"/>
      <c r="M522" s="530"/>
      <c r="N522" s="530"/>
      <c r="O522" s="530"/>
      <c r="P522" s="530"/>
      <c r="Q522" s="530"/>
      <c r="R522" s="530"/>
      <c r="S522" s="530"/>
      <c r="T522" s="530"/>
      <c r="U522" s="530"/>
      <c r="V522" s="530"/>
      <c r="W522" s="530"/>
      <c r="X522" s="530"/>
      <c r="Y522" s="530"/>
      <c r="Z522" s="530"/>
      <c r="AA522" s="530"/>
      <c r="AB522" s="530"/>
      <c r="AC522" s="530"/>
      <c r="AD522" s="530"/>
    </row>
    <row r="523" spans="2:30" s="1" customFormat="1" ht="19.5" customHeight="1" x14ac:dyDescent="0.25">
      <c r="B523" s="665" t="s">
        <v>2316</v>
      </c>
      <c r="C523" s="665" t="s">
        <v>2317</v>
      </c>
      <c r="D523" s="663" t="s">
        <v>2318</v>
      </c>
      <c r="E523" s="766" t="s">
        <v>1624</v>
      </c>
      <c r="F523" s="796"/>
      <c r="G523" s="606"/>
      <c r="H523" s="604"/>
      <c r="I523" s="530"/>
      <c r="J523" s="531"/>
      <c r="K523" s="580"/>
      <c r="L523" s="581"/>
      <c r="M523" s="530"/>
      <c r="N523" s="530"/>
      <c r="O523" s="530"/>
      <c r="P523" s="530"/>
      <c r="Q523" s="530"/>
      <c r="R523" s="530"/>
      <c r="S523" s="530"/>
      <c r="T523" s="530"/>
      <c r="U523" s="530"/>
      <c r="V523" s="530"/>
      <c r="W523" s="530"/>
      <c r="X523" s="530"/>
      <c r="Y523" s="530"/>
      <c r="Z523" s="530"/>
      <c r="AA523" s="530"/>
      <c r="AB523" s="530"/>
      <c r="AC523" s="530"/>
      <c r="AD523" s="530"/>
    </row>
    <row r="524" spans="2:30" s="1" customFormat="1" ht="19.5" customHeight="1" x14ac:dyDescent="0.25">
      <c r="B524" s="665" t="s">
        <v>2319</v>
      </c>
      <c r="C524" s="665" t="s">
        <v>2320</v>
      </c>
      <c r="D524" s="663" t="s">
        <v>2321</v>
      </c>
      <c r="E524" s="767" t="s">
        <v>1842</v>
      </c>
      <c r="F524" s="797"/>
      <c r="G524" s="606"/>
      <c r="H524" s="604"/>
      <c r="I524" s="530"/>
      <c r="J524" s="531"/>
      <c r="K524" s="580"/>
      <c r="L524" s="581"/>
      <c r="M524" s="530"/>
      <c r="N524" s="530"/>
      <c r="O524" s="530"/>
      <c r="P524" s="530"/>
      <c r="Q524" s="530"/>
      <c r="R524" s="530"/>
      <c r="S524" s="530"/>
      <c r="T524" s="530"/>
      <c r="U524" s="530"/>
      <c r="V524" s="530"/>
      <c r="W524" s="530"/>
      <c r="X524" s="530"/>
      <c r="Y524" s="530"/>
      <c r="Z524" s="530"/>
      <c r="AA524" s="530"/>
      <c r="AB524" s="530"/>
      <c r="AC524" s="530"/>
      <c r="AD524" s="530"/>
    </row>
    <row r="525" spans="2:30" s="1" customFormat="1" ht="19.5" customHeight="1" x14ac:dyDescent="0.25">
      <c r="B525" s="665" t="s">
        <v>2322</v>
      </c>
      <c r="C525" s="665" t="s">
        <v>2323</v>
      </c>
      <c r="D525" s="663" t="s">
        <v>2324</v>
      </c>
      <c r="E525" s="756" t="s">
        <v>402</v>
      </c>
      <c r="F525" s="795"/>
      <c r="G525" s="606"/>
      <c r="H525" s="604"/>
      <c r="I525" s="530"/>
      <c r="J525" s="531"/>
      <c r="K525" s="580"/>
      <c r="L525" s="581"/>
      <c r="M525" s="530"/>
      <c r="N525" s="530"/>
      <c r="O525" s="530"/>
      <c r="P525" s="530"/>
      <c r="Q525" s="530"/>
      <c r="R525" s="530"/>
      <c r="S525" s="530"/>
      <c r="T525" s="530"/>
      <c r="U525" s="530"/>
      <c r="V525" s="530"/>
      <c r="W525" s="530"/>
      <c r="X525" s="530"/>
      <c r="Y525" s="530"/>
      <c r="Z525" s="530"/>
      <c r="AA525" s="530"/>
      <c r="AB525" s="530"/>
      <c r="AC525" s="530"/>
      <c r="AD525" s="530"/>
    </row>
    <row r="526" spans="2:30" s="1" customFormat="1" ht="19.5" customHeight="1" x14ac:dyDescent="0.25">
      <c r="B526" s="665" t="s">
        <v>2325</v>
      </c>
      <c r="C526" s="665" t="s">
        <v>2326</v>
      </c>
      <c r="D526" s="663" t="s">
        <v>2327</v>
      </c>
      <c r="E526" s="767" t="s">
        <v>1842</v>
      </c>
      <c r="F526" s="797"/>
      <c r="G526" s="606"/>
      <c r="H526" s="604"/>
      <c r="I526" s="530"/>
      <c r="J526" s="531"/>
      <c r="K526" s="580"/>
      <c r="L526" s="581"/>
      <c r="M526" s="530"/>
      <c r="N526" s="530"/>
      <c r="O526" s="530"/>
      <c r="P526" s="530"/>
      <c r="Q526" s="530"/>
      <c r="R526" s="530"/>
      <c r="S526" s="530"/>
      <c r="T526" s="530"/>
      <c r="U526" s="530"/>
      <c r="V526" s="530"/>
      <c r="W526" s="530"/>
      <c r="X526" s="530"/>
      <c r="Y526" s="530"/>
      <c r="Z526" s="530"/>
      <c r="AA526" s="530"/>
      <c r="AB526" s="530"/>
      <c r="AC526" s="530"/>
      <c r="AD526" s="530"/>
    </row>
    <row r="527" spans="2:30" s="1" customFormat="1" ht="19.5" customHeight="1" x14ac:dyDescent="0.25">
      <c r="B527" s="665" t="s">
        <v>2328</v>
      </c>
      <c r="C527" s="665" t="s">
        <v>2329</v>
      </c>
      <c r="D527" s="663" t="s">
        <v>2330</v>
      </c>
      <c r="E527" s="756" t="s">
        <v>402</v>
      </c>
      <c r="F527" s="795"/>
      <c r="G527" s="606"/>
      <c r="H527" s="604"/>
      <c r="I527" s="530"/>
      <c r="J527" s="531"/>
      <c r="K527" s="580"/>
      <c r="L527" s="581"/>
      <c r="M527" s="530"/>
      <c r="N527" s="530"/>
      <c r="O527" s="530"/>
      <c r="P527" s="530"/>
      <c r="Q527" s="530"/>
      <c r="R527" s="530"/>
      <c r="S527" s="530"/>
      <c r="T527" s="530"/>
      <c r="U527" s="530"/>
      <c r="V527" s="530"/>
      <c r="W527" s="530"/>
      <c r="X527" s="530"/>
      <c r="Y527" s="530"/>
      <c r="Z527" s="530"/>
      <c r="AA527" s="530"/>
      <c r="AB527" s="530"/>
      <c r="AC527" s="530"/>
      <c r="AD527" s="530"/>
    </row>
    <row r="528" spans="2:30" s="1" customFormat="1" ht="19.5" customHeight="1" x14ac:dyDescent="0.25">
      <c r="B528" s="665" t="s">
        <v>2331</v>
      </c>
      <c r="C528" s="665" t="s">
        <v>2332</v>
      </c>
      <c r="D528" s="664" t="s">
        <v>2333</v>
      </c>
      <c r="E528" s="767" t="s">
        <v>1842</v>
      </c>
      <c r="F528" s="797"/>
      <c r="G528" s="606"/>
      <c r="H528" s="604"/>
      <c r="I528" s="530"/>
      <c r="J528" s="531"/>
      <c r="K528" s="580"/>
      <c r="L528" s="581"/>
      <c r="M528" s="530"/>
      <c r="N528" s="530"/>
      <c r="O528" s="530"/>
      <c r="P528" s="530"/>
      <c r="Q528" s="530"/>
      <c r="R528" s="530"/>
      <c r="S528" s="530"/>
      <c r="T528" s="530"/>
      <c r="U528" s="530"/>
      <c r="V528" s="530"/>
      <c r="W528" s="530"/>
      <c r="X528" s="530"/>
      <c r="Y528" s="530"/>
      <c r="Z528" s="530"/>
      <c r="AA528" s="530"/>
      <c r="AB528" s="530"/>
      <c r="AC528" s="530"/>
      <c r="AD528" s="530"/>
    </row>
    <row r="529" spans="2:30" s="1" customFormat="1" ht="19.5" customHeight="1" x14ac:dyDescent="0.25">
      <c r="B529" s="665" t="s">
        <v>2334</v>
      </c>
      <c r="C529" s="665" t="s">
        <v>2335</v>
      </c>
      <c r="D529" s="664" t="s">
        <v>2336</v>
      </c>
      <c r="E529" s="767" t="s">
        <v>1842</v>
      </c>
      <c r="F529" s="797"/>
      <c r="G529" s="606"/>
      <c r="H529" s="604"/>
      <c r="I529" s="530"/>
      <c r="J529" s="531"/>
      <c r="K529" s="580"/>
      <c r="L529" s="581"/>
      <c r="M529" s="530"/>
      <c r="N529" s="530"/>
      <c r="O529" s="530"/>
      <c r="P529" s="530"/>
      <c r="Q529" s="530"/>
      <c r="R529" s="530"/>
      <c r="S529" s="530"/>
      <c r="T529" s="530"/>
      <c r="U529" s="530"/>
      <c r="V529" s="530"/>
      <c r="W529" s="530"/>
      <c r="X529" s="530"/>
      <c r="Y529" s="530"/>
      <c r="Z529" s="530"/>
      <c r="AA529" s="530"/>
      <c r="AB529" s="530"/>
      <c r="AC529" s="530"/>
      <c r="AD529" s="530"/>
    </row>
    <row r="530" spans="2:30" s="1" customFormat="1" ht="19.5" customHeight="1" x14ac:dyDescent="0.25">
      <c r="B530" s="665" t="s">
        <v>1551</v>
      </c>
      <c r="C530" s="665" t="s">
        <v>1552</v>
      </c>
      <c r="D530" s="664" t="s">
        <v>1553</v>
      </c>
      <c r="E530" s="756" t="s">
        <v>402</v>
      </c>
      <c r="F530" s="795"/>
      <c r="G530" s="606"/>
      <c r="H530" s="604"/>
      <c r="I530" s="530"/>
      <c r="J530" s="531"/>
      <c r="K530" s="580"/>
      <c r="L530" s="581"/>
      <c r="M530" s="530"/>
      <c r="N530" s="530"/>
      <c r="O530" s="530"/>
      <c r="P530" s="530"/>
      <c r="Q530" s="530"/>
      <c r="R530" s="530"/>
      <c r="S530" s="530"/>
      <c r="T530" s="530"/>
      <c r="U530" s="530"/>
      <c r="V530" s="530"/>
      <c r="W530" s="530"/>
      <c r="X530" s="530"/>
      <c r="Y530" s="530"/>
      <c r="Z530" s="530"/>
      <c r="AA530" s="530"/>
      <c r="AB530" s="530"/>
      <c r="AC530" s="530"/>
      <c r="AD530" s="530"/>
    </row>
    <row r="531" spans="2:30" s="1" customFormat="1" ht="19.5" customHeight="1" x14ac:dyDescent="0.25">
      <c r="B531" s="665" t="s">
        <v>1554</v>
      </c>
      <c r="C531" s="665" t="s">
        <v>1555</v>
      </c>
      <c r="D531" s="664" t="s">
        <v>1556</v>
      </c>
      <c r="E531" s="766" t="s">
        <v>1624</v>
      </c>
      <c r="F531" s="796"/>
      <c r="G531" s="606"/>
      <c r="H531" s="604"/>
      <c r="I531" s="530"/>
      <c r="J531" s="531"/>
      <c r="K531" s="580"/>
      <c r="L531" s="581"/>
      <c r="M531" s="530"/>
      <c r="N531" s="530"/>
      <c r="O531" s="530"/>
      <c r="P531" s="530"/>
      <c r="Q531" s="530"/>
      <c r="R531" s="530"/>
      <c r="S531" s="530"/>
      <c r="T531" s="530"/>
      <c r="U531" s="530"/>
      <c r="V531" s="530"/>
      <c r="W531" s="530"/>
      <c r="X531" s="530"/>
      <c r="Y531" s="530"/>
      <c r="Z531" s="530"/>
      <c r="AA531" s="530"/>
      <c r="AB531" s="530"/>
      <c r="AC531" s="530"/>
      <c r="AD531" s="530"/>
    </row>
    <row r="532" spans="2:30" s="1" customFormat="1" ht="19.5" customHeight="1" x14ac:dyDescent="0.25">
      <c r="B532" s="665" t="s">
        <v>1557</v>
      </c>
      <c r="C532" s="665" t="s">
        <v>1558</v>
      </c>
      <c r="D532" s="664" t="s">
        <v>1559</v>
      </c>
      <c r="E532" s="756" t="s">
        <v>402</v>
      </c>
      <c r="F532" s="795"/>
      <c r="G532" s="606"/>
      <c r="H532" s="604"/>
      <c r="I532" s="530"/>
      <c r="J532" s="531"/>
      <c r="K532" s="580"/>
      <c r="L532" s="581"/>
      <c r="M532" s="530"/>
      <c r="N532" s="530"/>
      <c r="O532" s="530"/>
      <c r="P532" s="530"/>
      <c r="Q532" s="530"/>
      <c r="R532" s="530"/>
      <c r="S532" s="530"/>
      <c r="T532" s="530"/>
      <c r="U532" s="530"/>
      <c r="V532" s="530"/>
      <c r="W532" s="530"/>
      <c r="X532" s="530"/>
      <c r="Y532" s="530"/>
      <c r="Z532" s="530"/>
      <c r="AA532" s="530"/>
      <c r="AB532" s="530"/>
      <c r="AC532" s="530"/>
      <c r="AD532" s="530"/>
    </row>
    <row r="533" spans="2:30" s="1" customFormat="1" ht="19.5" customHeight="1" x14ac:dyDescent="0.25">
      <c r="B533" s="665" t="s">
        <v>1560</v>
      </c>
      <c r="C533" s="665" t="s">
        <v>1561</v>
      </c>
      <c r="D533" s="664" t="s">
        <v>1562</v>
      </c>
      <c r="E533" s="756" t="s">
        <v>402</v>
      </c>
      <c r="F533" s="795"/>
      <c r="G533" s="606"/>
      <c r="H533" s="604"/>
      <c r="I533" s="530"/>
      <c r="J533" s="531"/>
      <c r="K533" s="580"/>
      <c r="L533" s="581"/>
      <c r="M533" s="530"/>
      <c r="N533" s="530"/>
      <c r="O533" s="530"/>
      <c r="P533" s="530"/>
      <c r="Q533" s="530"/>
      <c r="R533" s="530"/>
      <c r="S533" s="530"/>
      <c r="T533" s="530"/>
      <c r="U533" s="530"/>
      <c r="V533" s="530"/>
      <c r="W533" s="530"/>
      <c r="X533" s="530"/>
      <c r="Y533" s="530"/>
      <c r="Z533" s="530"/>
      <c r="AA533" s="530"/>
      <c r="AB533" s="530"/>
      <c r="AC533" s="530"/>
      <c r="AD533" s="530"/>
    </row>
    <row r="534" spans="2:30" s="1" customFormat="1" ht="19.5" customHeight="1" x14ac:dyDescent="0.25">
      <c r="B534" s="665" t="s">
        <v>1563</v>
      </c>
      <c r="C534" s="665" t="s">
        <v>1564</v>
      </c>
      <c r="D534" s="667" t="s">
        <v>1565</v>
      </c>
      <c r="E534" s="767" t="s">
        <v>1842</v>
      </c>
      <c r="F534" s="797"/>
      <c r="G534" s="606"/>
      <c r="H534" s="604"/>
      <c r="I534" s="530"/>
      <c r="J534" s="531"/>
      <c r="K534" s="580"/>
      <c r="L534" s="581"/>
      <c r="M534" s="530"/>
      <c r="N534" s="530"/>
      <c r="O534" s="530"/>
      <c r="P534" s="530"/>
      <c r="Q534" s="530"/>
      <c r="R534" s="530"/>
      <c r="S534" s="530"/>
      <c r="T534" s="530"/>
      <c r="U534" s="530"/>
      <c r="V534" s="530"/>
      <c r="W534" s="530"/>
      <c r="X534" s="530"/>
      <c r="Y534" s="530"/>
      <c r="Z534" s="530"/>
      <c r="AA534" s="530"/>
      <c r="AB534" s="530"/>
      <c r="AC534" s="530"/>
      <c r="AD534" s="530"/>
    </row>
    <row r="535" spans="2:30" s="1" customFormat="1" ht="19.5" customHeight="1" x14ac:dyDescent="0.25">
      <c r="B535" s="665" t="s">
        <v>1566</v>
      </c>
      <c r="C535" s="665" t="s">
        <v>1567</v>
      </c>
      <c r="D535" s="667" t="s">
        <v>1568</v>
      </c>
      <c r="E535" s="767" t="s">
        <v>1842</v>
      </c>
      <c r="F535" s="797"/>
      <c r="G535" s="606"/>
      <c r="H535" s="604"/>
      <c r="I535" s="530"/>
      <c r="J535" s="531"/>
      <c r="K535" s="580"/>
      <c r="L535" s="581"/>
      <c r="M535" s="530"/>
      <c r="N535" s="530"/>
      <c r="O535" s="530"/>
      <c r="P535" s="530"/>
      <c r="Q535" s="530"/>
      <c r="R535" s="530"/>
      <c r="S535" s="530"/>
      <c r="T535" s="530"/>
      <c r="U535" s="530"/>
      <c r="V535" s="530"/>
      <c r="W535" s="530"/>
      <c r="X535" s="530"/>
      <c r="Y535" s="530"/>
      <c r="Z535" s="530"/>
      <c r="AA535" s="530"/>
      <c r="AB535" s="530"/>
      <c r="AC535" s="530"/>
      <c r="AD535" s="530"/>
    </row>
    <row r="536" spans="2:30" s="1" customFormat="1" ht="19.5" customHeight="1" x14ac:dyDescent="0.25">
      <c r="B536" s="665" t="s">
        <v>1569</v>
      </c>
      <c r="C536" s="665" t="s">
        <v>1570</v>
      </c>
      <c r="D536" s="664" t="s">
        <v>1571</v>
      </c>
      <c r="E536" s="756" t="s">
        <v>402</v>
      </c>
      <c r="F536" s="795"/>
      <c r="G536" s="606"/>
      <c r="H536" s="604"/>
      <c r="I536" s="530"/>
      <c r="J536" s="531"/>
      <c r="K536" s="580"/>
      <c r="L536" s="581"/>
      <c r="M536" s="530"/>
      <c r="N536" s="530"/>
      <c r="O536" s="530"/>
      <c r="P536" s="530"/>
      <c r="Q536" s="530"/>
      <c r="R536" s="530"/>
      <c r="S536" s="530"/>
      <c r="T536" s="530"/>
      <c r="U536" s="530"/>
      <c r="V536" s="530"/>
      <c r="W536" s="530"/>
      <c r="X536" s="530"/>
      <c r="Y536" s="530"/>
      <c r="Z536" s="530"/>
      <c r="AA536" s="530"/>
      <c r="AB536" s="530"/>
      <c r="AC536" s="530"/>
      <c r="AD536" s="530"/>
    </row>
    <row r="537" spans="2:30" s="1" customFormat="1" ht="19.5" customHeight="1" x14ac:dyDescent="0.25">
      <c r="B537" s="665" t="s">
        <v>1572</v>
      </c>
      <c r="C537" s="665" t="s">
        <v>1573</v>
      </c>
      <c r="D537" s="667" t="s">
        <v>1574</v>
      </c>
      <c r="E537" s="756" t="s">
        <v>402</v>
      </c>
      <c r="F537" s="795"/>
      <c r="G537" s="606"/>
      <c r="H537" s="604"/>
      <c r="I537" s="530"/>
      <c r="J537" s="531"/>
      <c r="K537" s="580"/>
      <c r="L537" s="581"/>
      <c r="M537" s="530"/>
      <c r="N537" s="530"/>
      <c r="O537" s="530"/>
      <c r="P537" s="530"/>
      <c r="Q537" s="530"/>
      <c r="R537" s="530"/>
      <c r="S537" s="530"/>
      <c r="T537" s="530"/>
      <c r="U537" s="530"/>
      <c r="V537" s="530"/>
      <c r="W537" s="530"/>
      <c r="X537" s="530"/>
      <c r="Y537" s="530"/>
      <c r="Z537" s="530"/>
      <c r="AA537" s="530"/>
      <c r="AB537" s="530"/>
      <c r="AC537" s="530"/>
      <c r="AD537" s="530"/>
    </row>
    <row r="538" spans="2:30" s="1" customFormat="1" x14ac:dyDescent="0.25">
      <c r="B538" s="665" t="s">
        <v>1575</v>
      </c>
      <c r="C538" s="665" t="s">
        <v>1576</v>
      </c>
      <c r="D538" s="667" t="s">
        <v>2337</v>
      </c>
      <c r="E538" s="771" t="s">
        <v>382</v>
      </c>
      <c r="F538" s="801"/>
      <c r="G538" s="606"/>
      <c r="H538" s="604"/>
      <c r="I538" s="530"/>
      <c r="J538" s="531"/>
      <c r="K538" s="580"/>
      <c r="L538" s="581"/>
      <c r="M538" s="530"/>
      <c r="N538" s="530"/>
      <c r="O538" s="530"/>
      <c r="P538" s="530"/>
      <c r="Q538" s="530"/>
      <c r="R538" s="530"/>
      <c r="S538" s="530"/>
      <c r="T538" s="530"/>
      <c r="U538" s="530"/>
      <c r="V538" s="530"/>
      <c r="W538" s="530"/>
      <c r="X538" s="530"/>
      <c r="Y538" s="530"/>
      <c r="Z538" s="530"/>
      <c r="AA538" s="530"/>
      <c r="AB538" s="530"/>
      <c r="AC538" s="530"/>
      <c r="AD538" s="530"/>
    </row>
    <row r="539" spans="2:30" s="1" customFormat="1" x14ac:dyDescent="0.25">
      <c r="B539" s="661" t="s">
        <v>1577</v>
      </c>
      <c r="C539" s="661" t="s">
        <v>1578</v>
      </c>
      <c r="D539" s="663" t="s">
        <v>355</v>
      </c>
      <c r="E539" s="753" t="s">
        <v>355</v>
      </c>
      <c r="F539" s="804"/>
      <c r="G539" s="605"/>
      <c r="H539" s="604">
        <f t="shared" ref="H539:H544" si="3">F539*G539</f>
        <v>0</v>
      </c>
      <c r="I539" s="530"/>
      <c r="J539" s="531"/>
      <c r="K539" s="580"/>
      <c r="L539" s="581"/>
      <c r="M539" s="530"/>
      <c r="N539" s="530"/>
      <c r="O539" s="530"/>
      <c r="P539" s="530"/>
      <c r="Q539" s="530"/>
      <c r="R539" s="530"/>
      <c r="S539" s="530"/>
      <c r="T539" s="530"/>
      <c r="U539" s="530"/>
      <c r="V539" s="530"/>
      <c r="W539" s="530"/>
      <c r="X539" s="530"/>
      <c r="Y539" s="530"/>
      <c r="Z539" s="530"/>
      <c r="AA539" s="530"/>
      <c r="AB539" s="530"/>
      <c r="AC539" s="530"/>
      <c r="AD539" s="530"/>
    </row>
    <row r="540" spans="2:30" s="1" customFormat="1" x14ac:dyDescent="0.25">
      <c r="B540" s="661" t="s">
        <v>1580</v>
      </c>
      <c r="C540" s="661" t="s">
        <v>1581</v>
      </c>
      <c r="D540" s="663" t="s">
        <v>357</v>
      </c>
      <c r="E540" s="754" t="s">
        <v>357</v>
      </c>
      <c r="F540" s="805"/>
      <c r="G540" s="605"/>
      <c r="H540" s="604">
        <f t="shared" si="3"/>
        <v>0</v>
      </c>
      <c r="I540" s="530"/>
      <c r="J540" s="531"/>
      <c r="K540" s="580"/>
      <c r="L540" s="581"/>
      <c r="M540" s="530"/>
      <c r="N540" s="530"/>
      <c r="O540" s="530"/>
      <c r="P540" s="530"/>
      <c r="Q540" s="530"/>
      <c r="R540" s="530"/>
      <c r="S540" s="530"/>
      <c r="T540" s="530"/>
      <c r="U540" s="530"/>
      <c r="V540" s="530"/>
      <c r="W540" s="530"/>
      <c r="X540" s="530"/>
      <c r="Y540" s="530"/>
      <c r="Z540" s="530"/>
      <c r="AA540" s="530"/>
      <c r="AB540" s="530"/>
      <c r="AC540" s="530"/>
      <c r="AD540" s="530"/>
    </row>
    <row r="541" spans="2:30" s="1" customFormat="1" x14ac:dyDescent="0.25">
      <c r="B541" s="661" t="s">
        <v>1583</v>
      </c>
      <c r="C541" s="661" t="s">
        <v>1584</v>
      </c>
      <c r="D541" s="663" t="s">
        <v>359</v>
      </c>
      <c r="E541" s="755" t="s">
        <v>359</v>
      </c>
      <c r="F541" s="795"/>
      <c r="G541" s="605"/>
      <c r="H541" s="604">
        <f t="shared" si="3"/>
        <v>0</v>
      </c>
      <c r="I541" s="530"/>
      <c r="J541" s="531"/>
      <c r="K541" s="580"/>
      <c r="L541" s="581"/>
      <c r="M541" s="530"/>
      <c r="N541" s="530"/>
      <c r="O541" s="530"/>
      <c r="P541" s="530"/>
      <c r="Q541" s="530"/>
      <c r="R541" s="530"/>
      <c r="S541" s="530"/>
      <c r="T541" s="530"/>
      <c r="U541" s="530"/>
      <c r="V541" s="530"/>
      <c r="W541" s="530"/>
      <c r="X541" s="530"/>
      <c r="Y541" s="530"/>
      <c r="Z541" s="530"/>
      <c r="AA541" s="530"/>
      <c r="AB541" s="530"/>
      <c r="AC541" s="530"/>
      <c r="AD541" s="530"/>
    </row>
    <row r="542" spans="2:30" s="1" customFormat="1" x14ac:dyDescent="0.25">
      <c r="B542" s="661" t="s">
        <v>1585</v>
      </c>
      <c r="C542" s="661" t="s">
        <v>1586</v>
      </c>
      <c r="D542" s="663" t="s">
        <v>453</v>
      </c>
      <c r="E542" s="742" t="s">
        <v>453</v>
      </c>
      <c r="F542" s="806"/>
      <c r="G542" s="605"/>
      <c r="H542" s="604">
        <f t="shared" si="3"/>
        <v>0</v>
      </c>
      <c r="I542" s="530"/>
      <c r="J542" s="531"/>
      <c r="K542" s="580"/>
      <c r="L542" s="581"/>
      <c r="M542" s="530"/>
      <c r="N542" s="530"/>
      <c r="O542" s="530"/>
      <c r="P542" s="530"/>
      <c r="Q542" s="530"/>
      <c r="R542" s="530"/>
      <c r="S542" s="530"/>
      <c r="T542" s="530"/>
      <c r="U542" s="530"/>
      <c r="V542" s="530"/>
      <c r="W542" s="530"/>
      <c r="X542" s="530"/>
      <c r="Y542" s="530"/>
      <c r="Z542" s="530"/>
      <c r="AA542" s="530"/>
      <c r="AB542" s="530"/>
      <c r="AC542" s="530"/>
      <c r="AD542" s="530"/>
    </row>
    <row r="543" spans="2:30" s="1" customFormat="1" x14ac:dyDescent="0.25">
      <c r="B543" s="661" t="s">
        <v>1587</v>
      </c>
      <c r="C543" s="661" t="s">
        <v>1588</v>
      </c>
      <c r="D543" s="663" t="s">
        <v>454</v>
      </c>
      <c r="E543" s="757" t="s">
        <v>454</v>
      </c>
      <c r="F543" s="807"/>
      <c r="G543" s="605"/>
      <c r="H543" s="604">
        <f t="shared" si="3"/>
        <v>0</v>
      </c>
      <c r="I543" s="530"/>
      <c r="J543" s="531"/>
      <c r="K543" s="580"/>
      <c r="L543" s="581"/>
      <c r="M543" s="530"/>
      <c r="N543" s="530"/>
      <c r="O543" s="530"/>
      <c r="P543" s="530"/>
      <c r="Q543" s="530"/>
      <c r="R543" s="530"/>
      <c r="S543" s="530"/>
      <c r="T543" s="530"/>
      <c r="U543" s="530"/>
      <c r="V543" s="530"/>
      <c r="W543" s="530"/>
      <c r="X543" s="530"/>
      <c r="Y543" s="530"/>
      <c r="Z543" s="530"/>
      <c r="AA543" s="530"/>
      <c r="AB543" s="530"/>
      <c r="AC543" s="530"/>
      <c r="AD543" s="530"/>
    </row>
    <row r="544" spans="2:30" s="1" customFormat="1" x14ac:dyDescent="0.25">
      <c r="B544" s="661" t="s">
        <v>1589</v>
      </c>
      <c r="C544" s="661" t="s">
        <v>1590</v>
      </c>
      <c r="D544" s="663" t="s">
        <v>455</v>
      </c>
      <c r="E544" s="758" t="s">
        <v>455</v>
      </c>
      <c r="F544" s="808"/>
      <c r="G544" s="605"/>
      <c r="H544" s="604">
        <f t="shared" si="3"/>
        <v>0</v>
      </c>
      <c r="I544" s="530"/>
      <c r="J544" s="531"/>
      <c r="K544" s="580"/>
      <c r="L544" s="581"/>
      <c r="M544" s="530"/>
      <c r="N544" s="530"/>
      <c r="O544" s="530"/>
      <c r="P544" s="530"/>
      <c r="Q544" s="530"/>
      <c r="R544" s="530"/>
      <c r="S544" s="530"/>
      <c r="T544" s="530"/>
      <c r="U544" s="530"/>
      <c r="V544" s="530"/>
      <c r="W544" s="530"/>
      <c r="X544" s="530"/>
      <c r="Y544" s="530"/>
      <c r="Z544" s="530"/>
      <c r="AA544" s="530"/>
      <c r="AB544" s="530"/>
      <c r="AC544" s="530"/>
      <c r="AD544" s="530"/>
    </row>
    <row r="545" spans="2:30" s="1" customFormat="1" x14ac:dyDescent="0.25">
      <c r="B545" s="530"/>
      <c r="C545" s="530"/>
      <c r="D545" s="530"/>
      <c r="E545" s="749"/>
      <c r="F545" s="530"/>
      <c r="G545" s="530"/>
      <c r="H545" s="530"/>
      <c r="I545" s="530"/>
      <c r="J545" s="531"/>
      <c r="K545" s="580"/>
      <c r="L545" s="581"/>
      <c r="M545" s="530"/>
      <c r="N545" s="530"/>
      <c r="O545" s="530"/>
      <c r="P545" s="530"/>
      <c r="Q545" s="530"/>
      <c r="R545" s="530"/>
      <c r="S545" s="530"/>
      <c r="T545" s="530"/>
      <c r="U545" s="530"/>
      <c r="V545" s="530"/>
      <c r="W545" s="530"/>
      <c r="X545" s="530"/>
      <c r="Y545" s="530"/>
      <c r="Z545" s="530"/>
      <c r="AA545" s="530"/>
      <c r="AB545" s="530"/>
      <c r="AC545" s="530"/>
      <c r="AD545" s="530"/>
    </row>
    <row r="546" spans="2:30" s="1" customFormat="1" x14ac:dyDescent="0.25">
      <c r="B546" s="530"/>
      <c r="C546" s="530"/>
      <c r="D546" s="530"/>
      <c r="E546" s="749"/>
      <c r="F546" s="530"/>
      <c r="G546" s="530"/>
      <c r="H546" s="530"/>
      <c r="I546" s="530"/>
      <c r="J546" s="531"/>
      <c r="K546" s="580"/>
      <c r="L546" s="581"/>
      <c r="M546" s="530"/>
      <c r="N546" s="530"/>
      <c r="O546" s="530"/>
      <c r="P546" s="530"/>
      <c r="Q546" s="530"/>
      <c r="R546" s="530"/>
      <c r="S546" s="530"/>
      <c r="T546" s="530"/>
      <c r="U546" s="530"/>
      <c r="V546" s="530"/>
      <c r="W546" s="530"/>
      <c r="X546" s="530"/>
      <c r="Y546" s="530"/>
      <c r="Z546" s="530"/>
      <c r="AA546" s="530"/>
      <c r="AB546" s="530"/>
      <c r="AC546" s="530"/>
      <c r="AD546" s="530"/>
    </row>
    <row r="547" spans="2:30" s="1" customFormat="1" x14ac:dyDescent="0.25">
      <c r="B547" s="530"/>
      <c r="C547" s="530"/>
      <c r="D547" s="530"/>
      <c r="E547" s="749"/>
      <c r="F547" s="530"/>
      <c r="G547" s="530"/>
      <c r="H547" s="530"/>
      <c r="I547" s="530"/>
      <c r="J547" s="531"/>
      <c r="K547" s="580"/>
      <c r="L547" s="581"/>
      <c r="M547" s="530"/>
      <c r="N547" s="530"/>
      <c r="O547" s="530"/>
      <c r="P547" s="530"/>
      <c r="Q547" s="530"/>
      <c r="R547" s="530"/>
      <c r="S547" s="530"/>
      <c r="T547" s="530"/>
      <c r="U547" s="530"/>
      <c r="V547" s="530"/>
      <c r="W547" s="530"/>
      <c r="X547" s="530"/>
      <c r="Y547" s="530"/>
      <c r="Z547" s="530"/>
      <c r="AA547" s="530"/>
      <c r="AB547" s="530"/>
      <c r="AC547" s="530"/>
      <c r="AD547" s="530"/>
    </row>
    <row r="548" spans="2:30" s="1" customFormat="1" x14ac:dyDescent="0.25">
      <c r="B548" s="530"/>
      <c r="C548" s="530"/>
      <c r="D548" s="530"/>
      <c r="E548" s="749"/>
      <c r="F548" s="530"/>
      <c r="G548" s="530"/>
      <c r="H548" s="530"/>
      <c r="I548" s="530"/>
      <c r="J548" s="531"/>
      <c r="K548" s="580"/>
      <c r="L548" s="581"/>
      <c r="M548" s="530"/>
      <c r="N548" s="530"/>
      <c r="O548" s="530"/>
      <c r="P548" s="530"/>
      <c r="Q548" s="530"/>
      <c r="R548" s="530"/>
      <c r="S548" s="530"/>
      <c r="T548" s="530"/>
      <c r="U548" s="530"/>
      <c r="V548" s="530"/>
      <c r="W548" s="530"/>
      <c r="X548" s="530"/>
      <c r="Y548" s="530"/>
      <c r="Z548" s="530"/>
      <c r="AA548" s="530"/>
      <c r="AB548" s="530"/>
      <c r="AC548" s="530"/>
      <c r="AD548" s="530"/>
    </row>
    <row r="549" spans="2:30" s="1" customFormat="1" x14ac:dyDescent="0.25">
      <c r="B549" s="530"/>
      <c r="C549" s="530"/>
      <c r="D549" s="530"/>
      <c r="E549" s="749"/>
      <c r="F549" s="530"/>
      <c r="G549" s="530"/>
      <c r="H549" s="530"/>
      <c r="I549" s="530"/>
      <c r="J549" s="531"/>
      <c r="K549" s="580"/>
      <c r="L549" s="581"/>
      <c r="M549" s="530"/>
      <c r="N549" s="530"/>
      <c r="O549" s="530"/>
      <c r="P549" s="530"/>
      <c r="Q549" s="530"/>
      <c r="R549" s="530"/>
      <c r="S549" s="530"/>
      <c r="T549" s="530"/>
      <c r="U549" s="530"/>
      <c r="V549" s="530"/>
      <c r="W549" s="530"/>
      <c r="X549" s="530"/>
      <c r="Y549" s="530"/>
      <c r="Z549" s="530"/>
      <c r="AA549" s="530"/>
      <c r="AB549" s="530"/>
      <c r="AC549" s="530"/>
      <c r="AD549" s="530"/>
    </row>
    <row r="550" spans="2:30" s="1" customFormat="1" x14ac:dyDescent="0.25">
      <c r="B550" s="530"/>
      <c r="C550" s="530"/>
      <c r="D550" s="530"/>
      <c r="E550" s="749"/>
      <c r="F550" s="530"/>
      <c r="G550" s="530"/>
      <c r="H550" s="530"/>
      <c r="I550" s="530"/>
      <c r="J550" s="531"/>
      <c r="K550" s="580"/>
      <c r="L550" s="581"/>
      <c r="M550" s="530"/>
      <c r="N550" s="530"/>
      <c r="O550" s="530"/>
      <c r="P550" s="530"/>
      <c r="Q550" s="530"/>
      <c r="R550" s="530"/>
      <c r="S550" s="530"/>
      <c r="T550" s="530"/>
      <c r="U550" s="530"/>
      <c r="V550" s="530"/>
      <c r="W550" s="530"/>
      <c r="X550" s="530"/>
      <c r="Y550" s="530"/>
      <c r="Z550" s="530"/>
      <c r="AA550" s="530"/>
      <c r="AB550" s="530"/>
      <c r="AC550" s="530"/>
      <c r="AD550" s="530"/>
    </row>
    <row r="551" spans="2:30" s="1" customFormat="1" x14ac:dyDescent="0.25">
      <c r="B551" s="530"/>
      <c r="C551" s="530"/>
      <c r="D551" s="530"/>
      <c r="E551" s="749"/>
      <c r="F551" s="530"/>
      <c r="G551" s="530"/>
      <c r="H551" s="530"/>
      <c r="I551" s="530"/>
      <c r="J551" s="531"/>
      <c r="K551" s="580"/>
      <c r="L551" s="581"/>
      <c r="M551" s="530"/>
      <c r="N551" s="530"/>
      <c r="O551" s="530"/>
      <c r="P551" s="530"/>
      <c r="Q551" s="530"/>
      <c r="R551" s="530"/>
      <c r="S551" s="530"/>
      <c r="T551" s="530"/>
      <c r="U551" s="530"/>
      <c r="V551" s="530"/>
      <c r="W551" s="530"/>
      <c r="X551" s="530"/>
      <c r="Y551" s="530"/>
      <c r="Z551" s="530"/>
      <c r="AA551" s="530"/>
      <c r="AB551" s="530"/>
      <c r="AC551" s="530"/>
      <c r="AD551" s="530"/>
    </row>
    <row r="552" spans="2:30" s="1" customFormat="1" x14ac:dyDescent="0.25">
      <c r="B552" s="530"/>
      <c r="C552" s="530"/>
      <c r="D552" s="530"/>
      <c r="E552" s="749"/>
      <c r="F552" s="530"/>
      <c r="G552" s="530"/>
      <c r="H552" s="530"/>
      <c r="I552" s="530"/>
      <c r="J552" s="531"/>
      <c r="K552" s="580"/>
      <c r="L552" s="581"/>
      <c r="M552" s="530"/>
      <c r="N552" s="530"/>
      <c r="O552" s="530"/>
      <c r="P552" s="530"/>
      <c r="Q552" s="530"/>
      <c r="R552" s="530"/>
      <c r="S552" s="530"/>
      <c r="T552" s="530"/>
      <c r="U552" s="530"/>
      <c r="V552" s="530"/>
      <c r="W552" s="530"/>
      <c r="X552" s="530"/>
      <c r="Y552" s="530"/>
      <c r="Z552" s="530"/>
      <c r="AA552" s="530"/>
      <c r="AB552" s="530"/>
      <c r="AC552" s="530"/>
      <c r="AD552" s="530"/>
    </row>
    <row r="553" spans="2:30" s="1" customFormat="1" x14ac:dyDescent="0.25">
      <c r="B553" s="530"/>
      <c r="C553" s="530"/>
      <c r="D553" s="530"/>
      <c r="E553" s="749"/>
      <c r="F553" s="530"/>
      <c r="G553" s="530"/>
      <c r="H553" s="530"/>
      <c r="I553" s="530"/>
      <c r="J553" s="531"/>
      <c r="K553" s="580"/>
      <c r="L553" s="581"/>
      <c r="M553" s="530"/>
      <c r="N553" s="530"/>
      <c r="O553" s="530"/>
      <c r="P553" s="530"/>
      <c r="Q553" s="530"/>
      <c r="R553" s="530"/>
      <c r="S553" s="530"/>
      <c r="T553" s="530"/>
      <c r="U553" s="530"/>
      <c r="V553" s="530"/>
      <c r="W553" s="530"/>
      <c r="X553" s="530"/>
      <c r="Y553" s="530"/>
      <c r="Z553" s="530"/>
      <c r="AA553" s="530"/>
      <c r="AB553" s="530"/>
      <c r="AC553" s="530"/>
      <c r="AD553" s="530"/>
    </row>
    <row r="554" spans="2:30" s="1" customFormat="1" x14ac:dyDescent="0.25">
      <c r="B554" s="530"/>
      <c r="C554" s="530"/>
      <c r="D554" s="530"/>
      <c r="E554" s="749"/>
      <c r="F554" s="530"/>
      <c r="G554" s="530"/>
      <c r="H554" s="530"/>
      <c r="I554" s="530"/>
      <c r="J554" s="531"/>
      <c r="K554" s="580"/>
      <c r="L554" s="581"/>
      <c r="M554" s="530"/>
      <c r="N554" s="530"/>
      <c r="O554" s="530"/>
      <c r="P554" s="530"/>
      <c r="Q554" s="530"/>
      <c r="R554" s="530"/>
      <c r="S554" s="530"/>
      <c r="T554" s="530"/>
      <c r="U554" s="530"/>
      <c r="V554" s="530"/>
      <c r="W554" s="530"/>
      <c r="X554" s="530"/>
      <c r="Y554" s="530"/>
      <c r="Z554" s="530"/>
      <c r="AA554" s="530"/>
      <c r="AB554" s="530"/>
      <c r="AC554" s="530"/>
      <c r="AD554" s="530"/>
    </row>
    <row r="555" spans="2:30" s="1" customFormat="1" x14ac:dyDescent="0.25">
      <c r="B555" s="530"/>
      <c r="C555" s="530"/>
      <c r="D555" s="530"/>
      <c r="E555" s="749"/>
      <c r="F555" s="530"/>
      <c r="G555" s="530"/>
      <c r="H555" s="530"/>
      <c r="I555" s="530"/>
      <c r="J555" s="531"/>
      <c r="K555" s="580"/>
      <c r="L555" s="581"/>
      <c r="M555" s="530"/>
      <c r="N555" s="530"/>
      <c r="O555" s="530"/>
      <c r="P555" s="530"/>
      <c r="Q555" s="530"/>
      <c r="R555" s="530"/>
      <c r="S555" s="530"/>
      <c r="T555" s="530"/>
      <c r="U555" s="530"/>
      <c r="V555" s="530"/>
      <c r="W555" s="530"/>
      <c r="X555" s="530"/>
      <c r="Y555" s="530"/>
      <c r="Z555" s="530"/>
      <c r="AA555" s="530"/>
      <c r="AB555" s="530"/>
      <c r="AC555" s="530"/>
      <c r="AD555" s="530"/>
    </row>
    <row r="556" spans="2:30" s="1" customFormat="1" x14ac:dyDescent="0.25">
      <c r="B556" s="530"/>
      <c r="C556" s="530"/>
      <c r="D556" s="530"/>
      <c r="E556" s="749"/>
      <c r="F556" s="530"/>
      <c r="G556" s="530"/>
      <c r="H556" s="530"/>
      <c r="I556" s="530"/>
      <c r="J556" s="531"/>
      <c r="K556" s="580"/>
      <c r="L556" s="581"/>
      <c r="M556" s="530"/>
      <c r="N556" s="530"/>
      <c r="O556" s="530"/>
      <c r="P556" s="530"/>
      <c r="Q556" s="530"/>
      <c r="R556" s="530"/>
      <c r="S556" s="530"/>
      <c r="T556" s="530"/>
      <c r="U556" s="530"/>
      <c r="V556" s="530"/>
      <c r="W556" s="530"/>
      <c r="X556" s="530"/>
      <c r="Y556" s="530"/>
      <c r="Z556" s="530"/>
      <c r="AA556" s="530"/>
      <c r="AB556" s="530"/>
      <c r="AC556" s="530"/>
      <c r="AD556" s="530"/>
    </row>
    <row r="557" spans="2:30" s="1" customFormat="1" x14ac:dyDescent="0.25">
      <c r="B557" s="530"/>
      <c r="C557" s="530"/>
      <c r="D557" s="530"/>
      <c r="E557" s="749"/>
      <c r="F557" s="530"/>
      <c r="G557" s="530"/>
      <c r="H557" s="530"/>
      <c r="I557" s="530"/>
      <c r="J557" s="417"/>
      <c r="K557" s="580"/>
      <c r="L557" s="581"/>
      <c r="M557" s="530"/>
      <c r="N557" s="530"/>
      <c r="O557" s="530"/>
      <c r="P557" s="530"/>
      <c r="Q557" s="530"/>
      <c r="R557" s="530"/>
      <c r="S557" s="530"/>
      <c r="T557" s="530"/>
      <c r="U557" s="530"/>
      <c r="V557" s="530"/>
      <c r="W557" s="530"/>
      <c r="X557" s="530"/>
      <c r="Y557" s="530"/>
      <c r="Z557" s="530"/>
      <c r="AA557" s="530"/>
      <c r="AB557" s="530"/>
      <c r="AC557" s="530"/>
      <c r="AD557" s="530"/>
    </row>
    <row r="558" spans="2:30" s="1" customFormat="1" x14ac:dyDescent="0.25">
      <c r="B558" s="530"/>
      <c r="C558" s="530"/>
      <c r="D558" s="530"/>
      <c r="E558" s="749"/>
      <c r="F558" s="530"/>
      <c r="G558" s="530"/>
      <c r="H558" s="530"/>
      <c r="I558" s="530"/>
      <c r="J558" s="417"/>
      <c r="K558" s="505"/>
      <c r="L558" s="579"/>
      <c r="M558" s="397"/>
      <c r="N558" s="397"/>
      <c r="O558" s="397"/>
      <c r="P558" s="530"/>
      <c r="Q558" s="530"/>
      <c r="R558" s="530"/>
      <c r="S558" s="530"/>
      <c r="T558" s="530"/>
      <c r="U558" s="530"/>
      <c r="V558" s="530"/>
      <c r="W558" s="530"/>
      <c r="X558" s="530"/>
      <c r="Y558" s="530"/>
      <c r="Z558" s="530"/>
      <c r="AA558" s="530"/>
      <c r="AB558" s="530"/>
      <c r="AC558" s="530"/>
      <c r="AD558" s="530"/>
    </row>
    <row r="559" spans="2:30" s="1" customFormat="1" x14ac:dyDescent="0.25">
      <c r="B559" s="530"/>
      <c r="C559" s="530"/>
      <c r="D559" s="530"/>
      <c r="E559" s="749"/>
      <c r="F559" s="530"/>
      <c r="G559" s="530"/>
      <c r="H559" s="530"/>
      <c r="I559" s="530"/>
      <c r="J559" s="417"/>
      <c r="K559" s="505"/>
      <c r="L559" s="579"/>
      <c r="M559" s="397"/>
      <c r="N559" s="397"/>
      <c r="O559" s="397"/>
      <c r="P559" s="530"/>
      <c r="Q559" s="530"/>
      <c r="R559" s="530"/>
      <c r="S559" s="530"/>
      <c r="T559" s="530"/>
      <c r="U559" s="530"/>
      <c r="V559" s="530"/>
      <c r="W559" s="530"/>
      <c r="X559" s="530"/>
      <c r="Y559" s="530"/>
      <c r="Z559" s="530"/>
      <c r="AA559" s="530"/>
      <c r="AB559" s="530"/>
      <c r="AC559" s="530"/>
      <c r="AD559" s="530"/>
    </row>
    <row r="560" spans="2:30" s="1" customFormat="1" x14ac:dyDescent="0.25">
      <c r="B560" s="530"/>
      <c r="C560" s="530"/>
      <c r="D560" s="530"/>
      <c r="E560" s="749"/>
      <c r="F560" s="530"/>
      <c r="G560" s="530"/>
      <c r="H560" s="530"/>
      <c r="I560" s="530"/>
      <c r="J560" s="417"/>
      <c r="K560" s="505"/>
      <c r="L560" s="579"/>
      <c r="M560" s="397"/>
      <c r="N560" s="397"/>
      <c r="O560" s="397"/>
      <c r="P560" s="530"/>
      <c r="Q560" s="530"/>
      <c r="R560" s="530"/>
      <c r="S560" s="530"/>
      <c r="T560" s="530"/>
      <c r="U560" s="530"/>
      <c r="V560" s="530"/>
      <c r="W560" s="530"/>
      <c r="X560" s="530"/>
      <c r="Y560" s="530"/>
      <c r="Z560" s="530"/>
      <c r="AA560" s="530"/>
      <c r="AB560" s="530"/>
      <c r="AC560" s="530"/>
      <c r="AD560" s="530"/>
    </row>
    <row r="561" spans="2:30" x14ac:dyDescent="0.25">
      <c r="B561" s="530"/>
      <c r="C561" s="530"/>
      <c r="D561" s="530"/>
      <c r="E561" s="749"/>
      <c r="F561" s="530"/>
      <c r="G561" s="530"/>
      <c r="H561" s="530"/>
      <c r="I561" s="530"/>
      <c r="J561" s="417"/>
      <c r="K561" s="505"/>
      <c r="L561" s="579"/>
      <c r="M561" s="397"/>
      <c r="N561" s="397"/>
      <c r="O561" s="397"/>
      <c r="P561" s="397"/>
      <c r="Q561" s="397"/>
      <c r="R561" s="397"/>
      <c r="S561" s="397"/>
      <c r="T561" s="397"/>
      <c r="U561" s="397"/>
      <c r="V561" s="397"/>
      <c r="W561" s="397"/>
      <c r="X561" s="397"/>
      <c r="Y561" s="397"/>
      <c r="Z561" s="397"/>
      <c r="AA561" s="397"/>
      <c r="AB561" s="530"/>
      <c r="AC561" s="530"/>
      <c r="AD561" s="530"/>
    </row>
    <row r="562" spans="2:30" x14ac:dyDescent="0.25">
      <c r="B562" s="530"/>
      <c r="C562" s="530"/>
      <c r="D562" s="530"/>
      <c r="E562" s="749"/>
      <c r="F562" s="530"/>
      <c r="G562" s="530"/>
      <c r="H562" s="530"/>
      <c r="I562" s="530"/>
      <c r="J562" s="417"/>
      <c r="K562" s="505"/>
      <c r="L562" s="579"/>
      <c r="M562" s="397"/>
      <c r="N562" s="397"/>
      <c r="O562" s="397"/>
      <c r="P562" s="397"/>
      <c r="Q562" s="397"/>
      <c r="R562" s="397"/>
      <c r="S562" s="397"/>
      <c r="T562" s="397"/>
      <c r="U562" s="397"/>
      <c r="V562" s="397"/>
      <c r="W562" s="397"/>
      <c r="X562" s="397"/>
      <c r="Y562" s="397"/>
      <c r="Z562" s="397"/>
      <c r="AA562" s="397"/>
      <c r="AB562" s="530"/>
      <c r="AC562" s="530"/>
      <c r="AD562" s="530"/>
    </row>
    <row r="563" spans="2:30" x14ac:dyDescent="0.25">
      <c r="B563" s="530"/>
      <c r="C563" s="530"/>
      <c r="D563" s="530"/>
      <c r="E563" s="749"/>
      <c r="F563" s="530"/>
      <c r="G563" s="530"/>
      <c r="H563" s="530"/>
      <c r="I563" s="530"/>
      <c r="J563" s="417"/>
      <c r="K563" s="505"/>
      <c r="L563" s="579"/>
      <c r="M563" s="397"/>
      <c r="N563" s="397"/>
      <c r="O563" s="397"/>
      <c r="P563" s="397"/>
      <c r="Q563" s="397"/>
      <c r="R563" s="397"/>
      <c r="S563" s="397"/>
      <c r="T563" s="397"/>
      <c r="U563" s="397"/>
      <c r="V563" s="397"/>
      <c r="W563" s="397"/>
      <c r="X563" s="397"/>
      <c r="Y563" s="397"/>
      <c r="Z563" s="397"/>
      <c r="AA563" s="397"/>
      <c r="AB563" s="530"/>
      <c r="AC563" s="530"/>
      <c r="AD563" s="530"/>
    </row>
    <row r="564" spans="2:30" x14ac:dyDescent="0.25">
      <c r="B564" s="530"/>
      <c r="C564" s="530"/>
      <c r="D564" s="530"/>
      <c r="E564" s="749"/>
      <c r="F564" s="530"/>
      <c r="G564" s="530"/>
      <c r="H564" s="530"/>
      <c r="I564" s="530"/>
      <c r="J564" s="417"/>
      <c r="K564" s="505"/>
      <c r="L564" s="579"/>
      <c r="M564" s="397"/>
      <c r="N564" s="397"/>
      <c r="O564" s="397"/>
      <c r="P564" s="397"/>
      <c r="Q564" s="397"/>
      <c r="R564" s="397"/>
      <c r="S564" s="397"/>
      <c r="T564" s="397"/>
      <c r="U564" s="397"/>
      <c r="V564" s="397"/>
      <c r="W564" s="397"/>
      <c r="X564" s="397"/>
      <c r="Y564" s="397"/>
      <c r="Z564" s="397"/>
      <c r="AA564" s="397"/>
      <c r="AB564" s="530"/>
      <c r="AC564" s="530"/>
      <c r="AD564" s="530"/>
    </row>
    <row r="565" spans="2:30" x14ac:dyDescent="0.25">
      <c r="B565" s="530"/>
      <c r="C565" s="530"/>
      <c r="D565" s="530"/>
      <c r="E565" s="749"/>
      <c r="F565" s="530"/>
      <c r="G565" s="530"/>
      <c r="H565" s="530"/>
      <c r="I565" s="530"/>
      <c r="J565" s="417"/>
      <c r="K565" s="505"/>
      <c r="L565" s="579"/>
      <c r="M565" s="397"/>
      <c r="N565" s="397"/>
      <c r="O565" s="397"/>
      <c r="P565" s="397"/>
      <c r="Q565" s="397"/>
      <c r="R565" s="397"/>
      <c r="S565" s="397"/>
      <c r="T565" s="397"/>
      <c r="U565" s="397"/>
      <c r="V565" s="397"/>
      <c r="W565" s="397"/>
      <c r="X565" s="397"/>
      <c r="Y565" s="397"/>
      <c r="Z565" s="397"/>
      <c r="AA565" s="397"/>
      <c r="AB565" s="530"/>
      <c r="AC565" s="530"/>
      <c r="AD565" s="530"/>
    </row>
    <row r="566" spans="2:30" x14ac:dyDescent="0.25">
      <c r="B566" s="530"/>
      <c r="C566" s="530"/>
      <c r="D566" s="530"/>
      <c r="E566" s="749"/>
      <c r="F566" s="530"/>
      <c r="G566" s="530"/>
      <c r="H566" s="530"/>
      <c r="I566" s="530"/>
      <c r="J566" s="417"/>
      <c r="K566" s="505"/>
      <c r="L566" s="579"/>
      <c r="M566" s="397"/>
      <c r="N566" s="397"/>
      <c r="O566" s="397"/>
      <c r="P566" s="397"/>
      <c r="Q566" s="397"/>
      <c r="R566" s="397"/>
      <c r="S566" s="397"/>
      <c r="T566" s="397"/>
      <c r="U566" s="397"/>
      <c r="V566" s="397"/>
      <c r="W566" s="397"/>
      <c r="X566" s="397"/>
      <c r="Y566" s="397"/>
      <c r="Z566" s="397"/>
      <c r="AA566" s="397"/>
      <c r="AB566" s="530"/>
      <c r="AC566" s="530"/>
      <c r="AD566" s="530"/>
    </row>
    <row r="567" spans="2:30" x14ac:dyDescent="0.25">
      <c r="B567" s="530"/>
      <c r="C567" s="530"/>
      <c r="D567" s="530"/>
      <c r="E567" s="749"/>
      <c r="F567" s="530"/>
      <c r="G567" s="530"/>
      <c r="H567" s="530"/>
      <c r="I567" s="530"/>
      <c r="J567" s="417"/>
      <c r="K567" s="505"/>
      <c r="L567" s="579"/>
      <c r="M567" s="397"/>
      <c r="N567" s="397"/>
      <c r="O567" s="397"/>
      <c r="P567" s="397"/>
      <c r="Q567" s="397"/>
      <c r="R567" s="397"/>
      <c r="S567" s="397"/>
      <c r="T567" s="397"/>
      <c r="U567" s="397"/>
      <c r="V567" s="397"/>
      <c r="W567" s="397"/>
      <c r="X567" s="397"/>
      <c r="Y567" s="397"/>
      <c r="Z567" s="397"/>
      <c r="AA567" s="397"/>
      <c r="AB567" s="530"/>
      <c r="AC567" s="530"/>
      <c r="AD567" s="530"/>
    </row>
    <row r="568" spans="2:30" x14ac:dyDescent="0.25">
      <c r="B568" s="530"/>
      <c r="C568" s="530"/>
      <c r="D568" s="530"/>
      <c r="E568" s="749"/>
      <c r="F568" s="530"/>
      <c r="G568" s="530"/>
      <c r="H568" s="530"/>
      <c r="I568" s="530"/>
      <c r="J568" s="417"/>
      <c r="K568" s="505"/>
      <c r="L568" s="579"/>
      <c r="M568" s="397"/>
      <c r="N568" s="397"/>
      <c r="O568" s="397"/>
      <c r="P568" s="397"/>
      <c r="Q568" s="397"/>
      <c r="R568" s="397"/>
      <c r="S568" s="397"/>
      <c r="T568" s="397"/>
      <c r="U568" s="397"/>
      <c r="V568" s="397"/>
      <c r="W568" s="397"/>
      <c r="X568" s="397"/>
      <c r="Y568" s="397"/>
      <c r="Z568" s="397"/>
      <c r="AA568" s="397"/>
      <c r="AB568" s="530"/>
      <c r="AC568" s="530"/>
      <c r="AD568" s="530"/>
    </row>
    <row r="569" spans="2:30" x14ac:dyDescent="0.25">
      <c r="B569" s="530"/>
      <c r="C569" s="530"/>
      <c r="D569" s="530"/>
      <c r="E569" s="749"/>
      <c r="F569" s="530"/>
      <c r="G569" s="530"/>
      <c r="H569" s="530"/>
      <c r="I569" s="530"/>
      <c r="J569" s="417"/>
      <c r="K569" s="505"/>
      <c r="L569" s="579"/>
      <c r="M569" s="397"/>
      <c r="N569" s="397"/>
      <c r="O569" s="397"/>
      <c r="P569" s="397"/>
      <c r="Q569" s="397"/>
      <c r="R569" s="397"/>
      <c r="S569" s="397"/>
      <c r="T569" s="397"/>
      <c r="U569" s="397"/>
      <c r="V569" s="397"/>
      <c r="W569" s="397"/>
      <c r="X569" s="397"/>
      <c r="Y569" s="397"/>
      <c r="Z569" s="397"/>
      <c r="AA569" s="397"/>
      <c r="AB569" s="530"/>
      <c r="AC569" s="530"/>
      <c r="AD569" s="530"/>
    </row>
    <row r="570" spans="2:30" x14ac:dyDescent="0.25">
      <c r="B570" s="530"/>
      <c r="C570" s="530"/>
      <c r="D570" s="530"/>
      <c r="E570" s="749"/>
      <c r="F570" s="530"/>
      <c r="G570" s="530"/>
      <c r="H570" s="530"/>
      <c r="I570" s="530"/>
      <c r="J570" s="417"/>
      <c r="K570" s="505"/>
      <c r="L570" s="579"/>
      <c r="M570" s="397"/>
      <c r="N570" s="397"/>
      <c r="O570" s="397"/>
      <c r="P570" s="397"/>
      <c r="Q570" s="397"/>
      <c r="R570" s="397"/>
      <c r="S570" s="397"/>
      <c r="T570" s="397"/>
      <c r="U570" s="397"/>
      <c r="V570" s="397"/>
      <c r="W570" s="397"/>
      <c r="X570" s="397"/>
      <c r="Y570" s="397"/>
      <c r="Z570" s="397"/>
      <c r="AA570" s="397"/>
      <c r="AB570" s="530"/>
      <c r="AC570" s="530"/>
      <c r="AD570" s="530"/>
    </row>
    <row r="571" spans="2:30" x14ac:dyDescent="0.25">
      <c r="B571" s="530"/>
      <c r="C571" s="530"/>
      <c r="D571" s="530"/>
      <c r="E571" s="749"/>
      <c r="F571" s="530"/>
      <c r="G571" s="530"/>
      <c r="H571" s="530"/>
      <c r="I571" s="530"/>
      <c r="J571" s="417"/>
      <c r="K571" s="505"/>
      <c r="L571" s="579"/>
      <c r="M571" s="397"/>
      <c r="N571" s="397"/>
      <c r="O571" s="397"/>
      <c r="P571" s="397"/>
      <c r="Q571" s="397"/>
      <c r="R571" s="397"/>
      <c r="S571" s="397"/>
      <c r="T571" s="397"/>
      <c r="U571" s="397"/>
      <c r="V571" s="397"/>
      <c r="W571" s="397"/>
      <c r="X571" s="397"/>
      <c r="Y571" s="397"/>
      <c r="Z571" s="397"/>
      <c r="AA571" s="397"/>
      <c r="AB571" s="530"/>
      <c r="AC571" s="530"/>
      <c r="AD571" s="530"/>
    </row>
    <row r="572" spans="2:30" x14ac:dyDescent="0.25">
      <c r="B572" s="530"/>
      <c r="C572" s="530"/>
      <c r="D572" s="530"/>
      <c r="E572" s="749"/>
      <c r="F572" s="530"/>
      <c r="G572" s="530"/>
      <c r="H572" s="530"/>
      <c r="I572" s="530"/>
      <c r="J572" s="417"/>
      <c r="K572" s="505"/>
      <c r="L572" s="579"/>
      <c r="M572" s="397"/>
      <c r="N572" s="397"/>
      <c r="O572" s="397"/>
      <c r="P572" s="397"/>
      <c r="Q572" s="397"/>
      <c r="R572" s="397"/>
      <c r="S572" s="397"/>
      <c r="T572" s="397"/>
      <c r="U572" s="397"/>
      <c r="V572" s="397"/>
      <c r="W572" s="397"/>
      <c r="X572" s="397"/>
      <c r="Y572" s="397"/>
      <c r="Z572" s="397"/>
      <c r="AA572" s="397"/>
      <c r="AB572" s="530"/>
      <c r="AC572" s="530"/>
      <c r="AD572" s="530"/>
    </row>
    <row r="573" spans="2:30" x14ac:dyDescent="0.25">
      <c r="B573" s="530"/>
      <c r="C573" s="530"/>
      <c r="D573" s="530"/>
      <c r="E573" s="749"/>
      <c r="F573" s="530"/>
      <c r="G573" s="530"/>
      <c r="H573" s="530"/>
      <c r="I573" s="530"/>
      <c r="J573" s="417"/>
      <c r="K573" s="505"/>
      <c r="L573" s="579"/>
      <c r="M573" s="397"/>
      <c r="N573" s="397"/>
      <c r="O573" s="397"/>
      <c r="P573" s="397"/>
      <c r="Q573" s="397"/>
      <c r="R573" s="397"/>
      <c r="S573" s="397"/>
      <c r="T573" s="397"/>
      <c r="U573" s="397"/>
      <c r="V573" s="397"/>
      <c r="W573" s="397"/>
      <c r="X573" s="397"/>
      <c r="Y573" s="397"/>
      <c r="Z573" s="397"/>
      <c r="AA573" s="397"/>
      <c r="AB573" s="530"/>
      <c r="AC573" s="530"/>
      <c r="AD573" s="530"/>
    </row>
    <row r="574" spans="2:30" x14ac:dyDescent="0.25">
      <c r="B574" s="530"/>
      <c r="C574" s="530"/>
      <c r="D574" s="530"/>
      <c r="E574" s="749"/>
      <c r="F574" s="530"/>
      <c r="G574" s="530"/>
      <c r="H574" s="530"/>
      <c r="I574" s="530"/>
      <c r="J574" s="417"/>
      <c r="K574" s="505"/>
      <c r="L574" s="579"/>
      <c r="M574" s="397"/>
      <c r="N574" s="397"/>
      <c r="O574" s="397"/>
      <c r="P574" s="397"/>
      <c r="Q574" s="397"/>
      <c r="R574" s="397"/>
      <c r="S574" s="397"/>
      <c r="T574" s="397"/>
      <c r="U574" s="397"/>
      <c r="V574" s="397"/>
      <c r="W574" s="397"/>
      <c r="X574" s="397"/>
      <c r="Y574" s="397"/>
      <c r="Z574" s="397"/>
      <c r="AA574" s="397"/>
      <c r="AB574" s="530"/>
      <c r="AC574" s="530"/>
      <c r="AD574" s="530"/>
    </row>
    <row r="575" spans="2:30" x14ac:dyDescent="0.25">
      <c r="B575" s="530"/>
      <c r="C575" s="530"/>
      <c r="D575" s="530"/>
      <c r="E575" s="749"/>
      <c r="F575" s="530"/>
      <c r="G575" s="530"/>
      <c r="H575" s="530"/>
      <c r="I575" s="530"/>
      <c r="J575" s="417"/>
      <c r="K575" s="505"/>
      <c r="L575" s="579"/>
      <c r="M575" s="397"/>
      <c r="N575" s="397"/>
      <c r="O575" s="397"/>
      <c r="P575" s="397"/>
      <c r="Q575" s="397"/>
      <c r="R575" s="397"/>
      <c r="S575" s="397"/>
      <c r="T575" s="397"/>
      <c r="U575" s="397"/>
      <c r="V575" s="397"/>
      <c r="W575" s="397"/>
      <c r="X575" s="397"/>
      <c r="Y575" s="397"/>
      <c r="Z575" s="397"/>
      <c r="AA575" s="397"/>
      <c r="AB575" s="530"/>
      <c r="AC575" s="530"/>
      <c r="AD575" s="530"/>
    </row>
    <row r="576" spans="2:30" x14ac:dyDescent="0.25">
      <c r="B576" s="530"/>
      <c r="C576" s="530"/>
      <c r="D576" s="530"/>
      <c r="E576" s="749"/>
      <c r="F576" s="530"/>
      <c r="G576" s="530"/>
      <c r="H576" s="530"/>
      <c r="I576" s="530"/>
      <c r="J576" s="417"/>
      <c r="K576" s="505"/>
      <c r="L576" s="579"/>
      <c r="M576" s="397"/>
      <c r="N576" s="397"/>
      <c r="O576" s="397"/>
      <c r="P576" s="397"/>
      <c r="Q576" s="397"/>
      <c r="R576" s="397"/>
      <c r="S576" s="397"/>
      <c r="T576" s="397"/>
      <c r="U576" s="397"/>
      <c r="V576" s="397"/>
      <c r="W576" s="397"/>
      <c r="X576" s="397"/>
      <c r="Y576" s="397"/>
      <c r="Z576" s="397"/>
      <c r="AA576" s="397"/>
      <c r="AB576" s="530"/>
      <c r="AC576" s="530"/>
      <c r="AD576" s="530"/>
    </row>
    <row r="577" spans="2:30" x14ac:dyDescent="0.25">
      <c r="B577" s="530"/>
      <c r="C577" s="530"/>
      <c r="D577" s="530"/>
      <c r="E577" s="749"/>
      <c r="F577" s="530"/>
      <c r="G577" s="530"/>
      <c r="H577" s="530"/>
      <c r="I577" s="530"/>
      <c r="J577" s="417"/>
      <c r="K577" s="505"/>
      <c r="L577" s="579"/>
      <c r="M577" s="397"/>
      <c r="N577" s="397"/>
      <c r="O577" s="397"/>
      <c r="P577" s="397"/>
      <c r="Q577" s="397"/>
      <c r="R577" s="397"/>
      <c r="S577" s="397"/>
      <c r="T577" s="397"/>
      <c r="U577" s="397"/>
      <c r="V577" s="397"/>
      <c r="W577" s="397"/>
      <c r="X577" s="397"/>
      <c r="Y577" s="397"/>
      <c r="Z577" s="397"/>
      <c r="AA577" s="397"/>
      <c r="AB577" s="530"/>
      <c r="AC577" s="530"/>
      <c r="AD577" s="530"/>
    </row>
    <row r="578" spans="2:30" x14ac:dyDescent="0.25">
      <c r="B578" s="530"/>
      <c r="C578" s="530"/>
      <c r="D578" s="530"/>
      <c r="E578" s="749"/>
      <c r="F578" s="530"/>
      <c r="G578" s="530"/>
      <c r="H578" s="530"/>
      <c r="I578" s="530"/>
      <c r="J578" s="417"/>
      <c r="K578" s="505"/>
      <c r="L578" s="579"/>
      <c r="M578" s="397"/>
      <c r="N578" s="397"/>
      <c r="O578" s="397"/>
      <c r="P578" s="397"/>
      <c r="Q578" s="397"/>
      <c r="R578" s="397"/>
      <c r="S578" s="397"/>
      <c r="T578" s="397"/>
      <c r="U578" s="397"/>
      <c r="V578" s="397"/>
      <c r="W578" s="397"/>
      <c r="X578" s="397"/>
      <c r="Y578" s="397"/>
      <c r="Z578" s="397"/>
      <c r="AA578" s="397"/>
      <c r="AB578" s="530"/>
      <c r="AC578" s="530"/>
      <c r="AD578" s="530"/>
    </row>
    <row r="579" spans="2:30" x14ac:dyDescent="0.25">
      <c r="B579" s="530"/>
      <c r="C579" s="530"/>
      <c r="D579" s="530"/>
      <c r="E579" s="749"/>
      <c r="F579" s="530"/>
      <c r="G579" s="530"/>
      <c r="H579" s="530"/>
      <c r="I579" s="530"/>
      <c r="J579" s="417"/>
      <c r="K579" s="505"/>
      <c r="L579" s="579"/>
      <c r="M579" s="397"/>
      <c r="N579" s="397"/>
      <c r="O579" s="397"/>
      <c r="P579" s="397"/>
      <c r="Q579" s="397"/>
      <c r="R579" s="397"/>
      <c r="S579" s="397"/>
      <c r="T579" s="397"/>
      <c r="U579" s="397"/>
      <c r="V579" s="397"/>
      <c r="W579" s="397"/>
      <c r="X579" s="397"/>
      <c r="Y579" s="397"/>
      <c r="Z579" s="397"/>
      <c r="AA579" s="397"/>
      <c r="AB579" s="530"/>
      <c r="AC579" s="530"/>
      <c r="AD579" s="530"/>
    </row>
    <row r="580" spans="2:30" x14ac:dyDescent="0.25">
      <c r="B580" s="530"/>
      <c r="C580" s="530"/>
      <c r="D580" s="530"/>
      <c r="E580" s="749"/>
      <c r="F580" s="530"/>
      <c r="G580" s="530"/>
      <c r="H580" s="530"/>
      <c r="I580" s="530"/>
      <c r="J580" s="417"/>
      <c r="K580" s="505"/>
      <c r="L580" s="579"/>
      <c r="M580" s="397"/>
      <c r="N580" s="397"/>
      <c r="O580" s="397"/>
      <c r="P580" s="397"/>
      <c r="Q580" s="397"/>
      <c r="R580" s="397"/>
      <c r="S580" s="397"/>
      <c r="T580" s="397"/>
      <c r="U580" s="397"/>
      <c r="V580" s="397"/>
      <c r="W580" s="397"/>
      <c r="X580" s="397"/>
      <c r="Y580" s="397"/>
      <c r="Z580" s="397"/>
      <c r="AA580" s="397"/>
      <c r="AB580" s="530"/>
      <c r="AC580" s="530"/>
      <c r="AD580" s="530"/>
    </row>
    <row r="581" spans="2:30" x14ac:dyDescent="0.25">
      <c r="B581" s="530"/>
      <c r="C581" s="530"/>
      <c r="D581" s="530"/>
      <c r="E581" s="749"/>
      <c r="F581" s="530"/>
      <c r="G581" s="530"/>
      <c r="H581" s="530"/>
      <c r="I581" s="530"/>
      <c r="J581" s="417"/>
      <c r="K581" s="505"/>
      <c r="L581" s="579"/>
      <c r="M581" s="397"/>
      <c r="N581" s="397"/>
      <c r="O581" s="397"/>
      <c r="P581" s="397"/>
      <c r="Q581" s="397"/>
      <c r="R581" s="397"/>
      <c r="S581" s="397"/>
      <c r="T581" s="397"/>
      <c r="U581" s="397"/>
      <c r="V581" s="397"/>
      <c r="W581" s="397"/>
      <c r="X581" s="397"/>
      <c r="Y581" s="397"/>
      <c r="Z581" s="397"/>
      <c r="AA581" s="397"/>
      <c r="AB581" s="530"/>
      <c r="AC581" s="530"/>
      <c r="AD581" s="530"/>
    </row>
    <row r="582" spans="2:30" x14ac:dyDescent="0.25">
      <c r="B582" s="530"/>
      <c r="C582" s="530"/>
      <c r="D582" s="530"/>
      <c r="E582" s="749"/>
      <c r="F582" s="530"/>
      <c r="G582" s="530"/>
      <c r="H582" s="530"/>
      <c r="I582" s="530"/>
      <c r="J582" s="417"/>
      <c r="K582" s="505"/>
      <c r="L582" s="579"/>
      <c r="M582" s="397"/>
      <c r="N582" s="397"/>
      <c r="O582" s="397"/>
      <c r="P582" s="397"/>
      <c r="Q582" s="397"/>
      <c r="R582" s="397"/>
      <c r="S582" s="397"/>
      <c r="T582" s="397"/>
      <c r="U582" s="397"/>
      <c r="V582" s="397"/>
      <c r="W582" s="397"/>
      <c r="X582" s="397"/>
      <c r="Y582" s="397"/>
      <c r="Z582" s="397"/>
      <c r="AA582" s="397"/>
      <c r="AB582" s="530"/>
      <c r="AC582" s="530"/>
      <c r="AD582" s="530"/>
    </row>
    <row r="583" spans="2:30" x14ac:dyDescent="0.25">
      <c r="B583" s="530"/>
      <c r="C583" s="530"/>
      <c r="D583" s="530"/>
      <c r="E583" s="749"/>
      <c r="F583" s="530"/>
      <c r="G583" s="530"/>
      <c r="H583" s="530"/>
      <c r="I583" s="530"/>
      <c r="J583" s="417"/>
      <c r="K583" s="505"/>
      <c r="L583" s="579"/>
      <c r="M583" s="397"/>
      <c r="N583" s="397"/>
      <c r="O583" s="397"/>
      <c r="P583" s="397"/>
      <c r="Q583" s="397"/>
      <c r="R583" s="397"/>
      <c r="S583" s="397"/>
      <c r="T583" s="397"/>
      <c r="U583" s="397"/>
      <c r="V583" s="397"/>
      <c r="W583" s="397"/>
      <c r="X583" s="397"/>
      <c r="Y583" s="397"/>
      <c r="Z583" s="397"/>
      <c r="AA583" s="397"/>
      <c r="AB583" s="530"/>
      <c r="AC583" s="530"/>
      <c r="AD583" s="530"/>
    </row>
    <row r="584" spans="2:30" x14ac:dyDescent="0.25">
      <c r="B584" s="530"/>
      <c r="C584" s="530"/>
      <c r="D584" s="530"/>
      <c r="E584" s="749"/>
      <c r="F584" s="530"/>
      <c r="G584" s="530"/>
      <c r="H584" s="530"/>
      <c r="I584" s="530"/>
      <c r="J584" s="417"/>
      <c r="K584" s="505"/>
      <c r="L584" s="579"/>
      <c r="M584" s="397"/>
      <c r="N584" s="397"/>
      <c r="O584" s="397"/>
      <c r="P584" s="397"/>
      <c r="Q584" s="397"/>
      <c r="R584" s="397"/>
      <c r="S584" s="397"/>
      <c r="T584" s="397"/>
      <c r="U584" s="397"/>
      <c r="V584" s="397"/>
      <c r="W584" s="397"/>
      <c r="X584" s="397"/>
      <c r="Y584" s="397"/>
      <c r="Z584" s="397"/>
      <c r="AA584" s="397"/>
      <c r="AB584" s="530"/>
      <c r="AC584" s="530"/>
      <c r="AD584" s="530"/>
    </row>
    <row r="585" spans="2:30" x14ac:dyDescent="0.25">
      <c r="B585" s="530"/>
      <c r="C585" s="530"/>
      <c r="D585" s="530"/>
      <c r="E585" s="749"/>
      <c r="F585" s="530"/>
      <c r="G585" s="530"/>
      <c r="H585" s="530"/>
      <c r="I585" s="530"/>
      <c r="J585" s="417"/>
      <c r="K585" s="505"/>
      <c r="L585" s="579"/>
      <c r="M585" s="397"/>
      <c r="N585" s="397"/>
      <c r="O585" s="397"/>
      <c r="P585" s="397"/>
      <c r="Q585" s="397"/>
      <c r="R585" s="397"/>
      <c r="S585" s="397"/>
      <c r="T585" s="397"/>
      <c r="U585" s="397"/>
      <c r="V585" s="397"/>
      <c r="W585" s="397"/>
      <c r="X585" s="397"/>
      <c r="Y585" s="397"/>
      <c r="Z585" s="397"/>
      <c r="AA585" s="397"/>
      <c r="AB585" s="530"/>
      <c r="AC585" s="530"/>
      <c r="AD585" s="530"/>
    </row>
    <row r="586" spans="2:30" x14ac:dyDescent="0.25">
      <c r="B586" s="530"/>
      <c r="C586" s="530"/>
      <c r="D586" s="530"/>
      <c r="E586" s="749"/>
      <c r="F586" s="530"/>
      <c r="G586" s="530"/>
      <c r="H586" s="530"/>
      <c r="I586" s="530"/>
      <c r="J586" s="417"/>
      <c r="K586" s="505"/>
      <c r="L586" s="579"/>
      <c r="M586" s="397"/>
      <c r="N586" s="397"/>
      <c r="O586" s="397"/>
      <c r="P586" s="397"/>
      <c r="Q586" s="397"/>
      <c r="R586" s="397"/>
      <c r="S586" s="397"/>
      <c r="T586" s="397"/>
      <c r="U586" s="397"/>
      <c r="V586" s="397"/>
      <c r="W586" s="397"/>
      <c r="X586" s="397"/>
      <c r="Y586" s="397"/>
      <c r="Z586" s="397"/>
      <c r="AA586" s="397"/>
      <c r="AB586" s="530"/>
      <c r="AC586" s="530"/>
      <c r="AD586" s="530"/>
    </row>
    <row r="587" spans="2:30" x14ac:dyDescent="0.25">
      <c r="B587" s="530"/>
      <c r="C587" s="530"/>
      <c r="D587" s="530"/>
      <c r="E587" s="749"/>
      <c r="F587" s="530"/>
      <c r="G587" s="530"/>
      <c r="H587" s="530"/>
      <c r="I587" s="530"/>
      <c r="J587" s="417"/>
      <c r="K587" s="505"/>
      <c r="L587" s="579"/>
      <c r="M587" s="397"/>
      <c r="N587" s="397"/>
      <c r="O587" s="397"/>
      <c r="P587" s="397"/>
      <c r="Q587" s="397"/>
      <c r="R587" s="397"/>
      <c r="S587" s="397"/>
      <c r="T587" s="397"/>
      <c r="U587" s="397"/>
      <c r="V587" s="397"/>
      <c r="W587" s="397"/>
      <c r="X587" s="397"/>
      <c r="Y587" s="397"/>
      <c r="Z587" s="397"/>
      <c r="AA587" s="397"/>
      <c r="AB587" s="530"/>
      <c r="AC587" s="530"/>
      <c r="AD587" s="530"/>
    </row>
    <row r="588" spans="2:30" x14ac:dyDescent="0.25">
      <c r="B588" s="530"/>
      <c r="C588" s="530"/>
      <c r="D588" s="530"/>
      <c r="E588" s="749"/>
      <c r="F588" s="530"/>
      <c r="G588" s="530"/>
      <c r="H588" s="530"/>
      <c r="I588" s="530"/>
      <c r="J588" s="417"/>
      <c r="K588" s="505"/>
      <c r="L588" s="579"/>
      <c r="M588" s="397"/>
      <c r="N588" s="397"/>
      <c r="O588" s="397"/>
      <c r="P588" s="397"/>
      <c r="Q588" s="397"/>
      <c r="R588" s="397"/>
      <c r="S588" s="397"/>
      <c r="T588" s="397"/>
      <c r="U588" s="397"/>
      <c r="V588" s="397"/>
      <c r="W588" s="397"/>
      <c r="X588" s="397"/>
      <c r="Y588" s="397"/>
      <c r="Z588" s="397"/>
      <c r="AA588" s="397"/>
      <c r="AB588" s="530"/>
      <c r="AC588" s="530"/>
      <c r="AD588" s="530"/>
    </row>
    <row r="589" spans="2:30" x14ac:dyDescent="0.25">
      <c r="B589" s="530"/>
      <c r="C589" s="530"/>
      <c r="D589" s="530"/>
      <c r="E589" s="749"/>
      <c r="F589" s="530"/>
      <c r="G589" s="530"/>
      <c r="H589" s="530"/>
      <c r="I589" s="530"/>
      <c r="J589" s="417"/>
      <c r="K589" s="505"/>
      <c r="L589" s="579"/>
      <c r="M589" s="397"/>
      <c r="N589" s="397"/>
      <c r="O589" s="397"/>
      <c r="P589" s="397"/>
      <c r="Q589" s="397"/>
      <c r="R589" s="397"/>
      <c r="S589" s="397"/>
      <c r="T589" s="397"/>
      <c r="U589" s="397"/>
      <c r="V589" s="397"/>
      <c r="W589" s="397"/>
      <c r="X589" s="397"/>
      <c r="Y589" s="397"/>
      <c r="Z589" s="397"/>
      <c r="AA589" s="397"/>
      <c r="AB589" s="530"/>
      <c r="AC589" s="530"/>
      <c r="AD589" s="530"/>
    </row>
    <row r="590" spans="2:30" x14ac:dyDescent="0.25">
      <c r="B590" s="530"/>
      <c r="C590" s="530"/>
      <c r="D590" s="530"/>
      <c r="E590" s="749"/>
      <c r="F590" s="530"/>
      <c r="G590" s="530"/>
      <c r="H590" s="530"/>
      <c r="I590" s="530"/>
      <c r="J590" s="417"/>
      <c r="K590" s="505"/>
      <c r="L590" s="579"/>
      <c r="M590" s="397"/>
      <c r="N590" s="397"/>
      <c r="O590" s="397"/>
      <c r="P590" s="397"/>
      <c r="Q590" s="397"/>
      <c r="R590" s="397"/>
      <c r="S590" s="397"/>
      <c r="T590" s="397"/>
      <c r="U590" s="397"/>
      <c r="V590" s="397"/>
      <c r="W590" s="397"/>
      <c r="X590" s="397"/>
      <c r="Y590" s="397"/>
      <c r="Z590" s="397"/>
      <c r="AA590" s="397"/>
      <c r="AB590" s="530"/>
      <c r="AC590" s="530"/>
      <c r="AD590" s="530"/>
    </row>
    <row r="591" spans="2:30" x14ac:dyDescent="0.25">
      <c r="B591" s="530"/>
      <c r="C591" s="530"/>
      <c r="D591" s="530"/>
      <c r="E591" s="749"/>
      <c r="F591" s="530"/>
      <c r="G591" s="530"/>
      <c r="H591" s="530"/>
      <c r="I591" s="530"/>
      <c r="J591" s="417"/>
      <c r="K591" s="505"/>
      <c r="L591" s="579"/>
      <c r="M591" s="397"/>
      <c r="N591" s="397"/>
      <c r="O591" s="397"/>
      <c r="P591" s="397"/>
      <c r="Q591" s="397"/>
      <c r="R591" s="397"/>
      <c r="S591" s="397"/>
      <c r="T591" s="397"/>
      <c r="U591" s="397"/>
      <c r="V591" s="397"/>
      <c r="W591" s="397"/>
      <c r="X591" s="397"/>
      <c r="Y591" s="397"/>
      <c r="Z591" s="397"/>
      <c r="AA591" s="397"/>
      <c r="AB591" s="530"/>
      <c r="AC591" s="530"/>
      <c r="AD591" s="530"/>
    </row>
    <row r="592" spans="2:30" x14ac:dyDescent="0.25">
      <c r="B592" s="530"/>
      <c r="C592" s="530"/>
      <c r="D592" s="530"/>
      <c r="E592" s="749"/>
      <c r="F592" s="530"/>
      <c r="G592" s="530"/>
      <c r="H592" s="530"/>
      <c r="I592" s="530"/>
      <c r="J592" s="417"/>
      <c r="K592" s="505"/>
      <c r="L592" s="579"/>
      <c r="M592" s="397"/>
      <c r="N592" s="397"/>
      <c r="O592" s="397"/>
      <c r="P592" s="397"/>
      <c r="Q592" s="397"/>
      <c r="R592" s="397"/>
      <c r="S592" s="397"/>
      <c r="T592" s="397"/>
      <c r="U592" s="397"/>
      <c r="V592" s="397"/>
      <c r="W592" s="397"/>
      <c r="X592" s="397"/>
      <c r="Y592" s="397"/>
      <c r="Z592" s="397"/>
      <c r="AA592" s="397"/>
      <c r="AB592" s="530"/>
      <c r="AC592" s="530"/>
      <c r="AD592" s="530"/>
    </row>
    <row r="593" spans="2:30" x14ac:dyDescent="0.25">
      <c r="B593" s="530"/>
      <c r="C593" s="530"/>
      <c r="D593" s="530"/>
      <c r="E593" s="749"/>
      <c r="F593" s="530"/>
      <c r="G593" s="530"/>
      <c r="H593" s="530"/>
      <c r="I593" s="530"/>
      <c r="J593" s="417"/>
      <c r="K593" s="505"/>
      <c r="L593" s="579"/>
      <c r="M593" s="397"/>
      <c r="N593" s="397"/>
      <c r="O593" s="397"/>
      <c r="P593" s="397"/>
      <c r="Q593" s="397"/>
      <c r="R593" s="397"/>
      <c r="S593" s="397"/>
      <c r="T593" s="397"/>
      <c r="U593" s="397"/>
      <c r="V593" s="397"/>
      <c r="W593" s="397"/>
      <c r="X593" s="397"/>
      <c r="Y593" s="397"/>
      <c r="Z593" s="397"/>
      <c r="AA593" s="397"/>
      <c r="AB593" s="530"/>
      <c r="AC593" s="530"/>
      <c r="AD593" s="530"/>
    </row>
    <row r="594" spans="2:30" x14ac:dyDescent="0.25">
      <c r="B594" s="530"/>
      <c r="C594" s="530"/>
      <c r="D594" s="530"/>
      <c r="E594" s="749"/>
      <c r="F594" s="530"/>
      <c r="G594" s="530"/>
      <c r="H594" s="530"/>
      <c r="I594" s="530"/>
      <c r="J594" s="417"/>
      <c r="K594" s="505"/>
      <c r="L594" s="579"/>
      <c r="M594" s="397"/>
      <c r="N594" s="397"/>
      <c r="O594" s="397"/>
      <c r="P594" s="397"/>
      <c r="Q594" s="397"/>
      <c r="R594" s="397"/>
      <c r="S594" s="397"/>
      <c r="T594" s="397"/>
      <c r="U594" s="397"/>
      <c r="V594" s="397"/>
      <c r="W594" s="397"/>
      <c r="X594" s="397"/>
      <c r="Y594" s="397"/>
      <c r="Z594" s="397"/>
      <c r="AA594" s="397"/>
      <c r="AB594" s="530"/>
      <c r="AC594" s="530"/>
      <c r="AD594" s="530"/>
    </row>
    <row r="595" spans="2:30" x14ac:dyDescent="0.25">
      <c r="B595" s="530"/>
      <c r="C595" s="530"/>
      <c r="D595" s="530"/>
      <c r="E595" s="749"/>
      <c r="F595" s="530"/>
      <c r="G595" s="530"/>
      <c r="H595" s="530"/>
      <c r="I595" s="530"/>
      <c r="J595" s="417"/>
      <c r="K595" s="505"/>
      <c r="L595" s="579"/>
      <c r="M595" s="397"/>
      <c r="N595" s="397"/>
      <c r="O595" s="397"/>
      <c r="P595" s="397"/>
      <c r="Q595" s="397"/>
      <c r="R595" s="397"/>
      <c r="S595" s="397"/>
      <c r="T595" s="397"/>
      <c r="U595" s="397"/>
      <c r="V595" s="397"/>
      <c r="W595" s="397"/>
      <c r="X595" s="397"/>
      <c r="Y595" s="397"/>
      <c r="Z595" s="397"/>
      <c r="AA595" s="397"/>
      <c r="AB595" s="530"/>
      <c r="AC595" s="530"/>
      <c r="AD595" s="530"/>
    </row>
    <row r="596" spans="2:30" x14ac:dyDescent="0.25">
      <c r="B596" s="530"/>
      <c r="C596" s="530"/>
      <c r="D596" s="530"/>
      <c r="E596" s="749"/>
      <c r="F596" s="530"/>
      <c r="G596" s="530"/>
      <c r="H596" s="530"/>
      <c r="I596" s="530"/>
      <c r="J596" s="417"/>
      <c r="K596" s="505"/>
      <c r="L596" s="579"/>
      <c r="M596" s="397"/>
      <c r="N596" s="397"/>
      <c r="O596" s="397"/>
      <c r="P596" s="397"/>
      <c r="Q596" s="397"/>
      <c r="R596" s="397"/>
      <c r="S596" s="397"/>
      <c r="T596" s="397"/>
      <c r="U596" s="397"/>
      <c r="V596" s="397"/>
      <c r="W596" s="397"/>
      <c r="X596" s="397"/>
      <c r="Y596" s="397"/>
      <c r="Z596" s="397"/>
      <c r="AA596" s="397"/>
      <c r="AB596" s="530"/>
      <c r="AC596" s="530"/>
      <c r="AD596" s="530"/>
    </row>
    <row r="597" spans="2:30" x14ac:dyDescent="0.25">
      <c r="B597" s="530"/>
      <c r="C597" s="530"/>
      <c r="D597" s="530"/>
      <c r="E597" s="749"/>
      <c r="F597" s="530"/>
      <c r="G597" s="530"/>
      <c r="H597" s="530"/>
      <c r="I597" s="530"/>
      <c r="J597" s="417"/>
      <c r="K597" s="505"/>
      <c r="L597" s="579"/>
      <c r="M597" s="397"/>
      <c r="N597" s="397"/>
      <c r="O597" s="397"/>
      <c r="P597" s="397"/>
      <c r="Q597" s="397"/>
      <c r="R597" s="397"/>
      <c r="S597" s="397"/>
      <c r="T597" s="397"/>
      <c r="U597" s="397"/>
      <c r="V597" s="397"/>
      <c r="W597" s="397"/>
      <c r="X597" s="397"/>
      <c r="Y597" s="397"/>
      <c r="Z597" s="397"/>
      <c r="AA597" s="397"/>
      <c r="AB597" s="530"/>
      <c r="AC597" s="530"/>
      <c r="AD597" s="530"/>
    </row>
    <row r="598" spans="2:30" x14ac:dyDescent="0.25">
      <c r="B598" s="530"/>
      <c r="C598" s="530"/>
      <c r="D598" s="530"/>
      <c r="E598" s="749"/>
      <c r="F598" s="530"/>
      <c r="G598" s="530"/>
      <c r="H598" s="530"/>
      <c r="I598" s="530"/>
      <c r="J598" s="417"/>
      <c r="K598" s="505"/>
      <c r="L598" s="579"/>
      <c r="M598" s="397"/>
      <c r="N598" s="397"/>
      <c r="O598" s="397"/>
      <c r="P598" s="397"/>
      <c r="Q598" s="397"/>
      <c r="R598" s="397"/>
      <c r="S598" s="397"/>
      <c r="T598" s="397"/>
      <c r="U598" s="397"/>
      <c r="V598" s="397"/>
      <c r="W598" s="397"/>
      <c r="X598" s="397"/>
      <c r="Y598" s="397"/>
      <c r="Z598" s="397"/>
      <c r="AA598" s="397"/>
      <c r="AB598" s="530"/>
      <c r="AC598" s="530"/>
      <c r="AD598" s="530"/>
    </row>
    <row r="599" spans="2:30" x14ac:dyDescent="0.25">
      <c r="B599" s="530"/>
      <c r="C599" s="530"/>
      <c r="D599" s="530"/>
      <c r="E599" s="749"/>
      <c r="F599" s="530"/>
      <c r="G599" s="530"/>
      <c r="H599" s="530"/>
      <c r="I599" s="530"/>
      <c r="J599" s="417"/>
      <c r="K599" s="505"/>
      <c r="L599" s="579"/>
      <c r="M599" s="397"/>
      <c r="N599" s="397"/>
      <c r="O599" s="397"/>
      <c r="P599" s="397"/>
      <c r="Q599" s="397"/>
      <c r="R599" s="397"/>
      <c r="S599" s="397"/>
      <c r="T599" s="397"/>
      <c r="U599" s="397"/>
      <c r="V599" s="397"/>
      <c r="W599" s="397"/>
      <c r="X599" s="397"/>
      <c r="Y599" s="397"/>
      <c r="Z599" s="397"/>
      <c r="AA599" s="397"/>
      <c r="AB599" s="530"/>
      <c r="AC599" s="530"/>
      <c r="AD599" s="530"/>
    </row>
    <row r="600" spans="2:30" x14ac:dyDescent="0.25">
      <c r="B600" s="530"/>
      <c r="C600" s="530"/>
      <c r="D600" s="530"/>
      <c r="E600" s="749"/>
      <c r="F600" s="530"/>
      <c r="G600" s="530"/>
      <c r="H600" s="530"/>
      <c r="I600" s="530"/>
      <c r="J600" s="417"/>
      <c r="K600" s="505"/>
      <c r="L600" s="579"/>
      <c r="M600" s="397"/>
      <c r="N600" s="397"/>
      <c r="O600" s="397"/>
      <c r="P600" s="397"/>
      <c r="Q600" s="397"/>
      <c r="R600" s="397"/>
      <c r="S600" s="397"/>
      <c r="T600" s="397"/>
      <c r="U600" s="397"/>
      <c r="V600" s="397"/>
      <c r="W600" s="397"/>
      <c r="X600" s="397"/>
      <c r="Y600" s="397"/>
      <c r="Z600" s="397"/>
      <c r="AA600" s="397"/>
      <c r="AB600" s="530"/>
      <c r="AC600" s="530"/>
      <c r="AD600" s="530"/>
    </row>
    <row r="601" spans="2:30" x14ac:dyDescent="0.25">
      <c r="B601" s="530"/>
      <c r="C601" s="530"/>
      <c r="D601" s="530"/>
      <c r="E601" s="749"/>
      <c r="F601" s="530"/>
      <c r="G601" s="530"/>
      <c r="H601" s="530"/>
      <c r="I601" s="530"/>
      <c r="J601" s="417"/>
      <c r="K601" s="505"/>
      <c r="L601" s="579"/>
      <c r="M601" s="397"/>
      <c r="N601" s="397"/>
      <c r="O601" s="397"/>
      <c r="P601" s="397"/>
      <c r="Q601" s="397"/>
      <c r="R601" s="397"/>
      <c r="S601" s="397"/>
      <c r="T601" s="397"/>
      <c r="U601" s="397"/>
      <c r="V601" s="397"/>
      <c r="W601" s="397"/>
      <c r="X601" s="397"/>
      <c r="Y601" s="397"/>
      <c r="Z601" s="397"/>
      <c r="AA601" s="397"/>
      <c r="AB601" s="530"/>
      <c r="AC601" s="530"/>
      <c r="AD601" s="530"/>
    </row>
    <row r="602" spans="2:30" x14ac:dyDescent="0.25">
      <c r="B602" s="530"/>
      <c r="C602" s="530"/>
      <c r="D602" s="530"/>
      <c r="E602" s="749"/>
      <c r="F602" s="530"/>
      <c r="G602" s="530"/>
      <c r="H602" s="530"/>
      <c r="I602" s="530"/>
      <c r="J602" s="417"/>
      <c r="K602" s="505"/>
      <c r="L602" s="579"/>
      <c r="M602" s="397"/>
      <c r="N602" s="397"/>
      <c r="O602" s="397"/>
      <c r="P602" s="397"/>
      <c r="Q602" s="397"/>
      <c r="R602" s="397"/>
      <c r="S602" s="397"/>
      <c r="T602" s="397"/>
      <c r="U602" s="397"/>
      <c r="V602" s="397"/>
      <c r="W602" s="397"/>
      <c r="X602" s="397"/>
      <c r="Y602" s="397"/>
      <c r="Z602" s="397"/>
      <c r="AA602" s="397"/>
      <c r="AB602" s="530"/>
      <c r="AC602" s="530"/>
      <c r="AD602" s="530"/>
    </row>
    <row r="603" spans="2:30" x14ac:dyDescent="0.25">
      <c r="B603" s="530"/>
      <c r="C603" s="530"/>
      <c r="D603" s="530"/>
      <c r="E603" s="749"/>
      <c r="F603" s="530"/>
      <c r="G603" s="530"/>
      <c r="H603" s="530"/>
      <c r="I603" s="530"/>
      <c r="J603" s="417"/>
      <c r="K603" s="505"/>
      <c r="L603" s="579"/>
      <c r="M603" s="397"/>
      <c r="N603" s="397"/>
      <c r="O603" s="397"/>
      <c r="P603" s="397"/>
      <c r="Q603" s="397"/>
      <c r="R603" s="397"/>
      <c r="S603" s="397"/>
      <c r="T603" s="397"/>
      <c r="U603" s="397"/>
      <c r="V603" s="397"/>
      <c r="W603" s="397"/>
      <c r="X603" s="397"/>
      <c r="Y603" s="397"/>
      <c r="Z603" s="397"/>
      <c r="AA603" s="397"/>
      <c r="AB603" s="530"/>
      <c r="AC603" s="530"/>
      <c r="AD603" s="530"/>
    </row>
    <row r="604" spans="2:30" x14ac:dyDescent="0.25">
      <c r="B604" s="530"/>
      <c r="C604" s="530"/>
      <c r="D604" s="530"/>
      <c r="E604" s="749"/>
      <c r="F604" s="530"/>
      <c r="G604" s="530"/>
      <c r="H604" s="530"/>
      <c r="I604" s="530"/>
      <c r="J604" s="417"/>
      <c r="K604" s="505"/>
      <c r="L604" s="579"/>
      <c r="M604" s="397"/>
      <c r="N604" s="397"/>
      <c r="O604" s="397"/>
      <c r="P604" s="397"/>
      <c r="Q604" s="397"/>
      <c r="R604" s="397"/>
      <c r="S604" s="397"/>
      <c r="T604" s="397"/>
      <c r="U604" s="397"/>
      <c r="V604" s="397"/>
      <c r="W604" s="397"/>
      <c r="X604" s="397"/>
      <c r="Y604" s="397"/>
      <c r="Z604" s="397"/>
      <c r="AA604" s="397"/>
      <c r="AB604" s="530"/>
      <c r="AC604" s="530"/>
      <c r="AD604" s="530"/>
    </row>
    <row r="605" spans="2:30" x14ac:dyDescent="0.25">
      <c r="B605" s="530"/>
      <c r="C605" s="530"/>
      <c r="D605" s="530"/>
      <c r="E605" s="749"/>
      <c r="F605" s="530"/>
      <c r="G605" s="530"/>
      <c r="H605" s="530"/>
      <c r="I605" s="530"/>
      <c r="J605" s="417"/>
      <c r="K605" s="505"/>
      <c r="L605" s="579"/>
      <c r="M605" s="397"/>
      <c r="N605" s="397"/>
      <c r="O605" s="397"/>
      <c r="P605" s="397"/>
      <c r="Q605" s="397"/>
      <c r="R605" s="397"/>
      <c r="S605" s="397"/>
      <c r="T605" s="397"/>
      <c r="U605" s="397"/>
      <c r="V605" s="397"/>
      <c r="W605" s="397"/>
      <c r="X605" s="397"/>
      <c r="Y605" s="397"/>
      <c r="Z605" s="397"/>
      <c r="AA605" s="397"/>
      <c r="AB605" s="530"/>
      <c r="AC605" s="530"/>
      <c r="AD605" s="530"/>
    </row>
    <row r="606" spans="2:30" x14ac:dyDescent="0.25">
      <c r="B606" s="530"/>
      <c r="C606" s="530"/>
      <c r="D606" s="530"/>
      <c r="E606" s="749"/>
      <c r="F606" s="530"/>
      <c r="G606" s="530"/>
      <c r="H606" s="530"/>
      <c r="I606" s="530"/>
      <c r="J606" s="417"/>
      <c r="K606" s="505"/>
      <c r="L606" s="579"/>
      <c r="M606" s="397"/>
      <c r="N606" s="397"/>
      <c r="O606" s="397"/>
      <c r="P606" s="397"/>
      <c r="Q606" s="397"/>
      <c r="R606" s="397"/>
      <c r="S606" s="397"/>
      <c r="T606" s="397"/>
      <c r="U606" s="397"/>
      <c r="V606" s="397"/>
      <c r="W606" s="397"/>
      <c r="X606" s="397"/>
      <c r="Y606" s="397"/>
      <c r="Z606" s="397"/>
      <c r="AA606" s="397"/>
      <c r="AB606" s="530"/>
      <c r="AC606" s="530"/>
      <c r="AD606" s="530"/>
    </row>
    <row r="607" spans="2:30" x14ac:dyDescent="0.25">
      <c r="B607" s="530"/>
      <c r="C607" s="530"/>
      <c r="D607" s="530"/>
      <c r="E607" s="749"/>
      <c r="F607" s="530"/>
      <c r="G607" s="530"/>
      <c r="H607" s="530"/>
      <c r="I607" s="530"/>
      <c r="J607" s="417"/>
      <c r="K607" s="505"/>
      <c r="L607" s="579"/>
      <c r="M607" s="397"/>
      <c r="N607" s="397"/>
      <c r="O607" s="397"/>
      <c r="P607" s="397"/>
      <c r="Q607" s="397"/>
      <c r="R607" s="397"/>
      <c r="S607" s="397"/>
      <c r="T607" s="397"/>
      <c r="U607" s="397"/>
      <c r="V607" s="397"/>
      <c r="W607" s="397"/>
      <c r="X607" s="397"/>
      <c r="Y607" s="397"/>
      <c r="Z607" s="397"/>
      <c r="AA607" s="397"/>
      <c r="AB607" s="530"/>
      <c r="AC607" s="530"/>
      <c r="AD607" s="530"/>
    </row>
    <row r="608" spans="2:30" x14ac:dyDescent="0.25">
      <c r="B608" s="530"/>
      <c r="C608" s="530"/>
      <c r="D608" s="530"/>
      <c r="E608" s="749"/>
      <c r="F608" s="530"/>
      <c r="G608" s="530"/>
      <c r="H608" s="530"/>
      <c r="I608" s="530"/>
      <c r="J608" s="417"/>
      <c r="K608" s="505"/>
      <c r="L608" s="579"/>
      <c r="M608" s="397"/>
      <c r="N608" s="397"/>
      <c r="O608" s="397"/>
      <c r="P608" s="397"/>
      <c r="Q608" s="397"/>
      <c r="R608" s="397"/>
      <c r="S608" s="397"/>
      <c r="T608" s="397"/>
      <c r="U608" s="397"/>
      <c r="V608" s="397"/>
      <c r="W608" s="397"/>
      <c r="X608" s="397"/>
      <c r="Y608" s="397"/>
      <c r="Z608" s="397"/>
      <c r="AA608" s="397"/>
      <c r="AB608" s="530"/>
      <c r="AC608" s="530"/>
      <c r="AD608" s="530"/>
    </row>
    <row r="609" spans="2:30" x14ac:dyDescent="0.25">
      <c r="B609" s="530"/>
      <c r="C609" s="530"/>
      <c r="D609" s="530"/>
      <c r="E609" s="749"/>
      <c r="F609" s="530"/>
      <c r="G609" s="530"/>
      <c r="H609" s="530"/>
      <c r="I609" s="530"/>
      <c r="J609" s="417"/>
      <c r="K609" s="505"/>
      <c r="L609" s="579"/>
      <c r="M609" s="397"/>
      <c r="N609" s="397"/>
      <c r="O609" s="397"/>
      <c r="P609" s="397"/>
      <c r="Q609" s="397"/>
      <c r="R609" s="397"/>
      <c r="S609" s="397"/>
      <c r="T609" s="397"/>
      <c r="U609" s="397"/>
      <c r="V609" s="397"/>
      <c r="W609" s="397"/>
      <c r="X609" s="397"/>
      <c r="Y609" s="397"/>
      <c r="Z609" s="397"/>
      <c r="AA609" s="397"/>
      <c r="AB609" s="530"/>
      <c r="AC609" s="530"/>
      <c r="AD609" s="530"/>
    </row>
    <row r="610" spans="2:30" x14ac:dyDescent="0.25">
      <c r="B610" s="530"/>
      <c r="C610" s="530"/>
      <c r="D610" s="530"/>
      <c r="E610" s="749"/>
      <c r="F610" s="530"/>
      <c r="G610" s="530"/>
      <c r="H610" s="530"/>
      <c r="I610" s="530"/>
      <c r="J610" s="417"/>
      <c r="K610" s="505"/>
      <c r="L610" s="579"/>
      <c r="M610" s="397"/>
      <c r="N610" s="397"/>
      <c r="O610" s="397"/>
      <c r="P610" s="397"/>
      <c r="Q610" s="397"/>
      <c r="R610" s="397"/>
      <c r="S610" s="397"/>
      <c r="T610" s="397"/>
      <c r="U610" s="397"/>
      <c r="V610" s="397"/>
      <c r="W610" s="397"/>
      <c r="X610" s="397"/>
      <c r="Y610" s="397"/>
      <c r="Z610" s="397"/>
      <c r="AA610" s="397"/>
      <c r="AB610" s="530"/>
      <c r="AC610" s="530"/>
      <c r="AD610" s="530"/>
    </row>
    <row r="611" spans="2:30" x14ac:dyDescent="0.25">
      <c r="B611" s="530"/>
      <c r="C611" s="530"/>
      <c r="D611" s="530"/>
      <c r="E611" s="749"/>
      <c r="F611" s="530"/>
      <c r="G611" s="530"/>
      <c r="H611" s="530"/>
      <c r="I611" s="530"/>
      <c r="J611" s="417"/>
      <c r="K611" s="505"/>
      <c r="L611" s="579"/>
      <c r="M611" s="397"/>
      <c r="N611" s="397"/>
      <c r="O611" s="397"/>
      <c r="P611" s="397"/>
      <c r="Q611" s="397"/>
      <c r="R611" s="397"/>
      <c r="S611" s="397"/>
      <c r="T611" s="397"/>
      <c r="U611" s="397"/>
      <c r="V611" s="397"/>
      <c r="W611" s="397"/>
      <c r="X611" s="397"/>
      <c r="Y611" s="397"/>
      <c r="Z611" s="397"/>
      <c r="AA611" s="397"/>
      <c r="AB611" s="530"/>
      <c r="AC611" s="530"/>
      <c r="AD611" s="530"/>
    </row>
    <row r="612" spans="2:30" x14ac:dyDescent="0.25">
      <c r="B612" s="530"/>
      <c r="C612" s="530"/>
      <c r="D612" s="530"/>
      <c r="E612" s="749"/>
      <c r="F612" s="530"/>
      <c r="G612" s="530"/>
      <c r="H612" s="530"/>
      <c r="I612" s="530"/>
      <c r="J612" s="417"/>
      <c r="K612" s="505"/>
      <c r="L612" s="579"/>
      <c r="M612" s="397"/>
      <c r="N612" s="397"/>
      <c r="O612" s="397"/>
      <c r="P612" s="397"/>
      <c r="Q612" s="397"/>
      <c r="R612" s="397"/>
      <c r="S612" s="397"/>
      <c r="T612" s="397"/>
      <c r="U612" s="397"/>
      <c r="V612" s="397"/>
      <c r="W612" s="397"/>
      <c r="X612" s="397"/>
      <c r="Y612" s="397"/>
      <c r="Z612" s="397"/>
      <c r="AA612" s="397"/>
      <c r="AB612" s="530"/>
      <c r="AC612" s="530"/>
      <c r="AD612" s="530"/>
    </row>
    <row r="613" spans="2:30" x14ac:dyDescent="0.25">
      <c r="B613" s="530"/>
      <c r="C613" s="530"/>
      <c r="D613" s="530"/>
      <c r="E613" s="749"/>
      <c r="F613" s="530"/>
      <c r="G613" s="530"/>
      <c r="H613" s="530"/>
      <c r="I613" s="530"/>
      <c r="J613" s="417"/>
      <c r="K613" s="505"/>
      <c r="L613" s="579"/>
      <c r="M613" s="397"/>
      <c r="N613" s="397"/>
      <c r="O613" s="397"/>
      <c r="P613" s="397"/>
      <c r="Q613" s="397"/>
      <c r="R613" s="397"/>
      <c r="S613" s="397"/>
      <c r="T613" s="397"/>
      <c r="U613" s="397"/>
      <c r="V613" s="397"/>
      <c r="W613" s="397"/>
      <c r="X613" s="397"/>
      <c r="Y613" s="397"/>
      <c r="Z613" s="397"/>
      <c r="AA613" s="397"/>
      <c r="AB613" s="530"/>
      <c r="AC613" s="530"/>
      <c r="AD613" s="530"/>
    </row>
    <row r="614" spans="2:30" x14ac:dyDescent="0.25">
      <c r="B614" s="530"/>
      <c r="C614" s="530"/>
      <c r="D614" s="530"/>
      <c r="E614" s="749"/>
      <c r="F614" s="530"/>
      <c r="G614" s="530"/>
      <c r="H614" s="530"/>
      <c r="I614" s="530"/>
      <c r="J614" s="417"/>
      <c r="K614" s="505"/>
      <c r="L614" s="579"/>
      <c r="M614" s="397"/>
      <c r="N614" s="397"/>
      <c r="O614" s="397"/>
      <c r="P614" s="397"/>
      <c r="Q614" s="397"/>
      <c r="R614" s="397"/>
      <c r="S614" s="397"/>
      <c r="T614" s="397"/>
      <c r="U614" s="397"/>
      <c r="V614" s="397"/>
      <c r="W614" s="397"/>
      <c r="X614" s="397"/>
      <c r="Y614" s="397"/>
      <c r="Z614" s="397"/>
      <c r="AA614" s="397"/>
      <c r="AB614" s="530"/>
      <c r="AC614" s="530"/>
      <c r="AD614" s="530"/>
    </row>
    <row r="615" spans="2:30" x14ac:dyDescent="0.25">
      <c r="B615" s="530"/>
      <c r="C615" s="530"/>
      <c r="D615" s="530"/>
      <c r="E615" s="749"/>
      <c r="F615" s="530"/>
      <c r="G615" s="530"/>
      <c r="H615" s="530"/>
      <c r="I615" s="530"/>
      <c r="J615" s="417"/>
      <c r="K615" s="505"/>
      <c r="L615" s="579"/>
      <c r="M615" s="397"/>
      <c r="N615" s="397"/>
      <c r="O615" s="397"/>
      <c r="P615" s="397"/>
      <c r="Q615" s="397"/>
      <c r="R615" s="397"/>
      <c r="S615" s="397"/>
      <c r="T615" s="397"/>
      <c r="U615" s="397"/>
      <c r="V615" s="397"/>
      <c r="W615" s="397"/>
      <c r="X615" s="397"/>
      <c r="Y615" s="397"/>
      <c r="Z615" s="397"/>
      <c r="AA615" s="397"/>
      <c r="AB615" s="530"/>
      <c r="AC615" s="530"/>
      <c r="AD615" s="530"/>
    </row>
    <row r="616" spans="2:30" x14ac:dyDescent="0.25">
      <c r="B616" s="530"/>
      <c r="C616" s="530"/>
      <c r="D616" s="530"/>
      <c r="E616" s="749"/>
      <c r="F616" s="530"/>
      <c r="G616" s="530"/>
      <c r="H616" s="530"/>
      <c r="I616" s="530"/>
      <c r="J616" s="417"/>
      <c r="K616" s="505"/>
      <c r="L616" s="579"/>
      <c r="M616" s="397"/>
      <c r="N616" s="397"/>
      <c r="O616" s="397"/>
      <c r="P616" s="397"/>
      <c r="Q616" s="397"/>
      <c r="R616" s="397"/>
      <c r="S616" s="397"/>
      <c r="T616" s="397"/>
      <c r="U616" s="397"/>
      <c r="V616" s="397"/>
      <c r="W616" s="397"/>
      <c r="X616" s="397"/>
      <c r="Y616" s="397"/>
      <c r="Z616" s="397"/>
      <c r="AA616" s="397"/>
      <c r="AB616" s="530"/>
      <c r="AC616" s="530"/>
      <c r="AD616" s="530"/>
    </row>
    <row r="617" spans="2:30" x14ac:dyDescent="0.25">
      <c r="B617" s="530"/>
      <c r="C617" s="530"/>
      <c r="D617" s="530"/>
      <c r="E617" s="749"/>
      <c r="F617" s="530"/>
      <c r="G617" s="530"/>
      <c r="H617" s="530"/>
      <c r="I617" s="530"/>
      <c r="J617" s="417"/>
      <c r="K617" s="505"/>
      <c r="L617" s="579"/>
      <c r="M617" s="397"/>
      <c r="N617" s="397"/>
      <c r="O617" s="397"/>
      <c r="P617" s="397"/>
      <c r="Q617" s="397"/>
      <c r="R617" s="397"/>
      <c r="S617" s="397"/>
      <c r="T617" s="397"/>
      <c r="U617" s="397"/>
      <c r="V617" s="397"/>
      <c r="W617" s="397"/>
      <c r="X617" s="397"/>
      <c r="Y617" s="397"/>
      <c r="Z617" s="397"/>
      <c r="AA617" s="397"/>
      <c r="AB617" s="530"/>
      <c r="AC617" s="530"/>
      <c r="AD617" s="530"/>
    </row>
    <row r="618" spans="2:30" x14ac:dyDescent="0.25">
      <c r="B618" s="530"/>
      <c r="C618" s="530"/>
      <c r="D618" s="530"/>
      <c r="E618" s="749"/>
      <c r="F618" s="530"/>
      <c r="G618" s="530"/>
      <c r="H618" s="530"/>
      <c r="I618" s="530"/>
      <c r="J618" s="417"/>
      <c r="K618" s="505"/>
      <c r="L618" s="579"/>
      <c r="M618" s="397"/>
      <c r="N618" s="397"/>
      <c r="O618" s="397"/>
      <c r="P618" s="397"/>
      <c r="Q618" s="397"/>
      <c r="R618" s="397"/>
      <c r="S618" s="397"/>
      <c r="T618" s="397"/>
      <c r="U618" s="397"/>
      <c r="V618" s="397"/>
      <c r="W618" s="397"/>
      <c r="X618" s="397"/>
      <c r="Y618" s="397"/>
      <c r="Z618" s="397"/>
      <c r="AA618" s="397"/>
      <c r="AB618" s="530"/>
      <c r="AC618" s="530"/>
      <c r="AD618" s="530"/>
    </row>
    <row r="619" spans="2:30" x14ac:dyDescent="0.25">
      <c r="B619" s="530"/>
      <c r="C619" s="530"/>
      <c r="D619" s="530"/>
      <c r="E619" s="749"/>
      <c r="F619" s="530"/>
      <c r="G619" s="530"/>
      <c r="H619" s="530"/>
      <c r="I619" s="530"/>
      <c r="J619" s="417"/>
      <c r="K619" s="505"/>
      <c r="L619" s="579"/>
      <c r="M619" s="397"/>
      <c r="N619" s="397"/>
      <c r="O619" s="397"/>
      <c r="P619" s="397"/>
      <c r="Q619" s="397"/>
      <c r="R619" s="397"/>
      <c r="S619" s="397"/>
      <c r="T619" s="397"/>
      <c r="U619" s="397"/>
      <c r="V619" s="397"/>
      <c r="W619" s="397"/>
      <c r="X619" s="397"/>
      <c r="Y619" s="397"/>
      <c r="Z619" s="397"/>
      <c r="AA619" s="397"/>
      <c r="AB619" s="530"/>
      <c r="AC619" s="530"/>
      <c r="AD619" s="530"/>
    </row>
    <row r="620" spans="2:30" x14ac:dyDescent="0.25">
      <c r="B620" s="530"/>
      <c r="C620" s="530"/>
      <c r="D620" s="530"/>
      <c r="E620" s="749"/>
      <c r="F620" s="530"/>
      <c r="G620" s="530"/>
      <c r="H620" s="530"/>
      <c r="I620" s="530"/>
      <c r="J620" s="417"/>
      <c r="K620" s="505"/>
      <c r="L620" s="579"/>
      <c r="M620" s="397"/>
      <c r="N620" s="397"/>
      <c r="O620" s="397"/>
      <c r="P620" s="397"/>
      <c r="Q620" s="397"/>
      <c r="R620" s="397"/>
      <c r="S620" s="397"/>
      <c r="T620" s="397"/>
      <c r="U620" s="397"/>
      <c r="V620" s="397"/>
      <c r="W620" s="397"/>
      <c r="X620" s="397"/>
      <c r="Y620" s="397"/>
      <c r="Z620" s="397"/>
      <c r="AA620" s="397"/>
      <c r="AB620" s="530"/>
      <c r="AC620" s="530"/>
      <c r="AD620" s="530"/>
    </row>
    <row r="621" spans="2:30" x14ac:dyDescent="0.25">
      <c r="B621" s="530"/>
      <c r="C621" s="530"/>
      <c r="D621" s="530"/>
      <c r="E621" s="749"/>
      <c r="F621" s="530"/>
      <c r="G621" s="530"/>
      <c r="H621" s="530"/>
      <c r="I621" s="530"/>
      <c r="J621" s="417"/>
      <c r="K621" s="505"/>
      <c r="L621" s="579"/>
      <c r="M621" s="397"/>
      <c r="N621" s="397"/>
      <c r="O621" s="397"/>
      <c r="P621" s="397"/>
      <c r="Q621" s="397"/>
      <c r="R621" s="397"/>
      <c r="S621" s="397"/>
      <c r="T621" s="397"/>
      <c r="U621" s="397"/>
      <c r="V621" s="397"/>
      <c r="W621" s="397"/>
      <c r="X621" s="397"/>
      <c r="Y621" s="397"/>
      <c r="Z621" s="397"/>
      <c r="AA621" s="397"/>
      <c r="AB621" s="530"/>
      <c r="AC621" s="530"/>
      <c r="AD621" s="530"/>
    </row>
    <row r="622" spans="2:30" x14ac:dyDescent="0.25">
      <c r="B622" s="530"/>
      <c r="C622" s="530"/>
      <c r="D622" s="530"/>
      <c r="E622" s="749"/>
      <c r="F622" s="530"/>
      <c r="G622" s="530"/>
      <c r="H622" s="530"/>
      <c r="I622" s="530"/>
      <c r="J622" s="417"/>
      <c r="K622" s="505"/>
      <c r="L622" s="579"/>
      <c r="M622" s="397"/>
      <c r="N622" s="397"/>
      <c r="O622" s="397"/>
      <c r="P622" s="397"/>
      <c r="Q622" s="397"/>
      <c r="R622" s="397"/>
      <c r="S622" s="397"/>
      <c r="T622" s="397"/>
      <c r="U622" s="397"/>
      <c r="V622" s="397"/>
      <c r="W622" s="397"/>
      <c r="X622" s="397"/>
      <c r="Y622" s="397"/>
      <c r="Z622" s="397"/>
      <c r="AA622" s="397"/>
      <c r="AB622" s="530"/>
      <c r="AC622" s="530"/>
      <c r="AD622" s="530"/>
    </row>
    <row r="623" spans="2:30" x14ac:dyDescent="0.25">
      <c r="B623" s="530"/>
      <c r="C623" s="530"/>
      <c r="D623" s="530"/>
      <c r="E623" s="749"/>
      <c r="F623" s="530"/>
      <c r="G623" s="530"/>
      <c r="H623" s="530"/>
      <c r="I623" s="530"/>
      <c r="J623" s="417"/>
      <c r="K623" s="505"/>
      <c r="L623" s="579"/>
      <c r="M623" s="397"/>
      <c r="N623" s="397"/>
      <c r="O623" s="397"/>
      <c r="P623" s="397"/>
      <c r="Q623" s="397"/>
      <c r="R623" s="397"/>
      <c r="S623" s="397"/>
      <c r="T623" s="397"/>
      <c r="U623" s="397"/>
      <c r="V623" s="397"/>
      <c r="W623" s="397"/>
      <c r="X623" s="397"/>
      <c r="Y623" s="397"/>
      <c r="Z623" s="397"/>
      <c r="AA623" s="397"/>
      <c r="AB623" s="530"/>
      <c r="AC623" s="530"/>
      <c r="AD623" s="530"/>
    </row>
    <row r="624" spans="2:30" x14ac:dyDescent="0.25">
      <c r="B624" s="530"/>
      <c r="C624" s="530"/>
      <c r="D624" s="530"/>
      <c r="E624" s="749"/>
      <c r="F624" s="530"/>
      <c r="G624" s="530"/>
      <c r="H624" s="530"/>
      <c r="I624" s="530"/>
      <c r="J624" s="417"/>
      <c r="K624" s="505"/>
      <c r="L624" s="579"/>
      <c r="M624" s="397"/>
      <c r="N624" s="397"/>
      <c r="O624" s="397"/>
      <c r="P624" s="397"/>
      <c r="Q624" s="397"/>
      <c r="R624" s="397"/>
      <c r="S624" s="397"/>
      <c r="T624" s="397"/>
      <c r="U624" s="397"/>
      <c r="V624" s="397"/>
      <c r="W624" s="397"/>
      <c r="X624" s="397"/>
      <c r="Y624" s="397"/>
      <c r="Z624" s="397"/>
      <c r="AA624" s="397"/>
      <c r="AB624" s="530"/>
      <c r="AC624" s="530"/>
      <c r="AD624" s="530"/>
    </row>
    <row r="625" spans="2:30" x14ac:dyDescent="0.25">
      <c r="B625" s="530"/>
      <c r="C625" s="530"/>
      <c r="D625" s="530"/>
      <c r="E625" s="749"/>
      <c r="F625" s="530"/>
      <c r="G625" s="530"/>
      <c r="H625" s="530"/>
      <c r="I625" s="530"/>
      <c r="J625" s="417"/>
      <c r="K625" s="505"/>
      <c r="L625" s="579"/>
      <c r="M625" s="397"/>
      <c r="N625" s="397"/>
      <c r="O625" s="397"/>
      <c r="P625" s="397"/>
      <c r="Q625" s="397"/>
      <c r="R625" s="397"/>
      <c r="S625" s="397"/>
      <c r="T625" s="397"/>
      <c r="U625" s="397"/>
      <c r="V625" s="397"/>
      <c r="W625" s="397"/>
      <c r="X625" s="397"/>
      <c r="Y625" s="397"/>
      <c r="Z625" s="397"/>
      <c r="AA625" s="397"/>
      <c r="AB625" s="530"/>
      <c r="AC625" s="530"/>
      <c r="AD625" s="530"/>
    </row>
    <row r="626" spans="2:30" x14ac:dyDescent="0.25">
      <c r="B626" s="530"/>
      <c r="C626" s="530"/>
      <c r="D626" s="530"/>
      <c r="E626" s="749"/>
      <c r="F626" s="530"/>
      <c r="G626" s="530"/>
      <c r="H626" s="530"/>
      <c r="I626" s="530"/>
      <c r="J626" s="417"/>
      <c r="K626" s="505"/>
      <c r="L626" s="579"/>
      <c r="M626" s="397"/>
      <c r="N626" s="397"/>
      <c r="O626" s="397"/>
      <c r="P626" s="397"/>
      <c r="Q626" s="397"/>
      <c r="R626" s="397"/>
      <c r="S626" s="397"/>
      <c r="T626" s="397"/>
      <c r="U626" s="397"/>
      <c r="V626" s="397"/>
      <c r="W626" s="397"/>
      <c r="X626" s="397"/>
      <c r="Y626" s="397"/>
      <c r="Z626" s="397"/>
      <c r="AA626" s="397"/>
      <c r="AB626" s="530"/>
      <c r="AC626" s="530"/>
      <c r="AD626" s="530"/>
    </row>
    <row r="627" spans="2:30" x14ac:dyDescent="0.25">
      <c r="B627" s="530"/>
      <c r="C627" s="530"/>
      <c r="D627" s="530"/>
      <c r="E627" s="749"/>
      <c r="F627" s="530"/>
      <c r="G627" s="530"/>
      <c r="H627" s="530"/>
      <c r="I627" s="530"/>
      <c r="J627" s="417"/>
      <c r="K627" s="505"/>
      <c r="L627" s="579"/>
      <c r="M627" s="397"/>
      <c r="N627" s="397"/>
      <c r="O627" s="397"/>
      <c r="P627" s="397"/>
      <c r="Q627" s="397"/>
      <c r="R627" s="397"/>
      <c r="S627" s="397"/>
      <c r="T627" s="397"/>
      <c r="U627" s="397"/>
      <c r="V627" s="397"/>
      <c r="W627" s="397"/>
      <c r="X627" s="397"/>
      <c r="Y627" s="397"/>
      <c r="Z627" s="397"/>
      <c r="AA627" s="397"/>
      <c r="AB627" s="530"/>
      <c r="AC627" s="530"/>
      <c r="AD627" s="530"/>
    </row>
    <row r="628" spans="2:30" x14ac:dyDescent="0.25">
      <c r="B628" s="530"/>
      <c r="C628" s="530"/>
      <c r="D628" s="530"/>
      <c r="E628" s="749"/>
      <c r="F628" s="530"/>
      <c r="G628" s="530"/>
      <c r="H628" s="530"/>
      <c r="I628" s="530"/>
      <c r="J628" s="417"/>
      <c r="K628" s="505"/>
      <c r="L628" s="579"/>
      <c r="M628" s="397"/>
      <c r="N628" s="397"/>
      <c r="O628" s="397"/>
      <c r="P628" s="397"/>
      <c r="Q628" s="397"/>
      <c r="R628" s="397"/>
      <c r="S628" s="397"/>
      <c r="T628" s="397"/>
      <c r="U628" s="397"/>
      <c r="V628" s="397"/>
      <c r="W628" s="397"/>
      <c r="X628" s="397"/>
      <c r="Y628" s="397"/>
      <c r="Z628" s="397"/>
      <c r="AA628" s="397"/>
      <c r="AB628" s="530"/>
      <c r="AC628" s="530"/>
      <c r="AD628" s="530"/>
    </row>
    <row r="629" spans="2:30" x14ac:dyDescent="0.25">
      <c r="B629" s="530"/>
      <c r="C629" s="530"/>
      <c r="D629" s="530"/>
      <c r="E629" s="749"/>
      <c r="F629" s="530"/>
      <c r="G629" s="530"/>
      <c r="H629" s="530"/>
      <c r="I629" s="530"/>
      <c r="J629" s="417"/>
      <c r="K629" s="505"/>
      <c r="L629" s="579"/>
      <c r="M629" s="397"/>
      <c r="N629" s="397"/>
      <c r="O629" s="397"/>
      <c r="P629" s="397"/>
      <c r="Q629" s="397"/>
      <c r="R629" s="397"/>
      <c r="S629" s="397"/>
      <c r="T629" s="397"/>
      <c r="U629" s="397"/>
      <c r="V629" s="397"/>
      <c r="W629" s="397"/>
      <c r="X629" s="397"/>
      <c r="Y629" s="397"/>
      <c r="Z629" s="397"/>
      <c r="AA629" s="397"/>
      <c r="AB629" s="530"/>
      <c r="AC629" s="530"/>
      <c r="AD629" s="530"/>
    </row>
    <row r="630" spans="2:30" x14ac:dyDescent="0.25">
      <c r="B630" s="530"/>
      <c r="C630" s="530"/>
      <c r="D630" s="530"/>
      <c r="E630" s="749"/>
      <c r="F630" s="530"/>
      <c r="G630" s="530"/>
      <c r="H630" s="530"/>
      <c r="I630" s="530"/>
      <c r="J630" s="417"/>
      <c r="K630" s="505"/>
      <c r="L630" s="579"/>
      <c r="M630" s="397"/>
      <c r="N630" s="397"/>
      <c r="O630" s="397"/>
      <c r="P630" s="397"/>
      <c r="Q630" s="397"/>
      <c r="R630" s="397"/>
      <c r="S630" s="397"/>
      <c r="T630" s="397"/>
      <c r="U630" s="397"/>
      <c r="V630" s="397"/>
      <c r="W630" s="397"/>
      <c r="X630" s="397"/>
      <c r="Y630" s="397"/>
      <c r="Z630" s="397"/>
      <c r="AA630" s="397"/>
      <c r="AB630" s="530"/>
      <c r="AC630" s="530"/>
      <c r="AD630" s="530"/>
    </row>
    <row r="631" spans="2:30" x14ac:dyDescent="0.25">
      <c r="B631" s="530"/>
      <c r="C631" s="530"/>
      <c r="D631" s="530"/>
      <c r="E631" s="749"/>
      <c r="F631" s="530"/>
      <c r="G631" s="530"/>
      <c r="H631" s="530"/>
      <c r="I631" s="530"/>
      <c r="J631" s="417"/>
      <c r="K631" s="505"/>
      <c r="L631" s="579"/>
      <c r="M631" s="397"/>
      <c r="N631" s="397"/>
      <c r="O631" s="397"/>
      <c r="P631" s="397"/>
      <c r="Q631" s="397"/>
      <c r="R631" s="397"/>
      <c r="S631" s="397"/>
      <c r="T631" s="397"/>
      <c r="U631" s="397"/>
      <c r="V631" s="397"/>
      <c r="W631" s="397"/>
      <c r="X631" s="397"/>
      <c r="Y631" s="397"/>
      <c r="Z631" s="397"/>
      <c r="AA631" s="397"/>
      <c r="AB631" s="530"/>
      <c r="AC631" s="530"/>
      <c r="AD631" s="530"/>
    </row>
    <row r="632" spans="2:30" x14ac:dyDescent="0.25">
      <c r="B632" s="530"/>
      <c r="C632" s="530"/>
      <c r="D632" s="530"/>
      <c r="E632" s="749"/>
      <c r="F632" s="530"/>
      <c r="G632" s="530"/>
      <c r="H632" s="530"/>
      <c r="I632" s="530"/>
      <c r="J632" s="417"/>
      <c r="K632" s="505"/>
      <c r="L632" s="579"/>
      <c r="M632" s="397"/>
      <c r="N632" s="397"/>
      <c r="O632" s="397"/>
      <c r="P632" s="397"/>
      <c r="Q632" s="397"/>
      <c r="R632" s="397"/>
      <c r="S632" s="397"/>
      <c r="T632" s="397"/>
      <c r="U632" s="397"/>
      <c r="V632" s="397"/>
      <c r="W632" s="397"/>
      <c r="X632" s="397"/>
      <c r="Y632" s="397"/>
      <c r="Z632" s="397"/>
      <c r="AA632" s="397"/>
      <c r="AB632" s="530"/>
      <c r="AC632" s="530"/>
      <c r="AD632" s="530"/>
    </row>
    <row r="633" spans="2:30" x14ac:dyDescent="0.25">
      <c r="B633" s="530"/>
      <c r="C633" s="530"/>
      <c r="D633" s="530"/>
      <c r="E633" s="749"/>
      <c r="F633" s="530"/>
      <c r="G633" s="530"/>
      <c r="H633" s="530"/>
      <c r="I633" s="530"/>
      <c r="J633" s="417"/>
      <c r="K633" s="505"/>
      <c r="L633" s="579"/>
      <c r="M633" s="397"/>
      <c r="N633" s="397"/>
      <c r="O633" s="397"/>
      <c r="P633" s="397"/>
      <c r="Q633" s="397"/>
      <c r="R633" s="397"/>
      <c r="S633" s="397"/>
      <c r="T633" s="397"/>
      <c r="U633" s="397"/>
      <c r="V633" s="397"/>
      <c r="W633" s="397"/>
      <c r="X633" s="397"/>
      <c r="Y633" s="397"/>
      <c r="Z633" s="397"/>
      <c r="AA633" s="397"/>
      <c r="AB633" s="530"/>
      <c r="AC633" s="530"/>
      <c r="AD633" s="530"/>
    </row>
    <row r="634" spans="2:30" x14ac:dyDescent="0.25">
      <c r="B634" s="530"/>
      <c r="C634" s="530"/>
      <c r="D634" s="530"/>
      <c r="E634" s="749"/>
      <c r="F634" s="530"/>
      <c r="G634" s="530"/>
      <c r="H634" s="530"/>
      <c r="I634" s="530"/>
      <c r="J634" s="417"/>
      <c r="K634" s="505"/>
      <c r="L634" s="579"/>
      <c r="M634" s="397"/>
      <c r="N634" s="397"/>
      <c r="O634" s="397"/>
      <c r="P634" s="397"/>
      <c r="Q634" s="397"/>
      <c r="R634" s="397"/>
      <c r="S634" s="397"/>
      <c r="T634" s="397"/>
      <c r="U634" s="397"/>
      <c r="V634" s="397"/>
      <c r="W634" s="397"/>
      <c r="X634" s="397"/>
      <c r="Y634" s="397"/>
      <c r="Z634" s="397"/>
      <c r="AA634" s="397"/>
      <c r="AB634" s="530"/>
      <c r="AC634" s="530"/>
      <c r="AD634" s="530"/>
    </row>
    <row r="635" spans="2:30" x14ac:dyDescent="0.25">
      <c r="B635" s="530"/>
      <c r="C635" s="530"/>
      <c r="D635" s="530"/>
      <c r="E635" s="749"/>
      <c r="F635" s="530"/>
      <c r="G635" s="530"/>
      <c r="H635" s="530"/>
      <c r="I635" s="530"/>
      <c r="J635" s="417"/>
      <c r="K635" s="505"/>
      <c r="L635" s="579"/>
      <c r="M635" s="397"/>
      <c r="N635" s="397"/>
      <c r="O635" s="397"/>
      <c r="P635" s="397"/>
      <c r="Q635" s="397"/>
      <c r="R635" s="397"/>
      <c r="S635" s="397"/>
      <c r="T635" s="397"/>
      <c r="U635" s="397"/>
      <c r="V635" s="397"/>
      <c r="W635" s="397"/>
      <c r="X635" s="397"/>
      <c r="Y635" s="397"/>
      <c r="Z635" s="397"/>
      <c r="AA635" s="397"/>
      <c r="AB635" s="530"/>
      <c r="AC635" s="530"/>
      <c r="AD635" s="530"/>
    </row>
    <row r="636" spans="2:30" x14ac:dyDescent="0.25">
      <c r="B636" s="530"/>
      <c r="C636" s="530"/>
      <c r="D636" s="530"/>
      <c r="E636" s="749"/>
      <c r="F636" s="530"/>
      <c r="G636" s="530"/>
      <c r="H636" s="530"/>
      <c r="I636" s="530"/>
      <c r="J636" s="417"/>
      <c r="K636" s="505"/>
      <c r="L636" s="579"/>
      <c r="M636" s="397"/>
      <c r="N636" s="397"/>
      <c r="O636" s="397"/>
      <c r="P636" s="397"/>
      <c r="Q636" s="397"/>
      <c r="R636" s="397"/>
      <c r="S636" s="397"/>
      <c r="T636" s="397"/>
      <c r="U636" s="397"/>
      <c r="V636" s="397"/>
      <c r="W636" s="397"/>
      <c r="X636" s="397"/>
      <c r="Y636" s="397"/>
      <c r="Z636" s="397"/>
      <c r="AA636" s="397"/>
      <c r="AB636" s="530"/>
      <c r="AC636" s="530"/>
      <c r="AD636" s="530"/>
    </row>
    <row r="637" spans="2:30" x14ac:dyDescent="0.25">
      <c r="B637" s="530"/>
      <c r="C637" s="530"/>
      <c r="D637" s="530"/>
      <c r="E637" s="749"/>
      <c r="F637" s="530"/>
      <c r="G637" s="530"/>
      <c r="H637" s="530"/>
      <c r="I637" s="530"/>
      <c r="J637" s="417"/>
      <c r="K637" s="505"/>
      <c r="L637" s="579"/>
      <c r="M637" s="397"/>
      <c r="N637" s="397"/>
      <c r="O637" s="397"/>
      <c r="P637" s="397"/>
      <c r="Q637" s="397"/>
      <c r="R637" s="397"/>
      <c r="S637" s="397"/>
      <c r="T637" s="397"/>
      <c r="U637" s="397"/>
      <c r="V637" s="397"/>
      <c r="W637" s="397"/>
      <c r="X637" s="397"/>
      <c r="Y637" s="397"/>
      <c r="Z637" s="397"/>
      <c r="AA637" s="397"/>
      <c r="AB637" s="530"/>
      <c r="AC637" s="530"/>
      <c r="AD637" s="530"/>
    </row>
    <row r="638" spans="2:30" x14ac:dyDescent="0.25">
      <c r="B638" s="530"/>
      <c r="C638" s="530"/>
      <c r="D638" s="530"/>
      <c r="E638" s="749"/>
      <c r="F638" s="530"/>
      <c r="G638" s="530"/>
      <c r="H638" s="530"/>
      <c r="I638" s="530"/>
      <c r="J638" s="417"/>
      <c r="K638" s="505"/>
      <c r="L638" s="579"/>
      <c r="M638" s="397"/>
      <c r="N638" s="397"/>
      <c r="O638" s="397"/>
      <c r="P638" s="397"/>
      <c r="Q638" s="397"/>
      <c r="R638" s="397"/>
      <c r="S638" s="397"/>
      <c r="T638" s="397"/>
      <c r="U638" s="397"/>
      <c r="V638" s="397"/>
      <c r="W638" s="397"/>
      <c r="X638" s="397"/>
      <c r="Y638" s="397"/>
      <c r="Z638" s="397"/>
      <c r="AA638" s="397"/>
      <c r="AB638" s="530"/>
      <c r="AC638" s="530"/>
      <c r="AD638" s="530"/>
    </row>
    <row r="639" spans="2:30" x14ac:dyDescent="0.25">
      <c r="B639" s="530"/>
      <c r="C639" s="530"/>
      <c r="D639" s="530"/>
      <c r="E639" s="749"/>
      <c r="F639" s="530"/>
      <c r="G639" s="530"/>
      <c r="H639" s="530"/>
      <c r="I639" s="530"/>
      <c r="J639" s="417"/>
      <c r="K639" s="505"/>
      <c r="L639" s="579"/>
      <c r="M639" s="397"/>
      <c r="N639" s="397"/>
      <c r="O639" s="397"/>
      <c r="P639" s="397"/>
      <c r="Q639" s="397"/>
      <c r="R639" s="397"/>
      <c r="S639" s="397"/>
      <c r="T639" s="397"/>
      <c r="U639" s="397"/>
      <c r="V639" s="397"/>
      <c r="W639" s="397"/>
      <c r="X639" s="397"/>
      <c r="Y639" s="397"/>
      <c r="Z639" s="397"/>
      <c r="AA639" s="397"/>
      <c r="AB639" s="530"/>
      <c r="AC639" s="530"/>
      <c r="AD639" s="530"/>
    </row>
    <row r="640" spans="2:30" x14ac:dyDescent="0.25">
      <c r="B640" s="530"/>
      <c r="C640" s="530"/>
      <c r="D640" s="530"/>
      <c r="E640" s="749"/>
      <c r="F640" s="530"/>
      <c r="G640" s="530"/>
      <c r="H640" s="530"/>
      <c r="I640" s="530"/>
      <c r="J640" s="417"/>
      <c r="K640" s="505"/>
      <c r="L640" s="579"/>
      <c r="M640" s="397"/>
      <c r="N640" s="397"/>
      <c r="O640" s="397"/>
      <c r="P640" s="397"/>
      <c r="Q640" s="397"/>
      <c r="R640" s="397"/>
      <c r="S640" s="397"/>
      <c r="T640" s="397"/>
      <c r="U640" s="397"/>
      <c r="V640" s="397"/>
      <c r="W640" s="397"/>
      <c r="X640" s="397"/>
      <c r="Y640" s="397"/>
      <c r="Z640" s="397"/>
      <c r="AA640" s="397"/>
      <c r="AB640" s="530"/>
      <c r="AC640" s="530"/>
      <c r="AD640" s="530"/>
    </row>
    <row r="641" spans="2:30" x14ac:dyDescent="0.25">
      <c r="B641" s="530"/>
      <c r="C641" s="530"/>
      <c r="D641" s="530"/>
      <c r="E641" s="749"/>
      <c r="F641" s="530"/>
      <c r="G641" s="530"/>
      <c r="H641" s="530"/>
      <c r="I641" s="530"/>
      <c r="J641" s="417"/>
      <c r="K641" s="505"/>
      <c r="L641" s="579"/>
      <c r="M641" s="397"/>
      <c r="N641" s="397"/>
      <c r="O641" s="397"/>
      <c r="P641" s="397"/>
      <c r="Q641" s="397"/>
      <c r="R641" s="397"/>
      <c r="S641" s="397"/>
      <c r="T641" s="397"/>
      <c r="U641" s="397"/>
      <c r="V641" s="397"/>
      <c r="W641" s="397"/>
      <c r="X641" s="397"/>
      <c r="Y641" s="397"/>
      <c r="Z641" s="397"/>
      <c r="AA641" s="397"/>
      <c r="AB641" s="530"/>
      <c r="AC641" s="530"/>
      <c r="AD641" s="530"/>
    </row>
    <row r="642" spans="2:30" x14ac:dyDescent="0.25">
      <c r="B642" s="530"/>
      <c r="C642" s="530"/>
      <c r="D642" s="530"/>
      <c r="E642" s="749"/>
      <c r="F642" s="530"/>
      <c r="G642" s="530"/>
      <c r="H642" s="530"/>
      <c r="I642" s="530"/>
      <c r="J642" s="417"/>
      <c r="K642" s="505"/>
      <c r="L642" s="579"/>
      <c r="M642" s="397"/>
      <c r="N642" s="397"/>
      <c r="O642" s="397"/>
      <c r="P642" s="397"/>
      <c r="Q642" s="397"/>
      <c r="R642" s="397"/>
      <c r="S642" s="397"/>
      <c r="T642" s="397"/>
      <c r="U642" s="397"/>
      <c r="V642" s="397"/>
      <c r="W642" s="397"/>
      <c r="X642" s="397"/>
      <c r="Y642" s="397"/>
      <c r="Z642" s="397"/>
      <c r="AA642" s="397"/>
      <c r="AB642" s="530"/>
      <c r="AC642" s="530"/>
      <c r="AD642" s="530"/>
    </row>
    <row r="643" spans="2:30" x14ac:dyDescent="0.25">
      <c r="B643" s="530"/>
      <c r="C643" s="530"/>
      <c r="D643" s="530"/>
      <c r="E643" s="749"/>
      <c r="F643" s="530"/>
      <c r="G643" s="530"/>
      <c r="H643" s="530"/>
      <c r="I643" s="530"/>
      <c r="J643" s="417"/>
      <c r="K643" s="505"/>
      <c r="L643" s="579"/>
      <c r="M643" s="397"/>
      <c r="N643" s="397"/>
      <c r="O643" s="397"/>
      <c r="P643" s="397"/>
      <c r="Q643" s="397"/>
      <c r="R643" s="397"/>
      <c r="S643" s="397"/>
      <c r="T643" s="397"/>
      <c r="U643" s="397"/>
      <c r="V643" s="397"/>
      <c r="W643" s="397"/>
      <c r="X643" s="397"/>
      <c r="Y643" s="397"/>
      <c r="Z643" s="397"/>
      <c r="AA643" s="397"/>
      <c r="AB643" s="530"/>
      <c r="AC643" s="530"/>
      <c r="AD643" s="530"/>
    </row>
    <row r="644" spans="2:30" x14ac:dyDescent="0.25">
      <c r="B644" s="530"/>
      <c r="C644" s="530"/>
      <c r="D644" s="530"/>
      <c r="E644" s="749"/>
      <c r="F644" s="530"/>
      <c r="G644" s="530"/>
      <c r="H644" s="530"/>
      <c r="I644" s="530"/>
      <c r="J644" s="417"/>
      <c r="K644" s="505"/>
      <c r="L644" s="579"/>
      <c r="M644" s="397"/>
      <c r="N644" s="397"/>
      <c r="O644" s="397"/>
      <c r="P644" s="397"/>
      <c r="Q644" s="397"/>
      <c r="R644" s="397"/>
      <c r="S644" s="397"/>
      <c r="T644" s="397"/>
      <c r="U644" s="397"/>
      <c r="V644" s="397"/>
      <c r="W644" s="397"/>
      <c r="X644" s="397"/>
      <c r="Y644" s="397"/>
      <c r="Z644" s="397"/>
      <c r="AA644" s="397"/>
      <c r="AB644" s="530"/>
      <c r="AC644" s="530"/>
      <c r="AD644" s="530"/>
    </row>
    <row r="645" spans="2:30" x14ac:dyDescent="0.25">
      <c r="B645" s="530"/>
      <c r="C645" s="530"/>
      <c r="D645" s="530"/>
      <c r="E645" s="749"/>
      <c r="F645" s="530"/>
      <c r="G645" s="530"/>
      <c r="H645" s="530"/>
      <c r="I645" s="530"/>
      <c r="J645" s="417"/>
      <c r="K645" s="505"/>
      <c r="L645" s="579"/>
      <c r="M645" s="397"/>
      <c r="N645" s="397"/>
      <c r="O645" s="397"/>
      <c r="P645" s="397"/>
      <c r="Q645" s="397"/>
      <c r="R645" s="397"/>
      <c r="S645" s="397"/>
      <c r="T645" s="397"/>
      <c r="U645" s="397"/>
      <c r="V645" s="397"/>
      <c r="W645" s="397"/>
      <c r="X645" s="397"/>
      <c r="Y645" s="397"/>
      <c r="Z645" s="397"/>
      <c r="AA645" s="397"/>
      <c r="AB645" s="530"/>
      <c r="AC645" s="530"/>
      <c r="AD645" s="530"/>
    </row>
    <row r="646" spans="2:30" x14ac:dyDescent="0.25">
      <c r="B646" s="530"/>
      <c r="C646" s="530"/>
      <c r="D646" s="530"/>
      <c r="E646" s="749"/>
      <c r="F646" s="530"/>
      <c r="G646" s="530"/>
      <c r="H646" s="530"/>
      <c r="I646" s="530"/>
      <c r="J646" s="417"/>
      <c r="K646" s="505"/>
      <c r="L646" s="579"/>
      <c r="M646" s="397"/>
      <c r="N646" s="397"/>
      <c r="O646" s="397"/>
      <c r="P646" s="397"/>
      <c r="Q646" s="397"/>
      <c r="R646" s="397"/>
      <c r="S646" s="397"/>
      <c r="T646" s="397"/>
      <c r="U646" s="397"/>
      <c r="V646" s="397"/>
      <c r="W646" s="397"/>
      <c r="X646" s="397"/>
      <c r="Y646" s="397"/>
      <c r="Z646" s="397"/>
      <c r="AA646" s="397"/>
      <c r="AB646" s="530"/>
      <c r="AC646" s="530"/>
      <c r="AD646" s="530"/>
    </row>
    <row r="647" spans="2:30" x14ac:dyDescent="0.25">
      <c r="B647" s="530"/>
      <c r="C647" s="530"/>
      <c r="D647" s="530"/>
      <c r="E647" s="749"/>
      <c r="F647" s="530"/>
      <c r="G647" s="530"/>
      <c r="H647" s="530"/>
      <c r="I647" s="530"/>
      <c r="J647" s="417"/>
      <c r="K647" s="505"/>
      <c r="L647" s="579"/>
      <c r="M647" s="397"/>
      <c r="N647" s="397"/>
      <c r="O647" s="397"/>
      <c r="P647" s="397"/>
      <c r="Q647" s="397"/>
      <c r="R647" s="397"/>
      <c r="S647" s="397"/>
      <c r="T647" s="397"/>
      <c r="U647" s="397"/>
      <c r="V647" s="397"/>
      <c r="W647" s="397"/>
      <c r="X647" s="397"/>
      <c r="Y647" s="397"/>
      <c r="Z647" s="397"/>
      <c r="AA647" s="397"/>
      <c r="AB647" s="530"/>
      <c r="AC647" s="530"/>
      <c r="AD647" s="530"/>
    </row>
    <row r="648" spans="2:30" x14ac:dyDescent="0.25">
      <c r="B648" s="530"/>
      <c r="C648" s="530"/>
      <c r="D648" s="530"/>
      <c r="E648" s="749"/>
      <c r="F648" s="530"/>
      <c r="G648" s="530"/>
      <c r="H648" s="530"/>
      <c r="I648" s="530"/>
      <c r="J648" s="417"/>
      <c r="K648" s="505"/>
      <c r="L648" s="579"/>
      <c r="M648" s="397"/>
      <c r="N648" s="397"/>
      <c r="O648" s="397"/>
      <c r="P648" s="397"/>
      <c r="Q648" s="397"/>
      <c r="R648" s="397"/>
      <c r="S648" s="397"/>
      <c r="T648" s="397"/>
      <c r="U648" s="397"/>
      <c r="V648" s="397"/>
      <c r="W648" s="397"/>
      <c r="X648" s="397"/>
      <c r="Y648" s="397"/>
      <c r="Z648" s="397"/>
      <c r="AA648" s="397"/>
      <c r="AB648" s="530"/>
      <c r="AC648" s="530"/>
      <c r="AD648" s="530"/>
    </row>
    <row r="649" spans="2:30" x14ac:dyDescent="0.25">
      <c r="B649" s="530"/>
      <c r="C649" s="530"/>
      <c r="D649" s="530"/>
      <c r="E649" s="749"/>
      <c r="F649" s="530"/>
      <c r="G649" s="530"/>
      <c r="H649" s="530"/>
      <c r="I649" s="530"/>
      <c r="J649" s="417"/>
      <c r="K649" s="505"/>
      <c r="L649" s="579"/>
      <c r="M649" s="397"/>
      <c r="N649" s="397"/>
      <c r="O649" s="397"/>
      <c r="P649" s="397"/>
      <c r="Q649" s="397"/>
      <c r="R649" s="397"/>
      <c r="S649" s="397"/>
      <c r="T649" s="397"/>
      <c r="U649" s="397"/>
      <c r="V649" s="397"/>
      <c r="W649" s="397"/>
      <c r="X649" s="397"/>
      <c r="Y649" s="397"/>
      <c r="Z649" s="397"/>
      <c r="AA649" s="397"/>
      <c r="AB649" s="530"/>
      <c r="AC649" s="530"/>
      <c r="AD649" s="530"/>
    </row>
    <row r="650" spans="2:30" x14ac:dyDescent="0.25">
      <c r="B650" s="530"/>
      <c r="C650" s="530"/>
      <c r="D650" s="530"/>
      <c r="E650" s="749"/>
      <c r="F650" s="530"/>
      <c r="G650" s="530"/>
      <c r="H650" s="530"/>
      <c r="I650" s="530"/>
      <c r="J650" s="417"/>
      <c r="K650" s="505"/>
      <c r="L650" s="579"/>
      <c r="M650" s="397"/>
      <c r="N650" s="397"/>
      <c r="O650" s="397"/>
      <c r="P650" s="397"/>
      <c r="Q650" s="397"/>
      <c r="R650" s="397"/>
      <c r="S650" s="397"/>
      <c r="T650" s="397"/>
      <c r="U650" s="397"/>
      <c r="V650" s="397"/>
      <c r="W650" s="397"/>
      <c r="X650" s="397"/>
      <c r="Y650" s="397"/>
      <c r="Z650" s="397"/>
      <c r="AA650" s="397"/>
      <c r="AB650" s="530"/>
      <c r="AC650" s="530"/>
      <c r="AD650" s="530"/>
    </row>
    <row r="651" spans="2:30" x14ac:dyDescent="0.25">
      <c r="B651" s="530"/>
      <c r="C651" s="530"/>
      <c r="D651" s="530"/>
      <c r="E651" s="749"/>
      <c r="F651" s="530"/>
      <c r="G651" s="530"/>
      <c r="H651" s="530"/>
      <c r="I651" s="530"/>
      <c r="J651" s="417"/>
      <c r="K651" s="505"/>
      <c r="L651" s="579"/>
      <c r="M651" s="397"/>
      <c r="N651" s="397"/>
      <c r="O651" s="397"/>
      <c r="P651" s="397"/>
      <c r="Q651" s="397"/>
      <c r="R651" s="397"/>
      <c r="S651" s="397"/>
      <c r="T651" s="397"/>
      <c r="U651" s="397"/>
      <c r="V651" s="397"/>
      <c r="W651" s="397"/>
      <c r="X651" s="397"/>
      <c r="Y651" s="397"/>
      <c r="Z651" s="397"/>
      <c r="AA651" s="397"/>
      <c r="AB651" s="530"/>
      <c r="AC651" s="530"/>
      <c r="AD651" s="530"/>
    </row>
    <row r="652" spans="2:30" x14ac:dyDescent="0.25">
      <c r="B652" s="530"/>
      <c r="C652" s="530"/>
      <c r="D652" s="530"/>
      <c r="E652" s="749"/>
      <c r="F652" s="530"/>
      <c r="G652" s="530"/>
      <c r="H652" s="530"/>
      <c r="I652" s="530"/>
      <c r="J652" s="417"/>
      <c r="K652" s="505"/>
      <c r="L652" s="579"/>
      <c r="M652" s="397"/>
      <c r="N652" s="397"/>
      <c r="O652" s="397"/>
      <c r="P652" s="397"/>
      <c r="Q652" s="397"/>
      <c r="R652" s="397"/>
      <c r="S652" s="397"/>
      <c r="T652" s="397"/>
      <c r="U652" s="397"/>
      <c r="V652" s="397"/>
      <c r="W652" s="397"/>
      <c r="X652" s="397"/>
      <c r="Y652" s="397"/>
      <c r="Z652" s="397"/>
      <c r="AA652" s="397"/>
      <c r="AB652" s="530"/>
      <c r="AC652" s="530"/>
      <c r="AD652" s="530"/>
    </row>
    <row r="653" spans="2:30" x14ac:dyDescent="0.25">
      <c r="B653" s="530"/>
      <c r="C653" s="530"/>
      <c r="D653" s="530"/>
      <c r="E653" s="749"/>
      <c r="F653" s="530"/>
      <c r="G653" s="530"/>
      <c r="H653" s="530"/>
      <c r="I653" s="530"/>
      <c r="J653" s="417"/>
      <c r="K653" s="505"/>
      <c r="L653" s="579"/>
      <c r="M653" s="397"/>
      <c r="N653" s="397"/>
      <c r="O653" s="397"/>
      <c r="P653" s="397"/>
      <c r="Q653" s="397"/>
      <c r="R653" s="397"/>
      <c r="S653" s="397"/>
      <c r="T653" s="397"/>
      <c r="U653" s="397"/>
      <c r="V653" s="397"/>
      <c r="W653" s="397"/>
      <c r="X653" s="397"/>
      <c r="Y653" s="397"/>
      <c r="Z653" s="397"/>
      <c r="AA653" s="397"/>
      <c r="AB653" s="530"/>
      <c r="AC653" s="530"/>
      <c r="AD653" s="530"/>
    </row>
    <row r="654" spans="2:30" x14ac:dyDescent="0.25">
      <c r="B654" s="530"/>
      <c r="C654" s="530"/>
      <c r="D654" s="530"/>
      <c r="E654" s="749"/>
      <c r="F654" s="530"/>
      <c r="G654" s="530"/>
      <c r="H654" s="530"/>
      <c r="I654" s="530"/>
      <c r="J654" s="417"/>
      <c r="K654" s="505"/>
      <c r="L654" s="579"/>
      <c r="M654" s="397"/>
      <c r="N654" s="397"/>
      <c r="O654" s="397"/>
      <c r="P654" s="397"/>
      <c r="Q654" s="397"/>
      <c r="R654" s="397"/>
      <c r="S654" s="397"/>
      <c r="T654" s="397"/>
      <c r="U654" s="397"/>
      <c r="V654" s="397"/>
      <c r="W654" s="397"/>
      <c r="X654" s="397"/>
      <c r="Y654" s="397"/>
      <c r="Z654" s="397"/>
      <c r="AA654" s="397"/>
      <c r="AB654" s="530"/>
      <c r="AC654" s="530"/>
      <c r="AD654" s="530"/>
    </row>
    <row r="655" spans="2:30" x14ac:dyDescent="0.25">
      <c r="B655" s="530"/>
      <c r="C655" s="530"/>
      <c r="D655" s="530"/>
      <c r="E655" s="749"/>
      <c r="F655" s="530"/>
      <c r="G655" s="530"/>
      <c r="H655" s="530"/>
      <c r="I655" s="530"/>
      <c r="J655" s="417"/>
      <c r="K655" s="505"/>
      <c r="L655" s="579"/>
      <c r="M655" s="397"/>
      <c r="N655" s="397"/>
      <c r="O655" s="397"/>
      <c r="P655" s="397"/>
      <c r="Q655" s="397"/>
      <c r="R655" s="397"/>
      <c r="S655" s="397"/>
      <c r="T655" s="397"/>
      <c r="U655" s="397"/>
      <c r="V655" s="397"/>
      <c r="W655" s="397"/>
      <c r="X655" s="397"/>
      <c r="Y655" s="397"/>
      <c r="Z655" s="397"/>
      <c r="AA655" s="397"/>
      <c r="AB655" s="530"/>
      <c r="AC655" s="530"/>
      <c r="AD655" s="530"/>
    </row>
    <row r="656" spans="2:30" x14ac:dyDescent="0.25">
      <c r="B656" s="530"/>
      <c r="C656" s="530"/>
      <c r="D656" s="530"/>
      <c r="E656" s="749"/>
      <c r="F656" s="530"/>
      <c r="G656" s="530"/>
      <c r="H656" s="530"/>
      <c r="I656" s="530"/>
      <c r="J656" s="417"/>
      <c r="K656" s="505"/>
      <c r="L656" s="579"/>
      <c r="M656" s="397"/>
      <c r="N656" s="397"/>
      <c r="O656" s="397"/>
      <c r="P656" s="397"/>
      <c r="Q656" s="397"/>
      <c r="R656" s="397"/>
      <c r="S656" s="397"/>
      <c r="T656" s="397"/>
      <c r="U656" s="397"/>
      <c r="V656" s="397"/>
      <c r="W656" s="397"/>
      <c r="X656" s="397"/>
      <c r="Y656" s="397"/>
      <c r="Z656" s="397"/>
      <c r="AA656" s="397"/>
      <c r="AB656" s="530"/>
      <c r="AC656" s="530"/>
      <c r="AD656" s="530"/>
    </row>
    <row r="657" spans="2:30" x14ac:dyDescent="0.25">
      <c r="B657" s="530"/>
      <c r="C657" s="530"/>
      <c r="D657" s="530"/>
      <c r="E657" s="749"/>
      <c r="F657" s="530"/>
      <c r="G657" s="530"/>
      <c r="H657" s="530"/>
      <c r="I657" s="530"/>
      <c r="J657" s="417"/>
      <c r="K657" s="505"/>
      <c r="L657" s="579"/>
      <c r="M657" s="397"/>
      <c r="N657" s="397"/>
      <c r="O657" s="397"/>
      <c r="P657" s="397"/>
      <c r="Q657" s="397"/>
      <c r="R657" s="397"/>
      <c r="S657" s="397"/>
      <c r="T657" s="397"/>
      <c r="U657" s="397"/>
      <c r="V657" s="397"/>
      <c r="W657" s="397"/>
      <c r="X657" s="397"/>
      <c r="Y657" s="397"/>
      <c r="Z657" s="397"/>
      <c r="AA657" s="397"/>
      <c r="AB657" s="530"/>
      <c r="AC657" s="530"/>
      <c r="AD657" s="530"/>
    </row>
    <row r="658" spans="2:30" x14ac:dyDescent="0.25">
      <c r="B658" s="530"/>
      <c r="C658" s="530"/>
      <c r="D658" s="530"/>
      <c r="E658" s="749"/>
      <c r="F658" s="530"/>
      <c r="G658" s="530"/>
      <c r="H658" s="530"/>
      <c r="I658" s="530"/>
      <c r="J658" s="417"/>
      <c r="K658" s="505"/>
      <c r="L658" s="579"/>
      <c r="M658" s="397"/>
      <c r="N658" s="397"/>
      <c r="O658" s="397"/>
      <c r="P658" s="397"/>
      <c r="Q658" s="397"/>
      <c r="R658" s="397"/>
      <c r="S658" s="397"/>
      <c r="T658" s="397"/>
      <c r="U658" s="397"/>
      <c r="V658" s="397"/>
      <c r="W658" s="397"/>
      <c r="X658" s="397"/>
      <c r="Y658" s="397"/>
      <c r="Z658" s="397"/>
      <c r="AA658" s="397"/>
      <c r="AB658" s="530"/>
      <c r="AC658" s="530"/>
      <c r="AD658" s="530"/>
    </row>
    <row r="659" spans="2:30" x14ac:dyDescent="0.25">
      <c r="B659" s="530"/>
      <c r="C659" s="530"/>
      <c r="D659" s="530"/>
      <c r="E659" s="749"/>
      <c r="F659" s="530"/>
      <c r="G659" s="530"/>
      <c r="H659" s="530"/>
      <c r="I659" s="530"/>
      <c r="J659" s="417"/>
      <c r="K659" s="505"/>
      <c r="L659" s="579"/>
      <c r="M659" s="397"/>
      <c r="N659" s="397"/>
      <c r="O659" s="397"/>
      <c r="P659" s="397"/>
      <c r="Q659" s="397"/>
      <c r="R659" s="397"/>
      <c r="S659" s="397"/>
      <c r="T659" s="397"/>
      <c r="U659" s="397"/>
      <c r="V659" s="397"/>
      <c r="W659" s="397"/>
      <c r="X659" s="397"/>
      <c r="Y659" s="397"/>
      <c r="Z659" s="397"/>
      <c r="AA659" s="397"/>
      <c r="AB659" s="530"/>
      <c r="AC659" s="530"/>
      <c r="AD659" s="530"/>
    </row>
    <row r="660" spans="2:30" x14ac:dyDescent="0.25">
      <c r="B660" s="530"/>
      <c r="C660" s="530"/>
      <c r="D660" s="530"/>
      <c r="E660" s="749"/>
      <c r="F660" s="530"/>
      <c r="G660" s="530"/>
      <c r="H660" s="530"/>
      <c r="I660" s="530"/>
      <c r="J660" s="417"/>
      <c r="K660" s="505"/>
      <c r="L660" s="579"/>
      <c r="M660" s="397"/>
      <c r="N660" s="397"/>
      <c r="O660" s="397"/>
      <c r="P660" s="397"/>
      <c r="Q660" s="397"/>
      <c r="R660" s="397"/>
      <c r="S660" s="397"/>
      <c r="T660" s="397"/>
      <c r="U660" s="397"/>
      <c r="V660" s="397"/>
      <c r="W660" s="397"/>
      <c r="X660" s="397"/>
      <c r="Y660" s="397"/>
      <c r="Z660" s="397"/>
      <c r="AA660" s="397"/>
      <c r="AB660" s="530"/>
      <c r="AC660" s="530"/>
      <c r="AD660" s="530"/>
    </row>
    <row r="661" spans="2:30" x14ac:dyDescent="0.25">
      <c r="B661" s="530"/>
      <c r="C661" s="530"/>
      <c r="D661" s="530"/>
      <c r="E661" s="749"/>
      <c r="F661" s="530"/>
      <c r="G661" s="530"/>
      <c r="H661" s="530"/>
      <c r="I661" s="530"/>
      <c r="J661" s="417"/>
      <c r="K661" s="505"/>
      <c r="L661" s="579"/>
      <c r="M661" s="397"/>
      <c r="N661" s="397"/>
      <c r="O661" s="397"/>
      <c r="P661" s="397"/>
      <c r="Q661" s="397"/>
      <c r="R661" s="397"/>
      <c r="S661" s="397"/>
      <c r="T661" s="397"/>
      <c r="U661" s="397"/>
      <c r="V661" s="397"/>
      <c r="W661" s="397"/>
      <c r="X661" s="397"/>
      <c r="Y661" s="397"/>
      <c r="Z661" s="397"/>
      <c r="AA661" s="397"/>
      <c r="AB661" s="530"/>
      <c r="AC661" s="530"/>
      <c r="AD661" s="530"/>
    </row>
    <row r="662" spans="2:30" x14ac:dyDescent="0.25">
      <c r="B662" s="530"/>
      <c r="C662" s="530"/>
      <c r="D662" s="530"/>
      <c r="E662" s="749"/>
      <c r="F662" s="530"/>
      <c r="G662" s="530"/>
      <c r="H662" s="530"/>
      <c r="I662" s="530"/>
      <c r="J662" s="417"/>
      <c r="K662" s="505"/>
      <c r="L662" s="579"/>
      <c r="M662" s="397"/>
      <c r="N662" s="397"/>
      <c r="O662" s="397"/>
      <c r="P662" s="397"/>
      <c r="Q662" s="397"/>
      <c r="R662" s="397"/>
      <c r="S662" s="397"/>
      <c r="T662" s="397"/>
      <c r="U662" s="397"/>
      <c r="V662" s="397"/>
      <c r="W662" s="397"/>
      <c r="X662" s="397"/>
      <c r="Y662" s="397"/>
      <c r="Z662" s="397"/>
      <c r="AA662" s="397"/>
      <c r="AB662" s="530"/>
      <c r="AC662" s="530"/>
      <c r="AD662" s="530"/>
    </row>
    <row r="663" spans="2:30" x14ac:dyDescent="0.25">
      <c r="B663" s="530"/>
      <c r="C663" s="530"/>
      <c r="D663" s="530"/>
      <c r="E663" s="749"/>
      <c r="F663" s="530"/>
      <c r="G663" s="530"/>
      <c r="H663" s="530"/>
      <c r="I663" s="530"/>
      <c r="J663" s="417"/>
      <c r="K663" s="505"/>
      <c r="L663" s="579"/>
      <c r="M663" s="397"/>
      <c r="N663" s="397"/>
      <c r="O663" s="397"/>
      <c r="P663" s="397"/>
      <c r="Q663" s="397"/>
      <c r="R663" s="397"/>
      <c r="S663" s="397"/>
      <c r="T663" s="397"/>
      <c r="U663" s="397"/>
      <c r="V663" s="397"/>
      <c r="W663" s="397"/>
      <c r="X663" s="397"/>
      <c r="Y663" s="397"/>
      <c r="Z663" s="397"/>
      <c r="AA663" s="397"/>
      <c r="AB663" s="530"/>
      <c r="AC663" s="530"/>
      <c r="AD663" s="530"/>
    </row>
    <row r="664" spans="2:30" x14ac:dyDescent="0.25">
      <c r="B664" s="530"/>
      <c r="C664" s="530"/>
      <c r="D664" s="530"/>
      <c r="E664" s="749"/>
      <c r="F664" s="530"/>
      <c r="G664" s="530"/>
      <c r="H664" s="530"/>
      <c r="I664" s="530"/>
      <c r="J664" s="417"/>
      <c r="K664" s="505"/>
      <c r="L664" s="579"/>
      <c r="M664" s="397"/>
      <c r="N664" s="397"/>
      <c r="O664" s="397"/>
      <c r="P664" s="397"/>
      <c r="Q664" s="397"/>
      <c r="R664" s="397"/>
      <c r="S664" s="397"/>
      <c r="T664" s="397"/>
      <c r="U664" s="397"/>
      <c r="V664" s="397"/>
      <c r="W664" s="397"/>
      <c r="X664" s="397"/>
      <c r="Y664" s="397"/>
      <c r="Z664" s="397"/>
      <c r="AA664" s="397"/>
      <c r="AB664" s="530"/>
      <c r="AC664" s="530"/>
      <c r="AD664" s="530"/>
    </row>
    <row r="665" spans="2:30" x14ac:dyDescent="0.25">
      <c r="B665" s="530"/>
      <c r="C665" s="530"/>
      <c r="D665" s="530"/>
      <c r="E665" s="749"/>
      <c r="F665" s="530"/>
      <c r="G665" s="530"/>
      <c r="H665" s="530"/>
      <c r="I665" s="530"/>
      <c r="J665" s="417"/>
      <c r="K665" s="505"/>
      <c r="L665" s="579"/>
      <c r="M665" s="397"/>
      <c r="N665" s="397"/>
      <c r="O665" s="397"/>
      <c r="P665" s="397"/>
      <c r="Q665" s="397"/>
      <c r="R665" s="397"/>
      <c r="S665" s="397"/>
      <c r="T665" s="397"/>
      <c r="U665" s="397"/>
      <c r="V665" s="397"/>
      <c r="W665" s="397"/>
      <c r="X665" s="397"/>
      <c r="Y665" s="397"/>
      <c r="Z665" s="397"/>
      <c r="AA665" s="397"/>
      <c r="AB665" s="530"/>
      <c r="AC665" s="530"/>
      <c r="AD665" s="530"/>
    </row>
    <row r="666" spans="2:30" x14ac:dyDescent="0.25">
      <c r="B666" s="530"/>
      <c r="C666" s="530"/>
      <c r="D666" s="530"/>
      <c r="E666" s="749"/>
      <c r="F666" s="530"/>
      <c r="G666" s="530"/>
      <c r="H666" s="530"/>
      <c r="I666" s="530"/>
      <c r="J666" s="417"/>
      <c r="K666" s="505"/>
      <c r="L666" s="579"/>
      <c r="M666" s="397"/>
      <c r="N666" s="397"/>
      <c r="O666" s="397"/>
      <c r="P666" s="397"/>
      <c r="Q666" s="397"/>
      <c r="R666" s="397"/>
      <c r="S666" s="397"/>
      <c r="T666" s="397"/>
      <c r="U666" s="397"/>
      <c r="V666" s="397"/>
      <c r="W666" s="397"/>
      <c r="X666" s="397"/>
      <c r="Y666" s="397"/>
      <c r="Z666" s="397"/>
      <c r="AA666" s="397"/>
      <c r="AB666" s="530"/>
      <c r="AC666" s="530"/>
      <c r="AD666" s="530"/>
    </row>
    <row r="667" spans="2:30" x14ac:dyDescent="0.25">
      <c r="B667" s="530"/>
      <c r="C667" s="530"/>
      <c r="D667" s="530"/>
      <c r="E667" s="749"/>
      <c r="F667" s="530"/>
      <c r="G667" s="530"/>
      <c r="H667" s="530"/>
      <c r="I667" s="530"/>
      <c r="J667" s="417"/>
      <c r="K667" s="505"/>
      <c r="L667" s="579"/>
      <c r="M667" s="397"/>
      <c r="N667" s="397"/>
      <c r="O667" s="397"/>
      <c r="P667" s="397"/>
      <c r="Q667" s="397"/>
      <c r="R667" s="397"/>
      <c r="S667" s="397"/>
      <c r="T667" s="397"/>
      <c r="U667" s="397"/>
      <c r="V667" s="397"/>
      <c r="W667" s="397"/>
      <c r="X667" s="397"/>
      <c r="Y667" s="397"/>
      <c r="Z667" s="397"/>
      <c r="AA667" s="397"/>
      <c r="AB667" s="530"/>
      <c r="AC667" s="530"/>
      <c r="AD667" s="530"/>
    </row>
    <row r="668" spans="2:30" x14ac:dyDescent="0.25">
      <c r="B668" s="530"/>
      <c r="C668" s="530"/>
      <c r="D668" s="530"/>
      <c r="E668" s="749"/>
      <c r="F668" s="530"/>
      <c r="G668" s="530"/>
      <c r="H668" s="530"/>
      <c r="I668" s="530"/>
      <c r="J668" s="417"/>
      <c r="K668" s="505"/>
      <c r="L668" s="579"/>
      <c r="M668" s="397"/>
      <c r="N668" s="397"/>
      <c r="O668" s="397"/>
      <c r="P668" s="397"/>
      <c r="Q668" s="397"/>
      <c r="R668" s="397"/>
      <c r="S668" s="397"/>
      <c r="T668" s="397"/>
      <c r="U668" s="397"/>
      <c r="V668" s="397"/>
      <c r="W668" s="397"/>
      <c r="X668" s="397"/>
      <c r="Y668" s="397"/>
      <c r="Z668" s="397"/>
      <c r="AA668" s="397"/>
      <c r="AB668" s="530"/>
      <c r="AC668" s="530"/>
      <c r="AD668" s="530"/>
    </row>
    <row r="669" spans="2:30" x14ac:dyDescent="0.25">
      <c r="B669" s="530"/>
      <c r="C669" s="530"/>
      <c r="D669" s="530"/>
      <c r="E669" s="749"/>
      <c r="F669" s="530"/>
      <c r="G669" s="530"/>
      <c r="H669" s="530"/>
      <c r="I669" s="530"/>
      <c r="J669" s="417"/>
      <c r="K669" s="505"/>
      <c r="L669" s="579"/>
      <c r="M669" s="397"/>
      <c r="N669" s="397"/>
      <c r="O669" s="397"/>
      <c r="P669" s="397"/>
      <c r="Q669" s="397"/>
      <c r="R669" s="397"/>
      <c r="S669" s="397"/>
      <c r="T669" s="397"/>
      <c r="U669" s="397"/>
      <c r="V669" s="397"/>
      <c r="W669" s="397"/>
      <c r="X669" s="397"/>
      <c r="Y669" s="397"/>
      <c r="Z669" s="397"/>
      <c r="AA669" s="397"/>
      <c r="AB669" s="530"/>
      <c r="AC669" s="530"/>
      <c r="AD669" s="530"/>
    </row>
    <row r="670" spans="2:30" x14ac:dyDescent="0.25">
      <c r="B670" s="530"/>
      <c r="C670" s="530"/>
      <c r="D670" s="530"/>
      <c r="E670" s="749"/>
      <c r="F670" s="530"/>
      <c r="G670" s="530"/>
      <c r="H670" s="530"/>
      <c r="I670" s="530"/>
      <c r="J670" s="417"/>
      <c r="K670" s="505"/>
      <c r="L670" s="579"/>
      <c r="M670" s="397"/>
      <c r="N670" s="397"/>
      <c r="O670" s="397"/>
      <c r="P670" s="397"/>
      <c r="Q670" s="397"/>
      <c r="R670" s="397"/>
      <c r="S670" s="397"/>
      <c r="T670" s="397"/>
      <c r="U670" s="397"/>
      <c r="V670" s="397"/>
      <c r="W670" s="397"/>
      <c r="X670" s="397"/>
      <c r="Y670" s="397"/>
      <c r="Z670" s="397"/>
      <c r="AA670" s="397"/>
      <c r="AB670" s="530"/>
      <c r="AC670" s="530"/>
      <c r="AD670" s="530"/>
    </row>
    <row r="671" spans="2:30" x14ac:dyDescent="0.25">
      <c r="B671" s="530"/>
      <c r="C671" s="530"/>
      <c r="D671" s="530"/>
      <c r="E671" s="749"/>
      <c r="F671" s="530"/>
      <c r="G671" s="530"/>
      <c r="H671" s="530"/>
      <c r="I671" s="530"/>
      <c r="J671" s="417"/>
      <c r="K671" s="505"/>
      <c r="L671" s="579"/>
      <c r="M671" s="397"/>
      <c r="N671" s="397"/>
      <c r="O671" s="397"/>
      <c r="P671" s="397"/>
      <c r="Q671" s="397"/>
      <c r="R671" s="397"/>
      <c r="S671" s="397"/>
      <c r="T671" s="397"/>
      <c r="U671" s="397"/>
      <c r="V671" s="397"/>
      <c r="W671" s="397"/>
      <c r="X671" s="397"/>
      <c r="Y671" s="397"/>
      <c r="Z671" s="397"/>
      <c r="AA671" s="397"/>
      <c r="AB671" s="530"/>
      <c r="AC671" s="530"/>
      <c r="AD671" s="530"/>
    </row>
    <row r="672" spans="2:30" x14ac:dyDescent="0.25">
      <c r="B672" s="530"/>
      <c r="C672" s="530"/>
      <c r="D672" s="530"/>
      <c r="E672" s="749"/>
      <c r="F672" s="530"/>
      <c r="G672" s="530"/>
      <c r="H672" s="530"/>
      <c r="I672" s="530"/>
      <c r="J672" s="417"/>
      <c r="K672" s="505"/>
      <c r="L672" s="579"/>
      <c r="M672" s="397"/>
      <c r="N672" s="397"/>
      <c r="O672" s="397"/>
      <c r="P672" s="397"/>
      <c r="Q672" s="397"/>
      <c r="R672" s="397"/>
      <c r="S672" s="397"/>
      <c r="T672" s="397"/>
      <c r="U672" s="397"/>
      <c r="V672" s="397"/>
      <c r="W672" s="397"/>
      <c r="X672" s="397"/>
      <c r="Y672" s="397"/>
      <c r="Z672" s="397"/>
      <c r="AA672" s="397"/>
      <c r="AB672" s="530"/>
      <c r="AC672" s="530"/>
      <c r="AD672" s="530"/>
    </row>
    <row r="673" spans="2:30" x14ac:dyDescent="0.25">
      <c r="B673" s="530"/>
      <c r="C673" s="530"/>
      <c r="D673" s="530"/>
      <c r="E673" s="749"/>
      <c r="F673" s="530"/>
      <c r="G673" s="530"/>
      <c r="H673" s="530"/>
      <c r="I673" s="530"/>
      <c r="J673" s="417"/>
      <c r="K673" s="505"/>
      <c r="L673" s="579"/>
      <c r="M673" s="397"/>
      <c r="N673" s="397"/>
      <c r="O673" s="397"/>
      <c r="P673" s="397"/>
      <c r="Q673" s="397"/>
      <c r="R673" s="397"/>
      <c r="S673" s="397"/>
      <c r="T673" s="397"/>
      <c r="U673" s="397"/>
      <c r="V673" s="397"/>
      <c r="W673" s="397"/>
      <c r="X673" s="397"/>
      <c r="Y673" s="397"/>
      <c r="Z673" s="397"/>
      <c r="AA673" s="397"/>
      <c r="AB673" s="530"/>
      <c r="AC673" s="530"/>
      <c r="AD673" s="530"/>
    </row>
    <row r="674" spans="2:30" x14ac:dyDescent="0.25">
      <c r="B674" s="530"/>
      <c r="C674" s="530"/>
      <c r="D674" s="530"/>
      <c r="E674" s="749"/>
      <c r="F674" s="530"/>
      <c r="G674" s="530"/>
      <c r="H674" s="530"/>
      <c r="I674" s="530"/>
      <c r="J674" s="417"/>
      <c r="K674" s="505"/>
      <c r="L674" s="579"/>
      <c r="M674" s="397"/>
      <c r="N674" s="397"/>
      <c r="O674" s="397"/>
      <c r="P674" s="397"/>
      <c r="Q674" s="397"/>
      <c r="R674" s="397"/>
      <c r="S674" s="397"/>
      <c r="T674" s="397"/>
      <c r="U674" s="397"/>
      <c r="V674" s="397"/>
      <c r="W674" s="397"/>
      <c r="X674" s="397"/>
      <c r="Y674" s="397"/>
      <c r="Z674" s="397"/>
      <c r="AA674" s="397"/>
      <c r="AB674" s="530"/>
      <c r="AC674" s="530"/>
      <c r="AD674" s="530"/>
    </row>
    <row r="675" spans="2:30" x14ac:dyDescent="0.25">
      <c r="B675" s="530"/>
      <c r="C675" s="530"/>
      <c r="D675" s="530"/>
      <c r="E675" s="749"/>
      <c r="F675" s="530"/>
      <c r="G675" s="530"/>
      <c r="H675" s="530"/>
      <c r="I675" s="530"/>
      <c r="J675" s="417"/>
      <c r="K675" s="505"/>
      <c r="L675" s="579"/>
      <c r="M675" s="397"/>
      <c r="N675" s="397"/>
      <c r="O675" s="397"/>
      <c r="P675" s="397"/>
      <c r="Q675" s="397"/>
      <c r="R675" s="397"/>
      <c r="S675" s="397"/>
      <c r="T675" s="397"/>
      <c r="U675" s="397"/>
      <c r="V675" s="397"/>
      <c r="W675" s="397"/>
      <c r="X675" s="397"/>
      <c r="Y675" s="397"/>
      <c r="Z675" s="397"/>
      <c r="AA675" s="397"/>
      <c r="AB675" s="530"/>
      <c r="AC675" s="530"/>
      <c r="AD675" s="530"/>
    </row>
    <row r="676" spans="2:30" x14ac:dyDescent="0.25">
      <c r="B676" s="530"/>
      <c r="C676" s="530"/>
      <c r="D676" s="530"/>
      <c r="E676" s="749"/>
      <c r="F676" s="530"/>
      <c r="G676" s="530"/>
      <c r="H676" s="530"/>
      <c r="I676" s="530"/>
      <c r="J676" s="417"/>
      <c r="K676" s="505"/>
      <c r="L676" s="579"/>
      <c r="M676" s="397"/>
      <c r="N676" s="397"/>
      <c r="O676" s="397"/>
      <c r="P676" s="397"/>
      <c r="Q676" s="397"/>
      <c r="R676" s="397"/>
      <c r="S676" s="397"/>
      <c r="T676" s="397"/>
      <c r="U676" s="397"/>
      <c r="V676" s="397"/>
      <c r="W676" s="397"/>
      <c r="X676" s="397"/>
      <c r="Y676" s="397"/>
      <c r="Z676" s="397"/>
      <c r="AA676" s="397"/>
      <c r="AB676" s="530"/>
      <c r="AC676" s="530"/>
      <c r="AD676" s="530"/>
    </row>
    <row r="677" spans="2:30" x14ac:dyDescent="0.25">
      <c r="B677" s="530"/>
      <c r="C677" s="530"/>
      <c r="D677" s="530"/>
      <c r="E677" s="749"/>
      <c r="F677" s="530"/>
      <c r="G677" s="530"/>
      <c r="H677" s="530"/>
      <c r="I677" s="530"/>
      <c r="J677" s="417"/>
      <c r="K677" s="505"/>
      <c r="L677" s="579"/>
      <c r="M677" s="397"/>
      <c r="N677" s="397"/>
      <c r="O677" s="397"/>
      <c r="P677" s="397"/>
      <c r="Q677" s="397"/>
      <c r="R677" s="397"/>
      <c r="S677" s="397"/>
      <c r="T677" s="397"/>
      <c r="U677" s="397"/>
      <c r="V677" s="397"/>
      <c r="W677" s="397"/>
      <c r="X677" s="397"/>
      <c r="Y677" s="397"/>
      <c r="Z677" s="397"/>
      <c r="AA677" s="397"/>
      <c r="AB677" s="530"/>
      <c r="AC677" s="530"/>
      <c r="AD677" s="530"/>
    </row>
    <row r="678" spans="2:30" x14ac:dyDescent="0.25">
      <c r="B678" s="530"/>
      <c r="C678" s="530"/>
      <c r="D678" s="530"/>
      <c r="E678" s="749"/>
      <c r="F678" s="530"/>
      <c r="G678" s="530"/>
      <c r="H678" s="530"/>
      <c r="I678" s="530"/>
      <c r="J678" s="417"/>
      <c r="K678" s="505"/>
      <c r="L678" s="579"/>
      <c r="M678" s="397"/>
      <c r="N678" s="397"/>
      <c r="O678" s="397"/>
      <c r="P678" s="397"/>
      <c r="Q678" s="397"/>
      <c r="R678" s="397"/>
      <c r="S678" s="397"/>
      <c r="T678" s="397"/>
      <c r="U678" s="397"/>
      <c r="V678" s="397"/>
      <c r="W678" s="397"/>
      <c r="X678" s="397"/>
      <c r="Y678" s="397"/>
      <c r="Z678" s="397"/>
      <c r="AA678" s="397"/>
      <c r="AB678" s="530"/>
      <c r="AC678" s="530"/>
      <c r="AD678" s="530"/>
    </row>
    <row r="679" spans="2:30" x14ac:dyDescent="0.25">
      <c r="B679" s="530"/>
      <c r="C679" s="530"/>
      <c r="D679" s="530"/>
      <c r="E679" s="749"/>
      <c r="F679" s="530"/>
      <c r="G679" s="530"/>
      <c r="H679" s="530"/>
      <c r="I679" s="530"/>
      <c r="J679" s="417"/>
      <c r="K679" s="505"/>
      <c r="L679" s="579"/>
      <c r="M679" s="397"/>
      <c r="N679" s="397"/>
      <c r="O679" s="397"/>
      <c r="P679" s="397"/>
      <c r="Q679" s="397"/>
      <c r="R679" s="397"/>
      <c r="S679" s="397"/>
      <c r="T679" s="397"/>
      <c r="U679" s="397"/>
      <c r="V679" s="397"/>
      <c r="W679" s="397"/>
      <c r="X679" s="397"/>
      <c r="Y679" s="397"/>
      <c r="Z679" s="397"/>
      <c r="AA679" s="397"/>
      <c r="AB679" s="530"/>
      <c r="AC679" s="530"/>
      <c r="AD679" s="530"/>
    </row>
    <row r="680" spans="2:30" x14ac:dyDescent="0.25">
      <c r="B680" s="530"/>
      <c r="C680" s="530"/>
      <c r="D680" s="530"/>
      <c r="E680" s="749"/>
      <c r="F680" s="530"/>
      <c r="G680" s="530"/>
      <c r="H680" s="530"/>
      <c r="I680" s="530"/>
      <c r="J680" s="417"/>
      <c r="K680" s="505"/>
      <c r="L680" s="579"/>
      <c r="M680" s="397"/>
      <c r="N680" s="397"/>
      <c r="O680" s="397"/>
      <c r="P680" s="397"/>
      <c r="Q680" s="397"/>
      <c r="R680" s="397"/>
      <c r="S680" s="397"/>
      <c r="T680" s="397"/>
      <c r="U680" s="397"/>
      <c r="V680" s="397"/>
      <c r="W680" s="397"/>
      <c r="X680" s="397"/>
      <c r="Y680" s="397"/>
      <c r="Z680" s="397"/>
      <c r="AA680" s="397"/>
      <c r="AB680" s="530"/>
      <c r="AC680" s="530"/>
      <c r="AD680" s="530"/>
    </row>
    <row r="681" spans="2:30" x14ac:dyDescent="0.25">
      <c r="B681" s="530"/>
      <c r="C681" s="530"/>
      <c r="D681" s="530"/>
      <c r="E681" s="749"/>
      <c r="F681" s="530"/>
      <c r="G681" s="530"/>
      <c r="H681" s="530"/>
      <c r="I681" s="530"/>
      <c r="J681" s="417"/>
      <c r="K681" s="505"/>
      <c r="L681" s="579"/>
      <c r="M681" s="397"/>
      <c r="N681" s="397"/>
      <c r="O681" s="397"/>
      <c r="P681" s="397"/>
      <c r="Q681" s="397"/>
      <c r="R681" s="397"/>
      <c r="S681" s="397"/>
      <c r="T681" s="397"/>
      <c r="U681" s="397"/>
      <c r="V681" s="397"/>
      <c r="W681" s="397"/>
      <c r="X681" s="397"/>
      <c r="Y681" s="397"/>
      <c r="Z681" s="397"/>
      <c r="AA681" s="397"/>
      <c r="AB681" s="530"/>
      <c r="AC681" s="530"/>
      <c r="AD681" s="530"/>
    </row>
    <row r="682" spans="2:30" x14ac:dyDescent="0.25">
      <c r="B682" s="530"/>
      <c r="C682" s="530"/>
      <c r="D682" s="530"/>
      <c r="E682" s="749"/>
      <c r="F682" s="530"/>
      <c r="G682" s="530"/>
      <c r="H682" s="530"/>
      <c r="I682" s="530"/>
      <c r="J682" s="417"/>
      <c r="K682" s="505"/>
      <c r="L682" s="579"/>
      <c r="M682" s="397"/>
      <c r="N682" s="397"/>
      <c r="O682" s="397"/>
      <c r="P682" s="397"/>
      <c r="Q682" s="397"/>
      <c r="R682" s="397"/>
      <c r="S682" s="397"/>
      <c r="T682" s="397"/>
      <c r="U682" s="397"/>
      <c r="V682" s="397"/>
      <c r="W682" s="397"/>
      <c r="X682" s="397"/>
      <c r="Y682" s="397"/>
      <c r="Z682" s="397"/>
      <c r="AA682" s="397"/>
      <c r="AB682" s="530"/>
      <c r="AC682" s="530"/>
      <c r="AD682" s="530"/>
    </row>
    <row r="683" spans="2:30" x14ac:dyDescent="0.25">
      <c r="B683" s="530"/>
      <c r="C683" s="530"/>
      <c r="D683" s="530"/>
      <c r="E683" s="749"/>
      <c r="F683" s="530"/>
      <c r="G683" s="530"/>
      <c r="H683" s="530"/>
      <c r="I683" s="530"/>
      <c r="J683" s="417"/>
      <c r="K683" s="505"/>
      <c r="L683" s="579"/>
      <c r="M683" s="397"/>
      <c r="N683" s="397"/>
      <c r="O683" s="397"/>
      <c r="P683" s="397"/>
      <c r="Q683" s="397"/>
      <c r="R683" s="397"/>
      <c r="S683" s="397"/>
      <c r="T683" s="397"/>
      <c r="U683" s="397"/>
      <c r="V683" s="397"/>
      <c r="W683" s="397"/>
      <c r="X683" s="397"/>
      <c r="Y683" s="397"/>
      <c r="Z683" s="397"/>
      <c r="AA683" s="397"/>
      <c r="AB683" s="530"/>
      <c r="AC683" s="530"/>
      <c r="AD683" s="530"/>
    </row>
    <row r="684" spans="2:30" x14ac:dyDescent="0.25">
      <c r="B684" s="530"/>
      <c r="C684" s="530"/>
      <c r="D684" s="530"/>
      <c r="E684" s="749"/>
      <c r="F684" s="530"/>
      <c r="G684" s="530"/>
      <c r="H684" s="530"/>
      <c r="I684" s="530"/>
      <c r="J684" s="417"/>
      <c r="K684" s="505"/>
      <c r="L684" s="579"/>
      <c r="M684" s="397"/>
      <c r="N684" s="397"/>
      <c r="O684" s="397"/>
      <c r="P684" s="397"/>
      <c r="Q684" s="397"/>
      <c r="R684" s="397"/>
      <c r="S684" s="397"/>
      <c r="T684" s="397"/>
      <c r="U684" s="397"/>
      <c r="V684" s="397"/>
      <c r="W684" s="397"/>
      <c r="X684" s="397"/>
      <c r="Y684" s="397"/>
      <c r="Z684" s="397"/>
      <c r="AA684" s="397"/>
      <c r="AB684" s="530"/>
      <c r="AC684" s="530"/>
      <c r="AD684" s="530"/>
    </row>
    <row r="685" spans="2:30" x14ac:dyDescent="0.25">
      <c r="B685" s="530"/>
      <c r="C685" s="530"/>
      <c r="D685" s="530"/>
      <c r="E685" s="749"/>
      <c r="F685" s="530"/>
      <c r="G685" s="530"/>
      <c r="H685" s="530"/>
      <c r="I685" s="530"/>
      <c r="J685" s="417"/>
      <c r="K685" s="505"/>
      <c r="L685" s="579"/>
      <c r="M685" s="397"/>
      <c r="N685" s="397"/>
      <c r="O685" s="397"/>
      <c r="P685" s="397"/>
      <c r="Q685" s="397"/>
      <c r="R685" s="397"/>
      <c r="S685" s="397"/>
      <c r="T685" s="397"/>
      <c r="U685" s="397"/>
      <c r="V685" s="397"/>
      <c r="W685" s="397"/>
      <c r="X685" s="397"/>
      <c r="Y685" s="397"/>
      <c r="Z685" s="397"/>
      <c r="AA685" s="397"/>
      <c r="AB685" s="530"/>
      <c r="AC685" s="530"/>
      <c r="AD685" s="530"/>
    </row>
    <row r="686" spans="2:30" x14ac:dyDescent="0.25">
      <c r="B686" s="530"/>
      <c r="C686" s="530"/>
      <c r="D686" s="530"/>
      <c r="E686" s="749"/>
      <c r="F686" s="530"/>
      <c r="G686" s="530"/>
      <c r="H686" s="530"/>
      <c r="I686" s="530"/>
      <c r="J686" s="417"/>
      <c r="K686" s="505"/>
      <c r="L686" s="579"/>
      <c r="M686" s="397"/>
      <c r="N686" s="397"/>
      <c r="O686" s="397"/>
      <c r="P686" s="397"/>
      <c r="Q686" s="397"/>
      <c r="R686" s="397"/>
      <c r="S686" s="397"/>
      <c r="T686" s="397"/>
      <c r="U686" s="397"/>
      <c r="V686" s="397"/>
      <c r="W686" s="397"/>
      <c r="X686" s="397"/>
      <c r="Y686" s="397"/>
      <c r="Z686" s="397"/>
      <c r="AA686" s="397"/>
      <c r="AB686" s="530"/>
      <c r="AC686" s="530"/>
      <c r="AD686" s="530"/>
    </row>
    <row r="687" spans="2:30" x14ac:dyDescent="0.25">
      <c r="B687" s="530"/>
      <c r="C687" s="530"/>
      <c r="D687" s="530"/>
      <c r="E687" s="749"/>
      <c r="F687" s="530"/>
      <c r="G687" s="530"/>
      <c r="H687" s="530"/>
      <c r="I687" s="530"/>
      <c r="J687" s="417"/>
      <c r="K687" s="505"/>
      <c r="L687" s="579"/>
      <c r="M687" s="397"/>
      <c r="N687" s="397"/>
      <c r="O687" s="397"/>
      <c r="P687" s="397"/>
      <c r="Q687" s="397"/>
      <c r="R687" s="397"/>
      <c r="S687" s="397"/>
      <c r="T687" s="397"/>
      <c r="U687" s="397"/>
      <c r="V687" s="397"/>
      <c r="W687" s="397"/>
      <c r="X687" s="397"/>
      <c r="Y687" s="397"/>
      <c r="Z687" s="397"/>
      <c r="AA687" s="397"/>
      <c r="AB687" s="530"/>
      <c r="AC687" s="530"/>
      <c r="AD687" s="530"/>
    </row>
    <row r="688" spans="2:30" x14ac:dyDescent="0.25">
      <c r="B688" s="530"/>
      <c r="C688" s="530"/>
      <c r="D688" s="530"/>
      <c r="E688" s="749"/>
      <c r="F688" s="530"/>
      <c r="G688" s="530"/>
      <c r="H688" s="530"/>
      <c r="I688" s="530"/>
      <c r="J688" s="417"/>
      <c r="K688" s="505"/>
      <c r="L688" s="579"/>
      <c r="M688" s="397"/>
      <c r="N688" s="397"/>
      <c r="O688" s="397"/>
      <c r="P688" s="397"/>
      <c r="Q688" s="397"/>
      <c r="R688" s="397"/>
      <c r="S688" s="397"/>
      <c r="T688" s="397"/>
      <c r="U688" s="397"/>
      <c r="V688" s="397"/>
      <c r="W688" s="397"/>
      <c r="X688" s="397"/>
      <c r="Y688" s="397"/>
      <c r="Z688" s="397"/>
      <c r="AA688" s="397"/>
      <c r="AB688" s="530"/>
      <c r="AC688" s="530"/>
      <c r="AD688" s="530"/>
    </row>
    <row r="689" spans="2:30" x14ac:dyDescent="0.25">
      <c r="B689" s="530"/>
      <c r="C689" s="530"/>
      <c r="D689" s="530"/>
      <c r="E689" s="749"/>
      <c r="F689" s="530"/>
      <c r="G689" s="530"/>
      <c r="H689" s="530"/>
      <c r="I689" s="530"/>
      <c r="J689" s="417"/>
      <c r="K689" s="505"/>
      <c r="L689" s="579"/>
      <c r="M689" s="397"/>
      <c r="N689" s="397"/>
      <c r="O689" s="397"/>
      <c r="P689" s="397"/>
      <c r="Q689" s="397"/>
      <c r="R689" s="397"/>
      <c r="S689" s="397"/>
      <c r="T689" s="397"/>
      <c r="U689" s="397"/>
      <c r="V689" s="397"/>
      <c r="W689" s="397"/>
      <c r="X689" s="397"/>
      <c r="Y689" s="397"/>
      <c r="Z689" s="397"/>
      <c r="AA689" s="397"/>
      <c r="AB689" s="530"/>
      <c r="AC689" s="530"/>
      <c r="AD689" s="530"/>
    </row>
    <row r="690" spans="2:30" x14ac:dyDescent="0.25">
      <c r="B690" s="530"/>
      <c r="C690" s="530"/>
      <c r="D690" s="530"/>
      <c r="E690" s="749"/>
      <c r="F690" s="530"/>
      <c r="G690" s="530"/>
      <c r="H690" s="530"/>
      <c r="I690" s="530"/>
      <c r="J690" s="417"/>
      <c r="K690" s="505"/>
      <c r="L690" s="579"/>
      <c r="M690" s="397"/>
      <c r="N690" s="397"/>
      <c r="O690" s="397"/>
      <c r="P690" s="397"/>
      <c r="Q690" s="397"/>
      <c r="R690" s="397"/>
      <c r="S690" s="397"/>
      <c r="T690" s="397"/>
      <c r="U690" s="397"/>
      <c r="V690" s="397"/>
      <c r="W690" s="397"/>
      <c r="X690" s="397"/>
      <c r="Y690" s="397"/>
      <c r="Z690" s="397"/>
      <c r="AA690" s="397"/>
      <c r="AB690" s="530"/>
      <c r="AC690" s="530"/>
      <c r="AD690" s="530"/>
    </row>
    <row r="691" spans="2:30" x14ac:dyDescent="0.25">
      <c r="B691" s="530"/>
      <c r="C691" s="530"/>
      <c r="D691" s="530"/>
      <c r="E691" s="749"/>
      <c r="F691" s="530"/>
      <c r="G691" s="530"/>
      <c r="H691" s="530"/>
      <c r="I691" s="530"/>
      <c r="J691" s="417"/>
      <c r="K691" s="505"/>
      <c r="L691" s="579"/>
      <c r="M691" s="397"/>
      <c r="N691" s="397"/>
      <c r="O691" s="397"/>
      <c r="P691" s="397"/>
      <c r="Q691" s="397"/>
      <c r="R691" s="397"/>
      <c r="S691" s="397"/>
      <c r="T691" s="397"/>
      <c r="U691" s="397"/>
      <c r="V691" s="397"/>
      <c r="W691" s="397"/>
      <c r="X691" s="397"/>
      <c r="Y691" s="397"/>
      <c r="Z691" s="397"/>
      <c r="AA691" s="397"/>
      <c r="AB691" s="530"/>
      <c r="AC691" s="530"/>
      <c r="AD691" s="530"/>
    </row>
    <row r="692" spans="2:30" x14ac:dyDescent="0.25">
      <c r="B692" s="530"/>
      <c r="C692" s="530"/>
      <c r="D692" s="530"/>
      <c r="E692" s="749"/>
      <c r="F692" s="530"/>
      <c r="G692" s="530"/>
      <c r="H692" s="530"/>
      <c r="I692" s="530"/>
      <c r="J692" s="417"/>
      <c r="K692" s="505"/>
      <c r="L692" s="579"/>
      <c r="M692" s="397"/>
      <c r="N692" s="397"/>
      <c r="O692" s="397"/>
      <c r="P692" s="397"/>
      <c r="Q692" s="397"/>
      <c r="R692" s="397"/>
      <c r="S692" s="397"/>
      <c r="T692" s="397"/>
      <c r="U692" s="397"/>
      <c r="V692" s="397"/>
      <c r="W692" s="397"/>
      <c r="X692" s="397"/>
      <c r="Y692" s="397"/>
      <c r="Z692" s="397"/>
      <c r="AA692" s="397"/>
      <c r="AB692" s="530"/>
      <c r="AC692" s="530"/>
      <c r="AD692" s="530"/>
    </row>
    <row r="693" spans="2:30" x14ac:dyDescent="0.25">
      <c r="B693" s="530"/>
      <c r="C693" s="530"/>
      <c r="D693" s="530"/>
      <c r="E693" s="749"/>
      <c r="F693" s="530"/>
      <c r="G693" s="530"/>
      <c r="H693" s="530"/>
      <c r="I693" s="530"/>
      <c r="J693" s="417"/>
      <c r="K693" s="505"/>
      <c r="L693" s="579"/>
      <c r="M693" s="397"/>
      <c r="N693" s="397"/>
      <c r="O693" s="397"/>
      <c r="P693" s="397"/>
      <c r="Q693" s="397"/>
      <c r="R693" s="397"/>
      <c r="S693" s="397"/>
      <c r="T693" s="397"/>
      <c r="U693" s="397"/>
      <c r="V693" s="397"/>
      <c r="W693" s="397"/>
      <c r="X693" s="397"/>
      <c r="Y693" s="397"/>
      <c r="Z693" s="397"/>
      <c r="AA693" s="397"/>
      <c r="AB693" s="530"/>
      <c r="AC693" s="530"/>
      <c r="AD693" s="530"/>
    </row>
    <row r="694" spans="2:30" x14ac:dyDescent="0.25">
      <c r="B694" s="530"/>
      <c r="C694" s="530"/>
      <c r="D694" s="530"/>
      <c r="E694" s="749"/>
      <c r="F694" s="530"/>
      <c r="G694" s="530"/>
      <c r="H694" s="530"/>
      <c r="I694" s="530"/>
      <c r="J694" s="417"/>
      <c r="K694" s="505"/>
      <c r="L694" s="579"/>
      <c r="M694" s="397"/>
      <c r="N694" s="397"/>
      <c r="O694" s="397"/>
      <c r="P694" s="397"/>
      <c r="Q694" s="397"/>
      <c r="R694" s="397"/>
      <c r="S694" s="397"/>
      <c r="T694" s="397"/>
      <c r="U694" s="397"/>
      <c r="V694" s="397"/>
      <c r="W694" s="397"/>
      <c r="X694" s="397"/>
      <c r="Y694" s="397"/>
      <c r="Z694" s="397"/>
      <c r="AA694" s="397"/>
      <c r="AB694" s="530"/>
      <c r="AC694" s="530"/>
      <c r="AD694" s="530"/>
    </row>
    <row r="695" spans="2:30" x14ac:dyDescent="0.25">
      <c r="B695" s="530"/>
      <c r="C695" s="530"/>
      <c r="D695" s="530"/>
      <c r="E695" s="749"/>
      <c r="F695" s="530"/>
      <c r="G695" s="530"/>
      <c r="H695" s="530"/>
      <c r="I695" s="530"/>
      <c r="J695" s="417"/>
      <c r="K695" s="505"/>
      <c r="L695" s="579"/>
      <c r="M695" s="397"/>
      <c r="N695" s="397"/>
      <c r="O695" s="397"/>
      <c r="P695" s="397"/>
      <c r="Q695" s="397"/>
      <c r="R695" s="397"/>
      <c r="S695" s="397"/>
      <c r="T695" s="397"/>
      <c r="U695" s="397"/>
      <c r="V695" s="397"/>
      <c r="W695" s="397"/>
      <c r="X695" s="397"/>
      <c r="Y695" s="397"/>
      <c r="Z695" s="397"/>
      <c r="AA695" s="397"/>
      <c r="AB695" s="530"/>
      <c r="AC695" s="530"/>
      <c r="AD695" s="530"/>
    </row>
    <row r="696" spans="2:30" x14ac:dyDescent="0.25">
      <c r="B696" s="530"/>
      <c r="C696" s="530"/>
      <c r="D696" s="530"/>
      <c r="E696" s="749"/>
      <c r="F696" s="530"/>
      <c r="G696" s="530"/>
      <c r="H696" s="530"/>
      <c r="I696" s="530"/>
      <c r="J696" s="417"/>
      <c r="K696" s="505"/>
      <c r="L696" s="579"/>
      <c r="M696" s="397"/>
      <c r="N696" s="397"/>
      <c r="O696" s="397"/>
      <c r="P696" s="397"/>
      <c r="Q696" s="397"/>
      <c r="R696" s="397"/>
      <c r="S696" s="397"/>
      <c r="T696" s="397"/>
      <c r="U696" s="397"/>
      <c r="V696" s="397"/>
      <c r="W696" s="397"/>
      <c r="X696" s="397"/>
      <c r="Y696" s="397"/>
      <c r="Z696" s="397"/>
      <c r="AA696" s="397"/>
      <c r="AB696" s="530"/>
      <c r="AC696" s="530"/>
      <c r="AD696" s="530"/>
    </row>
    <row r="697" spans="2:30" x14ac:dyDescent="0.25">
      <c r="B697" s="530"/>
      <c r="C697" s="530"/>
      <c r="D697" s="530"/>
      <c r="E697" s="749"/>
      <c r="F697" s="530"/>
      <c r="G697" s="530"/>
      <c r="H697" s="530"/>
      <c r="I697" s="530"/>
      <c r="J697" s="417"/>
      <c r="K697" s="505"/>
      <c r="L697" s="579"/>
      <c r="M697" s="397"/>
      <c r="N697" s="397"/>
      <c r="O697" s="397"/>
      <c r="P697" s="397"/>
      <c r="Q697" s="397"/>
      <c r="R697" s="397"/>
      <c r="S697" s="397"/>
      <c r="T697" s="397"/>
      <c r="U697" s="397"/>
      <c r="V697" s="397"/>
      <c r="W697" s="397"/>
      <c r="X697" s="397"/>
      <c r="Y697" s="397"/>
      <c r="Z697" s="397"/>
      <c r="AA697" s="397"/>
      <c r="AB697" s="530"/>
      <c r="AC697" s="530"/>
      <c r="AD697" s="530"/>
    </row>
    <row r="698" spans="2:30" x14ac:dyDescent="0.25">
      <c r="B698" s="530"/>
      <c r="C698" s="530"/>
      <c r="D698" s="530"/>
      <c r="E698" s="749"/>
      <c r="F698" s="530"/>
      <c r="G698" s="530"/>
      <c r="H698" s="530"/>
      <c r="I698" s="530"/>
      <c r="J698" s="417"/>
      <c r="K698" s="505"/>
      <c r="L698" s="579"/>
      <c r="M698" s="397"/>
      <c r="N698" s="397"/>
      <c r="O698" s="397"/>
      <c r="P698" s="397"/>
      <c r="Q698" s="397"/>
      <c r="R698" s="397"/>
      <c r="S698" s="397"/>
      <c r="T698" s="397"/>
      <c r="U698" s="397"/>
      <c r="V698" s="397"/>
      <c r="W698" s="397"/>
      <c r="X698" s="397"/>
      <c r="Y698" s="397"/>
      <c r="Z698" s="397"/>
      <c r="AA698" s="397"/>
      <c r="AB698" s="530"/>
      <c r="AC698" s="530"/>
      <c r="AD698" s="530"/>
    </row>
    <row r="699" spans="2:30" x14ac:dyDescent="0.25">
      <c r="B699" s="530"/>
      <c r="C699" s="530"/>
      <c r="D699" s="530"/>
      <c r="E699" s="749"/>
      <c r="F699" s="530"/>
      <c r="G699" s="530"/>
      <c r="H699" s="530"/>
      <c r="I699" s="530"/>
      <c r="J699" s="417"/>
      <c r="K699" s="505"/>
      <c r="L699" s="579"/>
      <c r="M699" s="397"/>
      <c r="N699" s="397"/>
      <c r="O699" s="397"/>
      <c r="P699" s="397"/>
      <c r="Q699" s="397"/>
      <c r="R699" s="397"/>
      <c r="S699" s="397"/>
      <c r="T699" s="397"/>
      <c r="U699" s="397"/>
      <c r="V699" s="397"/>
      <c r="W699" s="397"/>
      <c r="X699" s="397"/>
      <c r="Y699" s="397"/>
      <c r="Z699" s="397"/>
      <c r="AA699" s="397"/>
      <c r="AB699" s="530"/>
      <c r="AC699" s="530"/>
      <c r="AD699" s="530"/>
    </row>
    <row r="700" spans="2:30" x14ac:dyDescent="0.25">
      <c r="B700" s="530"/>
      <c r="C700" s="530"/>
      <c r="D700" s="530"/>
      <c r="E700" s="749"/>
      <c r="F700" s="530"/>
      <c r="G700" s="530"/>
      <c r="H700" s="530"/>
      <c r="I700" s="530"/>
      <c r="J700" s="417"/>
      <c r="K700" s="505"/>
      <c r="L700" s="579"/>
      <c r="M700" s="397"/>
      <c r="N700" s="397"/>
      <c r="O700" s="397"/>
      <c r="P700" s="397"/>
      <c r="Q700" s="397"/>
      <c r="R700" s="397"/>
      <c r="S700" s="397"/>
      <c r="T700" s="397"/>
      <c r="U700" s="397"/>
      <c r="V700" s="397"/>
      <c r="W700" s="397"/>
      <c r="X700" s="397"/>
      <c r="Y700" s="397"/>
      <c r="Z700" s="397"/>
      <c r="AA700" s="397"/>
      <c r="AB700" s="530"/>
      <c r="AC700" s="530"/>
      <c r="AD700" s="530"/>
    </row>
    <row r="701" spans="2:30" x14ac:dyDescent="0.25">
      <c r="B701" s="530"/>
      <c r="C701" s="530"/>
      <c r="D701" s="530"/>
      <c r="E701" s="749"/>
      <c r="F701" s="530"/>
      <c r="G701" s="530"/>
      <c r="H701" s="530"/>
      <c r="I701" s="530"/>
      <c r="J701" s="417"/>
      <c r="K701" s="505"/>
      <c r="L701" s="579"/>
      <c r="M701" s="397"/>
      <c r="N701" s="397"/>
      <c r="O701" s="397"/>
      <c r="P701" s="397"/>
      <c r="Q701" s="397"/>
      <c r="R701" s="397"/>
      <c r="S701" s="397"/>
      <c r="T701" s="397"/>
      <c r="U701" s="397"/>
      <c r="V701" s="397"/>
      <c r="W701" s="397"/>
      <c r="X701" s="397"/>
      <c r="Y701" s="397"/>
      <c r="Z701" s="397"/>
      <c r="AA701" s="397"/>
      <c r="AB701" s="530"/>
      <c r="AC701" s="530"/>
      <c r="AD701" s="530"/>
    </row>
    <row r="702" spans="2:30" x14ac:dyDescent="0.25">
      <c r="B702" s="530"/>
      <c r="C702" s="530"/>
      <c r="D702" s="530"/>
      <c r="E702" s="749"/>
      <c r="F702" s="530"/>
      <c r="G702" s="530"/>
      <c r="H702" s="530"/>
      <c r="I702" s="530"/>
      <c r="J702" s="417"/>
      <c r="K702" s="505"/>
      <c r="L702" s="579"/>
      <c r="M702" s="397"/>
      <c r="N702" s="397"/>
      <c r="O702" s="397"/>
      <c r="P702" s="397"/>
      <c r="Q702" s="397"/>
      <c r="R702" s="397"/>
      <c r="S702" s="397"/>
      <c r="T702" s="397"/>
      <c r="U702" s="397"/>
      <c r="V702" s="397"/>
      <c r="W702" s="397"/>
      <c r="X702" s="397"/>
      <c r="Y702" s="397"/>
      <c r="Z702" s="397"/>
      <c r="AA702" s="397"/>
      <c r="AB702" s="530"/>
      <c r="AC702" s="530"/>
      <c r="AD702" s="530"/>
    </row>
    <row r="703" spans="2:30" x14ac:dyDescent="0.25">
      <c r="B703" s="530"/>
      <c r="C703" s="530"/>
      <c r="D703" s="530"/>
      <c r="E703" s="749"/>
      <c r="F703" s="530"/>
      <c r="G703" s="530"/>
      <c r="H703" s="530"/>
      <c r="I703" s="530"/>
      <c r="J703" s="417"/>
      <c r="K703" s="505"/>
      <c r="L703" s="579"/>
      <c r="M703" s="397"/>
      <c r="N703" s="397"/>
      <c r="O703" s="397"/>
      <c r="P703" s="397"/>
      <c r="Q703" s="397"/>
      <c r="R703" s="397"/>
      <c r="S703" s="397"/>
      <c r="T703" s="397"/>
      <c r="U703" s="397"/>
      <c r="V703" s="397"/>
      <c r="W703" s="397"/>
      <c r="X703" s="397"/>
      <c r="Y703" s="397"/>
      <c r="Z703" s="397"/>
      <c r="AA703" s="397"/>
      <c r="AB703" s="530"/>
      <c r="AC703" s="530"/>
      <c r="AD703" s="530"/>
    </row>
    <row r="704" spans="2:30" x14ac:dyDescent="0.25">
      <c r="B704" s="530"/>
      <c r="C704" s="530"/>
      <c r="D704" s="530"/>
      <c r="E704" s="749"/>
      <c r="F704" s="530"/>
      <c r="G704" s="530"/>
      <c r="H704" s="530"/>
      <c r="I704" s="530"/>
      <c r="J704" s="417"/>
      <c r="K704" s="505"/>
      <c r="L704" s="579"/>
      <c r="M704" s="397"/>
      <c r="N704" s="397"/>
      <c r="O704" s="397"/>
      <c r="P704" s="397"/>
      <c r="Q704" s="397"/>
      <c r="R704" s="397"/>
      <c r="S704" s="397"/>
      <c r="T704" s="397"/>
      <c r="U704" s="397"/>
      <c r="V704" s="397"/>
      <c r="W704" s="397"/>
      <c r="X704" s="397"/>
      <c r="Y704" s="397"/>
      <c r="Z704" s="397"/>
      <c r="AA704" s="397"/>
      <c r="AB704" s="530"/>
      <c r="AC704" s="530"/>
      <c r="AD704" s="530"/>
    </row>
    <row r="705" spans="2:30" x14ac:dyDescent="0.25">
      <c r="B705" s="530"/>
      <c r="C705" s="530"/>
      <c r="D705" s="530"/>
      <c r="E705" s="749"/>
      <c r="F705" s="530"/>
      <c r="G705" s="530"/>
      <c r="H705" s="530"/>
      <c r="I705" s="530"/>
      <c r="J705" s="417"/>
      <c r="K705" s="505"/>
      <c r="L705" s="579"/>
      <c r="M705" s="397"/>
      <c r="N705" s="397"/>
      <c r="O705" s="397"/>
      <c r="P705" s="397"/>
      <c r="Q705" s="397"/>
      <c r="R705" s="397"/>
      <c r="S705" s="397"/>
      <c r="T705" s="397"/>
      <c r="U705" s="397"/>
      <c r="V705" s="397"/>
      <c r="W705" s="397"/>
      <c r="X705" s="397"/>
      <c r="Y705" s="397"/>
      <c r="Z705" s="397"/>
      <c r="AA705" s="397"/>
      <c r="AB705" s="530"/>
      <c r="AC705" s="530"/>
      <c r="AD705" s="530"/>
    </row>
    <row r="706" spans="2:30" x14ac:dyDescent="0.25">
      <c r="B706" s="530"/>
      <c r="C706" s="530"/>
      <c r="D706" s="530"/>
      <c r="E706" s="749"/>
      <c r="F706" s="530"/>
      <c r="G706" s="530"/>
      <c r="H706" s="530"/>
      <c r="I706" s="530"/>
      <c r="J706" s="417"/>
      <c r="K706" s="505"/>
      <c r="L706" s="579"/>
      <c r="M706" s="397"/>
      <c r="N706" s="397"/>
      <c r="O706" s="397"/>
      <c r="P706" s="397"/>
      <c r="Q706" s="397"/>
      <c r="R706" s="397"/>
      <c r="S706" s="397"/>
      <c r="T706" s="397"/>
      <c r="U706" s="397"/>
      <c r="V706" s="397"/>
      <c r="W706" s="397"/>
      <c r="X706" s="397"/>
      <c r="Y706" s="397"/>
      <c r="Z706" s="397"/>
      <c r="AA706" s="397"/>
      <c r="AB706" s="530"/>
      <c r="AC706" s="530"/>
      <c r="AD706" s="530"/>
    </row>
    <row r="707" spans="2:30" x14ac:dyDescent="0.25">
      <c r="B707" s="530"/>
      <c r="C707" s="530"/>
      <c r="D707" s="530"/>
      <c r="E707" s="749"/>
      <c r="F707" s="530"/>
      <c r="G707" s="530"/>
      <c r="H707" s="530"/>
      <c r="I707" s="530"/>
      <c r="J707" s="417"/>
      <c r="K707" s="505"/>
      <c r="L707" s="579"/>
      <c r="M707" s="397"/>
      <c r="N707" s="397"/>
      <c r="O707" s="397"/>
      <c r="P707" s="397"/>
      <c r="Q707" s="397"/>
      <c r="R707" s="397"/>
      <c r="S707" s="397"/>
      <c r="T707" s="397"/>
      <c r="U707" s="397"/>
      <c r="V707" s="397"/>
      <c r="W707" s="397"/>
      <c r="X707" s="397"/>
      <c r="Y707" s="397"/>
      <c r="Z707" s="397"/>
      <c r="AA707" s="397"/>
      <c r="AB707" s="530"/>
      <c r="AC707" s="530"/>
      <c r="AD707" s="530"/>
    </row>
    <row r="708" spans="2:30" x14ac:dyDescent="0.25">
      <c r="B708" s="530"/>
      <c r="C708" s="530"/>
      <c r="D708" s="530"/>
      <c r="E708" s="749"/>
      <c r="F708" s="530"/>
      <c r="G708" s="530"/>
      <c r="H708" s="530"/>
      <c r="I708" s="530"/>
      <c r="J708" s="417"/>
      <c r="K708" s="505"/>
      <c r="L708" s="579"/>
      <c r="M708" s="397"/>
      <c r="N708" s="397"/>
      <c r="O708" s="397"/>
      <c r="P708" s="397"/>
      <c r="Q708" s="397"/>
      <c r="R708" s="397"/>
      <c r="S708" s="397"/>
      <c r="T708" s="397"/>
      <c r="U708" s="397"/>
      <c r="V708" s="397"/>
      <c r="W708" s="397"/>
      <c r="X708" s="397"/>
      <c r="Y708" s="397"/>
      <c r="Z708" s="397"/>
      <c r="AA708" s="397"/>
      <c r="AB708" s="530"/>
      <c r="AC708" s="530"/>
      <c r="AD708" s="530"/>
    </row>
    <row r="709" spans="2:30" x14ac:dyDescent="0.25">
      <c r="B709" s="530"/>
      <c r="C709" s="530"/>
      <c r="D709" s="530"/>
      <c r="E709" s="749"/>
      <c r="F709" s="530"/>
      <c r="G709" s="530"/>
      <c r="H709" s="530"/>
      <c r="I709" s="530"/>
      <c r="J709" s="417"/>
      <c r="K709" s="505"/>
      <c r="L709" s="579"/>
      <c r="M709" s="397"/>
      <c r="N709" s="397"/>
      <c r="O709" s="397"/>
      <c r="P709" s="397"/>
      <c r="Q709" s="397"/>
      <c r="R709" s="397"/>
      <c r="S709" s="397"/>
      <c r="T709" s="397"/>
      <c r="U709" s="397"/>
      <c r="V709" s="397"/>
      <c r="W709" s="397"/>
      <c r="X709" s="397"/>
      <c r="Y709" s="397"/>
      <c r="Z709" s="397"/>
      <c r="AA709" s="397"/>
      <c r="AB709" s="530"/>
      <c r="AC709" s="530"/>
      <c r="AD709" s="530"/>
    </row>
    <row r="710" spans="2:30" x14ac:dyDescent="0.25">
      <c r="B710" s="530"/>
      <c r="C710" s="530"/>
      <c r="D710" s="530"/>
      <c r="E710" s="749"/>
      <c r="F710" s="530"/>
      <c r="G710" s="530"/>
      <c r="H710" s="530"/>
      <c r="I710" s="530"/>
      <c r="J710" s="417"/>
      <c r="K710" s="505"/>
      <c r="L710" s="579"/>
      <c r="M710" s="397"/>
      <c r="N710" s="397"/>
      <c r="O710" s="397"/>
      <c r="P710" s="397"/>
      <c r="Q710" s="397"/>
      <c r="R710" s="397"/>
      <c r="S710" s="397"/>
      <c r="T710" s="397"/>
      <c r="U710" s="397"/>
      <c r="V710" s="397"/>
      <c r="W710" s="397"/>
      <c r="X710" s="397"/>
      <c r="Y710" s="397"/>
      <c r="Z710" s="397"/>
      <c r="AA710" s="397"/>
      <c r="AB710" s="530"/>
      <c r="AC710" s="530"/>
      <c r="AD710" s="530"/>
    </row>
    <row r="711" spans="2:30" x14ac:dyDescent="0.25">
      <c r="B711" s="530"/>
      <c r="C711" s="530"/>
      <c r="D711" s="530"/>
      <c r="E711" s="749"/>
      <c r="F711" s="530"/>
      <c r="G711" s="530"/>
      <c r="H711" s="530"/>
      <c r="I711" s="530"/>
      <c r="J711" s="417"/>
      <c r="K711" s="505"/>
      <c r="L711" s="579"/>
      <c r="M711" s="397"/>
      <c r="N711" s="397"/>
      <c r="O711" s="397"/>
      <c r="P711" s="397"/>
      <c r="Q711" s="397"/>
      <c r="R711" s="397"/>
      <c r="S711" s="397"/>
      <c r="T711" s="397"/>
      <c r="U711" s="397"/>
      <c r="V711" s="397"/>
      <c r="W711" s="397"/>
      <c r="X711" s="397"/>
      <c r="Y711" s="397"/>
      <c r="Z711" s="397"/>
      <c r="AA711" s="397"/>
      <c r="AB711" s="530"/>
      <c r="AC711" s="530"/>
      <c r="AD711" s="530"/>
    </row>
    <row r="712" spans="2:30" x14ac:dyDescent="0.25">
      <c r="B712" s="530"/>
      <c r="C712" s="530"/>
      <c r="D712" s="530"/>
      <c r="E712" s="749"/>
      <c r="F712" s="530"/>
      <c r="G712" s="530"/>
      <c r="H712" s="530"/>
      <c r="I712" s="530"/>
      <c r="J712" s="417"/>
      <c r="K712" s="505"/>
      <c r="L712" s="579"/>
      <c r="M712" s="397"/>
      <c r="N712" s="397"/>
      <c r="O712" s="397"/>
      <c r="P712" s="397"/>
      <c r="Q712" s="397"/>
      <c r="R712" s="397"/>
      <c r="S712" s="397"/>
      <c r="T712" s="397"/>
      <c r="U712" s="397"/>
      <c r="V712" s="397"/>
      <c r="W712" s="397"/>
      <c r="X712" s="397"/>
      <c r="Y712" s="397"/>
      <c r="Z712" s="397"/>
      <c r="AA712" s="397"/>
      <c r="AB712" s="530"/>
      <c r="AC712" s="530"/>
      <c r="AD712" s="530"/>
    </row>
    <row r="713" spans="2:30" x14ac:dyDescent="0.25">
      <c r="B713" s="530"/>
      <c r="C713" s="530"/>
      <c r="D713" s="530"/>
      <c r="E713" s="749"/>
      <c r="F713" s="530"/>
      <c r="G713" s="530"/>
      <c r="H713" s="530"/>
      <c r="I713" s="530"/>
      <c r="J713" s="417"/>
      <c r="K713" s="505"/>
      <c r="L713" s="579"/>
      <c r="M713" s="397"/>
      <c r="N713" s="397"/>
      <c r="O713" s="397"/>
      <c r="P713" s="397"/>
      <c r="Q713" s="397"/>
      <c r="R713" s="397"/>
      <c r="S713" s="397"/>
      <c r="T713" s="397"/>
      <c r="U713" s="397"/>
      <c r="V713" s="397"/>
      <c r="W713" s="397"/>
      <c r="X713" s="397"/>
      <c r="Y713" s="397"/>
      <c r="Z713" s="397"/>
      <c r="AA713" s="397"/>
      <c r="AB713" s="530"/>
      <c r="AC713" s="530"/>
      <c r="AD713" s="530"/>
    </row>
    <row r="714" spans="2:30" x14ac:dyDescent="0.25">
      <c r="B714" s="530"/>
      <c r="C714" s="530"/>
      <c r="D714" s="530"/>
      <c r="E714" s="749"/>
      <c r="F714" s="530"/>
      <c r="G714" s="530"/>
      <c r="H714" s="530"/>
      <c r="I714" s="530"/>
      <c r="J714" s="417"/>
      <c r="K714" s="505"/>
      <c r="L714" s="579"/>
      <c r="M714" s="397"/>
      <c r="N714" s="397"/>
      <c r="O714" s="397"/>
      <c r="P714" s="397"/>
      <c r="Q714" s="397"/>
      <c r="R714" s="397"/>
      <c r="S714" s="397"/>
      <c r="T714" s="397"/>
      <c r="U714" s="397"/>
      <c r="V714" s="397"/>
      <c r="W714" s="397"/>
      <c r="X714" s="397"/>
      <c r="Y714" s="397"/>
      <c r="Z714" s="397"/>
      <c r="AA714" s="397"/>
      <c r="AB714" s="530"/>
      <c r="AC714" s="530"/>
      <c r="AD714" s="530"/>
    </row>
    <row r="715" spans="2:30" x14ac:dyDescent="0.25">
      <c r="B715" s="530"/>
      <c r="C715" s="530"/>
      <c r="D715" s="530"/>
      <c r="E715" s="749"/>
      <c r="F715" s="530"/>
      <c r="G715" s="530"/>
      <c r="H715" s="530"/>
      <c r="I715" s="530"/>
      <c r="J715" s="417"/>
      <c r="K715" s="505"/>
      <c r="L715" s="579"/>
      <c r="M715" s="397"/>
      <c r="N715" s="397"/>
      <c r="O715" s="397"/>
      <c r="P715" s="397"/>
      <c r="Q715" s="397"/>
      <c r="R715" s="397"/>
      <c r="S715" s="397"/>
      <c r="T715" s="397"/>
      <c r="U715" s="397"/>
      <c r="V715" s="397"/>
      <c r="W715" s="397"/>
      <c r="X715" s="397"/>
      <c r="Y715" s="397"/>
      <c r="Z715" s="397"/>
      <c r="AA715" s="397"/>
      <c r="AB715" s="530"/>
      <c r="AC715" s="530"/>
      <c r="AD715" s="530"/>
    </row>
    <row r="716" spans="2:30" x14ac:dyDescent="0.25">
      <c r="B716" s="530"/>
      <c r="C716" s="530"/>
      <c r="D716" s="530"/>
      <c r="E716" s="749"/>
      <c r="F716" s="530"/>
      <c r="G716" s="530"/>
      <c r="H716" s="530"/>
      <c r="I716" s="530"/>
      <c r="J716" s="417"/>
      <c r="K716" s="505"/>
      <c r="L716" s="579"/>
      <c r="M716" s="397"/>
      <c r="N716" s="397"/>
      <c r="O716" s="397"/>
      <c r="P716" s="397"/>
      <c r="Q716" s="397"/>
      <c r="R716" s="397"/>
      <c r="S716" s="397"/>
      <c r="T716" s="397"/>
      <c r="U716" s="397"/>
      <c r="V716" s="397"/>
      <c r="W716" s="397"/>
      <c r="X716" s="397"/>
      <c r="Y716" s="397"/>
      <c r="Z716" s="397"/>
      <c r="AA716" s="397"/>
      <c r="AB716" s="530"/>
      <c r="AC716" s="530"/>
      <c r="AD716" s="530"/>
    </row>
    <row r="717" spans="2:30" x14ac:dyDescent="0.25">
      <c r="B717" s="530"/>
      <c r="C717" s="530"/>
      <c r="D717" s="530"/>
      <c r="E717" s="749"/>
      <c r="F717" s="530"/>
      <c r="G717" s="530"/>
      <c r="H717" s="530"/>
      <c r="I717" s="530"/>
      <c r="J717" s="417"/>
      <c r="K717" s="505"/>
      <c r="L717" s="579"/>
      <c r="M717" s="397"/>
      <c r="N717" s="397"/>
      <c r="O717" s="397"/>
      <c r="P717" s="397"/>
      <c r="Q717" s="397"/>
      <c r="R717" s="397"/>
      <c r="S717" s="397"/>
      <c r="T717" s="397"/>
      <c r="U717" s="397"/>
      <c r="V717" s="397"/>
      <c r="W717" s="397"/>
      <c r="X717" s="397"/>
      <c r="Y717" s="397"/>
      <c r="Z717" s="397"/>
      <c r="AA717" s="397"/>
      <c r="AB717" s="530"/>
      <c r="AC717" s="530"/>
      <c r="AD717" s="530"/>
    </row>
    <row r="718" spans="2:30" x14ac:dyDescent="0.25">
      <c r="B718" s="530"/>
      <c r="C718" s="530"/>
      <c r="D718" s="530"/>
      <c r="E718" s="749"/>
      <c r="F718" s="530"/>
      <c r="G718" s="530"/>
      <c r="H718" s="530"/>
      <c r="I718" s="530"/>
      <c r="J718" s="417"/>
      <c r="K718" s="505"/>
      <c r="L718" s="579"/>
      <c r="M718" s="397"/>
      <c r="N718" s="397"/>
      <c r="O718" s="397"/>
      <c r="P718" s="397"/>
      <c r="Q718" s="397"/>
      <c r="R718" s="397"/>
      <c r="S718" s="397"/>
      <c r="T718" s="397"/>
      <c r="U718" s="397"/>
      <c r="V718" s="397"/>
      <c r="W718" s="397"/>
      <c r="X718" s="397"/>
      <c r="Y718" s="397"/>
      <c r="Z718" s="397"/>
      <c r="AA718" s="397"/>
      <c r="AB718" s="530"/>
      <c r="AC718" s="530"/>
      <c r="AD718" s="530"/>
    </row>
    <row r="719" spans="2:30" x14ac:dyDescent="0.25">
      <c r="B719" s="530"/>
      <c r="C719" s="530"/>
      <c r="D719" s="530"/>
      <c r="E719" s="749"/>
      <c r="F719" s="530"/>
      <c r="G719" s="530"/>
      <c r="H719" s="530"/>
      <c r="I719" s="530"/>
      <c r="J719" s="417"/>
      <c r="K719" s="505"/>
      <c r="L719" s="579"/>
      <c r="M719" s="397"/>
      <c r="N719" s="397"/>
      <c r="O719" s="397"/>
      <c r="P719" s="397"/>
      <c r="Q719" s="397"/>
      <c r="R719" s="397"/>
      <c r="S719" s="397"/>
      <c r="T719" s="397"/>
      <c r="U719" s="397"/>
      <c r="V719" s="397"/>
      <c r="W719" s="397"/>
      <c r="X719" s="397"/>
      <c r="Y719" s="397"/>
      <c r="Z719" s="397"/>
      <c r="AA719" s="397"/>
      <c r="AB719" s="530"/>
      <c r="AC719" s="530"/>
      <c r="AD719" s="530"/>
    </row>
    <row r="720" spans="2:30" x14ac:dyDescent="0.25">
      <c r="B720" s="530"/>
      <c r="C720" s="530"/>
      <c r="D720" s="530"/>
      <c r="E720" s="749"/>
      <c r="F720" s="530"/>
      <c r="G720" s="530"/>
      <c r="H720" s="530"/>
      <c r="I720" s="530"/>
      <c r="J720" s="417"/>
      <c r="K720" s="505"/>
      <c r="L720" s="579"/>
      <c r="M720" s="397"/>
      <c r="N720" s="397"/>
      <c r="O720" s="397"/>
      <c r="P720" s="397"/>
      <c r="Q720" s="397"/>
      <c r="R720" s="397"/>
      <c r="S720" s="397"/>
      <c r="T720" s="397"/>
      <c r="U720" s="397"/>
      <c r="V720" s="397"/>
      <c r="W720" s="397"/>
      <c r="X720" s="397"/>
      <c r="Y720" s="397"/>
      <c r="Z720" s="397"/>
      <c r="AA720" s="397"/>
      <c r="AB720" s="530"/>
      <c r="AC720" s="530"/>
      <c r="AD720" s="530"/>
    </row>
    <row r="721" spans="2:30" x14ac:dyDescent="0.25">
      <c r="B721" s="530"/>
      <c r="C721" s="530"/>
      <c r="D721" s="530"/>
      <c r="E721" s="749"/>
      <c r="F721" s="530"/>
      <c r="G721" s="530"/>
      <c r="H721" s="530"/>
      <c r="I721" s="530"/>
      <c r="J721" s="417"/>
      <c r="K721" s="505"/>
      <c r="L721" s="579"/>
      <c r="M721" s="397"/>
      <c r="N721" s="397"/>
      <c r="O721" s="397"/>
      <c r="P721" s="397"/>
      <c r="Q721" s="397"/>
      <c r="R721" s="397"/>
      <c r="S721" s="397"/>
      <c r="T721" s="397"/>
      <c r="U721" s="397"/>
      <c r="V721" s="397"/>
      <c r="W721" s="397"/>
      <c r="X721" s="397"/>
      <c r="Y721" s="397"/>
      <c r="Z721" s="397"/>
      <c r="AA721" s="397"/>
      <c r="AB721" s="530"/>
      <c r="AC721" s="530"/>
      <c r="AD721" s="530"/>
    </row>
    <row r="722" spans="2:30" x14ac:dyDescent="0.25">
      <c r="B722" s="530"/>
      <c r="C722" s="530"/>
      <c r="D722" s="530"/>
      <c r="E722" s="749"/>
      <c r="F722" s="530"/>
      <c r="G722" s="530"/>
      <c r="H722" s="530"/>
      <c r="I722" s="530"/>
      <c r="J722" s="417"/>
      <c r="K722" s="505"/>
      <c r="L722" s="579"/>
      <c r="M722" s="397"/>
      <c r="N722" s="397"/>
      <c r="O722" s="397"/>
      <c r="P722" s="397"/>
      <c r="Q722" s="397"/>
      <c r="R722" s="397"/>
      <c r="S722" s="397"/>
      <c r="T722" s="397"/>
      <c r="U722" s="397"/>
      <c r="V722" s="397"/>
      <c r="W722" s="397"/>
      <c r="X722" s="397"/>
      <c r="Y722" s="397"/>
      <c r="Z722" s="397"/>
      <c r="AA722" s="397"/>
      <c r="AB722" s="530"/>
      <c r="AC722" s="530"/>
      <c r="AD722" s="530"/>
    </row>
    <row r="723" spans="2:30" x14ac:dyDescent="0.25">
      <c r="B723" s="397"/>
      <c r="C723" s="397"/>
      <c r="D723" s="397"/>
      <c r="E723" s="750"/>
      <c r="F723" s="397"/>
      <c r="G723" s="530"/>
      <c r="H723" s="530"/>
      <c r="I723" s="530"/>
      <c r="J723" s="417"/>
      <c r="K723" s="505"/>
      <c r="L723" s="579"/>
      <c r="M723" s="397"/>
      <c r="N723" s="397"/>
      <c r="O723" s="397"/>
      <c r="P723" s="397"/>
      <c r="Q723" s="397"/>
      <c r="R723" s="397"/>
      <c r="S723" s="397"/>
      <c r="T723" s="397"/>
      <c r="U723" s="397"/>
      <c r="V723" s="397"/>
      <c r="W723" s="397"/>
      <c r="X723" s="397"/>
      <c r="Y723" s="397"/>
      <c r="Z723" s="397"/>
      <c r="AA723" s="397"/>
      <c r="AB723" s="530"/>
      <c r="AC723" s="530"/>
      <c r="AD723" s="530"/>
    </row>
    <row r="724" spans="2:30" x14ac:dyDescent="0.25">
      <c r="B724" s="397"/>
      <c r="C724" s="397"/>
      <c r="D724" s="397"/>
      <c r="E724" s="750"/>
      <c r="F724" s="397"/>
      <c r="G724" s="530"/>
      <c r="H724" s="530"/>
      <c r="I724" s="530"/>
      <c r="J724" s="417"/>
      <c r="K724" s="505"/>
      <c r="L724" s="579"/>
      <c r="M724" s="397"/>
      <c r="N724" s="397"/>
      <c r="O724" s="397"/>
      <c r="P724" s="397"/>
      <c r="Q724" s="397"/>
      <c r="R724" s="397"/>
      <c r="S724" s="397"/>
      <c r="T724" s="397"/>
      <c r="U724" s="397"/>
      <c r="V724" s="397"/>
      <c r="W724" s="397"/>
      <c r="X724" s="397"/>
      <c r="Y724" s="397"/>
      <c r="Z724" s="397"/>
      <c r="AA724" s="397"/>
      <c r="AB724" s="530"/>
      <c r="AC724" s="530"/>
      <c r="AD724" s="530"/>
    </row>
    <row r="725" spans="2:30" x14ac:dyDescent="0.25">
      <c r="B725" s="397"/>
      <c r="C725" s="397"/>
      <c r="D725" s="397"/>
      <c r="E725" s="750"/>
      <c r="F725" s="397"/>
      <c r="G725" s="530"/>
      <c r="H725" s="530"/>
      <c r="I725" s="530"/>
      <c r="J725" s="417"/>
      <c r="K725" s="505"/>
      <c r="L725" s="579"/>
      <c r="M725" s="397"/>
      <c r="N725" s="397"/>
      <c r="O725" s="397"/>
      <c r="P725" s="397"/>
      <c r="Q725" s="397"/>
      <c r="R725" s="397"/>
      <c r="S725" s="397"/>
      <c r="T725" s="397"/>
      <c r="U725" s="397"/>
      <c r="V725" s="397"/>
      <c r="W725" s="397"/>
      <c r="X725" s="397"/>
      <c r="Y725" s="397"/>
      <c r="Z725" s="397"/>
      <c r="AA725" s="397"/>
      <c r="AB725" s="530"/>
      <c r="AC725" s="530"/>
      <c r="AD725" s="530"/>
    </row>
    <row r="726" spans="2:30" x14ac:dyDescent="0.25">
      <c r="B726" s="397"/>
      <c r="C726" s="397"/>
      <c r="D726" s="397"/>
      <c r="E726" s="750"/>
      <c r="F726" s="397"/>
      <c r="G726" s="530"/>
      <c r="H726" s="530"/>
      <c r="I726" s="530"/>
      <c r="J726" s="417"/>
      <c r="K726" s="505"/>
      <c r="L726" s="579"/>
      <c r="M726" s="397"/>
      <c r="N726" s="397"/>
      <c r="O726" s="397"/>
      <c r="P726" s="397"/>
      <c r="Q726" s="397"/>
      <c r="R726" s="397"/>
      <c r="S726" s="397"/>
      <c r="T726" s="397"/>
      <c r="U726" s="397"/>
      <c r="V726" s="397"/>
      <c r="W726" s="397"/>
      <c r="X726" s="397"/>
      <c r="Y726" s="397"/>
      <c r="Z726" s="397"/>
      <c r="AA726" s="397"/>
      <c r="AB726" s="530"/>
      <c r="AC726" s="530"/>
      <c r="AD726" s="530"/>
    </row>
    <row r="727" spans="2:30" x14ac:dyDescent="0.25">
      <c r="B727" s="397"/>
      <c r="C727" s="397"/>
      <c r="D727" s="397"/>
      <c r="E727" s="750"/>
      <c r="F727" s="397"/>
      <c r="G727" s="530"/>
      <c r="H727" s="530"/>
      <c r="I727" s="530"/>
      <c r="J727" s="417"/>
      <c r="K727" s="505"/>
      <c r="L727" s="579"/>
      <c r="M727" s="397"/>
      <c r="N727" s="397"/>
      <c r="O727" s="397"/>
      <c r="P727" s="397"/>
      <c r="Q727" s="397"/>
      <c r="R727" s="397"/>
      <c r="S727" s="397"/>
      <c r="T727" s="397"/>
      <c r="U727" s="397"/>
      <c r="V727" s="397"/>
      <c r="W727" s="397"/>
      <c r="X727" s="397"/>
      <c r="Y727" s="397"/>
      <c r="Z727" s="397"/>
      <c r="AA727" s="397"/>
      <c r="AB727" s="530"/>
      <c r="AC727" s="530"/>
      <c r="AD727" s="530"/>
    </row>
    <row r="728" spans="2:30" x14ac:dyDescent="0.25">
      <c r="B728" s="397"/>
      <c r="C728" s="397"/>
      <c r="D728" s="397"/>
      <c r="E728" s="750"/>
      <c r="F728" s="397"/>
      <c r="G728" s="530"/>
      <c r="H728" s="530"/>
      <c r="I728" s="530"/>
      <c r="J728" s="417"/>
      <c r="K728" s="505"/>
      <c r="L728" s="579"/>
      <c r="M728" s="397"/>
      <c r="N728" s="397"/>
      <c r="O728" s="397"/>
      <c r="P728" s="397"/>
      <c r="Q728" s="397"/>
      <c r="R728" s="397"/>
      <c r="S728" s="397"/>
      <c r="T728" s="397"/>
      <c r="U728" s="397"/>
      <c r="V728" s="397"/>
      <c r="W728" s="397"/>
      <c r="X728" s="397"/>
      <c r="Y728" s="397"/>
      <c r="Z728" s="397"/>
      <c r="AA728" s="397"/>
      <c r="AB728" s="530"/>
      <c r="AC728" s="530"/>
      <c r="AD728" s="530"/>
    </row>
    <row r="729" spans="2:30" x14ac:dyDescent="0.25">
      <c r="B729" s="397"/>
      <c r="C729" s="397"/>
      <c r="D729" s="397"/>
      <c r="E729" s="750"/>
      <c r="F729" s="397"/>
      <c r="G729" s="530"/>
      <c r="H729" s="530"/>
      <c r="I729" s="530"/>
      <c r="J729" s="417"/>
      <c r="K729" s="505"/>
      <c r="L729" s="579"/>
      <c r="M729" s="397"/>
      <c r="N729" s="397"/>
      <c r="O729" s="397"/>
      <c r="P729" s="397"/>
      <c r="Q729" s="397"/>
      <c r="R729" s="397"/>
      <c r="S729" s="397"/>
      <c r="T729" s="397"/>
      <c r="U729" s="397"/>
      <c r="V729" s="397"/>
      <c r="W729" s="397"/>
      <c r="X729" s="397"/>
      <c r="Y729" s="397"/>
      <c r="Z729" s="397"/>
      <c r="AA729" s="397"/>
      <c r="AB729" s="530"/>
      <c r="AC729" s="530"/>
      <c r="AD729" s="530"/>
    </row>
    <row r="730" spans="2:30" x14ac:dyDescent="0.25">
      <c r="B730" s="397"/>
      <c r="C730" s="397"/>
      <c r="D730" s="397"/>
      <c r="E730" s="750"/>
      <c r="F730" s="397"/>
      <c r="G730" s="530"/>
      <c r="H730" s="530"/>
      <c r="I730" s="530"/>
      <c r="J730" s="417"/>
      <c r="K730" s="505"/>
      <c r="L730" s="579"/>
      <c r="M730" s="397"/>
      <c r="N730" s="397"/>
      <c r="O730" s="397"/>
      <c r="P730" s="397"/>
      <c r="Q730" s="397"/>
      <c r="R730" s="397"/>
      <c r="S730" s="397"/>
      <c r="T730" s="397"/>
      <c r="U730" s="397"/>
      <c r="V730" s="397"/>
      <c r="W730" s="397"/>
      <c r="X730" s="397"/>
      <c r="Y730" s="397"/>
      <c r="Z730" s="397"/>
      <c r="AA730" s="397"/>
      <c r="AB730" s="530"/>
      <c r="AC730" s="530"/>
      <c r="AD730" s="530"/>
    </row>
    <row r="731" spans="2:30" x14ac:dyDescent="0.25">
      <c r="B731" s="397"/>
      <c r="C731" s="397"/>
      <c r="D731" s="397"/>
      <c r="E731" s="750"/>
      <c r="F731" s="397"/>
      <c r="G731" s="530"/>
      <c r="H731" s="530"/>
      <c r="I731" s="530"/>
      <c r="J731" s="417"/>
      <c r="K731" s="505"/>
      <c r="L731" s="579"/>
      <c r="M731" s="397"/>
      <c r="N731" s="397"/>
      <c r="O731" s="397"/>
      <c r="P731" s="397"/>
      <c r="Q731" s="397"/>
      <c r="R731" s="397"/>
      <c r="S731" s="397"/>
      <c r="T731" s="397"/>
      <c r="U731" s="397"/>
      <c r="V731" s="397"/>
      <c r="W731" s="397"/>
      <c r="X731" s="397"/>
      <c r="Y731" s="397"/>
      <c r="Z731" s="397"/>
      <c r="AA731" s="397"/>
      <c r="AB731" s="530"/>
      <c r="AC731" s="530"/>
      <c r="AD731" s="530"/>
    </row>
    <row r="732" spans="2:30" x14ac:dyDescent="0.25">
      <c r="B732" s="397"/>
      <c r="C732" s="397"/>
      <c r="D732" s="397"/>
      <c r="E732" s="750"/>
      <c r="F732" s="397"/>
      <c r="G732" s="530"/>
      <c r="H732" s="530"/>
      <c r="I732" s="530"/>
      <c r="J732" s="417"/>
      <c r="K732" s="505"/>
      <c r="L732" s="579"/>
      <c r="M732" s="397"/>
      <c r="N732" s="397"/>
      <c r="O732" s="397"/>
      <c r="P732" s="397"/>
      <c r="Q732" s="397"/>
      <c r="R732" s="397"/>
      <c r="S732" s="397"/>
      <c r="T732" s="397"/>
      <c r="U732" s="397"/>
      <c r="V732" s="397"/>
      <c r="W732" s="397"/>
      <c r="X732" s="397"/>
      <c r="Y732" s="397"/>
      <c r="Z732" s="397"/>
      <c r="AA732" s="397"/>
      <c r="AB732" s="530"/>
      <c r="AC732" s="530"/>
      <c r="AD732" s="530"/>
    </row>
    <row r="733" spans="2:30" x14ac:dyDescent="0.25">
      <c r="B733" s="397"/>
      <c r="C733" s="397"/>
      <c r="D733" s="397"/>
      <c r="E733" s="750"/>
      <c r="F733" s="397"/>
      <c r="G733" s="530"/>
      <c r="H733" s="530"/>
      <c r="I733" s="530"/>
      <c r="J733" s="417"/>
      <c r="K733" s="505"/>
      <c r="L733" s="579"/>
      <c r="M733" s="397"/>
      <c r="N733" s="397"/>
      <c r="O733" s="397"/>
      <c r="P733" s="397"/>
      <c r="Q733" s="397"/>
      <c r="R733" s="397"/>
      <c r="S733" s="397"/>
      <c r="T733" s="397"/>
      <c r="U733" s="397"/>
      <c r="V733" s="397"/>
      <c r="W733" s="397"/>
      <c r="X733" s="397"/>
      <c r="Y733" s="397"/>
      <c r="Z733" s="397"/>
      <c r="AA733" s="397"/>
      <c r="AB733" s="530"/>
      <c r="AC733" s="530"/>
      <c r="AD733" s="530"/>
    </row>
    <row r="734" spans="2:30" x14ac:dyDescent="0.25">
      <c r="B734" s="397"/>
      <c r="C734" s="397"/>
      <c r="D734" s="397"/>
      <c r="E734" s="750"/>
      <c r="F734" s="397"/>
      <c r="G734" s="530"/>
      <c r="H734" s="530"/>
      <c r="I734" s="530"/>
      <c r="J734" s="417"/>
      <c r="K734" s="505"/>
      <c r="L734" s="579"/>
      <c r="M734" s="397"/>
      <c r="N734" s="397"/>
      <c r="O734" s="397"/>
      <c r="P734" s="397"/>
      <c r="Q734" s="397"/>
      <c r="R734" s="397"/>
      <c r="S734" s="397"/>
      <c r="T734" s="397"/>
      <c r="U734" s="397"/>
      <c r="V734" s="397"/>
      <c r="W734" s="397"/>
      <c r="X734" s="397"/>
      <c r="Y734" s="397"/>
      <c r="Z734" s="397"/>
      <c r="AA734" s="397"/>
      <c r="AB734" s="530"/>
      <c r="AC734" s="530"/>
      <c r="AD734" s="530"/>
    </row>
    <row r="735" spans="2:30" x14ac:dyDescent="0.25">
      <c r="B735" s="397"/>
      <c r="C735" s="397"/>
      <c r="D735" s="397"/>
      <c r="E735" s="750"/>
      <c r="F735" s="397"/>
      <c r="G735" s="530"/>
      <c r="H735" s="530"/>
      <c r="I735" s="530"/>
      <c r="J735" s="417"/>
      <c r="K735" s="505"/>
      <c r="L735" s="579"/>
      <c r="M735" s="397"/>
      <c r="N735" s="397"/>
      <c r="O735" s="397"/>
      <c r="P735" s="397"/>
      <c r="Q735" s="397"/>
      <c r="R735" s="397"/>
      <c r="S735" s="397"/>
      <c r="T735" s="397"/>
      <c r="U735" s="397"/>
      <c r="V735" s="397"/>
      <c r="W735" s="397"/>
      <c r="X735" s="397"/>
      <c r="Y735" s="397"/>
      <c r="Z735" s="397"/>
      <c r="AA735" s="397"/>
      <c r="AB735" s="530"/>
      <c r="AC735" s="530"/>
      <c r="AD735" s="530"/>
    </row>
    <row r="736" spans="2:30" x14ac:dyDescent="0.25">
      <c r="B736" s="397"/>
      <c r="C736" s="397"/>
      <c r="D736" s="397"/>
      <c r="E736" s="750"/>
      <c r="F736" s="397"/>
      <c r="G736" s="530"/>
      <c r="H736" s="530"/>
      <c r="I736" s="530"/>
      <c r="J736" s="417"/>
      <c r="K736" s="505"/>
      <c r="L736" s="579"/>
      <c r="M736" s="397"/>
      <c r="N736" s="397"/>
      <c r="O736" s="397"/>
      <c r="P736" s="397"/>
      <c r="Q736" s="397"/>
      <c r="R736" s="397"/>
      <c r="S736" s="397"/>
      <c r="T736" s="397"/>
      <c r="U736" s="397"/>
      <c r="V736" s="397"/>
      <c r="W736" s="397"/>
      <c r="X736" s="397"/>
      <c r="Y736" s="397"/>
      <c r="Z736" s="397"/>
      <c r="AA736" s="397"/>
      <c r="AB736" s="530"/>
      <c r="AC736" s="530"/>
      <c r="AD736" s="530"/>
    </row>
    <row r="737" spans="2:30" x14ac:dyDescent="0.25">
      <c r="B737" s="397"/>
      <c r="C737" s="397"/>
      <c r="D737" s="397"/>
      <c r="E737" s="750"/>
      <c r="F737" s="397"/>
      <c r="G737" s="530"/>
      <c r="H737" s="530"/>
      <c r="I737" s="530"/>
      <c r="J737" s="417"/>
      <c r="K737" s="505"/>
      <c r="L737" s="579"/>
      <c r="M737" s="397"/>
      <c r="N737" s="397"/>
      <c r="O737" s="397"/>
      <c r="P737" s="397"/>
      <c r="Q737" s="397"/>
      <c r="R737" s="397"/>
      <c r="S737" s="397"/>
      <c r="T737" s="397"/>
      <c r="U737" s="397"/>
      <c r="V737" s="397"/>
      <c r="W737" s="397"/>
      <c r="X737" s="397"/>
      <c r="Y737" s="397"/>
      <c r="Z737" s="397"/>
      <c r="AA737" s="397"/>
      <c r="AB737" s="530"/>
      <c r="AC737" s="530"/>
      <c r="AD737" s="530"/>
    </row>
    <row r="738" spans="2:30" x14ac:dyDescent="0.25">
      <c r="B738" s="397"/>
      <c r="C738" s="397"/>
      <c r="D738" s="397"/>
      <c r="E738" s="750"/>
      <c r="F738" s="397"/>
      <c r="G738" s="530"/>
      <c r="H738" s="530"/>
      <c r="I738" s="530"/>
      <c r="J738" s="417"/>
      <c r="K738" s="505"/>
      <c r="L738" s="579"/>
      <c r="M738" s="397"/>
      <c r="N738" s="397"/>
      <c r="O738" s="397"/>
      <c r="P738" s="397"/>
      <c r="Q738" s="397"/>
      <c r="R738" s="397"/>
      <c r="S738" s="397"/>
      <c r="T738" s="397"/>
      <c r="U738" s="397"/>
      <c r="V738" s="397"/>
      <c r="W738" s="397"/>
      <c r="X738" s="397"/>
      <c r="Y738" s="397"/>
      <c r="Z738" s="397"/>
      <c r="AA738" s="397"/>
      <c r="AB738" s="530"/>
      <c r="AC738" s="530"/>
      <c r="AD738" s="530"/>
    </row>
    <row r="739" spans="2:30" x14ac:dyDescent="0.25">
      <c r="B739" s="397"/>
      <c r="C739" s="397"/>
      <c r="D739" s="397"/>
      <c r="E739" s="750"/>
      <c r="F739" s="397"/>
      <c r="G739" s="530"/>
      <c r="H739" s="530"/>
      <c r="I739" s="530"/>
      <c r="J739" s="417"/>
      <c r="K739" s="505"/>
      <c r="L739" s="579"/>
      <c r="M739" s="397"/>
      <c r="N739" s="397"/>
      <c r="O739" s="397"/>
      <c r="P739" s="397"/>
      <c r="Q739" s="397"/>
      <c r="R739" s="397"/>
      <c r="S739" s="397"/>
      <c r="T739" s="397"/>
      <c r="U739" s="397"/>
      <c r="V739" s="397"/>
      <c r="W739" s="397"/>
      <c r="X739" s="397"/>
      <c r="Y739" s="397"/>
      <c r="Z739" s="397"/>
      <c r="AA739" s="397"/>
      <c r="AB739" s="530"/>
      <c r="AC739" s="530"/>
      <c r="AD739" s="530"/>
    </row>
    <row r="740" spans="2:30" x14ac:dyDescent="0.25">
      <c r="B740" s="397"/>
      <c r="C740" s="397"/>
      <c r="D740" s="397"/>
      <c r="E740" s="750"/>
      <c r="F740" s="397"/>
      <c r="G740" s="530"/>
      <c r="H740" s="530"/>
      <c r="I740" s="530"/>
      <c r="J740" s="417"/>
      <c r="K740" s="505"/>
      <c r="L740" s="579"/>
      <c r="M740" s="397"/>
      <c r="N740" s="397"/>
      <c r="O740" s="397"/>
      <c r="P740" s="397"/>
      <c r="Q740" s="397"/>
      <c r="R740" s="397"/>
      <c r="S740" s="397"/>
      <c r="T740" s="397"/>
      <c r="U740" s="397"/>
      <c r="V740" s="397"/>
      <c r="W740" s="397"/>
      <c r="X740" s="397"/>
      <c r="Y740" s="397"/>
      <c r="Z740" s="397"/>
      <c r="AA740" s="397"/>
      <c r="AB740" s="530"/>
      <c r="AC740" s="530"/>
      <c r="AD740" s="530"/>
    </row>
    <row r="741" spans="2:30" x14ac:dyDescent="0.25">
      <c r="B741" s="397"/>
      <c r="C741" s="397"/>
      <c r="D741" s="397"/>
      <c r="E741" s="750"/>
      <c r="F741" s="397"/>
      <c r="G741" s="530"/>
      <c r="H741" s="530"/>
      <c r="I741" s="530"/>
      <c r="J741" s="417"/>
      <c r="K741" s="505"/>
      <c r="L741" s="579"/>
      <c r="M741" s="397"/>
      <c r="N741" s="397"/>
      <c r="O741" s="397"/>
      <c r="P741" s="397"/>
      <c r="Q741" s="397"/>
      <c r="R741" s="397"/>
      <c r="S741" s="397"/>
      <c r="T741" s="397"/>
      <c r="U741" s="397"/>
      <c r="V741" s="397"/>
      <c r="W741" s="397"/>
      <c r="X741" s="397"/>
      <c r="Y741" s="397"/>
      <c r="Z741" s="397"/>
      <c r="AA741" s="397"/>
      <c r="AB741" s="530"/>
      <c r="AC741" s="530"/>
      <c r="AD741" s="530"/>
    </row>
    <row r="742" spans="2:30" x14ac:dyDescent="0.25">
      <c r="B742" s="397"/>
      <c r="C742" s="397"/>
      <c r="D742" s="397"/>
      <c r="E742" s="750"/>
      <c r="F742" s="397"/>
      <c r="G742" s="530"/>
      <c r="H742" s="530"/>
      <c r="I742" s="530"/>
      <c r="J742" s="417"/>
      <c r="K742" s="505"/>
      <c r="L742" s="579"/>
      <c r="M742" s="397"/>
      <c r="N742" s="397"/>
      <c r="O742" s="397"/>
      <c r="P742" s="397"/>
      <c r="Q742" s="397"/>
      <c r="R742" s="397"/>
      <c r="S742" s="397"/>
      <c r="T742" s="397"/>
      <c r="U742" s="397"/>
      <c r="V742" s="397"/>
      <c r="W742" s="397"/>
      <c r="X742" s="397"/>
      <c r="Y742" s="397"/>
      <c r="Z742" s="397"/>
      <c r="AA742" s="397"/>
      <c r="AB742" s="530"/>
      <c r="AC742" s="530"/>
      <c r="AD742" s="530"/>
    </row>
    <row r="743" spans="2:30" x14ac:dyDescent="0.25">
      <c r="B743" s="397"/>
      <c r="C743" s="397"/>
      <c r="D743" s="397"/>
      <c r="E743" s="750"/>
      <c r="F743" s="397"/>
      <c r="G743" s="530"/>
      <c r="H743" s="530"/>
      <c r="I743" s="530"/>
      <c r="J743" s="417"/>
      <c r="K743" s="505"/>
      <c r="L743" s="579"/>
      <c r="M743" s="397"/>
      <c r="N743" s="397"/>
      <c r="O743" s="397"/>
      <c r="P743" s="397"/>
      <c r="Q743" s="397"/>
      <c r="R743" s="397"/>
      <c r="S743" s="397"/>
      <c r="T743" s="397"/>
      <c r="U743" s="397"/>
      <c r="V743" s="397"/>
      <c r="W743" s="397"/>
      <c r="X743" s="397"/>
      <c r="Y743" s="397"/>
      <c r="Z743" s="397"/>
      <c r="AA743" s="397"/>
      <c r="AB743" s="530"/>
      <c r="AC743" s="530"/>
      <c r="AD743" s="530"/>
    </row>
    <row r="744" spans="2:30" x14ac:dyDescent="0.25">
      <c r="B744" s="397"/>
      <c r="C744" s="397"/>
      <c r="D744" s="397"/>
      <c r="E744" s="750"/>
      <c r="F744" s="397"/>
      <c r="G744" s="530"/>
      <c r="H744" s="530"/>
      <c r="I744" s="530"/>
      <c r="J744" s="417"/>
      <c r="K744" s="505"/>
      <c r="L744" s="579"/>
      <c r="M744" s="397"/>
      <c r="N744" s="397"/>
      <c r="O744" s="397"/>
      <c r="P744" s="397"/>
      <c r="Q744" s="397"/>
      <c r="R744" s="397"/>
      <c r="S744" s="397"/>
      <c r="T744" s="397"/>
      <c r="U744" s="397"/>
      <c r="V744" s="397"/>
      <c r="W744" s="397"/>
      <c r="X744" s="397"/>
      <c r="Y744" s="397"/>
      <c r="Z744" s="397"/>
      <c r="AA744" s="397"/>
      <c r="AB744" s="530"/>
      <c r="AC744" s="530"/>
      <c r="AD744" s="530"/>
    </row>
    <row r="745" spans="2:30" x14ac:dyDescent="0.25">
      <c r="B745" s="397"/>
      <c r="C745" s="397"/>
      <c r="D745" s="397"/>
      <c r="E745" s="750"/>
      <c r="F745" s="397"/>
      <c r="G745" s="530"/>
      <c r="H745" s="530"/>
      <c r="I745" s="530"/>
      <c r="J745" s="417"/>
      <c r="K745" s="505"/>
      <c r="L745" s="579"/>
      <c r="M745" s="397"/>
      <c r="N745" s="397"/>
      <c r="O745" s="397"/>
      <c r="P745" s="397"/>
      <c r="Q745" s="397"/>
      <c r="R745" s="397"/>
      <c r="S745" s="397"/>
      <c r="T745" s="397"/>
      <c r="U745" s="397"/>
      <c r="V745" s="397"/>
      <c r="W745" s="397"/>
      <c r="X745" s="397"/>
      <c r="Y745" s="397"/>
      <c r="Z745" s="397"/>
      <c r="AA745" s="397"/>
      <c r="AB745" s="530"/>
      <c r="AC745" s="530"/>
      <c r="AD745" s="530"/>
    </row>
    <row r="746" spans="2:30" x14ac:dyDescent="0.25">
      <c r="B746" s="397"/>
      <c r="C746" s="397"/>
      <c r="D746" s="397"/>
      <c r="E746" s="750"/>
      <c r="F746" s="397"/>
      <c r="G746" s="530"/>
      <c r="H746" s="530"/>
      <c r="I746" s="530"/>
      <c r="J746" s="417"/>
      <c r="K746" s="505"/>
      <c r="L746" s="579"/>
      <c r="M746" s="397"/>
      <c r="N746" s="397"/>
      <c r="O746" s="397"/>
      <c r="P746" s="397"/>
      <c r="Q746" s="397"/>
      <c r="R746" s="397"/>
      <c r="S746" s="397"/>
      <c r="T746" s="397"/>
      <c r="U746" s="397"/>
      <c r="V746" s="397"/>
      <c r="W746" s="397"/>
      <c r="X746" s="397"/>
      <c r="Y746" s="397"/>
      <c r="Z746" s="397"/>
      <c r="AA746" s="397"/>
      <c r="AB746" s="530"/>
      <c r="AC746" s="530"/>
      <c r="AD746" s="530"/>
    </row>
    <row r="747" spans="2:30" x14ac:dyDescent="0.25">
      <c r="B747" s="397"/>
      <c r="C747" s="397"/>
      <c r="D747" s="397"/>
      <c r="E747" s="750"/>
      <c r="F747" s="397"/>
      <c r="G747" s="530"/>
      <c r="H747" s="530"/>
      <c r="I747" s="530"/>
      <c r="J747" s="417"/>
      <c r="K747" s="505"/>
      <c r="L747" s="579"/>
      <c r="M747" s="397"/>
      <c r="N747" s="397"/>
      <c r="O747" s="397"/>
      <c r="P747" s="397"/>
      <c r="Q747" s="397"/>
      <c r="R747" s="397"/>
      <c r="S747" s="397"/>
      <c r="T747" s="397"/>
      <c r="U747" s="397"/>
      <c r="V747" s="397"/>
      <c r="W747" s="397"/>
      <c r="X747" s="397"/>
      <c r="Y747" s="397"/>
      <c r="Z747" s="397"/>
      <c r="AA747" s="397"/>
      <c r="AB747" s="530"/>
      <c r="AC747" s="530"/>
      <c r="AD747" s="530"/>
    </row>
    <row r="748" spans="2:30" x14ac:dyDescent="0.25">
      <c r="B748" s="397"/>
      <c r="C748" s="397"/>
      <c r="D748" s="397"/>
      <c r="E748" s="750"/>
      <c r="F748" s="397"/>
      <c r="G748" s="530"/>
      <c r="H748" s="530"/>
      <c r="I748" s="530"/>
      <c r="J748" s="417"/>
      <c r="K748" s="505"/>
      <c r="L748" s="579"/>
      <c r="M748" s="397"/>
      <c r="N748" s="397"/>
      <c r="O748" s="397"/>
      <c r="P748" s="397"/>
      <c r="Q748" s="397"/>
      <c r="R748" s="397"/>
      <c r="S748" s="397"/>
      <c r="T748" s="397"/>
      <c r="U748" s="397"/>
      <c r="V748" s="397"/>
      <c r="W748" s="397"/>
      <c r="X748" s="397"/>
      <c r="Y748" s="397"/>
      <c r="Z748" s="397"/>
      <c r="AA748" s="397"/>
      <c r="AB748" s="530"/>
      <c r="AC748" s="530"/>
      <c r="AD748" s="530"/>
    </row>
    <row r="749" spans="2:30" x14ac:dyDescent="0.25">
      <c r="B749" s="397"/>
      <c r="C749" s="397"/>
      <c r="D749" s="397"/>
      <c r="E749" s="750"/>
      <c r="F749" s="397"/>
      <c r="G749" s="530"/>
      <c r="H749" s="530"/>
      <c r="I749" s="530"/>
      <c r="J749" s="417"/>
      <c r="K749" s="505"/>
      <c r="L749" s="579"/>
      <c r="M749" s="397"/>
      <c r="N749" s="397"/>
      <c r="O749" s="397"/>
      <c r="P749" s="397"/>
      <c r="Q749" s="397"/>
      <c r="R749" s="397"/>
      <c r="S749" s="397"/>
      <c r="T749" s="397"/>
      <c r="U749" s="397"/>
      <c r="V749" s="397"/>
      <c r="W749" s="397"/>
      <c r="X749" s="397"/>
      <c r="Y749" s="397"/>
      <c r="Z749" s="397"/>
      <c r="AA749" s="397"/>
      <c r="AB749" s="530"/>
      <c r="AC749" s="530"/>
      <c r="AD749" s="530"/>
    </row>
    <row r="750" spans="2:30" x14ac:dyDescent="0.25">
      <c r="B750" s="397"/>
      <c r="C750" s="397"/>
      <c r="D750" s="397"/>
      <c r="E750" s="750"/>
      <c r="F750" s="397"/>
      <c r="G750" s="530"/>
      <c r="H750" s="530"/>
      <c r="I750" s="530"/>
      <c r="J750" s="417"/>
      <c r="K750" s="505"/>
      <c r="L750" s="579"/>
      <c r="M750" s="397"/>
      <c r="N750" s="397"/>
      <c r="O750" s="397"/>
      <c r="P750" s="397"/>
      <c r="Q750" s="397"/>
      <c r="R750" s="397"/>
      <c r="S750" s="397"/>
      <c r="T750" s="397"/>
      <c r="U750" s="397"/>
      <c r="V750" s="397"/>
      <c r="W750" s="397"/>
      <c r="X750" s="397"/>
      <c r="Y750" s="397"/>
      <c r="Z750" s="397"/>
      <c r="AA750" s="397"/>
      <c r="AB750" s="530"/>
      <c r="AC750" s="530"/>
      <c r="AD750" s="530"/>
    </row>
    <row r="751" spans="2:30" x14ac:dyDescent="0.25">
      <c r="B751" s="397"/>
      <c r="C751" s="397"/>
      <c r="D751" s="397"/>
      <c r="E751" s="750"/>
      <c r="F751" s="397"/>
      <c r="G751" s="530"/>
      <c r="H751" s="530"/>
      <c r="I751" s="530"/>
      <c r="J751" s="417"/>
      <c r="K751" s="505"/>
      <c r="L751" s="579"/>
      <c r="M751" s="397"/>
      <c r="N751" s="397"/>
      <c r="O751" s="397"/>
      <c r="P751" s="397"/>
      <c r="Q751" s="397"/>
      <c r="R751" s="397"/>
      <c r="S751" s="397"/>
      <c r="T751" s="397"/>
      <c r="U751" s="397"/>
      <c r="V751" s="397"/>
      <c r="W751" s="397"/>
      <c r="X751" s="397"/>
      <c r="Y751" s="397"/>
      <c r="Z751" s="397"/>
      <c r="AA751" s="397"/>
      <c r="AB751" s="530"/>
      <c r="AC751" s="530"/>
      <c r="AD751" s="530"/>
    </row>
    <row r="752" spans="2:30" x14ac:dyDescent="0.25">
      <c r="B752" s="397"/>
      <c r="C752" s="397"/>
      <c r="D752" s="397"/>
      <c r="E752" s="750"/>
      <c r="F752" s="397"/>
      <c r="G752" s="530"/>
      <c r="H752" s="530"/>
      <c r="I752" s="530"/>
      <c r="J752" s="417"/>
      <c r="K752" s="505"/>
      <c r="L752" s="579"/>
      <c r="M752" s="397"/>
      <c r="N752" s="397"/>
      <c r="O752" s="397"/>
      <c r="P752" s="397"/>
      <c r="Q752" s="397"/>
      <c r="R752" s="397"/>
      <c r="S752" s="397"/>
      <c r="T752" s="397"/>
      <c r="U752" s="397"/>
      <c r="V752" s="397"/>
      <c r="W752" s="397"/>
      <c r="X752" s="397"/>
      <c r="Y752" s="397"/>
      <c r="Z752" s="397"/>
      <c r="AA752" s="397"/>
      <c r="AB752" s="530"/>
      <c r="AC752" s="530"/>
      <c r="AD752" s="530"/>
    </row>
    <row r="753" spans="2:30" x14ac:dyDescent="0.25">
      <c r="B753" s="397"/>
      <c r="C753" s="397"/>
      <c r="D753" s="397"/>
      <c r="E753" s="750"/>
      <c r="F753" s="397"/>
      <c r="G753" s="530"/>
      <c r="H753" s="530"/>
      <c r="I753" s="530"/>
      <c r="J753" s="417"/>
      <c r="K753" s="505"/>
      <c r="L753" s="579"/>
      <c r="M753" s="397"/>
      <c r="N753" s="397"/>
      <c r="O753" s="397"/>
      <c r="P753" s="397"/>
      <c r="Q753" s="397"/>
      <c r="R753" s="397"/>
      <c r="S753" s="397"/>
      <c r="T753" s="397"/>
      <c r="U753" s="397"/>
      <c r="V753" s="397"/>
      <c r="W753" s="397"/>
      <c r="X753" s="397"/>
      <c r="Y753" s="397"/>
      <c r="Z753" s="397"/>
      <c r="AA753" s="397"/>
      <c r="AB753" s="530"/>
      <c r="AC753" s="530"/>
      <c r="AD753" s="530"/>
    </row>
    <row r="754" spans="2:30" x14ac:dyDescent="0.25">
      <c r="B754" s="397"/>
      <c r="C754" s="397"/>
      <c r="D754" s="397"/>
      <c r="E754" s="750"/>
      <c r="F754" s="397"/>
      <c r="G754" s="530"/>
      <c r="H754" s="530"/>
      <c r="I754" s="530"/>
      <c r="J754" s="417"/>
      <c r="K754" s="505"/>
      <c r="L754" s="579"/>
      <c r="M754" s="397"/>
      <c r="N754" s="397"/>
      <c r="O754" s="397"/>
      <c r="P754" s="397"/>
      <c r="Q754" s="397"/>
      <c r="R754" s="397"/>
      <c r="S754" s="397"/>
      <c r="T754" s="397"/>
      <c r="U754" s="397"/>
      <c r="V754" s="397"/>
      <c r="W754" s="397"/>
      <c r="X754" s="397"/>
      <c r="Y754" s="397"/>
      <c r="Z754" s="397"/>
      <c r="AA754" s="397"/>
      <c r="AB754" s="530"/>
      <c r="AC754" s="530"/>
      <c r="AD754" s="530"/>
    </row>
    <row r="755" spans="2:30" x14ac:dyDescent="0.25">
      <c r="B755" s="397"/>
      <c r="C755" s="397"/>
      <c r="D755" s="397"/>
      <c r="E755" s="750"/>
      <c r="F755" s="397"/>
      <c r="G755" s="530"/>
      <c r="H755" s="530"/>
      <c r="I755" s="530"/>
      <c r="J755" s="417"/>
      <c r="K755" s="505"/>
      <c r="L755" s="579"/>
      <c r="M755" s="397"/>
      <c r="N755" s="397"/>
      <c r="O755" s="397"/>
      <c r="P755" s="397"/>
      <c r="Q755" s="397"/>
      <c r="R755" s="397"/>
      <c r="S755" s="397"/>
      <c r="T755" s="397"/>
      <c r="U755" s="397"/>
      <c r="V755" s="397"/>
      <c r="W755" s="397"/>
      <c r="X755" s="397"/>
      <c r="Y755" s="397"/>
      <c r="Z755" s="397"/>
      <c r="AA755" s="397"/>
      <c r="AB755" s="530"/>
      <c r="AC755" s="530"/>
      <c r="AD755" s="530"/>
    </row>
    <row r="756" spans="2:30" x14ac:dyDescent="0.25">
      <c r="B756" s="397"/>
      <c r="C756" s="397"/>
      <c r="D756" s="397"/>
      <c r="E756" s="750"/>
      <c r="F756" s="397"/>
      <c r="G756" s="530"/>
      <c r="H756" s="530"/>
      <c r="I756" s="530"/>
      <c r="J756" s="417"/>
      <c r="K756" s="505"/>
      <c r="L756" s="579"/>
      <c r="M756" s="397"/>
      <c r="N756" s="397"/>
      <c r="O756" s="397"/>
      <c r="P756" s="397"/>
      <c r="Q756" s="397"/>
      <c r="R756" s="397"/>
      <c r="S756" s="397"/>
      <c r="T756" s="397"/>
      <c r="U756" s="397"/>
      <c r="V756" s="397"/>
      <c r="W756" s="397"/>
      <c r="X756" s="397"/>
      <c r="Y756" s="397"/>
      <c r="Z756" s="397"/>
      <c r="AA756" s="397"/>
      <c r="AB756" s="530"/>
      <c r="AC756" s="530"/>
      <c r="AD756" s="530"/>
    </row>
    <row r="757" spans="2:30" x14ac:dyDescent="0.25">
      <c r="B757" s="397"/>
      <c r="C757" s="397"/>
      <c r="D757" s="397"/>
      <c r="E757" s="750"/>
      <c r="F757" s="397"/>
      <c r="G757" s="530"/>
      <c r="H757" s="530"/>
      <c r="I757" s="530"/>
      <c r="J757" s="417"/>
      <c r="K757" s="505"/>
      <c r="L757" s="579"/>
      <c r="M757" s="397"/>
      <c r="N757" s="397"/>
      <c r="O757" s="397"/>
      <c r="P757" s="397"/>
      <c r="Q757" s="397"/>
      <c r="R757" s="397"/>
      <c r="S757" s="397"/>
      <c r="T757" s="397"/>
      <c r="U757" s="397"/>
      <c r="V757" s="397"/>
      <c r="W757" s="397"/>
      <c r="X757" s="397"/>
      <c r="Y757" s="397"/>
      <c r="Z757" s="397"/>
      <c r="AA757" s="397"/>
      <c r="AB757" s="530"/>
      <c r="AC757" s="530"/>
      <c r="AD757" s="530"/>
    </row>
    <row r="758" spans="2:30" x14ac:dyDescent="0.25">
      <c r="B758" s="397"/>
      <c r="C758" s="397"/>
      <c r="D758" s="397"/>
      <c r="E758" s="750"/>
      <c r="F758" s="397"/>
      <c r="G758" s="530"/>
      <c r="H758" s="530"/>
      <c r="I758" s="530"/>
      <c r="J758" s="417"/>
      <c r="K758" s="505"/>
      <c r="L758" s="579"/>
      <c r="M758" s="397"/>
      <c r="N758" s="397"/>
      <c r="O758" s="397"/>
      <c r="P758" s="397"/>
      <c r="Q758" s="397"/>
      <c r="R758" s="397"/>
      <c r="S758" s="397"/>
      <c r="T758" s="397"/>
      <c r="U758" s="397"/>
      <c r="V758" s="397"/>
      <c r="W758" s="397"/>
      <c r="X758" s="397"/>
      <c r="Y758" s="397"/>
      <c r="Z758" s="397"/>
      <c r="AA758" s="397"/>
      <c r="AB758" s="530"/>
      <c r="AC758" s="530"/>
      <c r="AD758" s="530"/>
    </row>
    <row r="759" spans="2:30" x14ac:dyDescent="0.25">
      <c r="B759" s="397"/>
      <c r="C759" s="397"/>
      <c r="D759" s="397"/>
      <c r="E759" s="750"/>
      <c r="F759" s="397"/>
      <c r="G759" s="530"/>
      <c r="H759" s="530"/>
      <c r="I759" s="530"/>
      <c r="J759" s="417"/>
      <c r="K759" s="505"/>
      <c r="L759" s="579"/>
      <c r="M759" s="397"/>
      <c r="N759" s="397"/>
      <c r="O759" s="397"/>
      <c r="P759" s="397"/>
      <c r="Q759" s="397"/>
      <c r="R759" s="397"/>
      <c r="S759" s="397"/>
      <c r="T759" s="397"/>
      <c r="U759" s="397"/>
      <c r="V759" s="397"/>
      <c r="W759" s="397"/>
      <c r="X759" s="397"/>
      <c r="Y759" s="397"/>
      <c r="Z759" s="397"/>
      <c r="AA759" s="397"/>
      <c r="AB759" s="530"/>
      <c r="AC759" s="530"/>
      <c r="AD759" s="530"/>
    </row>
    <row r="760" spans="2:30" x14ac:dyDescent="0.25">
      <c r="B760" s="397"/>
      <c r="C760" s="397"/>
      <c r="D760" s="397"/>
      <c r="E760" s="750"/>
      <c r="F760" s="397"/>
      <c r="G760" s="530"/>
      <c r="H760" s="530"/>
      <c r="I760" s="530"/>
      <c r="J760" s="417"/>
      <c r="K760" s="505"/>
      <c r="L760" s="579"/>
      <c r="M760" s="397"/>
      <c r="N760" s="397"/>
      <c r="O760" s="397"/>
      <c r="P760" s="397"/>
      <c r="Q760" s="397"/>
      <c r="R760" s="397"/>
      <c r="S760" s="397"/>
      <c r="T760" s="397"/>
      <c r="U760" s="397"/>
      <c r="V760" s="397"/>
      <c r="W760" s="397"/>
      <c r="X760" s="397"/>
      <c r="Y760" s="397"/>
      <c r="Z760" s="397"/>
      <c r="AA760" s="397"/>
      <c r="AB760" s="530"/>
      <c r="AC760" s="530"/>
      <c r="AD760" s="530"/>
    </row>
    <row r="761" spans="2:30" x14ac:dyDescent="0.25">
      <c r="B761" s="397"/>
      <c r="C761" s="397"/>
      <c r="D761" s="397"/>
      <c r="E761" s="750"/>
      <c r="F761" s="397"/>
      <c r="G761" s="530"/>
      <c r="H761" s="530"/>
      <c r="I761" s="530"/>
      <c r="J761" s="417"/>
      <c r="K761" s="505"/>
      <c r="L761" s="579"/>
      <c r="M761" s="397"/>
      <c r="N761" s="397"/>
      <c r="O761" s="397"/>
      <c r="P761" s="397"/>
      <c r="Q761" s="397"/>
      <c r="R761" s="397"/>
      <c r="S761" s="397"/>
      <c r="T761" s="397"/>
      <c r="U761" s="397"/>
      <c r="V761" s="397"/>
      <c r="W761" s="397"/>
      <c r="X761" s="397"/>
      <c r="Y761" s="397"/>
      <c r="Z761" s="397"/>
      <c r="AA761" s="397"/>
      <c r="AB761" s="530"/>
      <c r="AC761" s="530"/>
      <c r="AD761" s="530"/>
    </row>
    <row r="762" spans="2:30" x14ac:dyDescent="0.25">
      <c r="B762" s="397"/>
      <c r="C762" s="397"/>
      <c r="D762" s="397"/>
      <c r="E762" s="750"/>
      <c r="F762" s="397"/>
      <c r="G762" s="530"/>
      <c r="H762" s="530"/>
      <c r="I762" s="530"/>
      <c r="J762" s="417"/>
      <c r="K762" s="505"/>
      <c r="L762" s="579"/>
      <c r="M762" s="397"/>
      <c r="N762" s="397"/>
      <c r="O762" s="397"/>
      <c r="P762" s="397"/>
      <c r="Q762" s="397"/>
      <c r="R762" s="397"/>
      <c r="S762" s="397"/>
      <c r="T762" s="397"/>
      <c r="U762" s="397"/>
      <c r="V762" s="397"/>
      <c r="W762" s="397"/>
      <c r="X762" s="397"/>
      <c r="Y762" s="397"/>
      <c r="Z762" s="397"/>
      <c r="AA762" s="397"/>
      <c r="AB762" s="530"/>
      <c r="AC762" s="530"/>
      <c r="AD762" s="530"/>
    </row>
    <row r="763" spans="2:30" x14ac:dyDescent="0.25">
      <c r="B763" s="397"/>
      <c r="C763" s="397"/>
      <c r="D763" s="397"/>
      <c r="E763" s="750"/>
      <c r="F763" s="397"/>
      <c r="G763" s="530"/>
      <c r="H763" s="530"/>
      <c r="I763" s="530"/>
      <c r="J763" s="417"/>
      <c r="K763" s="505"/>
      <c r="L763" s="579"/>
      <c r="M763" s="397"/>
      <c r="N763" s="397"/>
      <c r="O763" s="397"/>
      <c r="P763" s="397"/>
      <c r="Q763" s="397"/>
      <c r="R763" s="397"/>
      <c r="S763" s="397"/>
      <c r="T763" s="397"/>
      <c r="U763" s="397"/>
      <c r="V763" s="397"/>
      <c r="W763" s="397"/>
      <c r="X763" s="397"/>
      <c r="Y763" s="397"/>
      <c r="Z763" s="397"/>
      <c r="AA763" s="397"/>
      <c r="AB763" s="530"/>
      <c r="AC763" s="530"/>
      <c r="AD763" s="530"/>
    </row>
    <row r="764" spans="2:30" x14ac:dyDescent="0.25">
      <c r="B764" s="397"/>
      <c r="C764" s="397"/>
      <c r="D764" s="397"/>
      <c r="E764" s="750"/>
      <c r="F764" s="397"/>
      <c r="G764" s="530"/>
      <c r="H764" s="530"/>
      <c r="I764" s="530"/>
      <c r="J764" s="417"/>
      <c r="K764" s="505"/>
      <c r="L764" s="579"/>
      <c r="M764" s="397"/>
      <c r="N764" s="397"/>
      <c r="O764" s="397"/>
      <c r="P764" s="397"/>
      <c r="Q764" s="397"/>
      <c r="R764" s="397"/>
      <c r="S764" s="397"/>
      <c r="T764" s="397"/>
      <c r="U764" s="397"/>
      <c r="V764" s="397"/>
      <c r="W764" s="397"/>
      <c r="X764" s="397"/>
      <c r="Y764" s="397"/>
      <c r="Z764" s="397"/>
      <c r="AA764" s="397"/>
      <c r="AB764" s="530"/>
      <c r="AC764" s="530"/>
      <c r="AD764" s="530"/>
    </row>
    <row r="765" spans="2:30" x14ac:dyDescent="0.25">
      <c r="B765" s="397"/>
      <c r="C765" s="397"/>
      <c r="D765" s="397"/>
      <c r="E765" s="750"/>
      <c r="F765" s="397"/>
      <c r="G765" s="530"/>
      <c r="H765" s="530"/>
      <c r="I765" s="530"/>
      <c r="J765" s="417"/>
      <c r="K765" s="505"/>
      <c r="L765" s="579"/>
      <c r="M765" s="397"/>
      <c r="N765" s="397"/>
      <c r="O765" s="397"/>
      <c r="P765" s="397"/>
      <c r="Q765" s="397"/>
      <c r="R765" s="397"/>
      <c r="S765" s="397"/>
      <c r="T765" s="397"/>
      <c r="U765" s="397"/>
      <c r="V765" s="397"/>
      <c r="W765" s="397"/>
      <c r="X765" s="397"/>
      <c r="Y765" s="397"/>
      <c r="Z765" s="397"/>
      <c r="AA765" s="397"/>
      <c r="AB765" s="530"/>
      <c r="AC765" s="530"/>
      <c r="AD765" s="530"/>
    </row>
    <row r="766" spans="2:30" x14ac:dyDescent="0.25">
      <c r="B766" s="397"/>
      <c r="C766" s="397"/>
      <c r="D766" s="397"/>
      <c r="E766" s="750"/>
      <c r="F766" s="397"/>
      <c r="G766" s="530"/>
      <c r="H766" s="530"/>
      <c r="I766" s="530"/>
      <c r="J766" s="417"/>
      <c r="K766" s="505"/>
      <c r="L766" s="579"/>
      <c r="M766" s="397"/>
      <c r="N766" s="397"/>
      <c r="O766" s="397"/>
      <c r="P766" s="397"/>
      <c r="Q766" s="397"/>
      <c r="R766" s="397"/>
      <c r="S766" s="397"/>
      <c r="T766" s="397"/>
      <c r="U766" s="397"/>
      <c r="V766" s="397"/>
      <c r="W766" s="397"/>
      <c r="X766" s="397"/>
      <c r="Y766" s="397"/>
      <c r="Z766" s="397"/>
      <c r="AA766" s="397"/>
      <c r="AB766" s="530"/>
      <c r="AC766" s="530"/>
      <c r="AD766" s="530"/>
    </row>
    <row r="767" spans="2:30" x14ac:dyDescent="0.25">
      <c r="B767" s="397"/>
      <c r="C767" s="397"/>
      <c r="D767" s="397"/>
      <c r="E767" s="750"/>
      <c r="F767" s="397"/>
      <c r="G767" s="530"/>
      <c r="H767" s="530"/>
      <c r="I767" s="530"/>
      <c r="J767" s="417"/>
      <c r="K767" s="505"/>
      <c r="L767" s="579"/>
      <c r="M767" s="397"/>
      <c r="N767" s="397"/>
      <c r="O767" s="397"/>
      <c r="P767" s="397"/>
      <c r="Q767" s="397"/>
      <c r="R767" s="397"/>
      <c r="S767" s="397"/>
      <c r="T767" s="397"/>
      <c r="U767" s="397"/>
      <c r="V767" s="397"/>
      <c r="W767" s="397"/>
      <c r="X767" s="397"/>
      <c r="Y767" s="397"/>
      <c r="Z767" s="397"/>
      <c r="AA767" s="397"/>
      <c r="AB767" s="530"/>
      <c r="AC767" s="530"/>
      <c r="AD767" s="530"/>
    </row>
    <row r="768" spans="2:30" x14ac:dyDescent="0.25">
      <c r="B768" s="397"/>
      <c r="C768" s="397"/>
      <c r="D768" s="397"/>
      <c r="E768" s="750"/>
      <c r="F768" s="397"/>
      <c r="G768" s="530"/>
      <c r="H768" s="530"/>
      <c r="I768" s="530"/>
      <c r="J768" s="417"/>
      <c r="K768" s="505"/>
      <c r="L768" s="579"/>
      <c r="M768" s="397"/>
      <c r="N768" s="397"/>
      <c r="O768" s="397"/>
      <c r="P768" s="397"/>
      <c r="Q768" s="397"/>
      <c r="R768" s="397"/>
      <c r="S768" s="397"/>
      <c r="T768" s="397"/>
      <c r="U768" s="397"/>
      <c r="V768" s="397"/>
      <c r="W768" s="397"/>
      <c r="X768" s="397"/>
      <c r="Y768" s="397"/>
      <c r="Z768" s="397"/>
      <c r="AA768" s="397"/>
      <c r="AB768" s="530"/>
      <c r="AC768" s="530"/>
      <c r="AD768" s="530"/>
    </row>
    <row r="769" spans="2:30" x14ac:dyDescent="0.25">
      <c r="B769" s="397"/>
      <c r="C769" s="397"/>
      <c r="D769" s="397"/>
      <c r="E769" s="750"/>
      <c r="F769" s="397"/>
      <c r="G769" s="530"/>
      <c r="H769" s="530"/>
      <c r="I769" s="530"/>
      <c r="J769" s="417"/>
      <c r="K769" s="505"/>
      <c r="L769" s="579"/>
      <c r="M769" s="397"/>
      <c r="N769" s="397"/>
      <c r="O769" s="397"/>
      <c r="P769" s="397"/>
      <c r="Q769" s="397"/>
      <c r="R769" s="397"/>
      <c r="S769" s="397"/>
      <c r="T769" s="397"/>
      <c r="U769" s="397"/>
      <c r="V769" s="397"/>
      <c r="W769" s="397"/>
      <c r="X769" s="397"/>
      <c r="Y769" s="397"/>
      <c r="Z769" s="397"/>
      <c r="AA769" s="397"/>
      <c r="AB769" s="530"/>
      <c r="AC769" s="530"/>
      <c r="AD769" s="530"/>
    </row>
    <row r="770" spans="2:30" x14ac:dyDescent="0.25">
      <c r="B770" s="397"/>
      <c r="C770" s="397"/>
      <c r="D770" s="397"/>
      <c r="E770" s="750"/>
      <c r="F770" s="397"/>
      <c r="G770" s="530"/>
      <c r="H770" s="530"/>
      <c r="I770" s="530"/>
      <c r="J770" s="417"/>
      <c r="K770" s="505"/>
      <c r="L770" s="579"/>
      <c r="M770" s="397"/>
      <c r="N770" s="397"/>
      <c r="O770" s="397"/>
      <c r="P770" s="397"/>
      <c r="Q770" s="397"/>
      <c r="R770" s="397"/>
      <c r="S770" s="397"/>
      <c r="T770" s="397"/>
      <c r="U770" s="397"/>
      <c r="V770" s="397"/>
      <c r="W770" s="397"/>
      <c r="X770" s="397"/>
      <c r="Y770" s="397"/>
      <c r="Z770" s="397"/>
      <c r="AA770" s="397"/>
      <c r="AB770" s="530"/>
      <c r="AC770" s="530"/>
      <c r="AD770" s="530"/>
    </row>
    <row r="771" spans="2:30" x14ac:dyDescent="0.25">
      <c r="B771" s="397"/>
      <c r="C771" s="397"/>
      <c r="D771" s="397"/>
      <c r="E771" s="750"/>
      <c r="F771" s="397"/>
      <c r="G771" s="530"/>
      <c r="H771" s="530"/>
      <c r="I771" s="530"/>
      <c r="J771" s="417"/>
      <c r="K771" s="505"/>
      <c r="L771" s="579"/>
      <c r="M771" s="397"/>
      <c r="N771" s="397"/>
      <c r="O771" s="397"/>
      <c r="P771" s="397"/>
      <c r="Q771" s="397"/>
      <c r="R771" s="397"/>
      <c r="S771" s="397"/>
      <c r="T771" s="397"/>
      <c r="U771" s="397"/>
      <c r="V771" s="397"/>
      <c r="W771" s="397"/>
      <c r="X771" s="397"/>
      <c r="Y771" s="397"/>
      <c r="Z771" s="397"/>
      <c r="AA771" s="397"/>
      <c r="AB771" s="530"/>
      <c r="AC771" s="530"/>
      <c r="AD771" s="530"/>
    </row>
    <row r="772" spans="2:30" x14ac:dyDescent="0.25">
      <c r="B772" s="397"/>
      <c r="C772" s="397"/>
      <c r="D772" s="397"/>
      <c r="E772" s="750"/>
      <c r="F772" s="397"/>
      <c r="G772" s="530"/>
      <c r="H772" s="530"/>
      <c r="I772" s="530"/>
      <c r="J772" s="417"/>
      <c r="K772" s="505"/>
      <c r="L772" s="579"/>
      <c r="M772" s="397"/>
      <c r="N772" s="397"/>
      <c r="O772" s="397"/>
      <c r="P772" s="397"/>
      <c r="Q772" s="397"/>
      <c r="R772" s="397"/>
      <c r="S772" s="397"/>
      <c r="T772" s="397"/>
      <c r="U772" s="397"/>
      <c r="V772" s="397"/>
      <c r="W772" s="397"/>
      <c r="X772" s="397"/>
      <c r="Y772" s="397"/>
      <c r="Z772" s="397"/>
      <c r="AA772" s="397"/>
      <c r="AB772" s="530"/>
      <c r="AC772" s="530"/>
      <c r="AD772" s="530"/>
    </row>
    <row r="773" spans="2:30" x14ac:dyDescent="0.25">
      <c r="B773" s="397"/>
      <c r="C773" s="397"/>
      <c r="D773" s="397"/>
      <c r="E773" s="750"/>
      <c r="F773" s="397"/>
      <c r="G773" s="530"/>
      <c r="H773" s="530"/>
      <c r="I773" s="530"/>
      <c r="J773" s="417"/>
      <c r="K773" s="505"/>
      <c r="L773" s="579"/>
      <c r="M773" s="397"/>
      <c r="N773" s="397"/>
      <c r="O773" s="397"/>
      <c r="P773" s="397"/>
      <c r="Q773" s="397"/>
      <c r="R773" s="397"/>
      <c r="S773" s="397"/>
      <c r="T773" s="397"/>
      <c r="U773" s="397"/>
      <c r="V773" s="397"/>
      <c r="W773" s="397"/>
      <c r="X773" s="397"/>
      <c r="Y773" s="397"/>
      <c r="Z773" s="397"/>
      <c r="AA773" s="397"/>
      <c r="AB773" s="530"/>
      <c r="AC773" s="530"/>
      <c r="AD773" s="530"/>
    </row>
    <row r="774" spans="2:30" x14ac:dyDescent="0.25">
      <c r="B774" s="397"/>
      <c r="C774" s="397"/>
      <c r="D774" s="397"/>
      <c r="E774" s="750"/>
      <c r="F774" s="397"/>
      <c r="G774" s="530"/>
      <c r="H774" s="530"/>
      <c r="I774" s="530"/>
      <c r="J774" s="417"/>
      <c r="K774" s="505"/>
      <c r="L774" s="579"/>
      <c r="M774" s="397"/>
      <c r="N774" s="397"/>
      <c r="O774" s="397"/>
      <c r="P774" s="397"/>
      <c r="Q774" s="397"/>
      <c r="R774" s="397"/>
      <c r="S774" s="397"/>
      <c r="T774" s="397"/>
      <c r="U774" s="397"/>
      <c r="V774" s="397"/>
      <c r="W774" s="397"/>
      <c r="X774" s="397"/>
      <c r="Y774" s="397"/>
      <c r="Z774" s="397"/>
      <c r="AA774" s="397"/>
      <c r="AB774" s="530"/>
      <c r="AC774" s="530"/>
      <c r="AD774" s="530"/>
    </row>
    <row r="775" spans="2:30" x14ac:dyDescent="0.25">
      <c r="B775" s="397"/>
      <c r="C775" s="397"/>
      <c r="D775" s="397"/>
      <c r="E775" s="750"/>
      <c r="F775" s="397"/>
      <c r="G775" s="530"/>
      <c r="H775" s="530"/>
      <c r="I775" s="530"/>
      <c r="J775" s="417"/>
      <c r="K775" s="505"/>
      <c r="L775" s="579"/>
      <c r="M775" s="397"/>
      <c r="N775" s="397"/>
      <c r="O775" s="397"/>
      <c r="P775" s="397"/>
      <c r="Q775" s="397"/>
      <c r="R775" s="397"/>
      <c r="S775" s="397"/>
      <c r="T775" s="397"/>
      <c r="U775" s="397"/>
      <c r="V775" s="397"/>
      <c r="W775" s="397"/>
      <c r="X775" s="397"/>
      <c r="Y775" s="397"/>
      <c r="Z775" s="397"/>
      <c r="AA775" s="397"/>
      <c r="AB775" s="530"/>
      <c r="AC775" s="530"/>
      <c r="AD775" s="530"/>
    </row>
    <row r="776" spans="2:30" x14ac:dyDescent="0.25">
      <c r="B776" s="397"/>
      <c r="C776" s="397"/>
      <c r="D776" s="397"/>
      <c r="E776" s="750"/>
      <c r="F776" s="397"/>
      <c r="G776" s="530"/>
      <c r="H776" s="530"/>
      <c r="I776" s="530"/>
      <c r="J776" s="417"/>
      <c r="K776" s="505"/>
      <c r="L776" s="579"/>
      <c r="M776" s="397"/>
      <c r="N776" s="397"/>
      <c r="O776" s="397"/>
      <c r="P776" s="397"/>
      <c r="Q776" s="397"/>
      <c r="R776" s="397"/>
      <c r="S776" s="397"/>
      <c r="T776" s="397"/>
      <c r="U776" s="397"/>
      <c r="V776" s="397"/>
      <c r="W776" s="397"/>
      <c r="X776" s="397"/>
      <c r="Y776" s="397"/>
      <c r="Z776" s="397"/>
      <c r="AA776" s="397"/>
      <c r="AB776" s="530"/>
      <c r="AC776" s="530"/>
      <c r="AD776" s="530"/>
    </row>
    <row r="777" spans="2:30" x14ac:dyDescent="0.25">
      <c r="B777" s="397"/>
      <c r="C777" s="397"/>
      <c r="D777" s="397"/>
      <c r="E777" s="750"/>
      <c r="F777" s="397"/>
      <c r="G777" s="530"/>
      <c r="H777" s="530"/>
      <c r="I777" s="530"/>
      <c r="J777" s="417"/>
      <c r="K777" s="505"/>
      <c r="L777" s="579"/>
      <c r="M777" s="397"/>
      <c r="N777" s="397"/>
      <c r="O777" s="397"/>
      <c r="P777" s="397"/>
      <c r="Q777" s="397"/>
      <c r="R777" s="397"/>
      <c r="S777" s="397"/>
      <c r="T777" s="397"/>
      <c r="U777" s="397"/>
      <c r="V777" s="397"/>
      <c r="W777" s="397"/>
      <c r="X777" s="397"/>
      <c r="Y777" s="397"/>
      <c r="Z777" s="397"/>
      <c r="AA777" s="397"/>
      <c r="AB777" s="530"/>
      <c r="AC777" s="530"/>
      <c r="AD777" s="530"/>
    </row>
    <row r="778" spans="2:30" x14ac:dyDescent="0.25">
      <c r="B778" s="397"/>
      <c r="C778" s="397"/>
      <c r="D778" s="397"/>
      <c r="E778" s="750"/>
      <c r="F778" s="397"/>
      <c r="G778" s="530"/>
      <c r="H778" s="530"/>
      <c r="I778" s="530"/>
      <c r="J778" s="417"/>
      <c r="K778" s="505"/>
      <c r="L778" s="579"/>
      <c r="M778" s="397"/>
      <c r="N778" s="397"/>
      <c r="O778" s="397"/>
      <c r="P778" s="397"/>
      <c r="Q778" s="397"/>
      <c r="R778" s="397"/>
      <c r="S778" s="397"/>
      <c r="T778" s="397"/>
      <c r="U778" s="397"/>
      <c r="V778" s="397"/>
      <c r="W778" s="397"/>
      <c r="X778" s="397"/>
      <c r="Y778" s="397"/>
      <c r="Z778" s="397"/>
      <c r="AA778" s="397"/>
      <c r="AB778" s="530"/>
      <c r="AC778" s="530"/>
      <c r="AD778" s="530"/>
    </row>
    <row r="779" spans="2:30" x14ac:dyDescent="0.25">
      <c r="B779" s="397"/>
      <c r="C779" s="397"/>
      <c r="D779" s="397"/>
      <c r="E779" s="750"/>
      <c r="F779" s="397"/>
      <c r="G779" s="530"/>
      <c r="H779" s="530"/>
      <c r="I779" s="530"/>
      <c r="J779" s="417"/>
      <c r="K779" s="505"/>
      <c r="L779" s="579"/>
      <c r="M779" s="397"/>
      <c r="N779" s="397"/>
      <c r="O779" s="397"/>
      <c r="P779" s="397"/>
      <c r="Q779" s="397"/>
      <c r="R779" s="397"/>
      <c r="S779" s="397"/>
      <c r="T779" s="397"/>
      <c r="U779" s="397"/>
      <c r="V779" s="397"/>
      <c r="W779" s="397"/>
      <c r="X779" s="397"/>
      <c r="Y779" s="397"/>
      <c r="Z779" s="397"/>
      <c r="AA779" s="397"/>
      <c r="AB779" s="530"/>
      <c r="AC779" s="530"/>
      <c r="AD779" s="530"/>
    </row>
    <row r="780" spans="2:30" x14ac:dyDescent="0.25">
      <c r="B780" s="397"/>
      <c r="C780" s="397"/>
      <c r="D780" s="397"/>
      <c r="E780" s="750"/>
      <c r="F780" s="397"/>
      <c r="G780" s="530"/>
      <c r="H780" s="530"/>
      <c r="I780" s="530"/>
      <c r="J780" s="417"/>
      <c r="K780" s="505"/>
      <c r="L780" s="579"/>
      <c r="M780" s="397"/>
      <c r="N780" s="397"/>
      <c r="O780" s="397"/>
      <c r="P780" s="397"/>
      <c r="Q780" s="397"/>
      <c r="R780" s="397"/>
      <c r="S780" s="397"/>
      <c r="T780" s="397"/>
      <c r="U780" s="397"/>
      <c r="V780" s="397"/>
      <c r="W780" s="397"/>
      <c r="X780" s="397"/>
      <c r="Y780" s="397"/>
      <c r="Z780" s="397"/>
      <c r="AA780" s="397"/>
      <c r="AB780" s="530"/>
      <c r="AC780" s="530"/>
      <c r="AD780" s="530"/>
    </row>
    <row r="781" spans="2:30" x14ac:dyDescent="0.25">
      <c r="B781" s="397"/>
      <c r="C781" s="397"/>
      <c r="D781" s="397"/>
      <c r="E781" s="750"/>
      <c r="F781" s="397"/>
      <c r="G781" s="530"/>
      <c r="H781" s="530"/>
      <c r="I781" s="530"/>
      <c r="J781" s="417"/>
      <c r="K781" s="505"/>
      <c r="L781" s="579"/>
      <c r="M781" s="397"/>
      <c r="N781" s="397"/>
      <c r="O781" s="397"/>
      <c r="P781" s="397"/>
      <c r="Q781" s="397"/>
      <c r="R781" s="397"/>
      <c r="S781" s="397"/>
      <c r="T781" s="397"/>
      <c r="U781" s="397"/>
      <c r="V781" s="397"/>
      <c r="W781" s="397"/>
      <c r="X781" s="397"/>
      <c r="Y781" s="397"/>
      <c r="Z781" s="397"/>
      <c r="AA781" s="397"/>
      <c r="AB781" s="530"/>
      <c r="AC781" s="530"/>
      <c r="AD781" s="530"/>
    </row>
    <row r="782" spans="2:30" x14ac:dyDescent="0.25">
      <c r="B782" s="397"/>
      <c r="C782" s="397"/>
      <c r="D782" s="397"/>
      <c r="E782" s="750"/>
      <c r="F782" s="397"/>
      <c r="G782" s="530"/>
      <c r="H782" s="530"/>
      <c r="I782" s="530"/>
      <c r="J782" s="417"/>
      <c r="K782" s="505"/>
      <c r="L782" s="579"/>
      <c r="M782" s="397"/>
      <c r="N782" s="397"/>
      <c r="O782" s="397"/>
      <c r="P782" s="397"/>
      <c r="Q782" s="397"/>
      <c r="R782" s="397"/>
      <c r="S782" s="397"/>
      <c r="T782" s="397"/>
      <c r="U782" s="397"/>
      <c r="V782" s="397"/>
      <c r="W782" s="397"/>
      <c r="X782" s="397"/>
      <c r="Y782" s="397"/>
      <c r="Z782" s="397"/>
      <c r="AA782" s="397"/>
      <c r="AB782" s="530"/>
      <c r="AC782" s="530"/>
      <c r="AD782" s="530"/>
    </row>
    <row r="783" spans="2:30" x14ac:dyDescent="0.25">
      <c r="B783" s="397"/>
      <c r="C783" s="397"/>
      <c r="D783" s="397"/>
      <c r="E783" s="750"/>
      <c r="F783" s="397"/>
      <c r="G783" s="530"/>
      <c r="H783" s="530"/>
      <c r="I783" s="530"/>
      <c r="J783" s="417"/>
      <c r="K783" s="505"/>
      <c r="L783" s="579"/>
      <c r="M783" s="397"/>
      <c r="N783" s="397"/>
      <c r="O783" s="397"/>
      <c r="P783" s="397"/>
      <c r="Q783" s="397"/>
      <c r="R783" s="397"/>
      <c r="S783" s="397"/>
      <c r="T783" s="397"/>
      <c r="U783" s="397"/>
      <c r="V783" s="397"/>
      <c r="W783" s="397"/>
      <c r="X783" s="397"/>
      <c r="Y783" s="397"/>
      <c r="Z783" s="397"/>
      <c r="AA783" s="397"/>
      <c r="AB783" s="530"/>
      <c r="AC783" s="530"/>
      <c r="AD783" s="530"/>
    </row>
    <row r="784" spans="2:30" x14ac:dyDescent="0.25">
      <c r="B784" s="397"/>
      <c r="C784" s="397"/>
      <c r="D784" s="397"/>
      <c r="E784" s="750"/>
      <c r="F784" s="397"/>
      <c r="G784" s="530"/>
      <c r="H784" s="530"/>
      <c r="I784" s="530"/>
      <c r="J784" s="417"/>
      <c r="K784" s="505"/>
      <c r="L784" s="579"/>
      <c r="M784" s="397"/>
      <c r="N784" s="397"/>
      <c r="O784" s="397"/>
      <c r="P784" s="397"/>
      <c r="Q784" s="397"/>
      <c r="R784" s="397"/>
      <c r="S784" s="397"/>
      <c r="T784" s="397"/>
      <c r="U784" s="397"/>
      <c r="V784" s="397"/>
      <c r="W784" s="397"/>
      <c r="X784" s="397"/>
      <c r="Y784" s="397"/>
      <c r="Z784" s="397"/>
      <c r="AA784" s="397"/>
      <c r="AB784" s="530"/>
      <c r="AC784" s="530"/>
      <c r="AD784" s="530"/>
    </row>
    <row r="785" spans="2:30" x14ac:dyDescent="0.25">
      <c r="B785" s="397"/>
      <c r="C785" s="397"/>
      <c r="D785" s="397"/>
      <c r="E785" s="750"/>
      <c r="F785" s="397"/>
      <c r="G785" s="530"/>
      <c r="H785" s="530"/>
      <c r="I785" s="530"/>
      <c r="J785" s="417"/>
      <c r="K785" s="505"/>
      <c r="L785" s="579"/>
      <c r="M785" s="397"/>
      <c r="N785" s="397"/>
      <c r="O785" s="397"/>
      <c r="P785" s="397"/>
      <c r="Q785" s="397"/>
      <c r="R785" s="397"/>
      <c r="S785" s="397"/>
      <c r="T785" s="397"/>
      <c r="U785" s="397"/>
      <c r="V785" s="397"/>
      <c r="W785" s="397"/>
      <c r="X785" s="397"/>
      <c r="Y785" s="397"/>
      <c r="Z785" s="397"/>
      <c r="AA785" s="397"/>
      <c r="AB785" s="530"/>
      <c r="AC785" s="530"/>
      <c r="AD785" s="530"/>
    </row>
    <row r="786" spans="2:30" x14ac:dyDescent="0.25">
      <c r="B786" s="397"/>
      <c r="C786" s="397"/>
      <c r="D786" s="397"/>
      <c r="E786" s="750"/>
      <c r="F786" s="397"/>
      <c r="G786" s="530"/>
      <c r="H786" s="530"/>
      <c r="I786" s="530"/>
      <c r="J786" s="417"/>
      <c r="K786" s="505"/>
      <c r="L786" s="579"/>
      <c r="M786" s="397"/>
      <c r="N786" s="397"/>
      <c r="O786" s="397"/>
      <c r="P786" s="397"/>
      <c r="Q786" s="397"/>
      <c r="R786" s="397"/>
      <c r="S786" s="397"/>
      <c r="T786" s="397"/>
      <c r="U786" s="397"/>
      <c r="V786" s="397"/>
      <c r="W786" s="397"/>
      <c r="X786" s="397"/>
      <c r="Y786" s="397"/>
      <c r="Z786" s="397"/>
      <c r="AA786" s="397"/>
      <c r="AB786" s="530"/>
      <c r="AC786" s="530"/>
      <c r="AD786" s="530"/>
    </row>
    <row r="787" spans="2:30" x14ac:dyDescent="0.25">
      <c r="B787" s="397"/>
      <c r="C787" s="397"/>
      <c r="D787" s="397"/>
      <c r="E787" s="750"/>
      <c r="F787" s="397"/>
      <c r="G787" s="530"/>
      <c r="H787" s="530"/>
      <c r="I787" s="530"/>
      <c r="J787" s="417"/>
      <c r="K787" s="505"/>
      <c r="L787" s="579"/>
      <c r="M787" s="397"/>
      <c r="N787" s="397"/>
      <c r="O787" s="397"/>
      <c r="P787" s="397"/>
      <c r="Q787" s="397"/>
      <c r="R787" s="397"/>
      <c r="S787" s="397"/>
      <c r="T787" s="397"/>
      <c r="U787" s="397"/>
      <c r="V787" s="397"/>
      <c r="W787" s="397"/>
      <c r="X787" s="397"/>
      <c r="Y787" s="397"/>
      <c r="Z787" s="397"/>
      <c r="AA787" s="397"/>
      <c r="AB787" s="530"/>
      <c r="AC787" s="530"/>
      <c r="AD787" s="530"/>
    </row>
    <row r="788" spans="2:30" x14ac:dyDescent="0.25">
      <c r="B788" s="397"/>
      <c r="C788" s="397"/>
      <c r="D788" s="397"/>
      <c r="E788" s="750"/>
      <c r="F788" s="397"/>
      <c r="G788" s="530"/>
      <c r="H788" s="530"/>
      <c r="I788" s="530"/>
      <c r="J788" s="417"/>
      <c r="K788" s="505"/>
      <c r="L788" s="579"/>
      <c r="M788" s="397"/>
      <c r="N788" s="397"/>
      <c r="O788" s="397"/>
      <c r="P788" s="397"/>
      <c r="Q788" s="397"/>
      <c r="R788" s="397"/>
      <c r="S788" s="397"/>
      <c r="T788" s="397"/>
      <c r="U788" s="397"/>
      <c r="V788" s="397"/>
      <c r="W788" s="397"/>
      <c r="X788" s="397"/>
      <c r="Y788" s="397"/>
      <c r="Z788" s="397"/>
      <c r="AA788" s="397"/>
      <c r="AB788" s="530"/>
      <c r="AC788" s="530"/>
      <c r="AD788" s="530"/>
    </row>
    <row r="789" spans="2:30" x14ac:dyDescent="0.25">
      <c r="B789" s="397"/>
      <c r="C789" s="397"/>
      <c r="D789" s="397"/>
      <c r="E789" s="750"/>
      <c r="F789" s="397"/>
      <c r="G789" s="530"/>
      <c r="H789" s="530"/>
      <c r="I789" s="530"/>
      <c r="J789" s="417"/>
      <c r="K789" s="505"/>
      <c r="L789" s="579"/>
      <c r="M789" s="397"/>
      <c r="N789" s="397"/>
      <c r="O789" s="397"/>
      <c r="P789" s="397"/>
      <c r="Q789" s="397"/>
      <c r="R789" s="397"/>
      <c r="S789" s="397"/>
      <c r="T789" s="397"/>
      <c r="U789" s="397"/>
      <c r="V789" s="397"/>
      <c r="W789" s="397"/>
      <c r="X789" s="397"/>
      <c r="Y789" s="397"/>
      <c r="Z789" s="397"/>
      <c r="AA789" s="397"/>
      <c r="AB789" s="530"/>
      <c r="AC789" s="530"/>
      <c r="AD789" s="530"/>
    </row>
    <row r="790" spans="2:30" x14ac:dyDescent="0.25">
      <c r="B790" s="397"/>
      <c r="C790" s="397"/>
      <c r="D790" s="397"/>
      <c r="E790" s="750"/>
      <c r="F790" s="397"/>
      <c r="G790" s="530"/>
      <c r="H790" s="530"/>
      <c r="I790" s="530"/>
      <c r="J790" s="417"/>
      <c r="K790" s="505"/>
      <c r="L790" s="579"/>
      <c r="M790" s="397"/>
      <c r="N790" s="397"/>
      <c r="O790" s="397"/>
      <c r="P790" s="397"/>
      <c r="Q790" s="397"/>
      <c r="R790" s="397"/>
      <c r="S790" s="397"/>
      <c r="T790" s="397"/>
      <c r="U790" s="397"/>
      <c r="V790" s="397"/>
      <c r="W790" s="397"/>
      <c r="X790" s="397"/>
      <c r="Y790" s="397"/>
      <c r="Z790" s="397"/>
      <c r="AA790" s="397"/>
      <c r="AB790" s="530"/>
      <c r="AC790" s="530"/>
      <c r="AD790" s="530"/>
    </row>
    <row r="791" spans="2:30" x14ac:dyDescent="0.25">
      <c r="B791" s="397"/>
      <c r="C791" s="397"/>
      <c r="D791" s="397"/>
      <c r="E791" s="750"/>
      <c r="F791" s="397"/>
      <c r="G791" s="530"/>
      <c r="H791" s="530"/>
      <c r="I791" s="530"/>
      <c r="J791" s="417"/>
      <c r="K791" s="505"/>
      <c r="L791" s="579"/>
      <c r="M791" s="397"/>
      <c r="N791" s="397"/>
      <c r="O791" s="397"/>
      <c r="P791" s="397"/>
      <c r="Q791" s="397"/>
      <c r="R791" s="397"/>
      <c r="S791" s="397"/>
      <c r="T791" s="397"/>
      <c r="U791" s="397"/>
      <c r="V791" s="397"/>
      <c r="W791" s="397"/>
      <c r="X791" s="397"/>
      <c r="Y791" s="397"/>
      <c r="Z791" s="397"/>
      <c r="AA791" s="397"/>
      <c r="AB791" s="530"/>
      <c r="AC791" s="530"/>
      <c r="AD791" s="530"/>
    </row>
    <row r="792" spans="2:30" x14ac:dyDescent="0.25">
      <c r="B792" s="397"/>
      <c r="C792" s="397"/>
      <c r="D792" s="397"/>
      <c r="E792" s="750"/>
      <c r="F792" s="397"/>
      <c r="G792" s="530"/>
      <c r="H792" s="530"/>
      <c r="I792" s="530"/>
      <c r="J792" s="417"/>
      <c r="K792" s="505"/>
      <c r="L792" s="579"/>
      <c r="M792" s="397"/>
      <c r="N792" s="397"/>
      <c r="O792" s="397"/>
      <c r="P792" s="397"/>
      <c r="Q792" s="397"/>
      <c r="R792" s="397"/>
      <c r="S792" s="397"/>
      <c r="T792" s="397"/>
      <c r="U792" s="397"/>
      <c r="V792" s="397"/>
      <c r="W792" s="397"/>
      <c r="X792" s="397"/>
      <c r="Y792" s="397"/>
      <c r="Z792" s="397"/>
      <c r="AA792" s="397"/>
      <c r="AB792" s="530"/>
      <c r="AC792" s="530"/>
      <c r="AD792" s="530"/>
    </row>
    <row r="793" spans="2:30" x14ac:dyDescent="0.25">
      <c r="B793" s="397"/>
      <c r="C793" s="397"/>
      <c r="D793" s="397"/>
      <c r="E793" s="750"/>
      <c r="F793" s="397"/>
      <c r="G793" s="530"/>
      <c r="H793" s="530"/>
      <c r="I793" s="530"/>
      <c r="J793" s="417"/>
      <c r="K793" s="505"/>
      <c r="L793" s="579"/>
      <c r="M793" s="397"/>
      <c r="N793" s="397"/>
      <c r="O793" s="397"/>
      <c r="P793" s="397"/>
      <c r="Q793" s="397"/>
      <c r="R793" s="397"/>
      <c r="S793" s="397"/>
      <c r="T793" s="397"/>
      <c r="U793" s="397"/>
      <c r="V793" s="397"/>
      <c r="W793" s="397"/>
      <c r="X793" s="397"/>
      <c r="Y793" s="397"/>
      <c r="Z793" s="397"/>
      <c r="AA793" s="397"/>
      <c r="AB793" s="530"/>
      <c r="AC793" s="530"/>
      <c r="AD793" s="530"/>
    </row>
    <row r="794" spans="2:30" x14ac:dyDescent="0.25">
      <c r="B794" s="397"/>
      <c r="C794" s="397"/>
      <c r="D794" s="397"/>
      <c r="E794" s="750"/>
      <c r="F794" s="397"/>
      <c r="G794" s="530"/>
      <c r="H794" s="530"/>
      <c r="I794" s="530"/>
      <c r="J794" s="417"/>
      <c r="K794" s="505"/>
      <c r="L794" s="579"/>
      <c r="M794" s="397"/>
      <c r="N794" s="397"/>
      <c r="O794" s="397"/>
      <c r="P794" s="397"/>
      <c r="Q794" s="397"/>
      <c r="R794" s="397"/>
      <c r="S794" s="397"/>
      <c r="T794" s="397"/>
      <c r="U794" s="397"/>
      <c r="V794" s="397"/>
      <c r="W794" s="397"/>
      <c r="X794" s="397"/>
      <c r="Y794" s="397"/>
      <c r="Z794" s="397"/>
      <c r="AA794" s="397"/>
      <c r="AB794" s="530"/>
      <c r="AC794" s="530"/>
      <c r="AD794" s="530"/>
    </row>
    <row r="795" spans="2:30" x14ac:dyDescent="0.25">
      <c r="B795" s="397"/>
      <c r="C795" s="397"/>
      <c r="D795" s="397"/>
      <c r="E795" s="750"/>
      <c r="F795" s="397"/>
      <c r="G795" s="530"/>
      <c r="H795" s="530"/>
      <c r="I795" s="530"/>
      <c r="J795" s="417"/>
      <c r="K795" s="505"/>
      <c r="L795" s="579"/>
      <c r="M795" s="397"/>
      <c r="N795" s="397"/>
      <c r="O795" s="397"/>
      <c r="P795" s="397"/>
      <c r="Q795" s="397"/>
      <c r="R795" s="397"/>
      <c r="S795" s="397"/>
      <c r="T795" s="397"/>
      <c r="U795" s="397"/>
      <c r="V795" s="397"/>
      <c r="W795" s="397"/>
      <c r="X795" s="397"/>
      <c r="Y795" s="397"/>
      <c r="Z795" s="397"/>
      <c r="AA795" s="397"/>
      <c r="AB795" s="530"/>
      <c r="AC795" s="530"/>
      <c r="AD795" s="530"/>
    </row>
    <row r="796" spans="2:30" x14ac:dyDescent="0.25">
      <c r="B796" s="397"/>
      <c r="C796" s="397"/>
      <c r="D796" s="397"/>
      <c r="E796" s="750"/>
      <c r="F796" s="397"/>
      <c r="G796" s="530"/>
      <c r="H796" s="530"/>
      <c r="I796" s="530"/>
      <c r="J796" s="417"/>
      <c r="K796" s="505"/>
      <c r="L796" s="579"/>
      <c r="M796" s="397"/>
      <c r="N796" s="397"/>
      <c r="O796" s="397"/>
      <c r="P796" s="397"/>
      <c r="Q796" s="397"/>
      <c r="R796" s="397"/>
      <c r="S796" s="397"/>
      <c r="T796" s="397"/>
      <c r="U796" s="397"/>
      <c r="V796" s="397"/>
      <c r="W796" s="397"/>
      <c r="X796" s="397"/>
      <c r="Y796" s="397"/>
      <c r="Z796" s="397"/>
      <c r="AA796" s="397"/>
      <c r="AB796" s="530"/>
      <c r="AC796" s="530"/>
      <c r="AD796" s="530"/>
    </row>
    <row r="797" spans="2:30" x14ac:dyDescent="0.25">
      <c r="B797" s="397"/>
      <c r="C797" s="397"/>
      <c r="D797" s="397"/>
      <c r="E797" s="750"/>
      <c r="F797" s="397"/>
      <c r="G797" s="530"/>
      <c r="H797" s="530"/>
      <c r="I797" s="530"/>
      <c r="J797" s="417"/>
      <c r="K797" s="505"/>
      <c r="L797" s="579"/>
      <c r="M797" s="397"/>
      <c r="N797" s="397"/>
      <c r="O797" s="397"/>
      <c r="P797" s="397"/>
      <c r="Q797" s="397"/>
      <c r="R797" s="397"/>
      <c r="S797" s="397"/>
      <c r="T797" s="397"/>
      <c r="U797" s="397"/>
      <c r="V797" s="397"/>
      <c r="W797" s="397"/>
      <c r="X797" s="397"/>
      <c r="Y797" s="397"/>
      <c r="Z797" s="397"/>
      <c r="AA797" s="397"/>
      <c r="AB797" s="530"/>
      <c r="AC797" s="530"/>
      <c r="AD797" s="530"/>
    </row>
    <row r="798" spans="2:30" x14ac:dyDescent="0.25">
      <c r="B798" s="397"/>
      <c r="C798" s="397"/>
      <c r="D798" s="397"/>
      <c r="E798" s="750"/>
      <c r="F798" s="397"/>
      <c r="G798" s="530"/>
      <c r="H798" s="530"/>
      <c r="I798" s="530"/>
      <c r="J798" s="417"/>
      <c r="K798" s="505"/>
      <c r="L798" s="579"/>
      <c r="M798" s="397"/>
      <c r="N798" s="397"/>
      <c r="O798" s="397"/>
      <c r="P798" s="397"/>
      <c r="Q798" s="397"/>
      <c r="R798" s="397"/>
      <c r="S798" s="397"/>
      <c r="T798" s="397"/>
      <c r="U798" s="397"/>
      <c r="V798" s="397"/>
      <c r="W798" s="397"/>
      <c r="X798" s="397"/>
      <c r="Y798" s="397"/>
      <c r="Z798" s="397"/>
      <c r="AA798" s="397"/>
      <c r="AB798" s="530"/>
      <c r="AC798" s="530"/>
      <c r="AD798" s="530"/>
    </row>
    <row r="799" spans="2:30" x14ac:dyDescent="0.25">
      <c r="B799" s="397"/>
      <c r="C799" s="397"/>
      <c r="D799" s="397"/>
      <c r="E799" s="750"/>
      <c r="F799" s="397"/>
      <c r="G799" s="530"/>
      <c r="H799" s="530"/>
      <c r="I799" s="530"/>
      <c r="J799" s="417"/>
      <c r="K799" s="505"/>
      <c r="L799" s="579"/>
      <c r="M799" s="397"/>
      <c r="N799" s="397"/>
      <c r="O799" s="397"/>
      <c r="P799" s="397"/>
      <c r="Q799" s="397"/>
      <c r="R799" s="397"/>
      <c r="S799" s="397"/>
      <c r="T799" s="397"/>
      <c r="U799" s="397"/>
      <c r="V799" s="397"/>
      <c r="W799" s="397"/>
      <c r="X799" s="397"/>
      <c r="Y799" s="397"/>
      <c r="Z799" s="397"/>
      <c r="AA799" s="397"/>
      <c r="AB799" s="530"/>
      <c r="AC799" s="530"/>
      <c r="AD799" s="530"/>
    </row>
    <row r="800" spans="2:30" x14ac:dyDescent="0.25">
      <c r="B800" s="397"/>
      <c r="C800" s="397"/>
      <c r="D800" s="397"/>
      <c r="E800" s="750"/>
      <c r="F800" s="397"/>
      <c r="G800" s="530"/>
      <c r="H800" s="530"/>
      <c r="I800" s="530"/>
      <c r="J800" s="417"/>
      <c r="K800" s="505"/>
      <c r="L800" s="579"/>
      <c r="M800" s="397"/>
      <c r="N800" s="397"/>
      <c r="O800" s="397"/>
      <c r="P800" s="397"/>
      <c r="Q800" s="397"/>
      <c r="R800" s="397"/>
      <c r="S800" s="397"/>
      <c r="T800" s="397"/>
      <c r="U800" s="397"/>
      <c r="V800" s="397"/>
      <c r="W800" s="397"/>
      <c r="X800" s="397"/>
      <c r="Y800" s="397"/>
      <c r="Z800" s="397"/>
      <c r="AA800" s="397"/>
      <c r="AB800" s="530"/>
      <c r="AC800" s="530"/>
      <c r="AD800" s="530"/>
    </row>
    <row r="801" spans="2:30" x14ac:dyDescent="0.25">
      <c r="B801" s="397"/>
      <c r="C801" s="397"/>
      <c r="D801" s="397"/>
      <c r="E801" s="750"/>
      <c r="F801" s="397"/>
      <c r="G801" s="530"/>
      <c r="H801" s="530"/>
      <c r="I801" s="530"/>
      <c r="J801" s="417"/>
      <c r="K801" s="505"/>
      <c r="L801" s="579"/>
      <c r="M801" s="397"/>
      <c r="N801" s="397"/>
      <c r="O801" s="397"/>
      <c r="P801" s="397"/>
      <c r="Q801" s="397"/>
      <c r="R801" s="397"/>
      <c r="S801" s="397"/>
      <c r="T801" s="397"/>
      <c r="U801" s="397"/>
      <c r="V801" s="397"/>
      <c r="W801" s="397"/>
      <c r="X801" s="397"/>
      <c r="Y801" s="397"/>
      <c r="Z801" s="397"/>
      <c r="AA801" s="397"/>
      <c r="AB801" s="530"/>
      <c r="AC801" s="530"/>
      <c r="AD801" s="530"/>
    </row>
    <row r="802" spans="2:30" x14ac:dyDescent="0.25">
      <c r="B802" s="397"/>
      <c r="C802" s="397"/>
      <c r="D802" s="397"/>
      <c r="E802" s="750"/>
      <c r="F802" s="397"/>
      <c r="G802" s="530"/>
      <c r="H802" s="530"/>
      <c r="I802" s="530"/>
      <c r="J802" s="417"/>
      <c r="K802" s="505"/>
      <c r="L802" s="579"/>
      <c r="M802" s="397"/>
      <c r="N802" s="397"/>
      <c r="O802" s="397"/>
      <c r="P802" s="397"/>
      <c r="Q802" s="397"/>
      <c r="R802" s="397"/>
      <c r="S802" s="397"/>
      <c r="T802" s="397"/>
      <c r="U802" s="397"/>
      <c r="V802" s="397"/>
      <c r="W802" s="397"/>
      <c r="X802" s="397"/>
      <c r="Y802" s="397"/>
      <c r="Z802" s="397"/>
      <c r="AA802" s="397"/>
      <c r="AB802" s="530"/>
      <c r="AC802" s="530"/>
      <c r="AD802" s="530"/>
    </row>
    <row r="803" spans="2:30" x14ac:dyDescent="0.25">
      <c r="B803" s="397"/>
      <c r="C803" s="397"/>
      <c r="D803" s="397"/>
      <c r="E803" s="750"/>
      <c r="F803" s="397"/>
      <c r="G803" s="530"/>
      <c r="H803" s="530"/>
      <c r="I803" s="530"/>
      <c r="J803" s="417"/>
      <c r="K803" s="505"/>
      <c r="L803" s="579"/>
      <c r="M803" s="397"/>
      <c r="N803" s="397"/>
      <c r="O803" s="397"/>
      <c r="P803" s="397"/>
      <c r="Q803" s="397"/>
      <c r="R803" s="397"/>
      <c r="S803" s="397"/>
      <c r="T803" s="397"/>
      <c r="U803" s="397"/>
      <c r="V803" s="397"/>
      <c r="W803" s="397"/>
      <c r="X803" s="397"/>
      <c r="Y803" s="397"/>
      <c r="Z803" s="397"/>
      <c r="AA803" s="397"/>
      <c r="AB803" s="530"/>
      <c r="AC803" s="530"/>
      <c r="AD803" s="530"/>
    </row>
    <row r="804" spans="2:30" x14ac:dyDescent="0.25">
      <c r="B804" s="397"/>
      <c r="C804" s="397"/>
      <c r="D804" s="397"/>
      <c r="E804" s="750"/>
      <c r="F804" s="397"/>
      <c r="G804" s="530"/>
      <c r="H804" s="530"/>
      <c r="I804" s="530"/>
      <c r="J804" s="417"/>
      <c r="K804" s="505"/>
      <c r="L804" s="579"/>
      <c r="M804" s="397"/>
      <c r="N804" s="397"/>
      <c r="O804" s="397"/>
      <c r="P804" s="397"/>
      <c r="Q804" s="397"/>
      <c r="R804" s="397"/>
      <c r="S804" s="397"/>
      <c r="T804" s="397"/>
      <c r="U804" s="397"/>
      <c r="V804" s="397"/>
      <c r="W804" s="397"/>
      <c r="X804" s="397"/>
      <c r="Y804" s="397"/>
      <c r="Z804" s="397"/>
      <c r="AA804" s="397"/>
      <c r="AB804" s="530"/>
      <c r="AC804" s="530"/>
      <c r="AD804" s="530"/>
    </row>
    <row r="805" spans="2:30" x14ac:dyDescent="0.25">
      <c r="B805" s="397"/>
      <c r="C805" s="397"/>
      <c r="D805" s="397"/>
      <c r="E805" s="750"/>
      <c r="F805" s="397"/>
      <c r="G805" s="530"/>
      <c r="H805" s="530"/>
      <c r="I805" s="530"/>
      <c r="J805" s="417"/>
      <c r="K805" s="505"/>
      <c r="L805" s="579"/>
      <c r="M805" s="397"/>
      <c r="N805" s="397"/>
      <c r="O805" s="397"/>
      <c r="P805" s="397"/>
      <c r="Q805" s="397"/>
      <c r="R805" s="397"/>
      <c r="S805" s="397"/>
      <c r="T805" s="397"/>
      <c r="U805" s="397"/>
      <c r="V805" s="397"/>
      <c r="W805" s="397"/>
      <c r="X805" s="397"/>
      <c r="Y805" s="397"/>
      <c r="Z805" s="397"/>
      <c r="AA805" s="397"/>
      <c r="AB805" s="530"/>
      <c r="AC805" s="530"/>
      <c r="AD805" s="530"/>
    </row>
    <row r="806" spans="2:30" x14ac:dyDescent="0.25">
      <c r="B806" s="397"/>
      <c r="C806" s="397"/>
      <c r="D806" s="397"/>
      <c r="E806" s="750"/>
      <c r="F806" s="397"/>
      <c r="G806" s="530"/>
      <c r="H806" s="530"/>
      <c r="I806" s="530"/>
      <c r="J806" s="417"/>
      <c r="K806" s="505"/>
      <c r="L806" s="579"/>
      <c r="M806" s="397"/>
      <c r="N806" s="397"/>
      <c r="O806" s="397"/>
      <c r="P806" s="397"/>
      <c r="Q806" s="397"/>
      <c r="R806" s="397"/>
      <c r="S806" s="397"/>
      <c r="T806" s="397"/>
      <c r="U806" s="397"/>
      <c r="V806" s="397"/>
      <c r="W806" s="397"/>
      <c r="X806" s="397"/>
      <c r="Y806" s="397"/>
      <c r="Z806" s="397"/>
      <c r="AA806" s="397"/>
      <c r="AB806" s="530"/>
      <c r="AC806" s="530"/>
      <c r="AD806" s="530"/>
    </row>
    <row r="807" spans="2:30" x14ac:dyDescent="0.25">
      <c r="B807" s="397"/>
      <c r="C807" s="397"/>
      <c r="D807" s="397"/>
      <c r="E807" s="750"/>
      <c r="F807" s="397"/>
      <c r="G807" s="530"/>
      <c r="H807" s="530"/>
      <c r="I807" s="530"/>
      <c r="J807" s="417"/>
      <c r="K807" s="505"/>
      <c r="L807" s="579"/>
      <c r="M807" s="397"/>
      <c r="N807" s="397"/>
      <c r="O807" s="397"/>
      <c r="P807" s="397"/>
      <c r="Q807" s="397"/>
      <c r="R807" s="397"/>
      <c r="S807" s="397"/>
      <c r="T807" s="397"/>
      <c r="U807" s="397"/>
      <c r="V807" s="397"/>
      <c r="W807" s="397"/>
      <c r="X807" s="397"/>
      <c r="Y807" s="397"/>
      <c r="Z807" s="397"/>
      <c r="AA807" s="397"/>
      <c r="AB807" s="530"/>
      <c r="AC807" s="530"/>
      <c r="AD807" s="530"/>
    </row>
    <row r="808" spans="2:30" x14ac:dyDescent="0.25">
      <c r="B808" s="397"/>
      <c r="C808" s="397"/>
      <c r="D808" s="397"/>
      <c r="E808" s="750"/>
      <c r="F808" s="397"/>
      <c r="G808" s="530"/>
      <c r="H808" s="530"/>
      <c r="I808" s="530"/>
      <c r="J808" s="417"/>
      <c r="K808" s="505"/>
      <c r="L808" s="579"/>
      <c r="M808" s="397"/>
      <c r="N808" s="397"/>
      <c r="O808" s="397"/>
      <c r="P808" s="397"/>
      <c r="Q808" s="397"/>
      <c r="R808" s="397"/>
      <c r="S808" s="397"/>
      <c r="T808" s="397"/>
      <c r="U808" s="397"/>
      <c r="V808" s="397"/>
      <c r="W808" s="397"/>
      <c r="X808" s="397"/>
      <c r="Y808" s="397"/>
      <c r="Z808" s="397"/>
      <c r="AA808" s="397"/>
      <c r="AB808" s="530"/>
      <c r="AC808" s="530"/>
      <c r="AD808" s="530"/>
    </row>
    <row r="809" spans="2:30" x14ac:dyDescent="0.25">
      <c r="B809" s="397"/>
      <c r="C809" s="397"/>
      <c r="D809" s="397"/>
      <c r="E809" s="750"/>
      <c r="F809" s="397"/>
      <c r="G809" s="530"/>
      <c r="H809" s="530"/>
      <c r="I809" s="530"/>
      <c r="J809" s="417"/>
      <c r="K809" s="505"/>
      <c r="L809" s="579"/>
      <c r="M809" s="397"/>
      <c r="N809" s="397"/>
      <c r="O809" s="397"/>
      <c r="P809" s="397"/>
      <c r="Q809" s="397"/>
      <c r="R809" s="397"/>
      <c r="S809" s="397"/>
      <c r="T809" s="397"/>
      <c r="U809" s="397"/>
      <c r="V809" s="397"/>
      <c r="W809" s="397"/>
      <c r="X809" s="397"/>
      <c r="Y809" s="397"/>
      <c r="Z809" s="397"/>
      <c r="AA809" s="397"/>
      <c r="AB809" s="530"/>
      <c r="AC809" s="530"/>
      <c r="AD809" s="530"/>
    </row>
    <row r="810" spans="2:30" x14ac:dyDescent="0.25">
      <c r="B810" s="397"/>
      <c r="C810" s="397"/>
      <c r="D810" s="397"/>
      <c r="E810" s="750"/>
      <c r="F810" s="397"/>
      <c r="G810" s="530"/>
      <c r="H810" s="530"/>
      <c r="I810" s="530"/>
      <c r="J810" s="417"/>
      <c r="K810" s="505"/>
      <c r="L810" s="579"/>
      <c r="M810" s="397"/>
      <c r="N810" s="397"/>
      <c r="O810" s="397"/>
      <c r="P810" s="397"/>
      <c r="Q810" s="397"/>
      <c r="R810" s="397"/>
      <c r="S810" s="397"/>
      <c r="T810" s="397"/>
      <c r="U810" s="397"/>
      <c r="V810" s="397"/>
      <c r="W810" s="397"/>
      <c r="X810" s="397"/>
      <c r="Y810" s="397"/>
      <c r="Z810" s="397"/>
      <c r="AA810" s="397"/>
      <c r="AB810" s="530"/>
      <c r="AC810" s="530"/>
      <c r="AD810" s="530"/>
    </row>
    <row r="811" spans="2:30" x14ac:dyDescent="0.25">
      <c r="B811" s="397"/>
      <c r="C811" s="397"/>
      <c r="D811" s="397"/>
      <c r="E811" s="750"/>
      <c r="F811" s="397"/>
      <c r="G811" s="530"/>
      <c r="H811" s="530"/>
      <c r="I811" s="530"/>
      <c r="J811" s="417"/>
      <c r="K811" s="505"/>
      <c r="L811" s="579"/>
      <c r="M811" s="397"/>
      <c r="N811" s="397"/>
      <c r="O811" s="397"/>
      <c r="P811" s="397"/>
      <c r="Q811" s="397"/>
      <c r="R811" s="397"/>
      <c r="S811" s="397"/>
      <c r="T811" s="397"/>
      <c r="U811" s="397"/>
      <c r="V811" s="397"/>
      <c r="W811" s="397"/>
      <c r="X811" s="397"/>
      <c r="Y811" s="397"/>
      <c r="Z811" s="397"/>
      <c r="AA811" s="397"/>
      <c r="AB811" s="530"/>
      <c r="AC811" s="530"/>
      <c r="AD811" s="530"/>
    </row>
    <row r="812" spans="2:30" x14ac:dyDescent="0.25">
      <c r="B812" s="397"/>
      <c r="C812" s="397"/>
      <c r="D812" s="397"/>
      <c r="E812" s="750"/>
      <c r="F812" s="397"/>
      <c r="G812" s="530"/>
      <c r="H812" s="530"/>
      <c r="I812" s="530"/>
      <c r="J812" s="417"/>
      <c r="K812" s="505"/>
      <c r="L812" s="579"/>
      <c r="M812" s="397"/>
      <c r="N812" s="397"/>
      <c r="O812" s="397"/>
      <c r="P812" s="397"/>
      <c r="Q812" s="397"/>
      <c r="R812" s="397"/>
      <c r="S812" s="397"/>
      <c r="T812" s="397"/>
      <c r="U812" s="397"/>
      <c r="V812" s="397"/>
      <c r="W812" s="397"/>
      <c r="X812" s="397"/>
      <c r="Y812" s="397"/>
      <c r="Z812" s="397"/>
      <c r="AA812" s="397"/>
      <c r="AB812" s="530"/>
      <c r="AC812" s="530"/>
      <c r="AD812" s="530"/>
    </row>
    <row r="813" spans="2:30" x14ac:dyDescent="0.25">
      <c r="B813" s="397"/>
      <c r="C813" s="397"/>
      <c r="D813" s="397"/>
      <c r="E813" s="750"/>
      <c r="F813" s="397"/>
      <c r="G813" s="530"/>
      <c r="H813" s="530"/>
      <c r="I813" s="530"/>
      <c r="J813" s="417"/>
      <c r="K813" s="505"/>
      <c r="L813" s="579"/>
      <c r="M813" s="397"/>
      <c r="N813" s="397"/>
      <c r="O813" s="397"/>
      <c r="P813" s="397"/>
      <c r="Q813" s="397"/>
      <c r="R813" s="397"/>
      <c r="S813" s="397"/>
      <c r="T813" s="397"/>
      <c r="U813" s="397"/>
      <c r="V813" s="397"/>
      <c r="W813" s="397"/>
      <c r="X813" s="397"/>
      <c r="Y813" s="397"/>
      <c r="Z813" s="397"/>
      <c r="AA813" s="397"/>
      <c r="AB813" s="530"/>
      <c r="AC813" s="530"/>
      <c r="AD813" s="530"/>
    </row>
    <row r="814" spans="2:30" x14ac:dyDescent="0.25">
      <c r="B814" s="397"/>
      <c r="C814" s="397"/>
      <c r="D814" s="397"/>
      <c r="E814" s="750"/>
      <c r="F814" s="397"/>
      <c r="G814" s="530"/>
      <c r="H814" s="530"/>
      <c r="I814" s="530"/>
      <c r="J814" s="417"/>
      <c r="K814" s="505"/>
      <c r="L814" s="579"/>
      <c r="M814" s="397"/>
      <c r="N814" s="397"/>
      <c r="O814" s="397"/>
      <c r="P814" s="397"/>
      <c r="Q814" s="397"/>
      <c r="R814" s="397"/>
      <c r="S814" s="397"/>
      <c r="T814" s="397"/>
      <c r="U814" s="397"/>
      <c r="V814" s="397"/>
      <c r="W814" s="397"/>
      <c r="X814" s="397"/>
      <c r="Y814" s="397"/>
      <c r="Z814" s="397"/>
      <c r="AA814" s="397"/>
      <c r="AB814" s="530"/>
      <c r="AC814" s="530"/>
      <c r="AD814" s="530"/>
    </row>
    <row r="815" spans="2:30" x14ac:dyDescent="0.25">
      <c r="B815" s="397"/>
      <c r="C815" s="397"/>
      <c r="D815" s="397"/>
      <c r="E815" s="750"/>
      <c r="F815" s="397"/>
      <c r="G815" s="530"/>
      <c r="H815" s="530"/>
      <c r="I815" s="530"/>
      <c r="J815" s="417"/>
      <c r="K815" s="505"/>
      <c r="L815" s="579"/>
      <c r="M815" s="397"/>
      <c r="N815" s="397"/>
      <c r="O815" s="397"/>
      <c r="P815" s="397"/>
      <c r="Q815" s="397"/>
      <c r="R815" s="397"/>
      <c r="S815" s="397"/>
      <c r="T815" s="397"/>
      <c r="U815" s="397"/>
      <c r="V815" s="397"/>
      <c r="W815" s="397"/>
      <c r="X815" s="397"/>
      <c r="Y815" s="397"/>
      <c r="Z815" s="397"/>
      <c r="AA815" s="397"/>
      <c r="AB815" s="530"/>
      <c r="AC815" s="530"/>
      <c r="AD815" s="530"/>
    </row>
    <row r="816" spans="2:30" x14ac:dyDescent="0.25">
      <c r="B816" s="397"/>
      <c r="C816" s="397"/>
      <c r="D816" s="397"/>
      <c r="E816" s="750"/>
      <c r="F816" s="397"/>
      <c r="G816" s="530"/>
      <c r="H816" s="530"/>
      <c r="I816" s="530"/>
      <c r="J816" s="417"/>
      <c r="K816" s="505"/>
      <c r="L816" s="579"/>
      <c r="M816" s="397"/>
      <c r="N816" s="397"/>
      <c r="O816" s="397"/>
      <c r="P816" s="397"/>
      <c r="Q816" s="397"/>
      <c r="R816" s="397"/>
      <c r="S816" s="397"/>
      <c r="T816" s="397"/>
      <c r="U816" s="397"/>
      <c r="V816" s="397"/>
      <c r="W816" s="397"/>
      <c r="X816" s="397"/>
      <c r="Y816" s="397"/>
      <c r="Z816" s="397"/>
      <c r="AA816" s="397"/>
      <c r="AB816" s="530"/>
      <c r="AC816" s="530"/>
      <c r="AD816" s="530"/>
    </row>
    <row r="817" spans="2:30" x14ac:dyDescent="0.25">
      <c r="B817" s="397"/>
      <c r="C817" s="397"/>
      <c r="D817" s="397"/>
      <c r="E817" s="750"/>
      <c r="F817" s="397"/>
      <c r="G817" s="530"/>
      <c r="H817" s="530"/>
      <c r="I817" s="530"/>
      <c r="J817" s="417"/>
      <c r="K817" s="505"/>
      <c r="L817" s="579"/>
      <c r="M817" s="397"/>
      <c r="N817" s="397"/>
      <c r="O817" s="397"/>
      <c r="P817" s="397"/>
      <c r="Q817" s="397"/>
      <c r="R817" s="397"/>
      <c r="S817" s="397"/>
      <c r="T817" s="397"/>
      <c r="U817" s="397"/>
      <c r="V817" s="397"/>
      <c r="W817" s="397"/>
      <c r="X817" s="397"/>
      <c r="Y817" s="397"/>
      <c r="Z817" s="397"/>
      <c r="AA817" s="397"/>
      <c r="AB817" s="530"/>
      <c r="AC817" s="530"/>
      <c r="AD817" s="530"/>
    </row>
    <row r="818" spans="2:30" x14ac:dyDescent="0.25">
      <c r="B818" s="397"/>
      <c r="C818" s="397"/>
      <c r="D818" s="397"/>
      <c r="E818" s="750"/>
      <c r="F818" s="397"/>
      <c r="G818" s="530"/>
      <c r="H818" s="530"/>
      <c r="I818" s="530"/>
      <c r="J818" s="417"/>
      <c r="K818" s="505"/>
      <c r="L818" s="579"/>
      <c r="M818" s="397"/>
      <c r="N818" s="397"/>
      <c r="O818" s="397"/>
      <c r="P818" s="397"/>
      <c r="Q818" s="397"/>
      <c r="R818" s="397"/>
      <c r="S818" s="397"/>
      <c r="T818" s="397"/>
      <c r="U818" s="397"/>
      <c r="V818" s="397"/>
      <c r="W818" s="397"/>
      <c r="X818" s="397"/>
      <c r="Y818" s="397"/>
      <c r="Z818" s="397"/>
      <c r="AA818" s="397"/>
      <c r="AB818" s="530"/>
      <c r="AC818" s="530"/>
      <c r="AD818" s="530"/>
    </row>
    <row r="819" spans="2:30" x14ac:dyDescent="0.25">
      <c r="B819" s="397"/>
      <c r="C819" s="397"/>
      <c r="D819" s="397"/>
      <c r="E819" s="750"/>
      <c r="F819" s="397"/>
      <c r="G819" s="530"/>
      <c r="H819" s="530"/>
      <c r="I819" s="530"/>
      <c r="J819" s="417"/>
      <c r="K819" s="505"/>
      <c r="L819" s="579"/>
      <c r="M819" s="397"/>
      <c r="N819" s="397"/>
      <c r="O819" s="397"/>
      <c r="P819" s="397"/>
      <c r="Q819" s="397"/>
      <c r="R819" s="397"/>
      <c r="S819" s="397"/>
      <c r="T819" s="397"/>
      <c r="U819" s="397"/>
      <c r="V819" s="397"/>
      <c r="W819" s="397"/>
      <c r="X819" s="397"/>
      <c r="Y819" s="397"/>
      <c r="Z819" s="397"/>
      <c r="AA819" s="397"/>
      <c r="AB819" s="530"/>
      <c r="AC819" s="530"/>
      <c r="AD819" s="530"/>
    </row>
    <row r="820" spans="2:30" x14ac:dyDescent="0.25">
      <c r="B820" s="397"/>
      <c r="C820" s="397"/>
      <c r="D820" s="397"/>
      <c r="E820" s="750"/>
      <c r="F820" s="397"/>
      <c r="G820" s="530"/>
      <c r="H820" s="530"/>
      <c r="I820" s="530"/>
      <c r="J820" s="417"/>
      <c r="K820" s="505"/>
      <c r="L820" s="579"/>
      <c r="M820" s="397"/>
      <c r="N820" s="397"/>
      <c r="O820" s="397"/>
      <c r="P820" s="397"/>
      <c r="Q820" s="397"/>
      <c r="R820" s="397"/>
      <c r="S820" s="397"/>
      <c r="T820" s="397"/>
      <c r="U820" s="397"/>
      <c r="V820" s="397"/>
      <c r="W820" s="397"/>
      <c r="X820" s="397"/>
      <c r="Y820" s="397"/>
      <c r="Z820" s="397"/>
      <c r="AA820" s="397"/>
      <c r="AB820" s="530"/>
      <c r="AC820" s="530"/>
      <c r="AD820" s="530"/>
    </row>
    <row r="821" spans="2:30" x14ac:dyDescent="0.25">
      <c r="B821" s="397"/>
      <c r="C821" s="397"/>
      <c r="D821" s="397"/>
      <c r="E821" s="750"/>
      <c r="F821" s="397"/>
      <c r="G821" s="530"/>
      <c r="H821" s="530"/>
      <c r="I821" s="530"/>
      <c r="J821" s="417"/>
      <c r="K821" s="505"/>
      <c r="L821" s="579"/>
      <c r="M821" s="397"/>
      <c r="N821" s="397"/>
      <c r="O821" s="397"/>
      <c r="P821" s="397"/>
      <c r="Q821" s="397"/>
      <c r="R821" s="397"/>
      <c r="S821" s="397"/>
      <c r="T821" s="397"/>
      <c r="U821" s="397"/>
      <c r="V821" s="397"/>
      <c r="W821" s="397"/>
      <c r="X821" s="397"/>
      <c r="Y821" s="397"/>
      <c r="Z821" s="397"/>
      <c r="AA821" s="397"/>
      <c r="AB821" s="530"/>
      <c r="AC821" s="530"/>
      <c r="AD821" s="530"/>
    </row>
    <row r="822" spans="2:30" x14ac:dyDescent="0.25">
      <c r="B822" s="397"/>
      <c r="C822" s="397"/>
      <c r="D822" s="397"/>
      <c r="E822" s="750"/>
      <c r="F822" s="397"/>
      <c r="G822" s="530"/>
      <c r="H822" s="530"/>
      <c r="I822" s="530"/>
      <c r="J822" s="417"/>
      <c r="K822" s="505"/>
      <c r="L822" s="579"/>
      <c r="M822" s="397"/>
      <c r="N822" s="397"/>
      <c r="O822" s="397"/>
      <c r="P822" s="397"/>
      <c r="Q822" s="397"/>
      <c r="R822" s="397"/>
      <c r="S822" s="397"/>
      <c r="T822" s="397"/>
      <c r="U822" s="397"/>
      <c r="V822" s="397"/>
      <c r="W822" s="397"/>
      <c r="X822" s="397"/>
      <c r="Y822" s="397"/>
      <c r="Z822" s="397"/>
      <c r="AA822" s="397"/>
      <c r="AB822" s="530"/>
      <c r="AC822" s="530"/>
      <c r="AD822" s="530"/>
    </row>
    <row r="823" spans="2:30" x14ac:dyDescent="0.25">
      <c r="B823" s="397"/>
      <c r="C823" s="397"/>
      <c r="D823" s="397"/>
      <c r="E823" s="750"/>
      <c r="F823" s="397"/>
      <c r="G823" s="530"/>
      <c r="H823" s="530"/>
      <c r="I823" s="530"/>
      <c r="J823" s="417"/>
      <c r="K823" s="505"/>
      <c r="L823" s="579"/>
      <c r="M823" s="397"/>
      <c r="N823" s="397"/>
      <c r="O823" s="397"/>
      <c r="P823" s="397"/>
      <c r="Q823" s="397"/>
      <c r="R823" s="397"/>
      <c r="S823" s="397"/>
      <c r="T823" s="397"/>
      <c r="U823" s="397"/>
      <c r="V823" s="397"/>
      <c r="W823" s="397"/>
      <c r="X823" s="397"/>
      <c r="Y823" s="397"/>
      <c r="Z823" s="397"/>
      <c r="AA823" s="397"/>
      <c r="AB823" s="530"/>
      <c r="AC823" s="530"/>
      <c r="AD823" s="530"/>
    </row>
    <row r="824" spans="2:30" x14ac:dyDescent="0.25">
      <c r="B824" s="397"/>
      <c r="C824" s="397"/>
      <c r="D824" s="397"/>
      <c r="E824" s="750"/>
      <c r="F824" s="397"/>
      <c r="G824" s="530"/>
      <c r="H824" s="530"/>
      <c r="I824" s="530"/>
      <c r="J824" s="417"/>
      <c r="K824" s="505"/>
      <c r="L824" s="579"/>
      <c r="M824" s="397"/>
      <c r="N824" s="397"/>
      <c r="O824" s="397"/>
      <c r="P824" s="397"/>
      <c r="Q824" s="397"/>
      <c r="R824" s="397"/>
      <c r="S824" s="397"/>
      <c r="T824" s="397"/>
      <c r="U824" s="397"/>
      <c r="V824" s="397"/>
      <c r="W824" s="397"/>
      <c r="X824" s="397"/>
      <c r="Y824" s="397"/>
      <c r="Z824" s="397"/>
      <c r="AA824" s="397"/>
      <c r="AB824" s="530"/>
      <c r="AC824" s="530"/>
      <c r="AD824" s="530"/>
    </row>
    <row r="825" spans="2:30" x14ac:dyDescent="0.25">
      <c r="B825" s="397"/>
      <c r="C825" s="397"/>
      <c r="D825" s="397"/>
      <c r="E825" s="750"/>
      <c r="F825" s="397"/>
      <c r="G825" s="530"/>
      <c r="H825" s="530"/>
      <c r="I825" s="530"/>
      <c r="J825" s="417"/>
      <c r="K825" s="505"/>
      <c r="L825" s="579"/>
      <c r="M825" s="397"/>
      <c r="N825" s="397"/>
      <c r="O825" s="397"/>
      <c r="P825" s="397"/>
      <c r="Q825" s="397"/>
      <c r="R825" s="397"/>
      <c r="S825" s="397"/>
      <c r="T825" s="397"/>
      <c r="U825" s="397"/>
      <c r="V825" s="397"/>
      <c r="W825" s="397"/>
      <c r="X825" s="397"/>
      <c r="Y825" s="397"/>
      <c r="Z825" s="397"/>
      <c r="AA825" s="397"/>
      <c r="AB825" s="530"/>
      <c r="AC825" s="530"/>
      <c r="AD825" s="530"/>
    </row>
    <row r="826" spans="2:30" x14ac:dyDescent="0.25">
      <c r="B826" s="397"/>
      <c r="C826" s="397"/>
      <c r="D826" s="397"/>
      <c r="E826" s="750"/>
      <c r="F826" s="397"/>
      <c r="G826" s="530"/>
      <c r="H826" s="530"/>
      <c r="I826" s="530"/>
      <c r="J826" s="417"/>
      <c r="K826" s="505"/>
      <c r="L826" s="579"/>
      <c r="M826" s="397"/>
      <c r="N826" s="397"/>
      <c r="O826" s="397"/>
      <c r="P826" s="397"/>
      <c r="Q826" s="397"/>
      <c r="R826" s="397"/>
      <c r="S826" s="397"/>
      <c r="T826" s="397"/>
      <c r="U826" s="397"/>
      <c r="V826" s="397"/>
      <c r="W826" s="397"/>
      <c r="X826" s="397"/>
      <c r="Y826" s="397"/>
      <c r="Z826" s="397"/>
      <c r="AA826" s="397"/>
      <c r="AB826" s="530"/>
      <c r="AC826" s="530"/>
      <c r="AD826" s="530"/>
    </row>
    <row r="827" spans="2:30" x14ac:dyDescent="0.25">
      <c r="B827" s="397"/>
      <c r="C827" s="397"/>
      <c r="D827" s="397"/>
      <c r="E827" s="750"/>
      <c r="F827" s="397"/>
      <c r="G827" s="530"/>
      <c r="H827" s="530"/>
      <c r="I827" s="530"/>
      <c r="J827" s="417"/>
      <c r="K827" s="505"/>
      <c r="L827" s="579"/>
      <c r="M827" s="397"/>
      <c r="N827" s="397"/>
      <c r="O827" s="397"/>
      <c r="P827" s="397"/>
      <c r="Q827" s="397"/>
      <c r="R827" s="397"/>
      <c r="S827" s="397"/>
      <c r="T827" s="397"/>
      <c r="U827" s="397"/>
      <c r="V827" s="397"/>
      <c r="W827" s="397"/>
      <c r="X827" s="397"/>
      <c r="Y827" s="397"/>
      <c r="Z827" s="397"/>
      <c r="AA827" s="397"/>
      <c r="AB827" s="530"/>
      <c r="AC827" s="530"/>
      <c r="AD827" s="530"/>
    </row>
    <row r="828" spans="2:30" x14ac:dyDescent="0.25">
      <c r="B828" s="397"/>
      <c r="C828" s="397"/>
      <c r="D828" s="397"/>
      <c r="E828" s="750"/>
      <c r="F828" s="397"/>
      <c r="G828" s="530"/>
      <c r="H828" s="530"/>
      <c r="I828" s="530"/>
      <c r="J828" s="417"/>
      <c r="K828" s="505"/>
      <c r="L828" s="579"/>
      <c r="M828" s="397"/>
      <c r="N828" s="397"/>
      <c r="O828" s="397"/>
      <c r="P828" s="397"/>
      <c r="Q828" s="397"/>
      <c r="R828" s="397"/>
      <c r="S828" s="397"/>
      <c r="T828" s="397"/>
      <c r="U828" s="397"/>
      <c r="V828" s="397"/>
      <c r="W828" s="397"/>
      <c r="X828" s="397"/>
      <c r="Y828" s="397"/>
      <c r="Z828" s="397"/>
      <c r="AA828" s="397"/>
      <c r="AB828" s="530"/>
      <c r="AC828" s="530"/>
      <c r="AD828" s="530"/>
    </row>
    <row r="829" spans="2:30" x14ac:dyDescent="0.25">
      <c r="B829" s="397"/>
      <c r="C829" s="397"/>
      <c r="D829" s="397"/>
      <c r="E829" s="750"/>
      <c r="F829" s="397"/>
      <c r="G829" s="530"/>
      <c r="H829" s="530"/>
      <c r="I829" s="530"/>
      <c r="J829" s="417"/>
      <c r="K829" s="505"/>
      <c r="L829" s="579"/>
      <c r="M829" s="397"/>
      <c r="N829" s="397"/>
      <c r="O829" s="397"/>
      <c r="P829" s="397"/>
      <c r="Q829" s="397"/>
      <c r="R829" s="397"/>
      <c r="S829" s="397"/>
      <c r="T829" s="397"/>
      <c r="U829" s="397"/>
      <c r="V829" s="397"/>
      <c r="W829" s="397"/>
      <c r="X829" s="397"/>
      <c r="Y829" s="397"/>
      <c r="Z829" s="397"/>
      <c r="AA829" s="397"/>
      <c r="AB829" s="530"/>
      <c r="AC829" s="530"/>
      <c r="AD829" s="530"/>
    </row>
    <row r="830" spans="2:30" x14ac:dyDescent="0.25">
      <c r="B830" s="397"/>
      <c r="C830" s="397"/>
      <c r="D830" s="397"/>
      <c r="E830" s="750"/>
      <c r="F830" s="397"/>
      <c r="G830" s="530"/>
      <c r="H830" s="530"/>
      <c r="I830" s="530"/>
      <c r="J830" s="417"/>
      <c r="K830" s="505"/>
      <c r="L830" s="579"/>
      <c r="M830" s="397"/>
      <c r="N830" s="397"/>
      <c r="O830" s="397"/>
      <c r="P830" s="397"/>
      <c r="Q830" s="397"/>
      <c r="R830" s="397"/>
      <c r="S830" s="397"/>
      <c r="T830" s="397"/>
      <c r="U830" s="397"/>
      <c r="V830" s="397"/>
      <c r="W830" s="397"/>
      <c r="X830" s="397"/>
      <c r="Y830" s="397"/>
      <c r="Z830" s="397"/>
      <c r="AA830" s="397"/>
      <c r="AB830" s="530"/>
      <c r="AC830" s="530"/>
      <c r="AD830" s="530"/>
    </row>
    <row r="831" spans="2:30" x14ac:dyDescent="0.25">
      <c r="B831" s="397"/>
      <c r="C831" s="397"/>
      <c r="D831" s="397"/>
      <c r="E831" s="750"/>
      <c r="F831" s="397"/>
      <c r="G831" s="530"/>
      <c r="H831" s="530"/>
      <c r="I831" s="530"/>
      <c r="J831" s="417"/>
      <c r="K831" s="505"/>
      <c r="L831" s="579"/>
      <c r="M831" s="397"/>
      <c r="N831" s="397"/>
      <c r="O831" s="397"/>
      <c r="P831" s="397"/>
      <c r="Q831" s="397"/>
      <c r="R831" s="397"/>
      <c r="S831" s="397"/>
      <c r="T831" s="397"/>
      <c r="U831" s="397"/>
      <c r="V831" s="397"/>
      <c r="W831" s="397"/>
      <c r="X831" s="397"/>
      <c r="Y831" s="397"/>
      <c r="Z831" s="397"/>
      <c r="AA831" s="397"/>
      <c r="AB831" s="530"/>
      <c r="AC831" s="530"/>
      <c r="AD831" s="530"/>
    </row>
    <row r="832" spans="2:30" x14ac:dyDescent="0.25">
      <c r="B832" s="397"/>
      <c r="C832" s="397"/>
      <c r="D832" s="397"/>
      <c r="E832" s="750"/>
      <c r="F832" s="397"/>
      <c r="G832" s="530"/>
      <c r="H832" s="530"/>
      <c r="I832" s="530"/>
      <c r="J832" s="417"/>
      <c r="K832" s="505"/>
      <c r="L832" s="579"/>
      <c r="M832" s="397"/>
      <c r="N832" s="397"/>
      <c r="O832" s="397"/>
      <c r="P832" s="397"/>
      <c r="Q832" s="397"/>
      <c r="R832" s="397"/>
      <c r="S832" s="397"/>
      <c r="T832" s="397"/>
      <c r="U832" s="397"/>
      <c r="V832" s="397"/>
      <c r="W832" s="397"/>
      <c r="X832" s="397"/>
      <c r="Y832" s="397"/>
      <c r="Z832" s="397"/>
      <c r="AA832" s="397"/>
      <c r="AB832" s="530"/>
      <c r="AC832" s="530"/>
      <c r="AD832" s="530"/>
    </row>
    <row r="833" spans="2:30" x14ac:dyDescent="0.25">
      <c r="B833" s="397"/>
      <c r="C833" s="397"/>
      <c r="D833" s="397"/>
      <c r="E833" s="750"/>
      <c r="F833" s="397"/>
      <c r="G833" s="530"/>
      <c r="H833" s="530"/>
      <c r="I833" s="530"/>
      <c r="J833" s="417"/>
      <c r="K833" s="505"/>
      <c r="L833" s="579"/>
      <c r="M833" s="397"/>
      <c r="N833" s="397"/>
      <c r="O833" s="397"/>
      <c r="P833" s="397"/>
      <c r="Q833" s="397"/>
      <c r="R833" s="397"/>
      <c r="S833" s="397"/>
      <c r="T833" s="397"/>
      <c r="U833" s="397"/>
      <c r="V833" s="397"/>
      <c r="W833" s="397"/>
      <c r="X833" s="397"/>
      <c r="Y833" s="397"/>
      <c r="Z833" s="397"/>
      <c r="AA833" s="397"/>
      <c r="AB833" s="530"/>
      <c r="AC833" s="530"/>
      <c r="AD833" s="530"/>
    </row>
    <row r="834" spans="2:30" x14ac:dyDescent="0.25">
      <c r="B834" s="397"/>
      <c r="C834" s="397"/>
      <c r="D834" s="397"/>
      <c r="E834" s="750"/>
      <c r="F834" s="397"/>
      <c r="G834" s="530"/>
      <c r="H834" s="530"/>
      <c r="I834" s="530"/>
      <c r="J834" s="417"/>
      <c r="K834" s="505"/>
      <c r="L834" s="579"/>
      <c r="M834" s="397"/>
      <c r="N834" s="397"/>
      <c r="O834" s="397"/>
      <c r="P834" s="397"/>
      <c r="Q834" s="397"/>
      <c r="R834" s="397"/>
      <c r="S834" s="397"/>
      <c r="T834" s="397"/>
      <c r="U834" s="397"/>
      <c r="V834" s="397"/>
      <c r="W834" s="397"/>
      <c r="X834" s="397"/>
      <c r="Y834" s="397"/>
      <c r="Z834" s="397"/>
      <c r="AA834" s="397"/>
      <c r="AB834" s="530"/>
      <c r="AC834" s="530"/>
      <c r="AD834" s="530"/>
    </row>
    <row r="835" spans="2:30" x14ac:dyDescent="0.25">
      <c r="B835" s="397"/>
      <c r="C835" s="397"/>
      <c r="D835" s="397"/>
      <c r="E835" s="750"/>
      <c r="F835" s="397"/>
      <c r="G835" s="530"/>
      <c r="H835" s="530"/>
      <c r="I835" s="530"/>
      <c r="J835" s="417"/>
      <c r="K835" s="505"/>
      <c r="L835" s="579"/>
      <c r="M835" s="397"/>
      <c r="N835" s="397"/>
      <c r="O835" s="397"/>
      <c r="P835" s="397"/>
      <c r="Q835" s="397"/>
      <c r="R835" s="397"/>
      <c r="S835" s="397"/>
      <c r="T835" s="397"/>
      <c r="U835" s="397"/>
      <c r="V835" s="397"/>
      <c r="W835" s="397"/>
      <c r="X835" s="397"/>
      <c r="Y835" s="397"/>
      <c r="Z835" s="397"/>
      <c r="AA835" s="397"/>
      <c r="AB835" s="530"/>
      <c r="AC835" s="530"/>
      <c r="AD835" s="530"/>
    </row>
    <row r="836" spans="2:30" x14ac:dyDescent="0.25">
      <c r="B836" s="397"/>
      <c r="C836" s="397"/>
      <c r="D836" s="397"/>
      <c r="E836" s="750"/>
      <c r="F836" s="397"/>
      <c r="G836" s="530"/>
      <c r="H836" s="530"/>
      <c r="I836" s="530"/>
      <c r="J836" s="417"/>
      <c r="K836" s="505"/>
      <c r="L836" s="579"/>
      <c r="M836" s="397"/>
      <c r="N836" s="397"/>
      <c r="O836" s="397"/>
      <c r="P836" s="397"/>
      <c r="Q836" s="397"/>
      <c r="R836" s="397"/>
      <c r="S836" s="397"/>
      <c r="T836" s="397"/>
      <c r="U836" s="397"/>
      <c r="V836" s="397"/>
      <c r="W836" s="397"/>
      <c r="X836" s="397"/>
      <c r="Y836" s="397"/>
      <c r="Z836" s="397"/>
      <c r="AA836" s="397"/>
      <c r="AB836" s="530"/>
      <c r="AC836" s="530"/>
      <c r="AD836" s="530"/>
    </row>
    <row r="837" spans="2:30" x14ac:dyDescent="0.25">
      <c r="B837" s="397"/>
      <c r="C837" s="397"/>
      <c r="D837" s="397"/>
      <c r="E837" s="750"/>
      <c r="F837" s="397"/>
      <c r="G837" s="530"/>
      <c r="H837" s="530"/>
      <c r="I837" s="530"/>
      <c r="J837" s="417"/>
      <c r="K837" s="505"/>
      <c r="L837" s="579"/>
      <c r="M837" s="397"/>
      <c r="N837" s="397"/>
      <c r="O837" s="397"/>
      <c r="P837" s="397"/>
      <c r="Q837" s="397"/>
      <c r="R837" s="397"/>
      <c r="S837" s="397"/>
      <c r="T837" s="397"/>
      <c r="U837" s="397"/>
      <c r="V837" s="397"/>
      <c r="W837" s="397"/>
      <c r="X837" s="397"/>
      <c r="Y837" s="397"/>
      <c r="Z837" s="397"/>
      <c r="AA837" s="397"/>
      <c r="AB837" s="530"/>
      <c r="AC837" s="530"/>
      <c r="AD837" s="530"/>
    </row>
    <row r="838" spans="2:30" x14ac:dyDescent="0.25">
      <c r="B838" s="397"/>
      <c r="C838" s="397"/>
      <c r="D838" s="397"/>
      <c r="E838" s="750"/>
      <c r="F838" s="397"/>
      <c r="G838" s="530"/>
      <c r="H838" s="530"/>
      <c r="I838" s="530"/>
      <c r="J838" s="417"/>
      <c r="K838" s="505"/>
      <c r="L838" s="579"/>
      <c r="M838" s="397"/>
      <c r="N838" s="397"/>
      <c r="O838" s="397"/>
      <c r="P838" s="397"/>
      <c r="Q838" s="397"/>
      <c r="R838" s="397"/>
      <c r="S838" s="397"/>
      <c r="T838" s="397"/>
      <c r="U838" s="397"/>
      <c r="V838" s="397"/>
      <c r="W838" s="397"/>
      <c r="X838" s="397"/>
      <c r="Y838" s="397"/>
      <c r="Z838" s="397"/>
      <c r="AA838" s="397"/>
      <c r="AB838" s="530"/>
      <c r="AC838" s="530"/>
      <c r="AD838" s="530"/>
    </row>
    <row r="839" spans="2:30" x14ac:dyDescent="0.25">
      <c r="B839" s="397"/>
      <c r="C839" s="397"/>
      <c r="D839" s="397"/>
      <c r="E839" s="750"/>
      <c r="F839" s="397"/>
      <c r="G839" s="530"/>
      <c r="H839" s="530"/>
      <c r="I839" s="530"/>
      <c r="J839" s="417"/>
      <c r="K839" s="505"/>
      <c r="L839" s="579"/>
      <c r="M839" s="397"/>
      <c r="N839" s="397"/>
      <c r="O839" s="397"/>
      <c r="P839" s="397"/>
      <c r="Q839" s="397"/>
      <c r="R839" s="397"/>
      <c r="S839" s="397"/>
      <c r="T839" s="397"/>
      <c r="U839" s="397"/>
      <c r="V839" s="397"/>
      <c r="W839" s="397"/>
      <c r="X839" s="397"/>
      <c r="Y839" s="397"/>
      <c r="Z839" s="397"/>
      <c r="AA839" s="397"/>
      <c r="AB839" s="530"/>
      <c r="AC839" s="530"/>
      <c r="AD839" s="530"/>
    </row>
    <row r="840" spans="2:30" x14ac:dyDescent="0.25">
      <c r="B840" s="397"/>
      <c r="C840" s="397"/>
      <c r="D840" s="397"/>
      <c r="E840" s="750"/>
      <c r="F840" s="397"/>
      <c r="G840" s="530"/>
      <c r="H840" s="530"/>
      <c r="I840" s="530"/>
      <c r="J840" s="417"/>
      <c r="K840" s="505"/>
      <c r="L840" s="579"/>
      <c r="M840" s="397"/>
      <c r="N840" s="397"/>
      <c r="O840" s="397"/>
      <c r="P840" s="397"/>
      <c r="Q840" s="397"/>
      <c r="R840" s="397"/>
      <c r="S840" s="397"/>
      <c r="T840" s="397"/>
      <c r="U840" s="397"/>
      <c r="V840" s="397"/>
      <c r="W840" s="397"/>
      <c r="X840" s="397"/>
      <c r="Y840" s="397"/>
      <c r="Z840" s="397"/>
      <c r="AA840" s="397"/>
      <c r="AB840" s="530"/>
      <c r="AC840" s="530"/>
      <c r="AD840" s="530"/>
    </row>
    <row r="841" spans="2:30" x14ac:dyDescent="0.25">
      <c r="B841" s="397"/>
      <c r="C841" s="397"/>
      <c r="D841" s="397"/>
      <c r="E841" s="750"/>
      <c r="F841" s="397"/>
      <c r="G841" s="530"/>
      <c r="H841" s="530"/>
      <c r="I841" s="530"/>
      <c r="J841" s="417"/>
      <c r="K841" s="505"/>
      <c r="L841" s="579"/>
      <c r="M841" s="397"/>
      <c r="N841" s="397"/>
      <c r="O841" s="397"/>
      <c r="P841" s="397"/>
      <c r="Q841" s="397"/>
      <c r="R841" s="397"/>
      <c r="S841" s="397"/>
      <c r="T841" s="397"/>
      <c r="U841" s="397"/>
      <c r="V841" s="397"/>
      <c r="W841" s="397"/>
      <c r="X841" s="397"/>
      <c r="Y841" s="397"/>
      <c r="Z841" s="397"/>
      <c r="AA841" s="397"/>
      <c r="AB841" s="530"/>
      <c r="AC841" s="530"/>
      <c r="AD841" s="530"/>
    </row>
    <row r="842" spans="2:30" x14ac:dyDescent="0.25">
      <c r="B842" s="397"/>
      <c r="C842" s="397"/>
      <c r="D842" s="397"/>
      <c r="E842" s="750"/>
      <c r="F842" s="397"/>
      <c r="G842" s="530"/>
      <c r="H842" s="530"/>
      <c r="I842" s="530"/>
      <c r="J842" s="417"/>
      <c r="K842" s="505"/>
      <c r="L842" s="579"/>
      <c r="M842" s="397"/>
      <c r="N842" s="397"/>
      <c r="O842" s="397"/>
      <c r="P842" s="397"/>
      <c r="Q842" s="397"/>
      <c r="R842" s="397"/>
      <c r="S842" s="397"/>
      <c r="T842" s="397"/>
      <c r="U842" s="397"/>
      <c r="V842" s="397"/>
      <c r="W842" s="397"/>
      <c r="X842" s="397"/>
      <c r="Y842" s="397"/>
      <c r="Z842" s="397"/>
      <c r="AA842" s="397"/>
      <c r="AB842" s="530"/>
      <c r="AC842" s="530"/>
      <c r="AD842" s="530"/>
    </row>
    <row r="843" spans="2:30" x14ac:dyDescent="0.25">
      <c r="B843" s="397"/>
      <c r="C843" s="397"/>
      <c r="D843" s="397"/>
      <c r="E843" s="750"/>
      <c r="F843" s="397"/>
      <c r="G843" s="530"/>
      <c r="H843" s="530"/>
      <c r="I843" s="530"/>
      <c r="J843" s="417"/>
      <c r="K843" s="505"/>
      <c r="L843" s="579"/>
      <c r="M843" s="397"/>
      <c r="N843" s="397"/>
      <c r="O843" s="397"/>
      <c r="P843" s="397"/>
      <c r="Q843" s="397"/>
      <c r="R843" s="397"/>
      <c r="S843" s="397"/>
      <c r="T843" s="397"/>
      <c r="U843" s="397"/>
      <c r="V843" s="397"/>
      <c r="W843" s="397"/>
      <c r="X843" s="397"/>
      <c r="Y843" s="397"/>
      <c r="Z843" s="397"/>
      <c r="AA843" s="397"/>
      <c r="AB843" s="530"/>
      <c r="AC843" s="530"/>
      <c r="AD843" s="530"/>
    </row>
    <row r="844" spans="2:30" x14ac:dyDescent="0.25">
      <c r="B844" s="397"/>
      <c r="C844" s="397"/>
      <c r="D844" s="397"/>
      <c r="E844" s="750"/>
      <c r="F844" s="397"/>
      <c r="G844" s="530"/>
      <c r="H844" s="530"/>
      <c r="I844" s="530"/>
      <c r="J844" s="417"/>
      <c r="K844" s="505"/>
      <c r="L844" s="579"/>
      <c r="M844" s="397"/>
      <c r="N844" s="397"/>
      <c r="O844" s="397"/>
      <c r="P844" s="397"/>
      <c r="Q844" s="397"/>
      <c r="R844" s="397"/>
      <c r="S844" s="397"/>
      <c r="T844" s="397"/>
      <c r="U844" s="397"/>
      <c r="V844" s="397"/>
      <c r="W844" s="397"/>
      <c r="X844" s="397"/>
      <c r="Y844" s="397"/>
      <c r="Z844" s="397"/>
      <c r="AA844" s="397"/>
      <c r="AB844" s="530"/>
      <c r="AC844" s="530"/>
      <c r="AD844" s="530"/>
    </row>
    <row r="845" spans="2:30" x14ac:dyDescent="0.25">
      <c r="B845" s="397"/>
      <c r="C845" s="397"/>
      <c r="D845" s="397"/>
      <c r="E845" s="750"/>
      <c r="F845" s="397"/>
      <c r="G845" s="530"/>
      <c r="H845" s="530"/>
      <c r="I845" s="530"/>
      <c r="J845" s="417"/>
      <c r="K845" s="505"/>
      <c r="L845" s="579"/>
      <c r="M845" s="397"/>
      <c r="N845" s="397"/>
      <c r="O845" s="397"/>
      <c r="P845" s="397"/>
      <c r="Q845" s="397"/>
      <c r="R845" s="397"/>
      <c r="S845" s="397"/>
      <c r="T845" s="397"/>
      <c r="U845" s="397"/>
      <c r="V845" s="397"/>
      <c r="W845" s="397"/>
      <c r="X845" s="397"/>
      <c r="Y845" s="397"/>
      <c r="Z845" s="397"/>
      <c r="AA845" s="397"/>
      <c r="AB845" s="530"/>
      <c r="AC845" s="530"/>
      <c r="AD845" s="530"/>
    </row>
    <row r="846" spans="2:30" x14ac:dyDescent="0.25">
      <c r="B846" s="397"/>
      <c r="C846" s="397"/>
      <c r="D846" s="397"/>
      <c r="E846" s="750"/>
      <c r="F846" s="397"/>
      <c r="G846" s="530"/>
      <c r="H846" s="530"/>
      <c r="I846" s="530"/>
      <c r="J846" s="417"/>
      <c r="K846" s="505"/>
      <c r="L846" s="579"/>
      <c r="M846" s="397"/>
      <c r="N846" s="397"/>
      <c r="O846" s="397"/>
      <c r="P846" s="397"/>
      <c r="Q846" s="397"/>
      <c r="R846" s="397"/>
      <c r="S846" s="397"/>
      <c r="T846" s="397"/>
      <c r="U846" s="397"/>
      <c r="V846" s="397"/>
      <c r="W846" s="397"/>
      <c r="X846" s="397"/>
      <c r="Y846" s="397"/>
      <c r="Z846" s="397"/>
      <c r="AA846" s="397"/>
      <c r="AB846" s="530"/>
      <c r="AC846" s="530"/>
      <c r="AD846" s="530"/>
    </row>
    <row r="847" spans="2:30" x14ac:dyDescent="0.25">
      <c r="B847" s="397"/>
      <c r="C847" s="397"/>
      <c r="D847" s="397"/>
      <c r="E847" s="750"/>
      <c r="F847" s="397"/>
      <c r="G847" s="530"/>
      <c r="H847" s="530"/>
      <c r="I847" s="530"/>
      <c r="J847" s="417"/>
      <c r="K847" s="505"/>
      <c r="L847" s="579"/>
      <c r="M847" s="397"/>
      <c r="N847" s="397"/>
      <c r="O847" s="397"/>
      <c r="P847" s="397"/>
      <c r="Q847" s="397"/>
      <c r="R847" s="397"/>
      <c r="S847" s="397"/>
      <c r="T847" s="397"/>
      <c r="U847" s="397"/>
      <c r="V847" s="397"/>
      <c r="W847" s="397"/>
      <c r="X847" s="397"/>
      <c r="Y847" s="397"/>
      <c r="Z847" s="397"/>
      <c r="AA847" s="397"/>
      <c r="AB847" s="530"/>
      <c r="AC847" s="530"/>
      <c r="AD847" s="530"/>
    </row>
    <row r="848" spans="2:30" x14ac:dyDescent="0.25">
      <c r="B848" s="397"/>
      <c r="C848" s="397"/>
      <c r="D848" s="397"/>
      <c r="E848" s="750"/>
      <c r="F848" s="397"/>
      <c r="G848" s="530"/>
      <c r="H848" s="530"/>
      <c r="I848" s="530"/>
      <c r="J848" s="417"/>
      <c r="K848" s="505"/>
      <c r="L848" s="579"/>
      <c r="M848" s="397"/>
      <c r="N848" s="397"/>
      <c r="O848" s="397"/>
      <c r="P848" s="397"/>
      <c r="Q848" s="397"/>
      <c r="R848" s="397"/>
      <c r="S848" s="397"/>
      <c r="T848" s="397"/>
      <c r="U848" s="397"/>
      <c r="V848" s="397"/>
      <c r="W848" s="397"/>
      <c r="X848" s="397"/>
      <c r="Y848" s="397"/>
      <c r="Z848" s="397"/>
      <c r="AA848" s="397"/>
      <c r="AB848" s="530"/>
      <c r="AC848" s="530"/>
      <c r="AD848" s="530"/>
    </row>
    <row r="849" spans="2:30" x14ac:dyDescent="0.25">
      <c r="B849" s="397"/>
      <c r="C849" s="397"/>
      <c r="D849" s="397"/>
      <c r="E849" s="750"/>
      <c r="F849" s="397"/>
      <c r="G849" s="530"/>
      <c r="H849" s="530"/>
      <c r="I849" s="530"/>
      <c r="J849" s="417"/>
      <c r="K849" s="505"/>
      <c r="L849" s="579"/>
      <c r="M849" s="397"/>
      <c r="N849" s="397"/>
      <c r="O849" s="397"/>
      <c r="P849" s="397"/>
      <c r="Q849" s="397"/>
      <c r="R849" s="397"/>
      <c r="S849" s="397"/>
      <c r="T849" s="397"/>
      <c r="U849" s="397"/>
      <c r="V849" s="397"/>
      <c r="W849" s="397"/>
      <c r="X849" s="397"/>
      <c r="Y849" s="397"/>
      <c r="Z849" s="397"/>
      <c r="AA849" s="397"/>
      <c r="AB849" s="530"/>
      <c r="AC849" s="530"/>
      <c r="AD849" s="530"/>
    </row>
    <row r="850" spans="2:30" x14ac:dyDescent="0.25">
      <c r="B850" s="397"/>
      <c r="C850" s="397"/>
      <c r="D850" s="397"/>
      <c r="E850" s="750"/>
      <c r="F850" s="397"/>
      <c r="G850" s="530"/>
      <c r="H850" s="530"/>
      <c r="I850" s="530"/>
      <c r="J850" s="417"/>
      <c r="K850" s="505"/>
      <c r="L850" s="579"/>
      <c r="M850" s="397"/>
      <c r="N850" s="397"/>
      <c r="O850" s="397"/>
      <c r="P850" s="397"/>
      <c r="Q850" s="397"/>
      <c r="R850" s="397"/>
      <c r="S850" s="397"/>
      <c r="T850" s="397"/>
      <c r="U850" s="397"/>
      <c r="V850" s="397"/>
      <c r="W850" s="397"/>
      <c r="X850" s="397"/>
      <c r="Y850" s="397"/>
      <c r="Z850" s="397"/>
      <c r="AA850" s="397"/>
      <c r="AB850" s="530"/>
      <c r="AC850" s="530"/>
      <c r="AD850" s="530"/>
    </row>
    <row r="851" spans="2:30" x14ac:dyDescent="0.25">
      <c r="B851" s="397"/>
      <c r="C851" s="397"/>
      <c r="D851" s="397"/>
      <c r="E851" s="750"/>
      <c r="F851" s="397"/>
      <c r="G851" s="530"/>
      <c r="H851" s="530"/>
      <c r="I851" s="530"/>
      <c r="J851" s="417"/>
      <c r="K851" s="505"/>
      <c r="L851" s="579"/>
      <c r="M851" s="397"/>
      <c r="N851" s="397"/>
      <c r="O851" s="397"/>
      <c r="P851" s="397"/>
      <c r="Q851" s="397"/>
      <c r="R851" s="397"/>
      <c r="S851" s="397"/>
      <c r="T851" s="397"/>
      <c r="U851" s="397"/>
      <c r="V851" s="397"/>
      <c r="W851" s="397"/>
      <c r="X851" s="397"/>
      <c r="Y851" s="397"/>
      <c r="Z851" s="397"/>
      <c r="AA851" s="397"/>
      <c r="AB851" s="530"/>
      <c r="AC851" s="530"/>
      <c r="AD851" s="530"/>
    </row>
    <row r="852" spans="2:30" x14ac:dyDescent="0.25">
      <c r="B852" s="397"/>
      <c r="C852" s="397"/>
      <c r="D852" s="397"/>
      <c r="E852" s="750"/>
      <c r="F852" s="397"/>
      <c r="G852" s="530"/>
      <c r="H852" s="530"/>
      <c r="I852" s="530"/>
      <c r="J852" s="417"/>
      <c r="K852" s="505"/>
      <c r="L852" s="579"/>
      <c r="M852" s="397"/>
      <c r="N852" s="397"/>
      <c r="O852" s="397"/>
      <c r="P852" s="397"/>
      <c r="Q852" s="397"/>
      <c r="R852" s="397"/>
      <c r="S852" s="397"/>
      <c r="T852" s="397"/>
      <c r="U852" s="397"/>
      <c r="V852" s="397"/>
      <c r="W852" s="397"/>
      <c r="X852" s="397"/>
      <c r="Y852" s="397"/>
      <c r="Z852" s="397"/>
      <c r="AA852" s="397"/>
      <c r="AB852" s="530"/>
      <c r="AC852" s="530"/>
      <c r="AD852" s="530"/>
    </row>
    <row r="853" spans="2:30" x14ac:dyDescent="0.25">
      <c r="B853" s="397"/>
      <c r="C853" s="397"/>
      <c r="D853" s="397"/>
      <c r="E853" s="750"/>
      <c r="F853" s="397"/>
      <c r="G853" s="530"/>
      <c r="H853" s="530"/>
      <c r="I853" s="530"/>
      <c r="J853" s="417"/>
      <c r="K853" s="505"/>
      <c r="L853" s="579"/>
      <c r="M853" s="397"/>
      <c r="N853" s="397"/>
      <c r="O853" s="397"/>
      <c r="P853" s="397"/>
      <c r="Q853" s="397"/>
      <c r="R853" s="397"/>
      <c r="S853" s="397"/>
      <c r="T853" s="397"/>
      <c r="U853" s="397"/>
      <c r="V853" s="397"/>
      <c r="W853" s="397"/>
      <c r="X853" s="397"/>
      <c r="Y853" s="397"/>
      <c r="Z853" s="397"/>
      <c r="AA853" s="397"/>
      <c r="AB853" s="530"/>
      <c r="AC853" s="530"/>
      <c r="AD853" s="530"/>
    </row>
    <row r="854" spans="2:30" x14ac:dyDescent="0.25">
      <c r="B854" s="397"/>
      <c r="C854" s="397"/>
      <c r="D854" s="397"/>
      <c r="E854" s="750"/>
      <c r="F854" s="397"/>
      <c r="G854" s="530"/>
      <c r="H854" s="530"/>
      <c r="I854" s="530"/>
      <c r="J854" s="417"/>
      <c r="K854" s="505"/>
      <c r="L854" s="579"/>
      <c r="M854" s="397"/>
      <c r="N854" s="397"/>
      <c r="O854" s="397"/>
      <c r="P854" s="397"/>
      <c r="Q854" s="397"/>
      <c r="R854" s="397"/>
      <c r="S854" s="397"/>
      <c r="T854" s="397"/>
      <c r="U854" s="397"/>
      <c r="V854" s="397"/>
      <c r="W854" s="397"/>
      <c r="X854" s="397"/>
      <c r="Y854" s="397"/>
      <c r="Z854" s="397"/>
      <c r="AA854" s="397"/>
      <c r="AB854" s="530"/>
      <c r="AC854" s="530"/>
      <c r="AD854" s="530"/>
    </row>
    <row r="855" spans="2:30" x14ac:dyDescent="0.25">
      <c r="B855" s="397"/>
      <c r="C855" s="397"/>
      <c r="D855" s="397"/>
      <c r="E855" s="750"/>
      <c r="F855" s="397"/>
      <c r="G855" s="530"/>
      <c r="H855" s="530"/>
      <c r="I855" s="530"/>
      <c r="J855" s="417"/>
      <c r="K855" s="505"/>
      <c r="L855" s="579"/>
      <c r="M855" s="397"/>
      <c r="N855" s="397"/>
      <c r="O855" s="397"/>
      <c r="P855" s="397"/>
      <c r="Q855" s="397"/>
      <c r="R855" s="397"/>
      <c r="S855" s="397"/>
      <c r="T855" s="397"/>
      <c r="U855" s="397"/>
      <c r="V855" s="397"/>
      <c r="W855" s="397"/>
      <c r="X855" s="397"/>
      <c r="Y855" s="397"/>
      <c r="Z855" s="397"/>
      <c r="AA855" s="397"/>
      <c r="AB855" s="530"/>
      <c r="AC855" s="530"/>
      <c r="AD855" s="530"/>
    </row>
    <row r="856" spans="2:30" x14ac:dyDescent="0.25">
      <c r="B856" s="397"/>
      <c r="C856" s="397"/>
      <c r="D856" s="397"/>
      <c r="E856" s="750"/>
      <c r="F856" s="397"/>
      <c r="G856" s="530"/>
      <c r="H856" s="530"/>
      <c r="I856" s="530"/>
      <c r="J856" s="417"/>
      <c r="K856" s="505"/>
      <c r="L856" s="579"/>
      <c r="M856" s="397"/>
      <c r="N856" s="397"/>
      <c r="O856" s="397"/>
      <c r="P856" s="397"/>
      <c r="Q856" s="397"/>
      <c r="R856" s="397"/>
      <c r="S856" s="397"/>
      <c r="T856" s="397"/>
      <c r="U856" s="397"/>
      <c r="V856" s="397"/>
      <c r="W856" s="397"/>
      <c r="X856" s="397"/>
      <c r="Y856" s="397"/>
      <c r="Z856" s="397"/>
      <c r="AA856" s="397"/>
      <c r="AB856" s="530"/>
      <c r="AC856" s="530"/>
      <c r="AD856" s="530"/>
    </row>
    <row r="857" spans="2:30" x14ac:dyDescent="0.25">
      <c r="B857" s="397"/>
      <c r="C857" s="397"/>
      <c r="D857" s="397"/>
      <c r="E857" s="750"/>
      <c r="F857" s="397"/>
      <c r="G857" s="530"/>
      <c r="H857" s="530"/>
      <c r="I857" s="530"/>
      <c r="J857" s="417"/>
      <c r="K857" s="505"/>
      <c r="L857" s="579"/>
      <c r="M857" s="397"/>
      <c r="N857" s="397"/>
      <c r="O857" s="397"/>
      <c r="P857" s="397"/>
      <c r="Q857" s="397"/>
      <c r="R857" s="397"/>
      <c r="S857" s="397"/>
      <c r="T857" s="397"/>
      <c r="U857" s="397"/>
      <c r="V857" s="397"/>
      <c r="W857" s="397"/>
      <c r="X857" s="397"/>
      <c r="Y857" s="397"/>
      <c r="Z857" s="397"/>
      <c r="AA857" s="397"/>
      <c r="AB857" s="530"/>
      <c r="AC857" s="530"/>
      <c r="AD857" s="530"/>
    </row>
    <row r="858" spans="2:30" x14ac:dyDescent="0.25">
      <c r="B858" s="397"/>
      <c r="C858" s="397"/>
      <c r="D858" s="397"/>
      <c r="E858" s="750"/>
      <c r="F858" s="397"/>
      <c r="G858" s="530"/>
      <c r="H858" s="530"/>
      <c r="I858" s="530"/>
      <c r="J858" s="417"/>
      <c r="K858" s="505"/>
      <c r="L858" s="579"/>
      <c r="M858" s="397"/>
      <c r="N858" s="397"/>
      <c r="O858" s="397"/>
      <c r="P858" s="397"/>
      <c r="Q858" s="397"/>
      <c r="R858" s="397"/>
      <c r="S858" s="397"/>
      <c r="T858" s="397"/>
      <c r="U858" s="397"/>
      <c r="V858" s="397"/>
      <c r="W858" s="397"/>
      <c r="X858" s="397"/>
      <c r="Y858" s="397"/>
      <c r="Z858" s="397"/>
      <c r="AA858" s="397"/>
      <c r="AB858" s="530"/>
      <c r="AC858" s="530"/>
      <c r="AD858" s="530"/>
    </row>
    <row r="859" spans="2:30" x14ac:dyDescent="0.25">
      <c r="B859" s="397"/>
      <c r="C859" s="397"/>
      <c r="D859" s="397"/>
      <c r="E859" s="750"/>
      <c r="F859" s="397"/>
      <c r="G859" s="530"/>
      <c r="H859" s="530"/>
      <c r="I859" s="530"/>
      <c r="J859" s="417"/>
      <c r="K859" s="505"/>
      <c r="L859" s="579"/>
      <c r="M859" s="397"/>
      <c r="N859" s="397"/>
      <c r="O859" s="397"/>
      <c r="P859" s="397"/>
      <c r="Q859" s="397"/>
      <c r="R859" s="397"/>
      <c r="S859" s="397"/>
      <c r="T859" s="397"/>
      <c r="U859" s="397"/>
      <c r="V859" s="397"/>
      <c r="W859" s="397"/>
      <c r="X859" s="397"/>
      <c r="Y859" s="397"/>
      <c r="Z859" s="397"/>
      <c r="AA859" s="397"/>
      <c r="AB859" s="530"/>
      <c r="AC859" s="530"/>
      <c r="AD859" s="530"/>
    </row>
    <row r="860" spans="2:30" x14ac:dyDescent="0.25">
      <c r="B860" s="397"/>
      <c r="C860" s="397"/>
      <c r="D860" s="397"/>
      <c r="E860" s="750"/>
      <c r="F860" s="397"/>
      <c r="G860" s="530"/>
      <c r="H860" s="530"/>
      <c r="I860" s="530"/>
      <c r="J860" s="417"/>
      <c r="K860" s="505"/>
      <c r="L860" s="579"/>
      <c r="M860" s="397"/>
      <c r="N860" s="397"/>
      <c r="O860" s="397"/>
      <c r="P860" s="397"/>
      <c r="Q860" s="397"/>
      <c r="R860" s="397"/>
      <c r="S860" s="397"/>
      <c r="T860" s="397"/>
      <c r="U860" s="397"/>
      <c r="V860" s="397"/>
      <c r="W860" s="397"/>
      <c r="X860" s="397"/>
      <c r="Y860" s="397"/>
      <c r="Z860" s="397"/>
      <c r="AA860" s="397"/>
      <c r="AB860" s="530"/>
      <c r="AC860" s="530"/>
      <c r="AD860" s="530"/>
    </row>
    <row r="861" spans="2:30" x14ac:dyDescent="0.25">
      <c r="B861" s="397"/>
      <c r="C861" s="397"/>
      <c r="D861" s="397"/>
      <c r="E861" s="750"/>
      <c r="F861" s="397"/>
      <c r="G861" s="530"/>
      <c r="H861" s="530"/>
      <c r="I861" s="530"/>
      <c r="J861" s="417"/>
      <c r="K861" s="505"/>
      <c r="L861" s="579"/>
      <c r="M861" s="397"/>
      <c r="N861" s="397"/>
      <c r="O861" s="397"/>
      <c r="P861" s="397"/>
      <c r="Q861" s="397"/>
      <c r="R861" s="397"/>
      <c r="S861" s="397"/>
      <c r="T861" s="397"/>
      <c r="U861" s="397"/>
      <c r="V861" s="397"/>
      <c r="W861" s="397"/>
      <c r="X861" s="397"/>
      <c r="Y861" s="397"/>
      <c r="Z861" s="397"/>
      <c r="AA861" s="397"/>
      <c r="AB861" s="530"/>
      <c r="AC861" s="530"/>
      <c r="AD861" s="530"/>
    </row>
    <row r="862" spans="2:30" x14ac:dyDescent="0.25">
      <c r="B862" s="397"/>
      <c r="C862" s="397"/>
      <c r="D862" s="397"/>
      <c r="E862" s="750"/>
      <c r="F862" s="397"/>
      <c r="G862" s="530"/>
      <c r="H862" s="530"/>
      <c r="I862" s="530"/>
      <c r="J862" s="417"/>
      <c r="K862" s="505"/>
      <c r="L862" s="579"/>
      <c r="M862" s="397"/>
      <c r="N862" s="397"/>
      <c r="O862" s="397"/>
      <c r="P862" s="397"/>
      <c r="Q862" s="397"/>
      <c r="R862" s="397"/>
      <c r="S862" s="397"/>
      <c r="T862" s="397"/>
      <c r="U862" s="397"/>
      <c r="V862" s="397"/>
      <c r="W862" s="397"/>
      <c r="X862" s="397"/>
      <c r="Y862" s="397"/>
      <c r="Z862" s="397"/>
      <c r="AA862" s="397"/>
      <c r="AB862" s="530"/>
      <c r="AC862" s="530"/>
      <c r="AD862" s="530"/>
    </row>
    <row r="863" spans="2:30" x14ac:dyDescent="0.25">
      <c r="B863" s="397"/>
      <c r="C863" s="397"/>
      <c r="D863" s="397"/>
      <c r="E863" s="750"/>
      <c r="F863" s="397"/>
      <c r="G863" s="530"/>
      <c r="H863" s="530"/>
      <c r="I863" s="530"/>
      <c r="J863" s="417"/>
      <c r="K863" s="505"/>
      <c r="L863" s="579"/>
      <c r="M863" s="397"/>
      <c r="N863" s="397"/>
      <c r="O863" s="397"/>
      <c r="P863" s="397"/>
      <c r="Q863" s="397"/>
      <c r="R863" s="397"/>
      <c r="S863" s="397"/>
      <c r="T863" s="397"/>
      <c r="U863" s="397"/>
      <c r="V863" s="397"/>
      <c r="W863" s="397"/>
      <c r="X863" s="397"/>
      <c r="Y863" s="397"/>
      <c r="Z863" s="397"/>
      <c r="AA863" s="397"/>
      <c r="AB863" s="530"/>
      <c r="AC863" s="530"/>
      <c r="AD863" s="530"/>
    </row>
    <row r="864" spans="2:30" x14ac:dyDescent="0.25">
      <c r="B864" s="397"/>
      <c r="C864" s="397"/>
      <c r="D864" s="397"/>
      <c r="E864" s="750"/>
      <c r="F864" s="397"/>
      <c r="G864" s="530"/>
      <c r="H864" s="530"/>
      <c r="I864" s="530"/>
      <c r="J864" s="417"/>
      <c r="K864" s="505"/>
      <c r="L864" s="579"/>
      <c r="M864" s="397"/>
      <c r="N864" s="397"/>
      <c r="O864" s="397"/>
      <c r="P864" s="397"/>
      <c r="Q864" s="397"/>
      <c r="R864" s="397"/>
      <c r="S864" s="397"/>
      <c r="T864" s="397"/>
      <c r="U864" s="397"/>
      <c r="V864" s="397"/>
      <c r="W864" s="397"/>
      <c r="X864" s="397"/>
      <c r="Y864" s="397"/>
      <c r="Z864" s="397"/>
      <c r="AA864" s="397"/>
      <c r="AB864" s="530"/>
      <c r="AC864" s="530"/>
      <c r="AD864" s="530"/>
    </row>
    <row r="865" spans="2:30" x14ac:dyDescent="0.25">
      <c r="B865" s="397"/>
      <c r="C865" s="397"/>
      <c r="D865" s="397"/>
      <c r="E865" s="750"/>
      <c r="F865" s="397"/>
      <c r="G865" s="530"/>
      <c r="H865" s="530"/>
      <c r="I865" s="530"/>
      <c r="J865" s="417"/>
      <c r="K865" s="505"/>
      <c r="L865" s="579"/>
      <c r="M865" s="397"/>
      <c r="N865" s="397"/>
      <c r="O865" s="397"/>
      <c r="P865" s="397"/>
      <c r="Q865" s="397"/>
      <c r="R865" s="397"/>
      <c r="S865" s="397"/>
      <c r="T865" s="397"/>
      <c r="U865" s="397"/>
      <c r="V865" s="397"/>
      <c r="W865" s="397"/>
      <c r="X865" s="397"/>
      <c r="Y865" s="397"/>
      <c r="Z865" s="397"/>
      <c r="AA865" s="397"/>
      <c r="AB865" s="530"/>
      <c r="AC865" s="530"/>
      <c r="AD865" s="530"/>
    </row>
    <row r="866" spans="2:30" x14ac:dyDescent="0.25">
      <c r="B866" s="397"/>
      <c r="C866" s="397"/>
      <c r="D866" s="397"/>
      <c r="E866" s="750"/>
      <c r="F866" s="397"/>
      <c r="G866" s="530"/>
      <c r="H866" s="530"/>
      <c r="I866" s="530"/>
      <c r="J866" s="417"/>
      <c r="K866" s="505"/>
      <c r="L866" s="579"/>
      <c r="M866" s="397"/>
      <c r="N866" s="397"/>
      <c r="O866" s="397"/>
      <c r="P866" s="397"/>
      <c r="Q866" s="397"/>
      <c r="R866" s="397"/>
      <c r="S866" s="397"/>
      <c r="T866" s="397"/>
      <c r="U866" s="397"/>
      <c r="V866" s="397"/>
      <c r="W866" s="397"/>
      <c r="X866" s="397"/>
      <c r="Y866" s="397"/>
      <c r="Z866" s="397"/>
      <c r="AA866" s="397"/>
      <c r="AB866" s="530"/>
      <c r="AC866" s="530"/>
      <c r="AD866" s="530"/>
    </row>
    <row r="867" spans="2:30" x14ac:dyDescent="0.25">
      <c r="B867" s="397"/>
      <c r="C867" s="397"/>
      <c r="D867" s="397"/>
      <c r="E867" s="750"/>
      <c r="F867" s="397"/>
      <c r="G867" s="530"/>
      <c r="H867" s="530"/>
      <c r="I867" s="530"/>
      <c r="J867" s="417"/>
      <c r="K867" s="505"/>
      <c r="L867" s="579"/>
      <c r="M867" s="397"/>
      <c r="N867" s="397"/>
      <c r="O867" s="397"/>
      <c r="P867" s="397"/>
      <c r="Q867" s="397"/>
      <c r="R867" s="397"/>
      <c r="S867" s="397"/>
      <c r="T867" s="397"/>
      <c r="U867" s="397"/>
      <c r="V867" s="397"/>
      <c r="W867" s="397"/>
      <c r="X867" s="397"/>
      <c r="Y867" s="397"/>
      <c r="Z867" s="397"/>
      <c r="AA867" s="397"/>
      <c r="AB867" s="530"/>
      <c r="AC867" s="530"/>
      <c r="AD867" s="530"/>
    </row>
    <row r="868" spans="2:30" x14ac:dyDescent="0.25">
      <c r="B868" s="397"/>
      <c r="C868" s="397"/>
      <c r="D868" s="397"/>
      <c r="E868" s="750"/>
      <c r="F868" s="397"/>
      <c r="G868" s="530"/>
      <c r="H868" s="530"/>
      <c r="I868" s="530"/>
      <c r="J868" s="417"/>
      <c r="K868" s="505"/>
      <c r="L868" s="579"/>
      <c r="M868" s="397"/>
      <c r="N868" s="397"/>
      <c r="O868" s="397"/>
      <c r="P868" s="397"/>
      <c r="Q868" s="397"/>
      <c r="R868" s="397"/>
      <c r="S868" s="397"/>
      <c r="T868" s="397"/>
      <c r="U868" s="397"/>
      <c r="V868" s="397"/>
      <c r="W868" s="397"/>
      <c r="X868" s="397"/>
      <c r="Y868" s="397"/>
      <c r="Z868" s="397"/>
      <c r="AA868" s="397"/>
      <c r="AB868" s="530"/>
      <c r="AC868" s="530"/>
      <c r="AD868" s="530"/>
    </row>
    <row r="869" spans="2:30" x14ac:dyDescent="0.25">
      <c r="B869" s="397"/>
      <c r="C869" s="397"/>
      <c r="D869" s="397"/>
      <c r="E869" s="750"/>
      <c r="F869" s="397"/>
      <c r="G869" s="530"/>
      <c r="H869" s="530"/>
      <c r="I869" s="530"/>
      <c r="J869" s="417"/>
      <c r="K869" s="505"/>
      <c r="L869" s="579"/>
      <c r="M869" s="397"/>
      <c r="N869" s="397"/>
      <c r="O869" s="397"/>
      <c r="P869" s="397"/>
      <c r="Q869" s="397"/>
      <c r="R869" s="397"/>
      <c r="S869" s="397"/>
      <c r="T869" s="397"/>
      <c r="U869" s="397"/>
      <c r="V869" s="397"/>
      <c r="W869" s="397"/>
      <c r="X869" s="397"/>
      <c r="Y869" s="397"/>
      <c r="Z869" s="397"/>
      <c r="AA869" s="397"/>
      <c r="AB869" s="530"/>
      <c r="AC869" s="530"/>
      <c r="AD869" s="530"/>
    </row>
    <row r="870" spans="2:30" x14ac:dyDescent="0.25">
      <c r="B870" s="397"/>
      <c r="C870" s="397"/>
      <c r="D870" s="397"/>
      <c r="E870" s="750"/>
      <c r="F870" s="397"/>
      <c r="G870" s="530"/>
      <c r="H870" s="530"/>
      <c r="I870" s="530"/>
      <c r="J870" s="417"/>
      <c r="K870" s="505"/>
      <c r="L870" s="579"/>
      <c r="M870" s="397"/>
      <c r="N870" s="397"/>
      <c r="O870" s="397"/>
      <c r="P870" s="397"/>
      <c r="Q870" s="397"/>
      <c r="R870" s="397"/>
      <c r="S870" s="397"/>
      <c r="T870" s="397"/>
      <c r="U870" s="397"/>
      <c r="V870" s="397"/>
      <c r="W870" s="397"/>
      <c r="X870" s="397"/>
      <c r="Y870" s="397"/>
      <c r="Z870" s="397"/>
      <c r="AA870" s="397"/>
      <c r="AB870" s="530"/>
      <c r="AC870" s="530"/>
      <c r="AD870" s="530"/>
    </row>
    <row r="871" spans="2:30" x14ac:dyDescent="0.25">
      <c r="B871" s="397"/>
      <c r="C871" s="397"/>
      <c r="D871" s="397"/>
      <c r="E871" s="750"/>
      <c r="F871" s="397"/>
      <c r="G871" s="530"/>
      <c r="H871" s="530"/>
      <c r="I871" s="530"/>
      <c r="J871" s="417"/>
      <c r="K871" s="505"/>
      <c r="L871" s="579"/>
      <c r="M871" s="397"/>
      <c r="N871" s="397"/>
      <c r="O871" s="397"/>
      <c r="P871" s="397"/>
      <c r="Q871" s="397"/>
      <c r="R871" s="397"/>
      <c r="S871" s="397"/>
      <c r="T871" s="397"/>
      <c r="U871" s="397"/>
      <c r="V871" s="397"/>
      <c r="W871" s="397"/>
      <c r="X871" s="397"/>
      <c r="Y871" s="397"/>
      <c r="Z871" s="397"/>
      <c r="AA871" s="397"/>
      <c r="AB871" s="530"/>
      <c r="AC871" s="530"/>
      <c r="AD871" s="530"/>
    </row>
    <row r="872" spans="2:30" x14ac:dyDescent="0.25">
      <c r="B872" s="397"/>
      <c r="C872" s="397"/>
      <c r="D872" s="397"/>
      <c r="E872" s="750"/>
      <c r="F872" s="397"/>
      <c r="G872" s="530"/>
      <c r="H872" s="530"/>
      <c r="I872" s="530"/>
      <c r="J872" s="417"/>
      <c r="K872" s="505"/>
      <c r="L872" s="579"/>
      <c r="M872" s="397"/>
      <c r="N872" s="397"/>
      <c r="O872" s="397"/>
      <c r="P872" s="397"/>
      <c r="Q872" s="397"/>
      <c r="R872" s="397"/>
      <c r="S872" s="397"/>
      <c r="T872" s="397"/>
      <c r="U872" s="397"/>
      <c r="V872" s="397"/>
      <c r="W872" s="397"/>
      <c r="X872" s="397"/>
      <c r="Y872" s="397"/>
      <c r="Z872" s="397"/>
      <c r="AA872" s="397"/>
      <c r="AB872" s="530"/>
      <c r="AC872" s="530"/>
      <c r="AD872" s="530"/>
    </row>
    <row r="873" spans="2:30" x14ac:dyDescent="0.25">
      <c r="B873" s="397"/>
      <c r="C873" s="397"/>
      <c r="D873" s="397"/>
      <c r="E873" s="750"/>
      <c r="F873" s="397"/>
      <c r="G873" s="530"/>
      <c r="H873" s="530"/>
      <c r="I873" s="530"/>
      <c r="J873" s="417"/>
      <c r="K873" s="505"/>
      <c r="L873" s="579"/>
      <c r="M873" s="397"/>
      <c r="N873" s="397"/>
      <c r="O873" s="397"/>
      <c r="P873" s="397"/>
      <c r="Q873" s="397"/>
      <c r="R873" s="397"/>
      <c r="S873" s="397"/>
      <c r="T873" s="397"/>
      <c r="U873" s="397"/>
      <c r="V873" s="397"/>
      <c r="W873" s="397"/>
      <c r="X873" s="397"/>
      <c r="Y873" s="397"/>
      <c r="Z873" s="397"/>
      <c r="AA873" s="397"/>
      <c r="AB873" s="530"/>
      <c r="AC873" s="530"/>
      <c r="AD873" s="530"/>
    </row>
    <row r="874" spans="2:30" x14ac:dyDescent="0.25">
      <c r="B874" s="397"/>
      <c r="C874" s="397"/>
      <c r="D874" s="397"/>
      <c r="E874" s="750"/>
      <c r="F874" s="397"/>
      <c r="G874" s="530"/>
      <c r="H874" s="530"/>
      <c r="I874" s="530"/>
      <c r="J874" s="417"/>
      <c r="K874" s="505"/>
      <c r="L874" s="579"/>
      <c r="M874" s="397"/>
      <c r="N874" s="397"/>
      <c r="O874" s="397"/>
      <c r="P874" s="397"/>
      <c r="Q874" s="397"/>
      <c r="R874" s="397"/>
      <c r="S874" s="397"/>
      <c r="T874" s="397"/>
      <c r="U874" s="397"/>
      <c r="V874" s="397"/>
      <c r="W874" s="397"/>
      <c r="X874" s="397"/>
      <c r="Y874" s="397"/>
      <c r="Z874" s="397"/>
      <c r="AA874" s="397"/>
      <c r="AB874" s="530"/>
      <c r="AC874" s="530"/>
      <c r="AD874" s="530"/>
    </row>
    <row r="875" spans="2:30" x14ac:dyDescent="0.25">
      <c r="B875" s="397"/>
      <c r="C875" s="397"/>
      <c r="D875" s="397"/>
      <c r="E875" s="750"/>
      <c r="F875" s="397"/>
      <c r="G875" s="530"/>
      <c r="H875" s="530"/>
      <c r="I875" s="530"/>
      <c r="J875" s="417"/>
      <c r="K875" s="505"/>
      <c r="L875" s="579"/>
      <c r="M875" s="397"/>
      <c r="N875" s="397"/>
      <c r="O875" s="397"/>
      <c r="P875" s="397"/>
      <c r="Q875" s="397"/>
      <c r="R875" s="397"/>
      <c r="S875" s="397"/>
      <c r="T875" s="397"/>
      <c r="U875" s="397"/>
      <c r="V875" s="397"/>
      <c r="W875" s="397"/>
      <c r="X875" s="397"/>
      <c r="Y875" s="397"/>
      <c r="Z875" s="397"/>
      <c r="AA875" s="397"/>
      <c r="AB875" s="530"/>
      <c r="AC875" s="530"/>
      <c r="AD875" s="530"/>
    </row>
    <row r="876" spans="2:30" x14ac:dyDescent="0.25">
      <c r="B876" s="397"/>
      <c r="C876" s="397"/>
      <c r="D876" s="397"/>
      <c r="E876" s="750"/>
      <c r="F876" s="397"/>
      <c r="G876" s="530"/>
      <c r="H876" s="530"/>
      <c r="I876" s="530"/>
      <c r="J876" s="417"/>
      <c r="K876" s="505"/>
      <c r="L876" s="579"/>
      <c r="M876" s="397"/>
      <c r="N876" s="397"/>
      <c r="O876" s="397"/>
      <c r="P876" s="397"/>
      <c r="Q876" s="397"/>
      <c r="R876" s="397"/>
      <c r="S876" s="397"/>
      <c r="T876" s="397"/>
      <c r="U876" s="397"/>
      <c r="V876" s="397"/>
      <c r="W876" s="397"/>
      <c r="X876" s="397"/>
      <c r="Y876" s="397"/>
      <c r="Z876" s="397"/>
      <c r="AA876" s="397"/>
      <c r="AB876" s="530"/>
      <c r="AC876" s="530"/>
      <c r="AD876" s="530"/>
    </row>
    <row r="877" spans="2:30" x14ac:dyDescent="0.25">
      <c r="B877" s="397"/>
      <c r="C877" s="397"/>
      <c r="D877" s="397"/>
      <c r="E877" s="750"/>
      <c r="F877" s="397"/>
      <c r="G877" s="530"/>
      <c r="H877" s="530"/>
      <c r="I877" s="530"/>
      <c r="J877" s="417"/>
      <c r="K877" s="505"/>
      <c r="L877" s="579"/>
      <c r="M877" s="397"/>
      <c r="N877" s="397"/>
      <c r="O877" s="397"/>
      <c r="P877" s="397"/>
      <c r="Q877" s="397"/>
      <c r="R877" s="397"/>
      <c r="S877" s="397"/>
      <c r="T877" s="397"/>
      <c r="U877" s="397"/>
      <c r="V877" s="397"/>
      <c r="W877" s="397"/>
      <c r="X877" s="397"/>
      <c r="Y877" s="397"/>
      <c r="Z877" s="397"/>
      <c r="AA877" s="397"/>
      <c r="AB877" s="530"/>
      <c r="AC877" s="530"/>
      <c r="AD877" s="530"/>
    </row>
    <row r="878" spans="2:30" x14ac:dyDescent="0.25">
      <c r="B878" s="397"/>
      <c r="C878" s="397"/>
      <c r="D878" s="397"/>
      <c r="E878" s="750"/>
      <c r="F878" s="397"/>
      <c r="G878" s="530"/>
      <c r="H878" s="530"/>
      <c r="I878" s="530"/>
      <c r="J878" s="417"/>
      <c r="K878" s="505"/>
      <c r="L878" s="579"/>
      <c r="M878" s="397"/>
      <c r="N878" s="397"/>
      <c r="O878" s="397"/>
      <c r="P878" s="397"/>
      <c r="Q878" s="397"/>
      <c r="R878" s="397"/>
      <c r="S878" s="397"/>
      <c r="T878" s="397"/>
      <c r="U878" s="397"/>
      <c r="V878" s="397"/>
      <c r="W878" s="397"/>
      <c r="X878" s="397"/>
      <c r="Y878" s="397"/>
      <c r="Z878" s="397"/>
      <c r="AA878" s="397"/>
      <c r="AB878" s="530"/>
      <c r="AC878" s="530"/>
      <c r="AD878" s="530"/>
    </row>
    <row r="879" spans="2:30" x14ac:dyDescent="0.25">
      <c r="B879" s="397"/>
      <c r="C879" s="397"/>
      <c r="D879" s="397"/>
      <c r="E879" s="750"/>
      <c r="F879" s="397"/>
      <c r="G879" s="530"/>
      <c r="H879" s="530"/>
      <c r="I879" s="530"/>
      <c r="J879" s="417"/>
      <c r="K879" s="505"/>
      <c r="L879" s="579"/>
      <c r="M879" s="397"/>
      <c r="N879" s="397"/>
      <c r="O879" s="397"/>
      <c r="P879" s="397"/>
      <c r="Q879" s="397"/>
      <c r="R879" s="397"/>
      <c r="S879" s="397"/>
      <c r="T879" s="397"/>
      <c r="U879" s="397"/>
      <c r="V879" s="397"/>
      <c r="W879" s="397"/>
      <c r="X879" s="397"/>
      <c r="Y879" s="397"/>
      <c r="Z879" s="397"/>
      <c r="AA879" s="397"/>
      <c r="AB879" s="530"/>
      <c r="AC879" s="530"/>
      <c r="AD879" s="530"/>
    </row>
    <row r="880" spans="2:30" x14ac:dyDescent="0.25">
      <c r="B880" s="397"/>
      <c r="C880" s="397"/>
      <c r="D880" s="397"/>
      <c r="E880" s="750"/>
      <c r="F880" s="397"/>
      <c r="G880" s="530"/>
      <c r="H880" s="530"/>
      <c r="I880" s="530"/>
      <c r="J880" s="417"/>
      <c r="K880" s="505"/>
      <c r="L880" s="579"/>
      <c r="M880" s="397"/>
      <c r="N880" s="397"/>
      <c r="O880" s="397"/>
      <c r="P880" s="397"/>
      <c r="Q880" s="397"/>
      <c r="R880" s="397"/>
      <c r="S880" s="397"/>
      <c r="T880" s="397"/>
      <c r="U880" s="397"/>
      <c r="V880" s="397"/>
      <c r="W880" s="397"/>
      <c r="X880" s="397"/>
      <c r="Y880" s="397"/>
      <c r="Z880" s="397"/>
      <c r="AA880" s="397"/>
      <c r="AB880" s="530"/>
      <c r="AC880" s="530"/>
      <c r="AD880" s="530"/>
    </row>
    <row r="881" spans="2:30" x14ac:dyDescent="0.25">
      <c r="B881" s="397"/>
      <c r="C881" s="397"/>
      <c r="D881" s="397"/>
      <c r="E881" s="750"/>
      <c r="F881" s="397"/>
      <c r="G881" s="530"/>
      <c r="H881" s="530"/>
      <c r="I881" s="530"/>
      <c r="J881" s="417"/>
      <c r="K881" s="505"/>
      <c r="L881" s="579"/>
      <c r="M881" s="397"/>
      <c r="N881" s="397"/>
      <c r="O881" s="397"/>
      <c r="P881" s="397"/>
      <c r="Q881" s="397"/>
      <c r="R881" s="397"/>
      <c r="S881" s="397"/>
      <c r="T881" s="397"/>
      <c r="U881" s="397"/>
      <c r="V881" s="397"/>
      <c r="W881" s="397"/>
      <c r="X881" s="397"/>
      <c r="Y881" s="397"/>
      <c r="Z881" s="397"/>
      <c r="AA881" s="397"/>
      <c r="AB881" s="530"/>
      <c r="AC881" s="530"/>
      <c r="AD881" s="530"/>
    </row>
    <row r="882" spans="2:30" x14ac:dyDescent="0.25">
      <c r="B882" s="397"/>
      <c r="C882" s="397"/>
      <c r="D882" s="397"/>
      <c r="E882" s="750"/>
      <c r="F882" s="397"/>
      <c r="G882" s="530"/>
      <c r="H882" s="530"/>
      <c r="I882" s="530"/>
      <c r="J882" s="417"/>
      <c r="K882" s="505"/>
      <c r="L882" s="579"/>
      <c r="M882" s="397"/>
      <c r="N882" s="397"/>
      <c r="O882" s="397"/>
      <c r="P882" s="397"/>
      <c r="Q882" s="397"/>
      <c r="R882" s="397"/>
      <c r="S882" s="397"/>
      <c r="T882" s="397"/>
      <c r="U882" s="397"/>
      <c r="V882" s="397"/>
      <c r="W882" s="397"/>
      <c r="X882" s="397"/>
      <c r="Y882" s="397"/>
      <c r="Z882" s="397"/>
      <c r="AA882" s="397"/>
      <c r="AB882" s="530"/>
      <c r="AC882" s="530"/>
      <c r="AD882" s="530"/>
    </row>
    <row r="883" spans="2:30" x14ac:dyDescent="0.25">
      <c r="B883" s="397"/>
      <c r="C883" s="397"/>
      <c r="D883" s="397"/>
      <c r="E883" s="750"/>
      <c r="F883" s="397"/>
      <c r="G883" s="530"/>
      <c r="H883" s="530"/>
      <c r="I883" s="530"/>
      <c r="J883" s="417"/>
      <c r="K883" s="505"/>
      <c r="L883" s="579"/>
      <c r="M883" s="397"/>
      <c r="N883" s="397"/>
      <c r="O883" s="397"/>
      <c r="P883" s="397"/>
      <c r="Q883" s="397"/>
      <c r="R883" s="397"/>
      <c r="S883" s="397"/>
      <c r="T883" s="397"/>
      <c r="U883" s="397"/>
      <c r="V883" s="397"/>
      <c r="W883" s="397"/>
      <c r="X883" s="397"/>
      <c r="Y883" s="397"/>
      <c r="Z883" s="397"/>
      <c r="AA883" s="397"/>
      <c r="AB883" s="530"/>
      <c r="AC883" s="530"/>
      <c r="AD883" s="530"/>
    </row>
    <row r="884" spans="2:30" x14ac:dyDescent="0.25">
      <c r="B884" s="397"/>
      <c r="C884" s="397"/>
      <c r="D884" s="397"/>
      <c r="E884" s="750"/>
      <c r="F884" s="397"/>
      <c r="G884" s="530"/>
      <c r="H884" s="530"/>
      <c r="I884" s="530"/>
      <c r="J884" s="417"/>
      <c r="K884" s="505"/>
      <c r="L884" s="579"/>
      <c r="M884" s="397"/>
      <c r="N884" s="397"/>
      <c r="O884" s="397"/>
      <c r="P884" s="397"/>
      <c r="Q884" s="397"/>
      <c r="R884" s="397"/>
      <c r="S884" s="397"/>
      <c r="T884" s="397"/>
      <c r="U884" s="397"/>
      <c r="V884" s="397"/>
      <c r="W884" s="397"/>
      <c r="X884" s="397"/>
      <c r="Y884" s="397"/>
      <c r="Z884" s="397"/>
      <c r="AA884" s="397"/>
      <c r="AB884" s="530"/>
      <c r="AC884" s="530"/>
      <c r="AD884" s="530"/>
    </row>
    <row r="885" spans="2:30" x14ac:dyDescent="0.25">
      <c r="B885" s="397"/>
      <c r="C885" s="397"/>
      <c r="D885" s="397"/>
      <c r="E885" s="750"/>
      <c r="F885" s="397"/>
      <c r="G885" s="530"/>
      <c r="H885" s="530"/>
      <c r="I885" s="530"/>
      <c r="J885" s="417"/>
      <c r="K885" s="505"/>
      <c r="L885" s="579"/>
      <c r="M885" s="397"/>
      <c r="N885" s="397"/>
      <c r="O885" s="397"/>
      <c r="P885" s="397"/>
      <c r="Q885" s="397"/>
      <c r="R885" s="397"/>
      <c r="S885" s="397"/>
      <c r="T885" s="397"/>
      <c r="U885" s="397"/>
      <c r="V885" s="397"/>
      <c r="W885" s="397"/>
      <c r="X885" s="397"/>
      <c r="Y885" s="397"/>
      <c r="Z885" s="397"/>
      <c r="AA885" s="397"/>
      <c r="AB885" s="530"/>
      <c r="AC885" s="530"/>
      <c r="AD885" s="530"/>
    </row>
    <row r="886" spans="2:30" x14ac:dyDescent="0.25">
      <c r="B886" s="397"/>
      <c r="C886" s="397"/>
      <c r="D886" s="397"/>
      <c r="E886" s="750"/>
      <c r="F886" s="397"/>
      <c r="G886" s="530"/>
      <c r="H886" s="530"/>
      <c r="I886" s="530"/>
      <c r="J886" s="417"/>
      <c r="K886" s="505"/>
      <c r="L886" s="579"/>
      <c r="M886" s="397"/>
      <c r="N886" s="397"/>
      <c r="O886" s="397"/>
      <c r="P886" s="397"/>
      <c r="Q886" s="397"/>
      <c r="R886" s="397"/>
      <c r="S886" s="397"/>
      <c r="T886" s="397"/>
      <c r="U886" s="397"/>
      <c r="V886" s="397"/>
      <c r="W886" s="397"/>
      <c r="X886" s="397"/>
      <c r="Y886" s="397"/>
      <c r="Z886" s="397"/>
      <c r="AA886" s="397"/>
      <c r="AB886" s="530"/>
      <c r="AC886" s="530"/>
      <c r="AD886" s="530"/>
    </row>
    <row r="887" spans="2:30" x14ac:dyDescent="0.25">
      <c r="B887" s="397"/>
      <c r="C887" s="397"/>
      <c r="D887" s="397"/>
      <c r="E887" s="750"/>
      <c r="F887" s="397"/>
      <c r="G887" s="530"/>
      <c r="H887" s="530"/>
      <c r="I887" s="530"/>
      <c r="J887" s="417"/>
      <c r="K887" s="505"/>
      <c r="L887" s="579"/>
      <c r="M887" s="397"/>
      <c r="N887" s="397"/>
      <c r="O887" s="397"/>
      <c r="P887" s="397"/>
      <c r="Q887" s="397"/>
      <c r="R887" s="397"/>
      <c r="S887" s="397"/>
      <c r="T887" s="397"/>
      <c r="U887" s="397"/>
      <c r="V887" s="397"/>
      <c r="W887" s="397"/>
      <c r="X887" s="397"/>
      <c r="Y887" s="397"/>
      <c r="Z887" s="397"/>
      <c r="AA887" s="397"/>
      <c r="AB887" s="530"/>
      <c r="AC887" s="530"/>
      <c r="AD887" s="530"/>
    </row>
    <row r="888" spans="2:30" x14ac:dyDescent="0.25">
      <c r="B888" s="397"/>
      <c r="C888" s="397"/>
      <c r="D888" s="397"/>
      <c r="E888" s="750"/>
      <c r="F888" s="397"/>
      <c r="G888" s="530"/>
      <c r="H888" s="530"/>
      <c r="I888" s="530"/>
      <c r="J888" s="417"/>
      <c r="K888" s="505"/>
      <c r="L888" s="579"/>
      <c r="M888" s="397"/>
      <c r="N888" s="397"/>
      <c r="O888" s="397"/>
      <c r="P888" s="397"/>
      <c r="Q888" s="397"/>
      <c r="R888" s="397"/>
      <c r="S888" s="397"/>
      <c r="T888" s="397"/>
      <c r="U888" s="397"/>
      <c r="V888" s="397"/>
      <c r="W888" s="397"/>
      <c r="X888" s="397"/>
      <c r="Y888" s="397"/>
      <c r="Z888" s="397"/>
      <c r="AA888" s="397"/>
      <c r="AB888" s="530"/>
      <c r="AC888" s="530"/>
      <c r="AD888" s="530"/>
    </row>
    <row r="889" spans="2:30" x14ac:dyDescent="0.25">
      <c r="B889" s="397"/>
      <c r="C889" s="397"/>
      <c r="D889" s="397"/>
      <c r="E889" s="750"/>
      <c r="F889" s="397"/>
      <c r="G889" s="530"/>
      <c r="H889" s="530"/>
      <c r="I889" s="530"/>
      <c r="J889" s="417"/>
      <c r="K889" s="505"/>
      <c r="L889" s="579"/>
      <c r="M889" s="397"/>
      <c r="N889" s="397"/>
      <c r="O889" s="397"/>
      <c r="P889" s="397"/>
      <c r="Q889" s="397"/>
      <c r="R889" s="397"/>
      <c r="S889" s="397"/>
      <c r="T889" s="397"/>
      <c r="U889" s="397"/>
      <c r="V889" s="397"/>
      <c r="W889" s="397"/>
      <c r="X889" s="397"/>
      <c r="Y889" s="397"/>
      <c r="Z889" s="397"/>
      <c r="AA889" s="397"/>
      <c r="AB889" s="530"/>
      <c r="AC889" s="530"/>
      <c r="AD889" s="530"/>
    </row>
    <row r="890" spans="2:30" x14ac:dyDescent="0.25">
      <c r="B890" s="397"/>
      <c r="C890" s="397"/>
      <c r="D890" s="397"/>
      <c r="E890" s="750"/>
      <c r="F890" s="397"/>
      <c r="G890" s="530"/>
      <c r="H890" s="530"/>
      <c r="I890" s="530"/>
      <c r="J890" s="417"/>
      <c r="K890" s="505"/>
      <c r="L890" s="579"/>
      <c r="M890" s="397"/>
      <c r="N890" s="397"/>
      <c r="O890" s="397"/>
      <c r="P890" s="397"/>
      <c r="Q890" s="397"/>
      <c r="R890" s="397"/>
      <c r="S890" s="397"/>
      <c r="T890" s="397"/>
      <c r="U890" s="397"/>
      <c r="V890" s="397"/>
      <c r="W890" s="397"/>
      <c r="X890" s="397"/>
      <c r="Y890" s="397"/>
      <c r="Z890" s="397"/>
      <c r="AA890" s="397"/>
      <c r="AB890" s="530"/>
      <c r="AC890" s="530"/>
      <c r="AD890" s="530"/>
    </row>
    <row r="891" spans="2:30" x14ac:dyDescent="0.25">
      <c r="B891" s="397"/>
      <c r="C891" s="397"/>
      <c r="D891" s="397"/>
      <c r="E891" s="750"/>
      <c r="F891" s="397"/>
      <c r="G891" s="530"/>
      <c r="H891" s="530"/>
      <c r="I891" s="530"/>
      <c r="J891" s="417"/>
      <c r="K891" s="505"/>
      <c r="L891" s="579"/>
      <c r="M891" s="397"/>
      <c r="N891" s="397"/>
      <c r="O891" s="397"/>
      <c r="P891" s="397"/>
      <c r="Q891" s="397"/>
      <c r="R891" s="397"/>
      <c r="S891" s="397"/>
      <c r="T891" s="397"/>
      <c r="U891" s="397"/>
      <c r="V891" s="397"/>
      <c r="W891" s="397"/>
      <c r="X891" s="397"/>
      <c r="Y891" s="397"/>
      <c r="Z891" s="397"/>
      <c r="AA891" s="397"/>
      <c r="AB891" s="530"/>
      <c r="AC891" s="530"/>
      <c r="AD891" s="530"/>
    </row>
    <row r="892" spans="2:30" x14ac:dyDescent="0.25">
      <c r="B892" s="397"/>
      <c r="C892" s="397"/>
      <c r="D892" s="397"/>
      <c r="E892" s="750"/>
      <c r="F892" s="397"/>
      <c r="G892" s="530"/>
      <c r="H892" s="530"/>
      <c r="I892" s="530"/>
      <c r="J892" s="417"/>
      <c r="K892" s="505"/>
      <c r="L892" s="579"/>
      <c r="M892" s="397"/>
      <c r="N892" s="397"/>
      <c r="O892" s="397"/>
      <c r="P892" s="397"/>
      <c r="Q892" s="397"/>
      <c r="R892" s="397"/>
      <c r="S892" s="397"/>
      <c r="T892" s="397"/>
      <c r="U892" s="397"/>
      <c r="V892" s="397"/>
      <c r="W892" s="397"/>
      <c r="X892" s="397"/>
      <c r="Y892" s="397"/>
      <c r="Z892" s="397"/>
      <c r="AA892" s="397"/>
      <c r="AB892" s="530"/>
      <c r="AC892" s="530"/>
      <c r="AD892" s="530"/>
    </row>
    <row r="893" spans="2:30" x14ac:dyDescent="0.25">
      <c r="B893" s="397"/>
      <c r="C893" s="397"/>
      <c r="D893" s="397"/>
      <c r="E893" s="750"/>
      <c r="F893" s="397"/>
      <c r="G893" s="530"/>
      <c r="H893" s="530"/>
      <c r="I893" s="530"/>
      <c r="J893" s="417"/>
      <c r="K893" s="505"/>
      <c r="L893" s="579"/>
      <c r="M893" s="397"/>
      <c r="N893" s="397"/>
      <c r="O893" s="397"/>
      <c r="P893" s="397"/>
      <c r="Q893" s="397"/>
      <c r="R893" s="397"/>
      <c r="S893" s="397"/>
      <c r="T893" s="397"/>
      <c r="U893" s="397"/>
      <c r="V893" s="397"/>
      <c r="W893" s="397"/>
      <c r="X893" s="397"/>
      <c r="Y893" s="397"/>
      <c r="Z893" s="397"/>
      <c r="AA893" s="397"/>
      <c r="AB893" s="530"/>
      <c r="AC893" s="530"/>
      <c r="AD893" s="530"/>
    </row>
    <row r="894" spans="2:30" x14ac:dyDescent="0.25">
      <c r="B894" s="397"/>
      <c r="C894" s="397"/>
      <c r="D894" s="397"/>
      <c r="E894" s="750"/>
      <c r="F894" s="397"/>
      <c r="G894" s="530"/>
      <c r="H894" s="530"/>
      <c r="I894" s="530"/>
      <c r="J894" s="417"/>
      <c r="K894" s="505"/>
      <c r="L894" s="579"/>
      <c r="M894" s="397"/>
      <c r="N894" s="397"/>
      <c r="O894" s="397"/>
      <c r="P894" s="397"/>
      <c r="Q894" s="397"/>
      <c r="R894" s="397"/>
      <c r="S894" s="397"/>
      <c r="T894" s="397"/>
      <c r="U894" s="397"/>
      <c r="V894" s="397"/>
      <c r="W894" s="397"/>
      <c r="X894" s="397"/>
      <c r="Y894" s="397"/>
      <c r="Z894" s="397"/>
      <c r="AA894" s="397"/>
      <c r="AB894" s="530"/>
      <c r="AC894" s="530"/>
      <c r="AD894" s="530"/>
    </row>
    <row r="895" spans="2:30" x14ac:dyDescent="0.25">
      <c r="B895" s="397"/>
      <c r="C895" s="397"/>
      <c r="D895" s="397"/>
      <c r="E895" s="750"/>
      <c r="F895" s="397"/>
      <c r="G895" s="530"/>
      <c r="H895" s="530"/>
      <c r="I895" s="530"/>
      <c r="J895" s="417"/>
      <c r="K895" s="505"/>
      <c r="L895" s="579"/>
      <c r="M895" s="397"/>
      <c r="N895" s="397"/>
      <c r="O895" s="397"/>
      <c r="P895" s="397"/>
      <c r="Q895" s="397"/>
      <c r="R895" s="397"/>
      <c r="S895" s="397"/>
      <c r="T895" s="397"/>
      <c r="U895" s="397"/>
      <c r="V895" s="397"/>
      <c r="W895" s="397"/>
      <c r="X895" s="397"/>
      <c r="Y895" s="397"/>
      <c r="Z895" s="397"/>
      <c r="AA895" s="397"/>
      <c r="AB895" s="530"/>
      <c r="AC895" s="530"/>
      <c r="AD895" s="530"/>
    </row>
    <row r="896" spans="2:30" x14ac:dyDescent="0.25">
      <c r="B896" s="397"/>
      <c r="C896" s="397"/>
      <c r="D896" s="397"/>
      <c r="E896" s="750"/>
      <c r="F896" s="397"/>
      <c r="G896" s="530"/>
      <c r="H896" s="530"/>
      <c r="I896" s="530"/>
      <c r="J896" s="417"/>
      <c r="K896" s="505"/>
      <c r="L896" s="579"/>
      <c r="M896" s="397"/>
      <c r="N896" s="397"/>
      <c r="O896" s="397"/>
      <c r="P896" s="397"/>
      <c r="Q896" s="397"/>
      <c r="R896" s="397"/>
      <c r="S896" s="397"/>
      <c r="T896" s="397"/>
      <c r="U896" s="397"/>
      <c r="V896" s="397"/>
      <c r="W896" s="397"/>
      <c r="X896" s="397"/>
      <c r="Y896" s="397"/>
      <c r="Z896" s="397"/>
      <c r="AA896" s="397"/>
      <c r="AB896" s="530"/>
      <c r="AC896" s="530"/>
      <c r="AD896" s="530"/>
    </row>
    <row r="897" spans="2:30" x14ac:dyDescent="0.25">
      <c r="B897" s="397"/>
      <c r="C897" s="397"/>
      <c r="D897" s="397"/>
      <c r="E897" s="750"/>
      <c r="F897" s="397"/>
      <c r="G897" s="530"/>
      <c r="H897" s="530"/>
      <c r="I897" s="530"/>
      <c r="J897" s="417"/>
      <c r="K897" s="505"/>
      <c r="L897" s="579"/>
      <c r="M897" s="397"/>
      <c r="N897" s="397"/>
      <c r="O897" s="397"/>
      <c r="P897" s="397"/>
      <c r="Q897" s="397"/>
      <c r="R897" s="397"/>
      <c r="S897" s="397"/>
      <c r="T897" s="397"/>
      <c r="U897" s="397"/>
      <c r="V897" s="397"/>
      <c r="W897" s="397"/>
      <c r="X897" s="397"/>
      <c r="Y897" s="397"/>
      <c r="Z897" s="397"/>
      <c r="AA897" s="397"/>
      <c r="AB897" s="530"/>
      <c r="AC897" s="530"/>
      <c r="AD897" s="530"/>
    </row>
    <row r="898" spans="2:30" x14ac:dyDescent="0.25">
      <c r="B898" s="397"/>
      <c r="C898" s="397"/>
      <c r="D898" s="397"/>
      <c r="E898" s="750"/>
      <c r="F898" s="397"/>
      <c r="G898" s="530"/>
      <c r="H898" s="530"/>
      <c r="I898" s="530"/>
      <c r="J898" s="417"/>
      <c r="K898" s="505"/>
      <c r="L898" s="579"/>
      <c r="M898" s="397"/>
      <c r="N898" s="397"/>
      <c r="O898" s="397"/>
      <c r="P898" s="397"/>
      <c r="Q898" s="397"/>
      <c r="R898" s="397"/>
      <c r="S898" s="397"/>
      <c r="T898" s="397"/>
      <c r="U898" s="397"/>
      <c r="V898" s="397"/>
      <c r="W898" s="397"/>
      <c r="X898" s="397"/>
      <c r="Y898" s="397"/>
      <c r="Z898" s="397"/>
      <c r="AA898" s="397"/>
      <c r="AB898" s="530"/>
      <c r="AC898" s="530"/>
      <c r="AD898" s="530"/>
    </row>
    <row r="899" spans="2:30" x14ac:dyDescent="0.25">
      <c r="B899" s="397"/>
      <c r="C899" s="397"/>
      <c r="D899" s="397"/>
      <c r="E899" s="750"/>
      <c r="F899" s="397"/>
      <c r="G899" s="530"/>
      <c r="H899" s="530"/>
      <c r="I899" s="530"/>
      <c r="J899" s="417"/>
      <c r="K899" s="505"/>
      <c r="L899" s="579"/>
      <c r="M899" s="397"/>
      <c r="N899" s="397"/>
      <c r="O899" s="397"/>
      <c r="P899" s="397"/>
      <c r="Q899" s="397"/>
      <c r="R899" s="397"/>
      <c r="S899" s="397"/>
      <c r="T899" s="397"/>
      <c r="U899" s="397"/>
      <c r="V899" s="397"/>
      <c r="W899" s="397"/>
      <c r="X899" s="397"/>
      <c r="Y899" s="397"/>
      <c r="Z899" s="397"/>
      <c r="AA899" s="397"/>
      <c r="AB899" s="530"/>
      <c r="AC899" s="530"/>
      <c r="AD899" s="530"/>
    </row>
    <row r="900" spans="2:30" x14ac:dyDescent="0.25">
      <c r="B900" s="397"/>
      <c r="C900" s="397"/>
      <c r="D900" s="397"/>
      <c r="E900" s="750"/>
      <c r="F900" s="397"/>
      <c r="G900" s="530"/>
      <c r="H900" s="530"/>
      <c r="I900" s="530"/>
      <c r="J900" s="417"/>
      <c r="K900" s="505"/>
      <c r="L900" s="579"/>
      <c r="M900" s="397"/>
      <c r="N900" s="397"/>
      <c r="O900" s="397"/>
      <c r="P900" s="397"/>
      <c r="Q900" s="397"/>
      <c r="R900" s="397"/>
      <c r="S900" s="397"/>
      <c r="T900" s="397"/>
      <c r="U900" s="397"/>
      <c r="V900" s="397"/>
      <c r="W900" s="397"/>
      <c r="X900" s="397"/>
      <c r="Y900" s="397"/>
      <c r="Z900" s="397"/>
      <c r="AA900" s="397"/>
      <c r="AB900" s="530"/>
      <c r="AC900" s="530"/>
      <c r="AD900" s="530"/>
    </row>
    <row r="901" spans="2:30" x14ac:dyDescent="0.25">
      <c r="B901" s="397"/>
      <c r="C901" s="397"/>
      <c r="D901" s="397"/>
      <c r="E901" s="750"/>
      <c r="F901" s="397"/>
      <c r="G901" s="530"/>
      <c r="H901" s="530"/>
      <c r="I901" s="530"/>
      <c r="J901" s="417"/>
      <c r="K901" s="505"/>
      <c r="L901" s="579"/>
      <c r="M901" s="397"/>
      <c r="N901" s="397"/>
      <c r="O901" s="397"/>
      <c r="P901" s="397"/>
      <c r="Q901" s="397"/>
      <c r="R901" s="397"/>
      <c r="S901" s="397"/>
      <c r="T901" s="397"/>
      <c r="U901" s="397"/>
      <c r="V901" s="397"/>
      <c r="W901" s="397"/>
      <c r="X901" s="397"/>
      <c r="Y901" s="397"/>
      <c r="Z901" s="397"/>
      <c r="AA901" s="397"/>
      <c r="AB901" s="530"/>
      <c r="AC901" s="530"/>
      <c r="AD901" s="530"/>
    </row>
    <row r="902" spans="2:30" x14ac:dyDescent="0.25">
      <c r="B902" s="397"/>
      <c r="C902" s="397"/>
      <c r="D902" s="397"/>
      <c r="E902" s="750"/>
      <c r="F902" s="397"/>
      <c r="G902" s="530"/>
      <c r="H902" s="530"/>
      <c r="I902" s="530"/>
      <c r="J902" s="417"/>
      <c r="K902" s="505"/>
      <c r="L902" s="579"/>
      <c r="M902" s="397"/>
      <c r="N902" s="397"/>
      <c r="O902" s="397"/>
      <c r="P902" s="397"/>
      <c r="Q902" s="397"/>
      <c r="R902" s="397"/>
      <c r="S902" s="397"/>
      <c r="T902" s="397"/>
      <c r="U902" s="397"/>
      <c r="V902" s="397"/>
      <c r="W902" s="397"/>
      <c r="X902" s="397"/>
      <c r="Y902" s="397"/>
      <c r="Z902" s="397"/>
      <c r="AA902" s="397"/>
      <c r="AB902" s="530"/>
      <c r="AC902" s="530"/>
      <c r="AD902" s="530"/>
    </row>
    <row r="903" spans="2:30" x14ac:dyDescent="0.25">
      <c r="B903" s="397"/>
      <c r="C903" s="397"/>
      <c r="D903" s="397"/>
      <c r="E903" s="750"/>
      <c r="F903" s="397"/>
      <c r="G903" s="530"/>
      <c r="H903" s="530"/>
      <c r="I903" s="530"/>
      <c r="J903" s="417"/>
      <c r="K903" s="505"/>
      <c r="L903" s="579"/>
      <c r="M903" s="397"/>
      <c r="N903" s="397"/>
      <c r="O903" s="397"/>
      <c r="P903" s="397"/>
      <c r="Q903" s="397"/>
      <c r="R903" s="397"/>
      <c r="S903" s="397"/>
      <c r="T903" s="397"/>
      <c r="U903" s="397"/>
      <c r="V903" s="397"/>
      <c r="W903" s="397"/>
      <c r="X903" s="397"/>
      <c r="Y903" s="397"/>
      <c r="Z903" s="397"/>
      <c r="AA903" s="397"/>
      <c r="AB903" s="530"/>
      <c r="AC903" s="530"/>
      <c r="AD903" s="530"/>
    </row>
    <row r="904" spans="2:30" x14ac:dyDescent="0.25">
      <c r="B904" s="397"/>
      <c r="C904" s="397"/>
      <c r="D904" s="397"/>
      <c r="E904" s="750"/>
      <c r="F904" s="397"/>
      <c r="G904" s="530"/>
      <c r="H904" s="530"/>
      <c r="I904" s="530"/>
      <c r="J904" s="417"/>
      <c r="K904" s="505"/>
      <c r="L904" s="579"/>
      <c r="M904" s="397"/>
      <c r="N904" s="397"/>
      <c r="O904" s="397"/>
      <c r="P904" s="397"/>
      <c r="Q904" s="397"/>
      <c r="R904" s="397"/>
      <c r="S904" s="397"/>
      <c r="T904" s="397"/>
      <c r="U904" s="397"/>
      <c r="V904" s="397"/>
      <c r="W904" s="397"/>
      <c r="X904" s="397"/>
      <c r="Y904" s="397"/>
      <c r="Z904" s="397"/>
      <c r="AA904" s="397"/>
      <c r="AB904" s="530"/>
      <c r="AC904" s="530"/>
      <c r="AD904" s="530"/>
    </row>
    <row r="905" spans="2:30" x14ac:dyDescent="0.25">
      <c r="B905" s="397"/>
      <c r="C905" s="397"/>
      <c r="D905" s="397"/>
      <c r="E905" s="750"/>
      <c r="F905" s="397"/>
      <c r="G905" s="530"/>
      <c r="H905" s="530"/>
      <c r="I905" s="530"/>
      <c r="J905" s="417"/>
      <c r="K905" s="505"/>
      <c r="L905" s="579"/>
      <c r="M905" s="397"/>
      <c r="N905" s="397"/>
      <c r="O905" s="397"/>
      <c r="P905" s="397"/>
      <c r="Q905" s="397"/>
      <c r="R905" s="397"/>
      <c r="S905" s="397"/>
      <c r="T905" s="397"/>
      <c r="U905" s="397"/>
      <c r="V905" s="397"/>
      <c r="W905" s="397"/>
      <c r="X905" s="397"/>
      <c r="Y905" s="397"/>
      <c r="Z905" s="397"/>
      <c r="AA905" s="397"/>
      <c r="AB905" s="530"/>
      <c r="AC905" s="530"/>
      <c r="AD905" s="530"/>
    </row>
    <row r="906" spans="2:30" x14ac:dyDescent="0.25">
      <c r="B906" s="397"/>
      <c r="C906" s="397"/>
      <c r="D906" s="397"/>
      <c r="E906" s="750"/>
      <c r="F906" s="397"/>
      <c r="G906" s="530"/>
      <c r="H906" s="530"/>
      <c r="I906" s="530"/>
      <c r="J906" s="417"/>
      <c r="K906" s="505"/>
      <c r="L906" s="579"/>
      <c r="M906" s="397"/>
      <c r="N906" s="397"/>
      <c r="O906" s="397"/>
      <c r="P906" s="397"/>
      <c r="Q906" s="397"/>
      <c r="R906" s="397"/>
      <c r="S906" s="397"/>
      <c r="T906" s="397"/>
      <c r="U906" s="397"/>
      <c r="V906" s="397"/>
      <c r="W906" s="397"/>
      <c r="X906" s="397"/>
      <c r="Y906" s="397"/>
      <c r="Z906" s="397"/>
      <c r="AA906" s="397"/>
      <c r="AB906" s="530"/>
      <c r="AC906" s="530"/>
      <c r="AD906" s="530"/>
    </row>
    <row r="907" spans="2:30" x14ac:dyDescent="0.25">
      <c r="B907" s="397"/>
      <c r="C907" s="397"/>
      <c r="D907" s="397"/>
      <c r="E907" s="750"/>
      <c r="F907" s="397"/>
      <c r="G907" s="530"/>
      <c r="H907" s="530"/>
      <c r="I907" s="530"/>
      <c r="J907" s="417"/>
      <c r="K907" s="505"/>
      <c r="L907" s="579"/>
      <c r="M907" s="397"/>
      <c r="N907" s="397"/>
      <c r="O907" s="397"/>
      <c r="P907" s="397"/>
      <c r="Q907" s="397"/>
      <c r="R907" s="397"/>
      <c r="S907" s="397"/>
      <c r="T907" s="397"/>
      <c r="U907" s="397"/>
      <c r="V907" s="397"/>
      <c r="W907" s="397"/>
      <c r="X907" s="397"/>
      <c r="Y907" s="397"/>
      <c r="Z907" s="397"/>
      <c r="AA907" s="397"/>
      <c r="AB907" s="530"/>
      <c r="AC907" s="530"/>
      <c r="AD907" s="530"/>
    </row>
    <row r="908" spans="2:30" x14ac:dyDescent="0.25">
      <c r="B908" s="397"/>
      <c r="C908" s="397"/>
      <c r="D908" s="397"/>
      <c r="E908" s="750"/>
      <c r="F908" s="397"/>
      <c r="G908" s="530"/>
      <c r="H908" s="530"/>
      <c r="I908" s="530"/>
      <c r="J908" s="417"/>
      <c r="K908" s="505"/>
      <c r="L908" s="579"/>
      <c r="M908" s="397"/>
      <c r="N908" s="397"/>
      <c r="O908" s="397"/>
      <c r="P908" s="397"/>
      <c r="Q908" s="397"/>
      <c r="R908" s="397"/>
      <c r="S908" s="397"/>
      <c r="T908" s="397"/>
      <c r="U908" s="397"/>
      <c r="V908" s="397"/>
      <c r="W908" s="397"/>
      <c r="X908" s="397"/>
      <c r="Y908" s="397"/>
      <c r="Z908" s="397"/>
      <c r="AA908" s="397"/>
      <c r="AB908" s="530"/>
      <c r="AC908" s="530"/>
      <c r="AD908" s="530"/>
    </row>
    <row r="909" spans="2:30" x14ac:dyDescent="0.25">
      <c r="B909" s="397"/>
      <c r="C909" s="397"/>
      <c r="D909" s="397"/>
      <c r="E909" s="750"/>
      <c r="F909" s="397"/>
      <c r="G909" s="530"/>
      <c r="H909" s="530"/>
      <c r="I909" s="530"/>
      <c r="J909" s="417"/>
      <c r="K909" s="505"/>
      <c r="L909" s="579"/>
      <c r="M909" s="397"/>
      <c r="N909" s="397"/>
      <c r="O909" s="397"/>
      <c r="P909" s="397"/>
      <c r="Q909" s="397"/>
      <c r="R909" s="397"/>
      <c r="S909" s="397"/>
      <c r="T909" s="397"/>
      <c r="U909" s="397"/>
      <c r="V909" s="397"/>
      <c r="W909" s="397"/>
      <c r="X909" s="397"/>
      <c r="Y909" s="397"/>
      <c r="Z909" s="397"/>
      <c r="AA909" s="397"/>
      <c r="AB909" s="530"/>
      <c r="AC909" s="530"/>
      <c r="AD909" s="530"/>
    </row>
    <row r="910" spans="2:30" x14ac:dyDescent="0.25">
      <c r="B910" s="397"/>
      <c r="C910" s="397"/>
      <c r="D910" s="397"/>
      <c r="E910" s="750"/>
      <c r="F910" s="397"/>
      <c r="G910" s="530"/>
      <c r="H910" s="530"/>
      <c r="I910" s="530"/>
      <c r="J910" s="417"/>
      <c r="K910" s="505"/>
      <c r="L910" s="579"/>
      <c r="M910" s="397"/>
      <c r="N910" s="397"/>
      <c r="O910" s="397"/>
      <c r="P910" s="397"/>
      <c r="Q910" s="397"/>
      <c r="R910" s="397"/>
      <c r="S910" s="397"/>
      <c r="T910" s="397"/>
      <c r="U910" s="397"/>
      <c r="V910" s="397"/>
      <c r="W910" s="397"/>
      <c r="X910" s="397"/>
      <c r="Y910" s="397"/>
      <c r="Z910" s="397"/>
      <c r="AA910" s="397"/>
      <c r="AB910" s="530"/>
      <c r="AC910" s="530"/>
      <c r="AD910" s="530"/>
    </row>
    <row r="911" spans="2:30" x14ac:dyDescent="0.25">
      <c r="B911" s="397"/>
      <c r="C911" s="397"/>
      <c r="D911" s="397"/>
      <c r="E911" s="750"/>
      <c r="F911" s="397"/>
      <c r="G911" s="530"/>
      <c r="H911" s="530"/>
      <c r="I911" s="530"/>
      <c r="J911" s="417"/>
      <c r="K911" s="505"/>
      <c r="L911" s="579"/>
      <c r="M911" s="397"/>
      <c r="N911" s="397"/>
      <c r="O911" s="397"/>
      <c r="P911" s="397"/>
      <c r="Q911" s="397"/>
      <c r="R911" s="397"/>
      <c r="S911" s="397"/>
      <c r="T911" s="397"/>
      <c r="U911" s="397"/>
      <c r="V911" s="397"/>
      <c r="W911" s="397"/>
      <c r="X911" s="397"/>
      <c r="Y911" s="397"/>
      <c r="Z911" s="397"/>
      <c r="AA911" s="397"/>
      <c r="AB911" s="530"/>
      <c r="AC911" s="530"/>
      <c r="AD911" s="530"/>
    </row>
    <row r="912" spans="2:30" x14ac:dyDescent="0.25">
      <c r="B912" s="397"/>
      <c r="C912" s="397"/>
      <c r="D912" s="397"/>
      <c r="E912" s="750"/>
      <c r="F912" s="397"/>
      <c r="G912" s="530"/>
      <c r="H912" s="530"/>
      <c r="I912" s="530"/>
      <c r="J912" s="417"/>
      <c r="K912" s="505"/>
      <c r="L912" s="579"/>
      <c r="M912" s="397"/>
      <c r="N912" s="397"/>
      <c r="O912" s="397"/>
      <c r="P912" s="397"/>
      <c r="Q912" s="397"/>
      <c r="R912" s="397"/>
      <c r="S912" s="397"/>
      <c r="T912" s="397"/>
      <c r="U912" s="397"/>
      <c r="V912" s="397"/>
      <c r="W912" s="397"/>
      <c r="X912" s="397"/>
      <c r="Y912" s="397"/>
      <c r="Z912" s="397"/>
      <c r="AA912" s="397"/>
      <c r="AB912" s="530"/>
      <c r="AC912" s="530"/>
      <c r="AD912" s="530"/>
    </row>
    <row r="913" spans="2:30" x14ac:dyDescent="0.25">
      <c r="B913" s="397"/>
      <c r="C913" s="397"/>
      <c r="D913" s="397"/>
      <c r="E913" s="750"/>
      <c r="F913" s="397"/>
      <c r="G913" s="530"/>
      <c r="H913" s="530"/>
      <c r="I913" s="530"/>
      <c r="J913" s="417"/>
      <c r="K913" s="505"/>
      <c r="L913" s="579"/>
      <c r="M913" s="397"/>
      <c r="N913" s="397"/>
      <c r="O913" s="397"/>
      <c r="P913" s="397"/>
      <c r="Q913" s="397"/>
      <c r="R913" s="397"/>
      <c r="S913" s="397"/>
      <c r="T913" s="397"/>
      <c r="U913" s="397"/>
      <c r="V913" s="397"/>
      <c r="W913" s="397"/>
      <c r="X913" s="397"/>
      <c r="Y913" s="397"/>
      <c r="Z913" s="397"/>
      <c r="AA913" s="397"/>
      <c r="AB913" s="530"/>
      <c r="AC913" s="530"/>
      <c r="AD913" s="530"/>
    </row>
    <row r="914" spans="2:30" x14ac:dyDescent="0.25">
      <c r="B914" s="397"/>
      <c r="C914" s="397"/>
      <c r="D914" s="397"/>
      <c r="E914" s="750"/>
      <c r="F914" s="397"/>
      <c r="G914" s="530"/>
      <c r="H914" s="530"/>
      <c r="I914" s="530"/>
      <c r="J914" s="417"/>
      <c r="K914" s="505"/>
      <c r="L914" s="579"/>
      <c r="M914" s="397"/>
      <c r="N914" s="397"/>
      <c r="O914" s="397"/>
      <c r="P914" s="397"/>
      <c r="Q914" s="397"/>
      <c r="R914" s="397"/>
      <c r="S914" s="397"/>
      <c r="T914" s="397"/>
      <c r="U914" s="397"/>
      <c r="V914" s="397"/>
      <c r="W914" s="397"/>
      <c r="X914" s="397"/>
      <c r="Y914" s="397"/>
      <c r="Z914" s="397"/>
      <c r="AA914" s="397"/>
      <c r="AB914" s="530"/>
      <c r="AC914" s="530"/>
      <c r="AD914" s="530"/>
    </row>
    <row r="915" spans="2:30" x14ac:dyDescent="0.25">
      <c r="B915" s="397"/>
      <c r="C915" s="397"/>
      <c r="D915" s="397"/>
      <c r="E915" s="750"/>
      <c r="F915" s="397"/>
      <c r="G915" s="530"/>
      <c r="H915" s="530"/>
      <c r="I915" s="530"/>
      <c r="J915" s="417"/>
      <c r="K915" s="505"/>
      <c r="L915" s="579"/>
      <c r="M915" s="397"/>
      <c r="N915" s="397"/>
      <c r="O915" s="397"/>
      <c r="P915" s="397"/>
      <c r="Q915" s="397"/>
      <c r="R915" s="397"/>
      <c r="S915" s="397"/>
      <c r="T915" s="397"/>
      <c r="U915" s="397"/>
      <c r="V915" s="397"/>
      <c r="W915" s="397"/>
      <c r="X915" s="397"/>
      <c r="Y915" s="397"/>
      <c r="Z915" s="397"/>
      <c r="AA915" s="397"/>
      <c r="AB915" s="530"/>
      <c r="AC915" s="530"/>
      <c r="AD915" s="530"/>
    </row>
    <row r="916" spans="2:30" x14ac:dyDescent="0.25">
      <c r="B916" s="397"/>
      <c r="C916" s="397"/>
      <c r="D916" s="397"/>
      <c r="E916" s="750"/>
      <c r="F916" s="397"/>
      <c r="G916" s="530"/>
      <c r="H916" s="530"/>
      <c r="I916" s="530"/>
      <c r="J916" s="417"/>
      <c r="K916" s="505"/>
      <c r="L916" s="579"/>
      <c r="M916" s="397"/>
      <c r="N916" s="397"/>
      <c r="O916" s="397"/>
      <c r="P916" s="397"/>
      <c r="Q916" s="397"/>
      <c r="R916" s="397"/>
      <c r="S916" s="397"/>
      <c r="T916" s="397"/>
      <c r="U916" s="397"/>
      <c r="V916" s="397"/>
      <c r="W916" s="397"/>
      <c r="X916" s="397"/>
      <c r="Y916" s="397"/>
      <c r="Z916" s="397"/>
      <c r="AA916" s="397"/>
      <c r="AB916" s="530"/>
      <c r="AC916" s="530"/>
      <c r="AD916" s="530"/>
    </row>
    <row r="917" spans="2:30" x14ac:dyDescent="0.25">
      <c r="B917" s="397"/>
      <c r="C917" s="397"/>
      <c r="D917" s="397"/>
      <c r="E917" s="750"/>
      <c r="F917" s="397"/>
      <c r="G917" s="530"/>
      <c r="H917" s="530"/>
      <c r="I917" s="530"/>
      <c r="J917" s="417"/>
      <c r="K917" s="505"/>
      <c r="L917" s="579"/>
      <c r="M917" s="397"/>
      <c r="N917" s="397"/>
      <c r="O917" s="397"/>
      <c r="P917" s="397"/>
      <c r="Q917" s="397"/>
      <c r="R917" s="397"/>
      <c r="S917" s="397"/>
      <c r="T917" s="397"/>
      <c r="U917" s="397"/>
      <c r="V917" s="397"/>
      <c r="W917" s="397"/>
      <c r="X917" s="397"/>
      <c r="Y917" s="397"/>
      <c r="Z917" s="397"/>
      <c r="AA917" s="397"/>
      <c r="AB917" s="530"/>
      <c r="AC917" s="530"/>
      <c r="AD917" s="530"/>
    </row>
    <row r="918" spans="2:30" x14ac:dyDescent="0.25">
      <c r="B918" s="397"/>
      <c r="C918" s="397"/>
      <c r="D918" s="397"/>
      <c r="E918" s="750"/>
      <c r="F918" s="397"/>
      <c r="G918" s="530"/>
      <c r="H918" s="530"/>
      <c r="I918" s="530"/>
      <c r="J918" s="417"/>
      <c r="K918" s="505"/>
      <c r="L918" s="579"/>
      <c r="M918" s="397"/>
      <c r="N918" s="397"/>
      <c r="O918" s="397"/>
      <c r="P918" s="397"/>
      <c r="Q918" s="397"/>
      <c r="R918" s="397"/>
      <c r="S918" s="397"/>
      <c r="T918" s="397"/>
      <c r="U918" s="397"/>
      <c r="V918" s="397"/>
      <c r="W918" s="397"/>
      <c r="X918" s="397"/>
      <c r="Y918" s="397"/>
      <c r="Z918" s="397"/>
      <c r="AA918" s="397"/>
      <c r="AB918" s="530"/>
      <c r="AC918" s="530"/>
      <c r="AD918" s="530"/>
    </row>
    <row r="919" spans="2:30" x14ac:dyDescent="0.25">
      <c r="B919" s="397"/>
      <c r="C919" s="397"/>
      <c r="D919" s="397"/>
      <c r="E919" s="750"/>
      <c r="F919" s="397"/>
      <c r="G919" s="530"/>
      <c r="H919" s="530"/>
      <c r="I919" s="530"/>
      <c r="J919" s="417"/>
      <c r="K919" s="505"/>
      <c r="L919" s="579"/>
      <c r="M919" s="397"/>
      <c r="N919" s="397"/>
      <c r="O919" s="397"/>
      <c r="P919" s="397"/>
      <c r="Q919" s="397"/>
      <c r="R919" s="397"/>
      <c r="S919" s="397"/>
      <c r="T919" s="397"/>
      <c r="U919" s="397"/>
      <c r="V919" s="397"/>
      <c r="W919" s="397"/>
      <c r="X919" s="397"/>
      <c r="Y919" s="397"/>
      <c r="Z919" s="397"/>
      <c r="AA919" s="397"/>
      <c r="AB919" s="530"/>
      <c r="AC919" s="530"/>
      <c r="AD919" s="530"/>
    </row>
    <row r="920" spans="2:30" x14ac:dyDescent="0.25">
      <c r="B920" s="397"/>
      <c r="C920" s="397"/>
      <c r="D920" s="397"/>
      <c r="E920" s="750"/>
      <c r="F920" s="397"/>
      <c r="G920" s="530"/>
      <c r="H920" s="530"/>
      <c r="I920" s="530"/>
      <c r="J920" s="417"/>
      <c r="K920" s="505"/>
      <c r="L920" s="579"/>
      <c r="M920" s="397"/>
      <c r="N920" s="397"/>
      <c r="O920" s="397"/>
      <c r="P920" s="397"/>
      <c r="Q920" s="397"/>
      <c r="R920" s="397"/>
      <c r="S920" s="397"/>
      <c r="T920" s="397"/>
      <c r="U920" s="397"/>
      <c r="V920" s="397"/>
      <c r="W920" s="397"/>
      <c r="X920" s="397"/>
      <c r="Y920" s="397"/>
      <c r="Z920" s="397"/>
      <c r="AA920" s="397"/>
      <c r="AB920" s="530"/>
      <c r="AC920" s="530"/>
      <c r="AD920" s="530"/>
    </row>
    <row r="921" spans="2:30" x14ac:dyDescent="0.25">
      <c r="B921" s="397"/>
      <c r="C921" s="397"/>
      <c r="D921" s="397"/>
      <c r="E921" s="750"/>
      <c r="F921" s="397"/>
      <c r="G921" s="530"/>
      <c r="H921" s="530"/>
      <c r="I921" s="530"/>
      <c r="J921" s="417"/>
      <c r="K921" s="505"/>
      <c r="L921" s="579"/>
      <c r="M921" s="397"/>
      <c r="N921" s="397"/>
      <c r="O921" s="397"/>
      <c r="P921" s="397"/>
      <c r="Q921" s="397"/>
      <c r="R921" s="397"/>
      <c r="S921" s="397"/>
      <c r="T921" s="397"/>
      <c r="U921" s="397"/>
      <c r="V921" s="397"/>
      <c r="W921" s="397"/>
      <c r="X921" s="397"/>
      <c r="Y921" s="397"/>
      <c r="Z921" s="397"/>
      <c r="AA921" s="397"/>
      <c r="AB921" s="530"/>
      <c r="AC921" s="530"/>
      <c r="AD921" s="530"/>
    </row>
    <row r="922" spans="2:30" x14ac:dyDescent="0.25">
      <c r="B922" s="397"/>
      <c r="C922" s="397"/>
      <c r="D922" s="397"/>
      <c r="E922" s="750"/>
      <c r="F922" s="397"/>
      <c r="G922" s="530"/>
      <c r="H922" s="530"/>
      <c r="I922" s="530"/>
      <c r="J922" s="417"/>
      <c r="K922" s="505"/>
      <c r="L922" s="579"/>
      <c r="M922" s="397"/>
      <c r="N922" s="397"/>
      <c r="O922" s="397"/>
      <c r="P922" s="397"/>
      <c r="Q922" s="397"/>
      <c r="R922" s="397"/>
      <c r="S922" s="397"/>
      <c r="T922" s="397"/>
      <c r="U922" s="397"/>
      <c r="V922" s="397"/>
      <c r="W922" s="397"/>
      <c r="X922" s="397"/>
      <c r="Y922" s="397"/>
      <c r="Z922" s="397"/>
      <c r="AA922" s="397"/>
      <c r="AB922" s="530"/>
      <c r="AC922" s="530"/>
      <c r="AD922" s="530"/>
    </row>
    <row r="923" spans="2:30" x14ac:dyDescent="0.25">
      <c r="B923" s="397"/>
      <c r="C923" s="397"/>
      <c r="D923" s="397"/>
      <c r="E923" s="750"/>
      <c r="F923" s="397"/>
      <c r="G923" s="530"/>
      <c r="H923" s="530"/>
      <c r="I923" s="530"/>
      <c r="J923" s="417"/>
      <c r="K923" s="505"/>
      <c r="L923" s="579"/>
      <c r="M923" s="397"/>
      <c r="N923" s="397"/>
      <c r="O923" s="397"/>
      <c r="P923" s="397"/>
      <c r="Q923" s="397"/>
      <c r="R923" s="397"/>
      <c r="S923" s="397"/>
      <c r="T923" s="397"/>
      <c r="U923" s="397"/>
      <c r="V923" s="397"/>
      <c r="W923" s="397"/>
      <c r="X923" s="397"/>
      <c r="Y923" s="397"/>
      <c r="Z923" s="397"/>
      <c r="AA923" s="397"/>
      <c r="AB923" s="530"/>
      <c r="AC923" s="530"/>
      <c r="AD923" s="530"/>
    </row>
    <row r="924" spans="2:30" x14ac:dyDescent="0.25">
      <c r="B924" s="397"/>
      <c r="C924" s="397"/>
      <c r="D924" s="397"/>
      <c r="E924" s="750"/>
      <c r="F924" s="397"/>
      <c r="G924" s="530"/>
      <c r="H924" s="530"/>
      <c r="I924" s="530"/>
      <c r="J924" s="417"/>
      <c r="K924" s="505"/>
      <c r="L924" s="579"/>
      <c r="M924" s="397"/>
      <c r="N924" s="397"/>
      <c r="O924" s="397"/>
      <c r="P924" s="397"/>
      <c r="Q924" s="397"/>
      <c r="R924" s="397"/>
      <c r="S924" s="397"/>
      <c r="T924" s="397"/>
      <c r="U924" s="397"/>
      <c r="V924" s="397"/>
      <c r="W924" s="397"/>
      <c r="X924" s="397"/>
      <c r="Y924" s="397"/>
      <c r="Z924" s="397"/>
      <c r="AA924" s="397"/>
      <c r="AB924" s="530"/>
      <c r="AC924" s="530"/>
      <c r="AD924" s="530"/>
    </row>
    <row r="925" spans="2:30" x14ac:dyDescent="0.25">
      <c r="B925" s="397"/>
      <c r="C925" s="397"/>
      <c r="D925" s="397"/>
      <c r="E925" s="750"/>
      <c r="F925" s="397"/>
      <c r="G925" s="530"/>
      <c r="H925" s="530"/>
      <c r="I925" s="530"/>
      <c r="J925" s="417"/>
      <c r="K925" s="505"/>
      <c r="L925" s="579"/>
      <c r="M925" s="397"/>
      <c r="N925" s="397"/>
      <c r="O925" s="397"/>
      <c r="P925" s="397"/>
      <c r="Q925" s="397"/>
      <c r="R925" s="397"/>
      <c r="S925" s="397"/>
      <c r="T925" s="397"/>
      <c r="U925" s="397"/>
      <c r="V925" s="397"/>
      <c r="W925" s="397"/>
      <c r="X925" s="397"/>
      <c r="Y925" s="397"/>
      <c r="Z925" s="397"/>
      <c r="AA925" s="397"/>
      <c r="AB925" s="530"/>
      <c r="AC925" s="530"/>
      <c r="AD925" s="530"/>
    </row>
    <row r="926" spans="2:30" x14ac:dyDescent="0.25">
      <c r="B926" s="397"/>
      <c r="C926" s="397"/>
      <c r="D926" s="397"/>
      <c r="E926" s="750"/>
      <c r="F926" s="397"/>
      <c r="G926" s="530"/>
      <c r="H926" s="530"/>
      <c r="I926" s="530"/>
      <c r="J926" s="417"/>
      <c r="K926" s="505"/>
      <c r="L926" s="579"/>
      <c r="M926" s="397"/>
      <c r="N926" s="397"/>
      <c r="O926" s="397"/>
      <c r="P926" s="397"/>
      <c r="Q926" s="397"/>
      <c r="R926" s="397"/>
      <c r="S926" s="397"/>
      <c r="T926" s="397"/>
      <c r="U926" s="397"/>
      <c r="V926" s="397"/>
      <c r="W926" s="397"/>
      <c r="X926" s="397"/>
      <c r="Y926" s="397"/>
      <c r="Z926" s="397"/>
      <c r="AA926" s="397"/>
      <c r="AB926" s="530"/>
      <c r="AC926" s="530"/>
      <c r="AD926" s="530"/>
    </row>
    <row r="927" spans="2:30" x14ac:dyDescent="0.25">
      <c r="B927" s="397"/>
      <c r="C927" s="397"/>
      <c r="D927" s="397"/>
      <c r="E927" s="750"/>
      <c r="F927" s="397"/>
      <c r="G927" s="530"/>
      <c r="H927" s="530"/>
      <c r="I927" s="530"/>
      <c r="J927" s="417"/>
      <c r="K927" s="505"/>
      <c r="L927" s="579"/>
      <c r="M927" s="397"/>
      <c r="N927" s="397"/>
      <c r="O927" s="397"/>
      <c r="P927" s="397"/>
      <c r="Q927" s="397"/>
      <c r="R927" s="397"/>
      <c r="S927" s="397"/>
      <c r="T927" s="397"/>
      <c r="U927" s="397"/>
      <c r="V927" s="397"/>
      <c r="W927" s="397"/>
      <c r="X927" s="397"/>
      <c r="Y927" s="397"/>
      <c r="Z927" s="397"/>
      <c r="AA927" s="397"/>
      <c r="AB927" s="530"/>
      <c r="AC927" s="530"/>
      <c r="AD927" s="530"/>
    </row>
    <row r="928" spans="2:30" x14ac:dyDescent="0.25">
      <c r="B928" s="397"/>
      <c r="C928" s="397"/>
      <c r="D928" s="397"/>
      <c r="E928" s="750"/>
      <c r="F928" s="397"/>
      <c r="G928" s="530"/>
      <c r="H928" s="530"/>
      <c r="I928" s="530"/>
      <c r="J928" s="417"/>
      <c r="K928" s="505"/>
      <c r="L928" s="579"/>
      <c r="M928" s="397"/>
      <c r="N928" s="397"/>
      <c r="O928" s="397"/>
      <c r="P928" s="397"/>
      <c r="Q928" s="397"/>
      <c r="R928" s="397"/>
      <c r="S928" s="397"/>
      <c r="T928" s="397"/>
      <c r="U928" s="397"/>
      <c r="V928" s="397"/>
      <c r="W928" s="397"/>
      <c r="X928" s="397"/>
      <c r="Y928" s="397"/>
      <c r="Z928" s="397"/>
      <c r="AA928" s="397"/>
      <c r="AB928" s="530"/>
      <c r="AC928" s="530"/>
      <c r="AD928" s="530"/>
    </row>
    <row r="929" spans="2:30" x14ac:dyDescent="0.25">
      <c r="B929" s="397"/>
      <c r="C929" s="397"/>
      <c r="D929" s="397"/>
      <c r="E929" s="750"/>
      <c r="F929" s="397"/>
      <c r="G929" s="530"/>
      <c r="H929" s="530"/>
      <c r="I929" s="530"/>
      <c r="J929" s="417"/>
      <c r="K929" s="505"/>
      <c r="L929" s="579"/>
      <c r="M929" s="397"/>
      <c r="N929" s="397"/>
      <c r="O929" s="397"/>
      <c r="P929" s="397"/>
      <c r="Q929" s="397"/>
      <c r="R929" s="397"/>
      <c r="S929" s="397"/>
      <c r="T929" s="397"/>
      <c r="U929" s="397"/>
      <c r="V929" s="397"/>
      <c r="W929" s="397"/>
      <c r="X929" s="397"/>
      <c r="Y929" s="397"/>
      <c r="Z929" s="397"/>
      <c r="AA929" s="397"/>
      <c r="AB929" s="530"/>
      <c r="AC929" s="530"/>
      <c r="AD929" s="530"/>
    </row>
    <row r="930" spans="2:30" x14ac:dyDescent="0.25">
      <c r="B930" s="397"/>
      <c r="C930" s="397"/>
      <c r="D930" s="397"/>
      <c r="E930" s="750"/>
      <c r="F930" s="397"/>
      <c r="G930" s="530"/>
      <c r="H930" s="530"/>
      <c r="I930" s="530"/>
      <c r="J930" s="417"/>
      <c r="K930" s="505"/>
      <c r="L930" s="579"/>
      <c r="M930" s="397"/>
      <c r="N930" s="397"/>
      <c r="O930" s="397"/>
      <c r="P930" s="397"/>
      <c r="Q930" s="397"/>
      <c r="R930" s="397"/>
      <c r="S930" s="397"/>
      <c r="T930" s="397"/>
      <c r="U930" s="397"/>
      <c r="V930" s="397"/>
      <c r="W930" s="397"/>
      <c r="X930" s="397"/>
      <c r="Y930" s="397"/>
      <c r="Z930" s="397"/>
      <c r="AA930" s="397"/>
      <c r="AB930" s="530"/>
      <c r="AC930" s="530"/>
      <c r="AD930" s="530"/>
    </row>
    <row r="931" spans="2:30" x14ac:dyDescent="0.25">
      <c r="B931" s="397"/>
      <c r="C931" s="397"/>
      <c r="D931" s="397"/>
      <c r="E931" s="750"/>
      <c r="F931" s="397"/>
      <c r="G931" s="530"/>
      <c r="H931" s="530"/>
      <c r="I931" s="530"/>
      <c r="J931" s="417"/>
      <c r="K931" s="505"/>
      <c r="L931" s="579"/>
      <c r="M931" s="397"/>
      <c r="N931" s="397"/>
      <c r="O931" s="397"/>
      <c r="P931" s="397"/>
      <c r="Q931" s="397"/>
      <c r="R931" s="397"/>
      <c r="S931" s="397"/>
      <c r="T931" s="397"/>
      <c r="U931" s="397"/>
      <c r="V931" s="397"/>
      <c r="W931" s="397"/>
      <c r="X931" s="397"/>
      <c r="Y931" s="397"/>
      <c r="Z931" s="397"/>
      <c r="AA931" s="397"/>
      <c r="AB931" s="530"/>
      <c r="AC931" s="530"/>
      <c r="AD931" s="530"/>
    </row>
    <row r="932" spans="2:30" x14ac:dyDescent="0.25">
      <c r="B932" s="397"/>
      <c r="C932" s="397"/>
      <c r="D932" s="397"/>
      <c r="E932" s="750"/>
      <c r="F932" s="397"/>
      <c r="G932" s="530"/>
      <c r="H932" s="530"/>
      <c r="I932" s="530"/>
      <c r="J932" s="417"/>
      <c r="K932" s="505"/>
      <c r="L932" s="579"/>
      <c r="M932" s="397"/>
      <c r="N932" s="397"/>
      <c r="O932" s="397"/>
      <c r="P932" s="397"/>
      <c r="Q932" s="397"/>
      <c r="R932" s="397"/>
      <c r="S932" s="397"/>
      <c r="T932" s="397"/>
      <c r="U932" s="397"/>
      <c r="V932" s="397"/>
      <c r="W932" s="397"/>
      <c r="X932" s="397"/>
      <c r="Y932" s="397"/>
      <c r="Z932" s="397"/>
      <c r="AA932" s="397"/>
      <c r="AB932" s="530"/>
      <c r="AC932" s="530"/>
      <c r="AD932" s="530"/>
    </row>
    <row r="933" spans="2:30" x14ac:dyDescent="0.25">
      <c r="B933" s="397"/>
      <c r="C933" s="397"/>
      <c r="D933" s="397"/>
      <c r="E933" s="750"/>
      <c r="F933" s="397"/>
      <c r="G933" s="530"/>
      <c r="H933" s="530"/>
      <c r="I933" s="530"/>
      <c r="J933" s="417"/>
      <c r="K933" s="505"/>
      <c r="L933" s="579"/>
      <c r="M933" s="397"/>
      <c r="N933" s="397"/>
      <c r="O933" s="397"/>
      <c r="P933" s="397"/>
      <c r="Q933" s="397"/>
      <c r="R933" s="397"/>
      <c r="S933" s="397"/>
      <c r="T933" s="397"/>
      <c r="U933" s="397"/>
      <c r="V933" s="397"/>
      <c r="W933" s="397"/>
      <c r="X933" s="397"/>
      <c r="Y933" s="397"/>
      <c r="Z933" s="397"/>
      <c r="AA933" s="397"/>
      <c r="AB933" s="530"/>
      <c r="AC933" s="530"/>
      <c r="AD933" s="530"/>
    </row>
    <row r="934" spans="2:30" x14ac:dyDescent="0.25">
      <c r="B934" s="397"/>
      <c r="C934" s="397"/>
      <c r="D934" s="397"/>
      <c r="E934" s="750"/>
      <c r="F934" s="397"/>
      <c r="G934" s="530"/>
      <c r="H934" s="530"/>
      <c r="I934" s="530"/>
      <c r="J934" s="417"/>
      <c r="K934" s="505"/>
      <c r="L934" s="579"/>
      <c r="M934" s="397"/>
      <c r="N934" s="397"/>
      <c r="O934" s="397"/>
      <c r="P934" s="397"/>
      <c r="Q934" s="397"/>
      <c r="R934" s="397"/>
      <c r="S934" s="397"/>
      <c r="T934" s="397"/>
      <c r="U934" s="397"/>
      <c r="V934" s="397"/>
      <c r="W934" s="397"/>
      <c r="X934" s="397"/>
      <c r="Y934" s="397"/>
      <c r="Z934" s="397"/>
      <c r="AA934" s="397"/>
      <c r="AB934" s="530"/>
      <c r="AC934" s="530"/>
      <c r="AD934" s="530"/>
    </row>
    <row r="935" spans="2:30" x14ac:dyDescent="0.25">
      <c r="B935" s="397"/>
      <c r="C935" s="397"/>
      <c r="D935" s="397"/>
      <c r="E935" s="750"/>
      <c r="F935" s="397"/>
      <c r="G935" s="530"/>
      <c r="H935" s="530"/>
      <c r="I935" s="530"/>
      <c r="J935" s="417"/>
      <c r="K935" s="505"/>
      <c r="L935" s="579"/>
      <c r="M935" s="397"/>
      <c r="N935" s="397"/>
      <c r="O935" s="397"/>
      <c r="P935" s="397"/>
      <c r="Q935" s="397"/>
      <c r="R935" s="397"/>
      <c r="S935" s="397"/>
      <c r="T935" s="397"/>
      <c r="U935" s="397"/>
      <c r="V935" s="397"/>
      <c r="W935" s="397"/>
      <c r="X935" s="397"/>
      <c r="Y935" s="397"/>
      <c r="Z935" s="397"/>
      <c r="AA935" s="397"/>
      <c r="AB935" s="530"/>
      <c r="AC935" s="530"/>
      <c r="AD935" s="530"/>
    </row>
    <row r="936" spans="2:30" x14ac:dyDescent="0.25">
      <c r="B936" s="397"/>
      <c r="C936" s="397"/>
      <c r="D936" s="397"/>
      <c r="E936" s="750"/>
      <c r="F936" s="397"/>
      <c r="G936" s="530"/>
      <c r="H936" s="530"/>
      <c r="I936" s="530"/>
      <c r="J936" s="417"/>
      <c r="K936" s="505"/>
      <c r="L936" s="579"/>
      <c r="M936" s="397"/>
      <c r="N936" s="397"/>
      <c r="O936" s="397"/>
      <c r="P936" s="397"/>
      <c r="Q936" s="397"/>
      <c r="R936" s="397"/>
      <c r="S936" s="397"/>
      <c r="T936" s="397"/>
      <c r="U936" s="397"/>
      <c r="V936" s="397"/>
      <c r="W936" s="397"/>
      <c r="X936" s="397"/>
      <c r="Y936" s="397"/>
      <c r="Z936" s="397"/>
      <c r="AA936" s="397"/>
      <c r="AB936" s="530"/>
      <c r="AC936" s="530"/>
      <c r="AD936" s="530"/>
    </row>
    <row r="937" spans="2:30" x14ac:dyDescent="0.25">
      <c r="B937" s="397"/>
      <c r="C937" s="397"/>
      <c r="D937" s="397"/>
      <c r="E937" s="750"/>
      <c r="F937" s="397"/>
      <c r="G937" s="530"/>
      <c r="H937" s="530"/>
      <c r="I937" s="530"/>
      <c r="J937" s="417"/>
      <c r="K937" s="505"/>
      <c r="L937" s="579"/>
      <c r="M937" s="397"/>
      <c r="N937" s="397"/>
      <c r="O937" s="397"/>
      <c r="P937" s="397"/>
      <c r="Q937" s="397"/>
      <c r="R937" s="397"/>
      <c r="S937" s="397"/>
      <c r="T937" s="397"/>
      <c r="U937" s="397"/>
      <c r="V937" s="397"/>
      <c r="W937" s="397"/>
      <c r="X937" s="397"/>
      <c r="Y937" s="397"/>
      <c r="Z937" s="397"/>
      <c r="AA937" s="397"/>
      <c r="AB937" s="530"/>
      <c r="AC937" s="530"/>
      <c r="AD937" s="530"/>
    </row>
    <row r="938" spans="2:30" x14ac:dyDescent="0.25">
      <c r="B938" s="397"/>
      <c r="C938" s="397"/>
      <c r="D938" s="397"/>
      <c r="E938" s="750"/>
      <c r="F938" s="397"/>
      <c r="G938" s="530"/>
      <c r="H938" s="530"/>
      <c r="I938" s="530"/>
      <c r="J938" s="417"/>
      <c r="K938" s="505"/>
      <c r="L938" s="579"/>
      <c r="M938" s="397"/>
      <c r="N938" s="397"/>
      <c r="O938" s="397"/>
      <c r="P938" s="397"/>
      <c r="Q938" s="397"/>
      <c r="R938" s="397"/>
      <c r="S938" s="397"/>
      <c r="T938" s="397"/>
      <c r="U938" s="397"/>
      <c r="V938" s="397"/>
      <c r="W938" s="397"/>
      <c r="X938" s="397"/>
      <c r="Y938" s="397"/>
      <c r="Z938" s="397"/>
      <c r="AA938" s="397"/>
      <c r="AB938" s="530"/>
      <c r="AC938" s="530"/>
      <c r="AD938" s="530"/>
    </row>
    <row r="939" spans="2:30" x14ac:dyDescent="0.25">
      <c r="B939" s="397"/>
      <c r="C939" s="397"/>
      <c r="D939" s="397"/>
      <c r="E939" s="750"/>
      <c r="F939" s="397"/>
      <c r="G939" s="530"/>
      <c r="H939" s="530"/>
      <c r="I939" s="530"/>
      <c r="J939" s="417"/>
      <c r="K939" s="505"/>
      <c r="L939" s="579"/>
      <c r="M939" s="397"/>
      <c r="N939" s="397"/>
      <c r="O939" s="397"/>
      <c r="P939" s="397"/>
      <c r="Q939" s="397"/>
      <c r="R939" s="397"/>
      <c r="S939" s="397"/>
      <c r="T939" s="397"/>
      <c r="U939" s="397"/>
      <c r="V939" s="397"/>
      <c r="W939" s="397"/>
      <c r="X939" s="397"/>
      <c r="Y939" s="397"/>
      <c r="Z939" s="397"/>
      <c r="AA939" s="397"/>
      <c r="AB939" s="530"/>
      <c r="AC939" s="530"/>
      <c r="AD939" s="530"/>
    </row>
    <row r="940" spans="2:30" x14ac:dyDescent="0.25">
      <c r="B940" s="397"/>
      <c r="C940" s="397"/>
      <c r="D940" s="397"/>
      <c r="E940" s="750"/>
      <c r="F940" s="397"/>
      <c r="G940" s="530"/>
      <c r="H940" s="530"/>
      <c r="I940" s="530"/>
      <c r="J940" s="417"/>
      <c r="K940" s="505"/>
      <c r="L940" s="579"/>
      <c r="M940" s="397"/>
      <c r="N940" s="397"/>
      <c r="O940" s="397"/>
      <c r="P940" s="397"/>
      <c r="Q940" s="397"/>
      <c r="R940" s="397"/>
      <c r="S940" s="397"/>
      <c r="T940" s="397"/>
      <c r="U940" s="397"/>
      <c r="V940" s="397"/>
      <c r="W940" s="397"/>
      <c r="X940" s="397"/>
      <c r="Y940" s="397"/>
      <c r="Z940" s="397"/>
      <c r="AA940" s="397"/>
      <c r="AB940" s="530"/>
      <c r="AC940" s="530"/>
      <c r="AD940" s="530"/>
    </row>
    <row r="941" spans="2:30" x14ac:dyDescent="0.25">
      <c r="B941" s="397"/>
      <c r="C941" s="397"/>
      <c r="D941" s="397"/>
      <c r="E941" s="750"/>
      <c r="F941" s="397"/>
      <c r="G941" s="530"/>
      <c r="H941" s="530"/>
      <c r="I941" s="530"/>
      <c r="J941" s="417"/>
      <c r="K941" s="505"/>
      <c r="L941" s="579"/>
      <c r="M941" s="397"/>
      <c r="N941" s="397"/>
      <c r="O941" s="397"/>
      <c r="P941" s="397"/>
      <c r="Q941" s="397"/>
      <c r="R941" s="397"/>
      <c r="S941" s="397"/>
      <c r="T941" s="397"/>
      <c r="U941" s="397"/>
      <c r="V941" s="397"/>
      <c r="W941" s="397"/>
      <c r="X941" s="397"/>
      <c r="Y941" s="397"/>
      <c r="Z941" s="397"/>
      <c r="AA941" s="397"/>
      <c r="AB941" s="530"/>
      <c r="AC941" s="530"/>
      <c r="AD941" s="530"/>
    </row>
    <row r="942" spans="2:30" x14ac:dyDescent="0.25">
      <c r="B942" s="397"/>
      <c r="C942" s="397"/>
      <c r="D942" s="397"/>
      <c r="E942" s="750"/>
      <c r="F942" s="397"/>
      <c r="G942" s="530"/>
      <c r="H942" s="530"/>
      <c r="I942" s="530"/>
      <c r="J942" s="417"/>
      <c r="K942" s="505"/>
      <c r="L942" s="579"/>
      <c r="M942" s="397"/>
      <c r="N942" s="397"/>
      <c r="O942" s="397"/>
      <c r="P942" s="397"/>
      <c r="Q942" s="397"/>
      <c r="R942" s="397"/>
      <c r="S942" s="397"/>
      <c r="T942" s="397"/>
      <c r="U942" s="397"/>
      <c r="V942" s="397"/>
      <c r="W942" s="397"/>
      <c r="X942" s="397"/>
      <c r="Y942" s="397"/>
      <c r="Z942" s="397"/>
      <c r="AA942" s="397"/>
      <c r="AB942" s="530"/>
      <c r="AC942" s="530"/>
      <c r="AD942" s="530"/>
    </row>
    <row r="943" spans="2:30" x14ac:dyDescent="0.25">
      <c r="B943" s="397"/>
      <c r="C943" s="397"/>
      <c r="D943" s="397"/>
      <c r="E943" s="750"/>
      <c r="F943" s="397"/>
      <c r="G943" s="530"/>
      <c r="H943" s="530"/>
      <c r="I943" s="530"/>
      <c r="J943" s="417"/>
      <c r="K943" s="505"/>
      <c r="L943" s="579"/>
      <c r="M943" s="397"/>
      <c r="N943" s="397"/>
      <c r="O943" s="397"/>
      <c r="P943" s="397"/>
      <c r="Q943" s="397"/>
      <c r="R943" s="397"/>
      <c r="S943" s="397"/>
      <c r="T943" s="397"/>
      <c r="U943" s="397"/>
      <c r="V943" s="397"/>
      <c r="W943" s="397"/>
      <c r="X943" s="397"/>
      <c r="Y943" s="397"/>
      <c r="Z943" s="397"/>
      <c r="AA943" s="397"/>
      <c r="AB943" s="530"/>
      <c r="AC943" s="530"/>
      <c r="AD943" s="530"/>
    </row>
    <row r="944" spans="2:30" x14ac:dyDescent="0.25">
      <c r="B944" s="397"/>
      <c r="C944" s="397"/>
      <c r="D944" s="397"/>
      <c r="E944" s="750"/>
      <c r="F944" s="397"/>
      <c r="G944" s="530"/>
      <c r="H944" s="530"/>
      <c r="I944" s="530"/>
      <c r="J944" s="417"/>
      <c r="K944" s="505"/>
      <c r="L944" s="579"/>
      <c r="M944" s="397"/>
      <c r="N944" s="397"/>
      <c r="O944" s="397"/>
      <c r="P944" s="397"/>
      <c r="Q944" s="397"/>
      <c r="R944" s="397"/>
      <c r="S944" s="397"/>
      <c r="T944" s="397"/>
      <c r="U944" s="397"/>
      <c r="V944" s="397"/>
      <c r="W944" s="397"/>
      <c r="X944" s="397"/>
      <c r="Y944" s="397"/>
      <c r="Z944" s="397"/>
      <c r="AA944" s="397"/>
      <c r="AB944" s="530"/>
      <c r="AC944" s="530"/>
      <c r="AD944" s="530"/>
    </row>
    <row r="945" spans="2:30" x14ac:dyDescent="0.25">
      <c r="B945" s="397"/>
      <c r="C945" s="397"/>
      <c r="D945" s="397"/>
      <c r="E945" s="750"/>
      <c r="F945" s="397"/>
      <c r="G945" s="530"/>
      <c r="H945" s="530"/>
      <c r="I945" s="530"/>
      <c r="J945" s="417"/>
      <c r="K945" s="505"/>
      <c r="L945" s="579"/>
      <c r="M945" s="397"/>
      <c r="N945" s="397"/>
      <c r="O945" s="397"/>
      <c r="P945" s="397"/>
      <c r="Q945" s="397"/>
      <c r="R945" s="397"/>
      <c r="S945" s="397"/>
      <c r="T945" s="397"/>
      <c r="U945" s="397"/>
      <c r="V945" s="397"/>
      <c r="W945" s="397"/>
      <c r="X945" s="397"/>
      <c r="Y945" s="397"/>
      <c r="Z945" s="397"/>
      <c r="AA945" s="397"/>
      <c r="AB945" s="530"/>
      <c r="AC945" s="530"/>
      <c r="AD945" s="530"/>
    </row>
    <row r="946" spans="2:30" x14ac:dyDescent="0.25">
      <c r="B946" s="397"/>
      <c r="C946" s="397"/>
      <c r="D946" s="397"/>
      <c r="E946" s="750"/>
      <c r="F946" s="397"/>
      <c r="G946" s="530"/>
      <c r="H946" s="530"/>
      <c r="I946" s="530"/>
      <c r="J946" s="417"/>
      <c r="K946" s="505"/>
      <c r="L946" s="579"/>
      <c r="M946" s="397"/>
      <c r="N946" s="397"/>
      <c r="O946" s="397"/>
      <c r="P946" s="397"/>
      <c r="Q946" s="397"/>
      <c r="R946" s="397"/>
      <c r="S946" s="397"/>
      <c r="T946" s="397"/>
      <c r="U946" s="397"/>
      <c r="V946" s="397"/>
      <c r="W946" s="397"/>
      <c r="X946" s="397"/>
      <c r="Y946" s="397"/>
      <c r="Z946" s="397"/>
      <c r="AA946" s="397"/>
      <c r="AB946" s="530"/>
      <c r="AC946" s="530"/>
      <c r="AD946" s="530"/>
    </row>
    <row r="947" spans="2:30" x14ac:dyDescent="0.25">
      <c r="B947" s="397"/>
      <c r="C947" s="397"/>
      <c r="D947" s="397"/>
      <c r="E947" s="750"/>
      <c r="F947" s="397"/>
      <c r="G947" s="530"/>
      <c r="H947" s="530"/>
      <c r="I947" s="530"/>
      <c r="J947" s="417"/>
      <c r="K947" s="505"/>
      <c r="L947" s="579"/>
      <c r="M947" s="397"/>
      <c r="N947" s="397"/>
      <c r="O947" s="397"/>
      <c r="P947" s="397"/>
      <c r="Q947" s="397"/>
      <c r="R947" s="397"/>
      <c r="S947" s="397"/>
      <c r="T947" s="397"/>
      <c r="U947" s="397"/>
      <c r="V947" s="397"/>
      <c r="W947" s="397"/>
      <c r="X947" s="397"/>
      <c r="Y947" s="397"/>
      <c r="Z947" s="397"/>
      <c r="AA947" s="397"/>
      <c r="AB947" s="530"/>
      <c r="AC947" s="530"/>
      <c r="AD947" s="530"/>
    </row>
    <row r="948" spans="2:30" x14ac:dyDescent="0.25">
      <c r="B948" s="397"/>
      <c r="C948" s="397"/>
      <c r="D948" s="397"/>
      <c r="E948" s="750"/>
      <c r="F948" s="397"/>
      <c r="G948" s="530"/>
      <c r="H948" s="530"/>
      <c r="I948" s="530"/>
      <c r="J948" s="417"/>
      <c r="K948" s="505"/>
      <c r="L948" s="579"/>
      <c r="M948" s="397"/>
      <c r="N948" s="397"/>
      <c r="O948" s="397"/>
      <c r="P948" s="397"/>
      <c r="Q948" s="397"/>
      <c r="R948" s="397"/>
      <c r="S948" s="397"/>
      <c r="T948" s="397"/>
      <c r="U948" s="397"/>
      <c r="V948" s="397"/>
      <c r="W948" s="397"/>
      <c r="X948" s="397"/>
      <c r="Y948" s="397"/>
      <c r="Z948" s="397"/>
      <c r="AA948" s="397"/>
      <c r="AB948" s="530"/>
      <c r="AC948" s="530"/>
      <c r="AD948" s="530"/>
    </row>
    <row r="949" spans="2:30" x14ac:dyDescent="0.25">
      <c r="B949" s="397"/>
      <c r="C949" s="397"/>
      <c r="D949" s="397"/>
      <c r="E949" s="750"/>
      <c r="F949" s="397"/>
      <c r="G949" s="530"/>
      <c r="H949" s="530"/>
      <c r="I949" s="530"/>
      <c r="J949" s="417"/>
      <c r="K949" s="505"/>
      <c r="L949" s="579"/>
      <c r="M949" s="397"/>
      <c r="N949" s="397"/>
      <c r="O949" s="397"/>
      <c r="P949" s="397"/>
      <c r="Q949" s="397"/>
      <c r="R949" s="397"/>
      <c r="S949" s="397"/>
      <c r="T949" s="397"/>
      <c r="U949" s="397"/>
      <c r="V949" s="397"/>
      <c r="W949" s="397"/>
      <c r="X949" s="397"/>
      <c r="Y949" s="397"/>
      <c r="Z949" s="397"/>
      <c r="AA949" s="397"/>
      <c r="AB949" s="530"/>
      <c r="AC949" s="530"/>
      <c r="AD949" s="530"/>
    </row>
    <row r="950" spans="2:30" x14ac:dyDescent="0.25">
      <c r="B950" s="397"/>
      <c r="C950" s="397"/>
      <c r="D950" s="397"/>
      <c r="E950" s="750"/>
      <c r="F950" s="397"/>
      <c r="G950" s="530"/>
      <c r="H950" s="530"/>
      <c r="I950" s="530"/>
      <c r="J950" s="417"/>
      <c r="K950" s="505"/>
      <c r="L950" s="579"/>
      <c r="M950" s="397"/>
      <c r="N950" s="397"/>
      <c r="O950" s="397"/>
      <c r="P950" s="397"/>
      <c r="Q950" s="397"/>
      <c r="R950" s="397"/>
      <c r="S950" s="397"/>
      <c r="T950" s="397"/>
      <c r="U950" s="397"/>
      <c r="V950" s="397"/>
      <c r="W950" s="397"/>
      <c r="X950" s="397"/>
      <c r="Y950" s="397"/>
      <c r="Z950" s="397"/>
      <c r="AA950" s="397"/>
      <c r="AB950" s="530"/>
      <c r="AC950" s="530"/>
      <c r="AD950" s="530"/>
    </row>
    <row r="951" spans="2:30" x14ac:dyDescent="0.25">
      <c r="B951" s="397"/>
      <c r="C951" s="397"/>
      <c r="D951" s="397"/>
      <c r="E951" s="750"/>
      <c r="F951" s="397"/>
      <c r="G951" s="530"/>
      <c r="H951" s="530"/>
      <c r="I951" s="530"/>
      <c r="J951" s="417"/>
      <c r="K951" s="505"/>
      <c r="L951" s="579"/>
      <c r="M951" s="397"/>
      <c r="N951" s="397"/>
      <c r="O951" s="397"/>
      <c r="P951" s="397"/>
      <c r="Q951" s="397"/>
      <c r="R951" s="397"/>
      <c r="S951" s="397"/>
      <c r="T951" s="397"/>
      <c r="U951" s="397"/>
      <c r="V951" s="397"/>
      <c r="W951" s="397"/>
      <c r="X951" s="397"/>
      <c r="Y951" s="397"/>
      <c r="Z951" s="397"/>
      <c r="AA951" s="397"/>
      <c r="AB951" s="530"/>
      <c r="AC951" s="530"/>
      <c r="AD951" s="530"/>
    </row>
    <row r="952" spans="2:30" x14ac:dyDescent="0.25">
      <c r="B952" s="397"/>
      <c r="C952" s="397"/>
      <c r="D952" s="397"/>
      <c r="E952" s="750"/>
      <c r="F952" s="397"/>
      <c r="G952" s="530"/>
      <c r="H952" s="530"/>
      <c r="I952" s="530"/>
      <c r="J952" s="417"/>
      <c r="K952" s="505"/>
      <c r="L952" s="579"/>
      <c r="M952" s="397"/>
      <c r="N952" s="397"/>
      <c r="O952" s="397"/>
      <c r="P952" s="397"/>
      <c r="Q952" s="397"/>
      <c r="R952" s="397"/>
      <c r="S952" s="397"/>
      <c r="T952" s="397"/>
      <c r="U952" s="397"/>
      <c r="V952" s="397"/>
      <c r="W952" s="397"/>
      <c r="X952" s="397"/>
      <c r="Y952" s="397"/>
      <c r="Z952" s="397"/>
      <c r="AA952" s="397"/>
      <c r="AB952" s="530"/>
      <c r="AC952" s="530"/>
      <c r="AD952" s="530"/>
    </row>
    <row r="953" spans="2:30" x14ac:dyDescent="0.25">
      <c r="B953" s="397"/>
      <c r="C953" s="397"/>
      <c r="D953" s="397"/>
      <c r="E953" s="750"/>
      <c r="F953" s="397"/>
      <c r="G953" s="530"/>
      <c r="H953" s="530"/>
      <c r="I953" s="530"/>
      <c r="J953" s="417"/>
      <c r="K953" s="505"/>
      <c r="L953" s="579"/>
      <c r="M953" s="397"/>
      <c r="N953" s="397"/>
      <c r="O953" s="397"/>
      <c r="P953" s="397"/>
      <c r="Q953" s="397"/>
      <c r="R953" s="397"/>
      <c r="S953" s="397"/>
      <c r="T953" s="397"/>
      <c r="U953" s="397"/>
      <c r="V953" s="397"/>
      <c r="W953" s="397"/>
      <c r="X953" s="397"/>
      <c r="Y953" s="397"/>
      <c r="Z953" s="397"/>
      <c r="AA953" s="397"/>
      <c r="AB953" s="530"/>
      <c r="AC953" s="530"/>
      <c r="AD953" s="530"/>
    </row>
    <row r="954" spans="2:30" x14ac:dyDescent="0.25">
      <c r="B954" s="397"/>
      <c r="C954" s="397"/>
      <c r="D954" s="397"/>
      <c r="E954" s="750"/>
      <c r="F954" s="397"/>
      <c r="G954" s="530"/>
      <c r="H954" s="530"/>
      <c r="I954" s="530"/>
      <c r="J954" s="417"/>
      <c r="K954" s="505"/>
      <c r="L954" s="579"/>
      <c r="M954" s="397"/>
      <c r="N954" s="397"/>
      <c r="O954" s="397"/>
      <c r="P954" s="397"/>
      <c r="Q954" s="397"/>
      <c r="R954" s="397"/>
      <c r="S954" s="397"/>
      <c r="T954" s="397"/>
      <c r="U954" s="397"/>
      <c r="V954" s="397"/>
      <c r="W954" s="397"/>
      <c r="X954" s="397"/>
      <c r="Y954" s="397"/>
      <c r="Z954" s="397"/>
      <c r="AA954" s="397"/>
      <c r="AB954" s="530"/>
      <c r="AC954" s="530"/>
      <c r="AD954" s="530"/>
    </row>
    <row r="955" spans="2:30" x14ac:dyDescent="0.25">
      <c r="B955" s="397"/>
      <c r="C955" s="397"/>
      <c r="D955" s="397"/>
      <c r="E955" s="750"/>
      <c r="F955" s="397"/>
      <c r="G955" s="530"/>
      <c r="H955" s="530"/>
      <c r="I955" s="530"/>
      <c r="J955" s="417"/>
      <c r="K955" s="505"/>
      <c r="L955" s="579"/>
      <c r="M955" s="397"/>
      <c r="N955" s="397"/>
      <c r="O955" s="397"/>
      <c r="P955" s="397"/>
      <c r="Q955" s="397"/>
      <c r="R955" s="397"/>
      <c r="S955" s="397"/>
      <c r="T955" s="397"/>
      <c r="U955" s="397"/>
      <c r="V955" s="397"/>
      <c r="W955" s="397"/>
      <c r="X955" s="397"/>
      <c r="Y955" s="397"/>
      <c r="Z955" s="397"/>
      <c r="AA955" s="397"/>
      <c r="AB955" s="530"/>
      <c r="AC955" s="530"/>
      <c r="AD955" s="530"/>
    </row>
    <row r="956" spans="2:30" x14ac:dyDescent="0.25">
      <c r="B956" s="397"/>
      <c r="C956" s="397"/>
      <c r="D956" s="397"/>
      <c r="E956" s="750"/>
      <c r="F956" s="397"/>
      <c r="G956" s="530"/>
      <c r="H956" s="530"/>
      <c r="I956" s="530"/>
      <c r="J956" s="417"/>
      <c r="K956" s="505"/>
      <c r="L956" s="579"/>
      <c r="M956" s="397"/>
      <c r="N956" s="397"/>
      <c r="O956" s="397"/>
      <c r="P956" s="397"/>
      <c r="Q956" s="397"/>
      <c r="R956" s="397"/>
      <c r="S956" s="397"/>
      <c r="T956" s="397"/>
      <c r="U956" s="397"/>
      <c r="V956" s="397"/>
      <c r="W956" s="397"/>
      <c r="X956" s="397"/>
      <c r="Y956" s="397"/>
      <c r="Z956" s="397"/>
      <c r="AA956" s="397"/>
      <c r="AB956" s="530"/>
      <c r="AC956" s="530"/>
      <c r="AD956" s="530"/>
    </row>
    <row r="957" spans="2:30" x14ac:dyDescent="0.25">
      <c r="B957" s="397"/>
      <c r="C957" s="397"/>
      <c r="D957" s="397"/>
      <c r="E957" s="750"/>
      <c r="F957" s="397"/>
      <c r="G957" s="530"/>
      <c r="H957" s="530"/>
      <c r="I957" s="530"/>
      <c r="J957" s="417"/>
      <c r="K957" s="505"/>
      <c r="L957" s="579"/>
      <c r="M957" s="397"/>
      <c r="N957" s="397"/>
      <c r="O957" s="397"/>
      <c r="P957" s="397"/>
      <c r="Q957" s="397"/>
      <c r="R957" s="397"/>
      <c r="S957" s="397"/>
      <c r="T957" s="397"/>
      <c r="U957" s="397"/>
      <c r="V957" s="397"/>
      <c r="W957" s="397"/>
      <c r="X957" s="397"/>
      <c r="Y957" s="397"/>
      <c r="Z957" s="397"/>
      <c r="AA957" s="397"/>
      <c r="AB957" s="530"/>
      <c r="AC957" s="530"/>
      <c r="AD957" s="530"/>
    </row>
    <row r="958" spans="2:30" x14ac:dyDescent="0.25">
      <c r="B958" s="397"/>
      <c r="C958" s="397"/>
      <c r="D958" s="397"/>
      <c r="E958" s="750"/>
      <c r="F958" s="397"/>
      <c r="G958" s="530"/>
      <c r="H958" s="530"/>
      <c r="I958" s="530"/>
      <c r="J958" s="417"/>
      <c r="K958" s="505"/>
      <c r="L958" s="579"/>
      <c r="M958" s="397"/>
      <c r="N958" s="397"/>
      <c r="O958" s="397"/>
      <c r="P958" s="397"/>
      <c r="Q958" s="397"/>
      <c r="R958" s="397"/>
      <c r="S958" s="397"/>
      <c r="T958" s="397"/>
      <c r="U958" s="397"/>
      <c r="V958" s="397"/>
      <c r="W958" s="397"/>
      <c r="X958" s="397"/>
      <c r="Y958" s="397"/>
      <c r="Z958" s="397"/>
      <c r="AA958" s="397"/>
      <c r="AB958" s="530"/>
      <c r="AC958" s="530"/>
      <c r="AD958" s="530"/>
    </row>
    <row r="959" spans="2:30" x14ac:dyDescent="0.25">
      <c r="B959" s="397"/>
      <c r="C959" s="397"/>
      <c r="D959" s="397"/>
      <c r="E959" s="750"/>
      <c r="F959" s="397"/>
      <c r="G959" s="530"/>
      <c r="H959" s="530"/>
      <c r="I959" s="530"/>
      <c r="J959" s="417"/>
      <c r="K959" s="505"/>
      <c r="L959" s="579"/>
      <c r="M959" s="397"/>
      <c r="N959" s="397"/>
      <c r="O959" s="397"/>
      <c r="P959" s="397"/>
      <c r="Q959" s="397"/>
      <c r="R959" s="397"/>
      <c r="S959" s="397"/>
      <c r="T959" s="397"/>
      <c r="U959" s="397"/>
      <c r="V959" s="397"/>
      <c r="W959" s="397"/>
      <c r="X959" s="397"/>
      <c r="Y959" s="397"/>
      <c r="Z959" s="397"/>
      <c r="AA959" s="397"/>
      <c r="AB959" s="530"/>
      <c r="AC959" s="530"/>
      <c r="AD959" s="530"/>
    </row>
    <row r="960" spans="2:30" x14ac:dyDescent="0.25">
      <c r="B960" s="397"/>
      <c r="C960" s="397"/>
      <c r="D960" s="397"/>
      <c r="E960" s="750"/>
      <c r="F960" s="397"/>
      <c r="G960" s="530"/>
      <c r="H960" s="530"/>
      <c r="I960" s="530"/>
      <c r="J960" s="417"/>
      <c r="K960" s="505"/>
      <c r="L960" s="579"/>
      <c r="M960" s="397"/>
      <c r="N960" s="397"/>
      <c r="O960" s="397"/>
      <c r="P960" s="397"/>
      <c r="Q960" s="397"/>
      <c r="R960" s="397"/>
      <c r="S960" s="397"/>
      <c r="T960" s="397"/>
      <c r="U960" s="397"/>
      <c r="V960" s="397"/>
      <c r="W960" s="397"/>
      <c r="X960" s="397"/>
      <c r="Y960" s="397"/>
      <c r="Z960" s="397"/>
      <c r="AA960" s="397"/>
      <c r="AB960" s="530"/>
      <c r="AC960" s="530"/>
      <c r="AD960" s="530"/>
    </row>
    <row r="961" spans="2:30" x14ac:dyDescent="0.25">
      <c r="B961" s="397"/>
      <c r="C961" s="397"/>
      <c r="D961" s="397"/>
      <c r="E961" s="750"/>
      <c r="F961" s="397"/>
      <c r="G961" s="530"/>
      <c r="H961" s="530"/>
      <c r="I961" s="530"/>
      <c r="J961" s="417"/>
      <c r="K961" s="505"/>
      <c r="L961" s="579"/>
      <c r="M961" s="397"/>
      <c r="N961" s="397"/>
      <c r="O961" s="397"/>
      <c r="P961" s="397"/>
      <c r="Q961" s="397"/>
      <c r="R961" s="397"/>
      <c r="S961" s="397"/>
      <c r="T961" s="397"/>
      <c r="U961" s="397"/>
      <c r="V961" s="397"/>
      <c r="W961" s="397"/>
      <c r="X961" s="397"/>
      <c r="Y961" s="397"/>
      <c r="Z961" s="397"/>
      <c r="AA961" s="397"/>
      <c r="AB961" s="530"/>
      <c r="AC961" s="530"/>
      <c r="AD961" s="530"/>
    </row>
    <row r="962" spans="2:30" x14ac:dyDescent="0.25">
      <c r="B962" s="397"/>
      <c r="C962" s="397"/>
      <c r="D962" s="397"/>
      <c r="E962" s="750"/>
      <c r="F962" s="397"/>
      <c r="G962" s="530"/>
      <c r="H962" s="530"/>
      <c r="I962" s="530"/>
      <c r="J962" s="417"/>
      <c r="K962" s="505"/>
      <c r="L962" s="579"/>
      <c r="M962" s="397"/>
      <c r="N962" s="397"/>
      <c r="O962" s="397"/>
      <c r="P962" s="397"/>
      <c r="Q962" s="397"/>
      <c r="R962" s="397"/>
      <c r="S962" s="397"/>
      <c r="T962" s="397"/>
      <c r="U962" s="397"/>
      <c r="V962" s="397"/>
      <c r="W962" s="397"/>
      <c r="X962" s="397"/>
      <c r="Y962" s="397"/>
      <c r="Z962" s="397"/>
      <c r="AA962" s="397"/>
      <c r="AB962" s="530"/>
      <c r="AC962" s="530"/>
      <c r="AD962" s="530"/>
    </row>
    <row r="963" spans="2:30" x14ac:dyDescent="0.25">
      <c r="B963" s="397"/>
      <c r="C963" s="397"/>
      <c r="D963" s="397"/>
      <c r="E963" s="750"/>
      <c r="F963" s="397"/>
      <c r="G963" s="530"/>
      <c r="H963" s="530"/>
      <c r="I963" s="530"/>
      <c r="J963" s="417"/>
      <c r="K963" s="505"/>
      <c r="L963" s="579"/>
      <c r="M963" s="397"/>
      <c r="N963" s="397"/>
      <c r="O963" s="397"/>
      <c r="P963" s="397"/>
      <c r="Q963" s="397"/>
      <c r="R963" s="397"/>
      <c r="S963" s="397"/>
      <c r="T963" s="397"/>
      <c r="U963" s="397"/>
      <c r="V963" s="397"/>
      <c r="W963" s="397"/>
      <c r="X963" s="397"/>
      <c r="Y963" s="397"/>
      <c r="Z963" s="397"/>
      <c r="AA963" s="397"/>
      <c r="AB963" s="530"/>
      <c r="AC963" s="530"/>
      <c r="AD963" s="530"/>
    </row>
    <row r="964" spans="2:30" x14ac:dyDescent="0.25">
      <c r="B964" s="397"/>
      <c r="C964" s="397"/>
      <c r="D964" s="397"/>
      <c r="E964" s="750"/>
      <c r="F964" s="397"/>
      <c r="G964" s="530"/>
      <c r="H964" s="530"/>
      <c r="I964" s="530"/>
      <c r="J964" s="417"/>
      <c r="K964" s="505"/>
      <c r="L964" s="579"/>
      <c r="M964" s="397"/>
      <c r="N964" s="397"/>
      <c r="O964" s="397"/>
      <c r="P964" s="397"/>
      <c r="Q964" s="397"/>
      <c r="R964" s="397"/>
      <c r="S964" s="397"/>
      <c r="T964" s="397"/>
      <c r="U964" s="397"/>
      <c r="V964" s="397"/>
      <c r="W964" s="397"/>
      <c r="X964" s="397"/>
      <c r="Y964" s="397"/>
      <c r="Z964" s="397"/>
      <c r="AA964" s="397"/>
      <c r="AB964" s="530"/>
      <c r="AC964" s="530"/>
      <c r="AD964" s="530"/>
    </row>
    <row r="965" spans="2:30" x14ac:dyDescent="0.25">
      <c r="B965" s="397"/>
      <c r="C965" s="397"/>
      <c r="D965" s="397"/>
      <c r="E965" s="750"/>
      <c r="F965" s="397"/>
      <c r="G965" s="530"/>
      <c r="H965" s="530"/>
      <c r="I965" s="530"/>
      <c r="J965" s="417"/>
      <c r="K965" s="505"/>
      <c r="L965" s="579"/>
      <c r="M965" s="397"/>
      <c r="N965" s="397"/>
      <c r="O965" s="397"/>
      <c r="P965" s="397"/>
      <c r="Q965" s="397"/>
      <c r="R965" s="397"/>
      <c r="S965" s="397"/>
      <c r="T965" s="397"/>
      <c r="U965" s="397"/>
      <c r="V965" s="397"/>
      <c r="W965" s="397"/>
      <c r="X965" s="397"/>
      <c r="Y965" s="397"/>
      <c r="Z965" s="397"/>
      <c r="AA965" s="397"/>
      <c r="AB965" s="530"/>
      <c r="AC965" s="530"/>
      <c r="AD965" s="530"/>
    </row>
    <row r="966" spans="2:30" x14ac:dyDescent="0.25">
      <c r="B966" s="397"/>
      <c r="C966" s="397"/>
      <c r="D966" s="397"/>
      <c r="E966" s="750"/>
      <c r="F966" s="397"/>
      <c r="G966" s="530"/>
      <c r="H966" s="530"/>
      <c r="I966" s="530"/>
      <c r="J966" s="417"/>
      <c r="K966" s="505"/>
      <c r="L966" s="579"/>
      <c r="M966" s="397"/>
      <c r="N966" s="397"/>
      <c r="O966" s="397"/>
      <c r="P966" s="397"/>
      <c r="Q966" s="397"/>
      <c r="R966" s="397"/>
      <c r="S966" s="397"/>
      <c r="T966" s="397"/>
      <c r="U966" s="397"/>
      <c r="V966" s="397"/>
      <c r="W966" s="397"/>
      <c r="X966" s="397"/>
      <c r="Y966" s="397"/>
      <c r="Z966" s="397"/>
      <c r="AA966" s="397"/>
      <c r="AB966" s="530"/>
      <c r="AC966" s="530"/>
      <c r="AD966" s="530"/>
    </row>
    <row r="967" spans="2:30" x14ac:dyDescent="0.25">
      <c r="B967" s="397"/>
      <c r="C967" s="397"/>
      <c r="D967" s="397"/>
      <c r="E967" s="750"/>
      <c r="F967" s="397"/>
      <c r="G967" s="530"/>
      <c r="H967" s="530"/>
      <c r="I967" s="530"/>
      <c r="J967" s="417"/>
      <c r="K967" s="505"/>
      <c r="L967" s="579"/>
      <c r="M967" s="397"/>
      <c r="N967" s="397"/>
      <c r="O967" s="397"/>
      <c r="P967" s="397"/>
      <c r="Q967" s="397"/>
      <c r="R967" s="397"/>
      <c r="S967" s="397"/>
      <c r="T967" s="397"/>
      <c r="U967" s="397"/>
      <c r="V967" s="397"/>
      <c r="W967" s="397"/>
      <c r="X967" s="397"/>
      <c r="Y967" s="397"/>
      <c r="Z967" s="397"/>
      <c r="AA967" s="397"/>
      <c r="AB967" s="530"/>
      <c r="AC967" s="530"/>
      <c r="AD967" s="530"/>
    </row>
    <row r="968" spans="2:30" x14ac:dyDescent="0.25">
      <c r="B968" s="397"/>
      <c r="C968" s="397"/>
      <c r="D968" s="397"/>
      <c r="E968" s="750"/>
      <c r="F968" s="397"/>
      <c r="G968" s="530"/>
      <c r="H968" s="530"/>
      <c r="I968" s="530"/>
      <c r="J968" s="417"/>
      <c r="K968" s="505"/>
      <c r="L968" s="579"/>
      <c r="M968" s="397"/>
      <c r="N968" s="397"/>
      <c r="O968" s="397"/>
      <c r="P968" s="397"/>
      <c r="Q968" s="397"/>
      <c r="R968" s="397"/>
      <c r="S968" s="397"/>
      <c r="T968" s="397"/>
      <c r="U968" s="397"/>
      <c r="V968" s="397"/>
      <c r="W968" s="397"/>
      <c r="X968" s="397"/>
      <c r="Y968" s="397"/>
      <c r="Z968" s="397"/>
      <c r="AA968" s="397"/>
      <c r="AB968" s="530"/>
      <c r="AC968" s="530"/>
      <c r="AD968" s="530"/>
    </row>
    <row r="969" spans="2:30" x14ac:dyDescent="0.25">
      <c r="B969" s="397"/>
      <c r="C969" s="397"/>
      <c r="D969" s="397"/>
      <c r="E969" s="750"/>
      <c r="F969" s="397"/>
      <c r="G969" s="530"/>
      <c r="H969" s="530"/>
      <c r="I969" s="530"/>
      <c r="J969" s="417"/>
      <c r="K969" s="505"/>
      <c r="L969" s="579"/>
      <c r="M969" s="397"/>
      <c r="N969" s="397"/>
      <c r="O969" s="397"/>
      <c r="P969" s="397"/>
      <c r="Q969" s="397"/>
      <c r="R969" s="397"/>
      <c r="S969" s="397"/>
      <c r="T969" s="397"/>
      <c r="U969" s="397"/>
      <c r="V969" s="397"/>
      <c r="W969" s="397"/>
      <c r="X969" s="397"/>
      <c r="Y969" s="397"/>
      <c r="Z969" s="397"/>
      <c r="AA969" s="397"/>
      <c r="AB969" s="530"/>
      <c r="AC969" s="530"/>
      <c r="AD969" s="530"/>
    </row>
    <row r="970" spans="2:30" x14ac:dyDescent="0.25">
      <c r="B970" s="397"/>
      <c r="C970" s="397"/>
      <c r="D970" s="397"/>
      <c r="E970" s="750"/>
      <c r="F970" s="397"/>
      <c r="G970" s="530"/>
      <c r="H970" s="530"/>
      <c r="I970" s="530"/>
      <c r="J970" s="417"/>
      <c r="K970" s="505"/>
      <c r="L970" s="579"/>
      <c r="M970" s="397"/>
      <c r="N970" s="397"/>
      <c r="O970" s="397"/>
      <c r="P970" s="397"/>
      <c r="Q970" s="397"/>
      <c r="R970" s="397"/>
      <c r="S970" s="397"/>
      <c r="T970" s="397"/>
      <c r="U970" s="397"/>
      <c r="V970" s="397"/>
      <c r="W970" s="397"/>
      <c r="X970" s="397"/>
      <c r="Y970" s="397"/>
      <c r="Z970" s="397"/>
      <c r="AA970" s="397"/>
      <c r="AB970" s="530"/>
      <c r="AC970" s="530"/>
      <c r="AD970" s="530"/>
    </row>
    <row r="971" spans="2:30" x14ac:dyDescent="0.25">
      <c r="B971" s="397"/>
      <c r="C971" s="397"/>
      <c r="D971" s="397"/>
      <c r="E971" s="750"/>
      <c r="F971" s="397"/>
      <c r="G971" s="530"/>
      <c r="H971" s="530"/>
      <c r="I971" s="530"/>
      <c r="J971" s="417"/>
      <c r="K971" s="505"/>
      <c r="L971" s="579"/>
      <c r="M971" s="397"/>
      <c r="N971" s="397"/>
      <c r="O971" s="397"/>
      <c r="P971" s="397"/>
      <c r="Q971" s="397"/>
      <c r="R971" s="397"/>
      <c r="S971" s="397"/>
      <c r="T971" s="397"/>
      <c r="U971" s="397"/>
      <c r="V971" s="397"/>
      <c r="W971" s="397"/>
      <c r="X971" s="397"/>
      <c r="Y971" s="397"/>
      <c r="Z971" s="397"/>
      <c r="AA971" s="397"/>
      <c r="AB971" s="530"/>
      <c r="AC971" s="530"/>
      <c r="AD971" s="530"/>
    </row>
    <row r="972" spans="2:30" x14ac:dyDescent="0.25">
      <c r="B972" s="397"/>
      <c r="C972" s="397"/>
      <c r="D972" s="397"/>
      <c r="E972" s="750"/>
      <c r="F972" s="397"/>
      <c r="G972" s="530"/>
      <c r="H972" s="530"/>
      <c r="I972" s="530"/>
      <c r="J972" s="417"/>
      <c r="K972" s="505"/>
      <c r="L972" s="579"/>
      <c r="M972" s="397"/>
      <c r="N972" s="397"/>
      <c r="O972" s="397"/>
      <c r="P972" s="397"/>
      <c r="Q972" s="397"/>
      <c r="R972" s="397"/>
      <c r="S972" s="397"/>
      <c r="T972" s="397"/>
      <c r="U972" s="397"/>
      <c r="V972" s="397"/>
      <c r="W972" s="397"/>
      <c r="X972" s="397"/>
      <c r="Y972" s="397"/>
      <c r="Z972" s="397"/>
      <c r="AA972" s="397"/>
      <c r="AB972" s="530"/>
      <c r="AC972" s="530"/>
      <c r="AD972" s="530"/>
    </row>
    <row r="973" spans="2:30" x14ac:dyDescent="0.25">
      <c r="B973" s="397"/>
      <c r="C973" s="397"/>
      <c r="D973" s="397"/>
      <c r="E973" s="750"/>
      <c r="F973" s="397"/>
      <c r="G973" s="530"/>
      <c r="H973" s="530"/>
      <c r="I973" s="530"/>
      <c r="J973" s="417"/>
      <c r="K973" s="505"/>
      <c r="L973" s="579"/>
      <c r="M973" s="397"/>
      <c r="N973" s="397"/>
      <c r="O973" s="397"/>
      <c r="P973" s="397"/>
      <c r="Q973" s="397"/>
      <c r="R973" s="397"/>
      <c r="S973" s="397"/>
      <c r="T973" s="397"/>
      <c r="U973" s="397"/>
      <c r="V973" s="397"/>
      <c r="W973" s="397"/>
      <c r="X973" s="397"/>
      <c r="Y973" s="397"/>
      <c r="Z973" s="397"/>
      <c r="AA973" s="397"/>
      <c r="AB973" s="530"/>
      <c r="AC973" s="530"/>
      <c r="AD973" s="530"/>
    </row>
    <row r="974" spans="2:30" x14ac:dyDescent="0.25">
      <c r="B974" s="397"/>
      <c r="C974" s="397"/>
      <c r="D974" s="397"/>
      <c r="E974" s="750"/>
      <c r="F974" s="397"/>
      <c r="G974" s="530"/>
      <c r="H974" s="530"/>
      <c r="I974" s="530"/>
      <c r="J974" s="417"/>
      <c r="K974" s="505"/>
      <c r="L974" s="579"/>
      <c r="M974" s="397"/>
      <c r="N974" s="397"/>
      <c r="O974" s="397"/>
      <c r="P974" s="397"/>
      <c r="Q974" s="397"/>
      <c r="R974" s="397"/>
      <c r="S974" s="397"/>
      <c r="T974" s="397"/>
      <c r="U974" s="397"/>
      <c r="V974" s="397"/>
      <c r="W974" s="397"/>
      <c r="X974" s="397"/>
      <c r="Y974" s="397"/>
      <c r="Z974" s="397"/>
      <c r="AA974" s="397"/>
      <c r="AB974" s="530"/>
      <c r="AC974" s="530"/>
      <c r="AD974" s="530"/>
    </row>
    <row r="975" spans="2:30" x14ac:dyDescent="0.25">
      <c r="B975" s="397"/>
      <c r="C975" s="397"/>
      <c r="D975" s="397"/>
      <c r="E975" s="750"/>
      <c r="F975" s="397"/>
      <c r="G975" s="530"/>
      <c r="H975" s="530"/>
      <c r="I975" s="530"/>
      <c r="J975" s="417"/>
      <c r="K975" s="505"/>
      <c r="L975" s="579"/>
      <c r="M975" s="397"/>
      <c r="N975" s="397"/>
      <c r="O975" s="397"/>
      <c r="P975" s="397"/>
      <c r="Q975" s="397"/>
      <c r="R975" s="397"/>
      <c r="S975" s="397"/>
      <c r="T975" s="397"/>
      <c r="U975" s="397"/>
      <c r="V975" s="397"/>
      <c r="W975" s="397"/>
      <c r="X975" s="397"/>
      <c r="Y975" s="397"/>
      <c r="Z975" s="397"/>
      <c r="AA975" s="397"/>
      <c r="AB975" s="530"/>
      <c r="AC975" s="530"/>
      <c r="AD975" s="530"/>
    </row>
    <row r="976" spans="2:30" x14ac:dyDescent="0.25">
      <c r="B976" s="397"/>
      <c r="C976" s="397"/>
      <c r="D976" s="397"/>
      <c r="E976" s="750"/>
      <c r="F976" s="397"/>
      <c r="G976" s="530"/>
      <c r="H976" s="530"/>
      <c r="I976" s="530"/>
      <c r="J976" s="417"/>
      <c r="K976" s="505"/>
      <c r="L976" s="579"/>
      <c r="M976" s="397"/>
      <c r="N976" s="397"/>
      <c r="O976" s="397"/>
      <c r="P976" s="397"/>
      <c r="Q976" s="397"/>
      <c r="R976" s="397"/>
      <c r="S976" s="397"/>
      <c r="T976" s="397"/>
      <c r="U976" s="397"/>
      <c r="V976" s="397"/>
      <c r="W976" s="397"/>
      <c r="X976" s="397"/>
      <c r="Y976" s="397"/>
      <c r="Z976" s="397"/>
      <c r="AA976" s="397"/>
      <c r="AB976" s="530"/>
      <c r="AC976" s="530"/>
      <c r="AD976" s="530"/>
    </row>
    <row r="977" spans="2:30" x14ac:dyDescent="0.25">
      <c r="B977" s="397"/>
      <c r="C977" s="397"/>
      <c r="D977" s="397"/>
      <c r="E977" s="750"/>
      <c r="F977" s="397"/>
      <c r="G977" s="530"/>
      <c r="H977" s="530"/>
      <c r="I977" s="530"/>
      <c r="J977" s="417"/>
      <c r="K977" s="505"/>
      <c r="L977" s="579"/>
      <c r="M977" s="397"/>
      <c r="N977" s="397"/>
      <c r="O977" s="397"/>
      <c r="P977" s="397"/>
      <c r="Q977" s="397"/>
      <c r="R977" s="397"/>
      <c r="S977" s="397"/>
      <c r="T977" s="397"/>
      <c r="U977" s="397"/>
      <c r="V977" s="397"/>
      <c r="W977" s="397"/>
      <c r="X977" s="397"/>
      <c r="Y977" s="397"/>
      <c r="Z977" s="397"/>
      <c r="AA977" s="397"/>
      <c r="AB977" s="530"/>
      <c r="AC977" s="530"/>
      <c r="AD977" s="530"/>
    </row>
    <row r="978" spans="2:30" x14ac:dyDescent="0.25">
      <c r="B978" s="397"/>
      <c r="C978" s="397"/>
      <c r="D978" s="397"/>
      <c r="E978" s="750"/>
      <c r="F978" s="397"/>
      <c r="G978" s="530"/>
      <c r="H978" s="530"/>
      <c r="I978" s="530"/>
      <c r="J978" s="417"/>
      <c r="K978" s="505"/>
      <c r="L978" s="579"/>
      <c r="M978" s="397"/>
      <c r="N978" s="397"/>
      <c r="O978" s="397"/>
      <c r="P978" s="397"/>
      <c r="Q978" s="397"/>
      <c r="R978" s="397"/>
      <c r="S978" s="397"/>
      <c r="T978" s="397"/>
      <c r="U978" s="397"/>
      <c r="V978" s="397"/>
      <c r="W978" s="397"/>
      <c r="X978" s="397"/>
      <c r="Y978" s="397"/>
      <c r="Z978" s="397"/>
      <c r="AA978" s="397"/>
      <c r="AB978" s="530"/>
      <c r="AC978" s="530"/>
      <c r="AD978" s="530"/>
    </row>
    <row r="979" spans="2:30" x14ac:dyDescent="0.25">
      <c r="B979" s="397"/>
      <c r="C979" s="397"/>
      <c r="D979" s="397"/>
      <c r="E979" s="750"/>
      <c r="F979" s="397"/>
      <c r="G979" s="530"/>
      <c r="H979" s="530"/>
      <c r="I979" s="530"/>
      <c r="J979" s="417"/>
      <c r="K979" s="505"/>
      <c r="L979" s="579"/>
      <c r="M979" s="397"/>
      <c r="N979" s="397"/>
      <c r="O979" s="397"/>
      <c r="P979" s="397"/>
      <c r="Q979" s="397"/>
      <c r="R979" s="397"/>
      <c r="S979" s="397"/>
      <c r="T979" s="397"/>
      <c r="U979" s="397"/>
      <c r="V979" s="397"/>
      <c r="W979" s="397"/>
      <c r="X979" s="397"/>
      <c r="Y979" s="397"/>
      <c r="Z979" s="397"/>
      <c r="AA979" s="397"/>
      <c r="AB979" s="530"/>
      <c r="AC979" s="530"/>
      <c r="AD979" s="530"/>
    </row>
    <row r="980" spans="2:30" x14ac:dyDescent="0.25">
      <c r="B980" s="397"/>
      <c r="C980" s="397"/>
      <c r="D980" s="397"/>
      <c r="E980" s="750"/>
      <c r="F980" s="397"/>
      <c r="G980" s="530"/>
      <c r="H980" s="530"/>
      <c r="I980" s="530"/>
      <c r="J980" s="417"/>
      <c r="K980" s="505"/>
      <c r="L980" s="579"/>
      <c r="M980" s="397"/>
      <c r="N980" s="397"/>
      <c r="O980" s="397"/>
      <c r="P980" s="397"/>
      <c r="Q980" s="397"/>
      <c r="R980" s="397"/>
      <c r="S980" s="397"/>
      <c r="T980" s="397"/>
      <c r="U980" s="397"/>
      <c r="V980" s="397"/>
      <c r="W980" s="397"/>
      <c r="X980" s="397"/>
      <c r="Y980" s="397"/>
      <c r="Z980" s="397"/>
      <c r="AA980" s="397"/>
      <c r="AB980" s="530"/>
      <c r="AC980" s="530"/>
      <c r="AD980" s="530"/>
    </row>
    <row r="981" spans="2:30" x14ac:dyDescent="0.25">
      <c r="B981" s="397"/>
      <c r="C981" s="397"/>
      <c r="D981" s="397"/>
      <c r="E981" s="750"/>
      <c r="F981" s="397"/>
      <c r="G981" s="530"/>
      <c r="H981" s="530"/>
      <c r="I981" s="530"/>
      <c r="J981" s="417"/>
      <c r="K981" s="505"/>
      <c r="L981" s="579"/>
      <c r="M981" s="397"/>
      <c r="N981" s="397"/>
      <c r="O981" s="397"/>
      <c r="P981" s="397"/>
      <c r="Q981" s="397"/>
      <c r="R981" s="397"/>
      <c r="S981" s="397"/>
      <c r="T981" s="397"/>
      <c r="U981" s="397"/>
      <c r="V981" s="397"/>
      <c r="W981" s="397"/>
      <c r="X981" s="397"/>
      <c r="Y981" s="397"/>
      <c r="Z981" s="397"/>
      <c r="AA981" s="397"/>
      <c r="AB981" s="530"/>
      <c r="AC981" s="530"/>
      <c r="AD981" s="530"/>
    </row>
    <row r="982" spans="2:30" x14ac:dyDescent="0.25">
      <c r="B982" s="397"/>
      <c r="C982" s="397"/>
      <c r="D982" s="397"/>
      <c r="E982" s="750"/>
      <c r="F982" s="397"/>
      <c r="G982" s="530"/>
      <c r="H982" s="530"/>
      <c r="I982" s="530"/>
      <c r="J982" s="417"/>
      <c r="K982" s="505"/>
      <c r="L982" s="579"/>
      <c r="M982" s="397"/>
      <c r="N982" s="397"/>
      <c r="O982" s="397"/>
      <c r="P982" s="397"/>
      <c r="Q982" s="397"/>
      <c r="R982" s="397"/>
      <c r="S982" s="397"/>
      <c r="T982" s="397"/>
      <c r="U982" s="397"/>
      <c r="V982" s="397"/>
      <c r="W982" s="397"/>
      <c r="X982" s="397"/>
      <c r="Y982" s="397"/>
      <c r="Z982" s="397"/>
      <c r="AA982" s="397"/>
      <c r="AB982" s="530"/>
      <c r="AC982" s="530"/>
      <c r="AD982" s="530"/>
    </row>
    <row r="983" spans="2:30" x14ac:dyDescent="0.25">
      <c r="B983" s="397"/>
      <c r="C983" s="397"/>
      <c r="D983" s="397"/>
      <c r="E983" s="750"/>
      <c r="F983" s="397"/>
      <c r="G983" s="530"/>
      <c r="H983" s="530"/>
      <c r="I983" s="530"/>
      <c r="J983" s="417"/>
      <c r="K983" s="505"/>
      <c r="L983" s="579"/>
      <c r="M983" s="397"/>
      <c r="N983" s="397"/>
      <c r="O983" s="397"/>
      <c r="P983" s="397"/>
      <c r="Q983" s="397"/>
      <c r="R983" s="397"/>
      <c r="S983" s="397"/>
      <c r="T983" s="397"/>
      <c r="U983" s="397"/>
      <c r="V983" s="397"/>
      <c r="W983" s="397"/>
      <c r="X983" s="397"/>
      <c r="Y983" s="397"/>
      <c r="Z983" s="397"/>
      <c r="AA983" s="397"/>
      <c r="AB983" s="530"/>
      <c r="AC983" s="530"/>
      <c r="AD983" s="530"/>
    </row>
    <row r="984" spans="2:30" x14ac:dyDescent="0.25">
      <c r="B984" s="397"/>
      <c r="C984" s="397"/>
      <c r="D984" s="397"/>
      <c r="E984" s="750"/>
      <c r="F984" s="397"/>
      <c r="G984" s="530"/>
      <c r="H984" s="530"/>
      <c r="I984" s="530"/>
      <c r="J984" s="417"/>
      <c r="K984" s="505"/>
      <c r="L984" s="579"/>
      <c r="M984" s="397"/>
      <c r="N984" s="397"/>
      <c r="O984" s="397"/>
      <c r="P984" s="397"/>
      <c r="Q984" s="397"/>
      <c r="R984" s="397"/>
      <c r="S984" s="397"/>
      <c r="T984" s="397"/>
      <c r="U984" s="397"/>
      <c r="V984" s="397"/>
      <c r="W984" s="397"/>
      <c r="X984" s="397"/>
      <c r="Y984" s="397"/>
      <c r="Z984" s="397"/>
      <c r="AA984" s="397"/>
      <c r="AB984" s="530"/>
      <c r="AC984" s="530"/>
      <c r="AD984" s="530"/>
    </row>
    <row r="985" spans="2:30" x14ac:dyDescent="0.25">
      <c r="B985" s="397"/>
      <c r="C985" s="397"/>
      <c r="D985" s="397"/>
      <c r="E985" s="750"/>
      <c r="F985" s="397"/>
      <c r="G985" s="530"/>
      <c r="H985" s="530"/>
      <c r="I985" s="530"/>
      <c r="J985" s="417"/>
      <c r="K985" s="505"/>
      <c r="L985" s="579"/>
      <c r="M985" s="397"/>
      <c r="N985" s="397"/>
      <c r="O985" s="397"/>
      <c r="P985" s="397"/>
      <c r="Q985" s="397"/>
      <c r="R985" s="397"/>
      <c r="S985" s="397"/>
      <c r="T985" s="397"/>
      <c r="U985" s="397"/>
      <c r="V985" s="397"/>
      <c r="W985" s="397"/>
      <c r="X985" s="397"/>
      <c r="Y985" s="397"/>
      <c r="Z985" s="397"/>
      <c r="AA985" s="397"/>
      <c r="AB985" s="530"/>
      <c r="AC985" s="530"/>
      <c r="AD985" s="530"/>
    </row>
    <row r="986" spans="2:30" x14ac:dyDescent="0.25">
      <c r="B986" s="397"/>
      <c r="C986" s="397"/>
      <c r="D986" s="397"/>
      <c r="E986" s="750"/>
      <c r="F986" s="397"/>
      <c r="G986" s="530"/>
      <c r="H986" s="530"/>
      <c r="I986" s="530"/>
      <c r="J986" s="417"/>
      <c r="K986" s="505"/>
      <c r="L986" s="579"/>
      <c r="M986" s="397"/>
      <c r="N986" s="397"/>
      <c r="O986" s="397"/>
      <c r="P986" s="397"/>
      <c r="Q986" s="397"/>
      <c r="R986" s="397"/>
      <c r="S986" s="397"/>
      <c r="T986" s="397"/>
      <c r="U986" s="397"/>
      <c r="V986" s="397"/>
      <c r="W986" s="397"/>
      <c r="X986" s="397"/>
      <c r="Y986" s="397"/>
      <c r="Z986" s="397"/>
      <c r="AA986" s="397"/>
      <c r="AB986" s="530"/>
      <c r="AC986" s="530"/>
      <c r="AD986" s="530"/>
    </row>
    <row r="987" spans="2:30" x14ac:dyDescent="0.25">
      <c r="B987" s="397"/>
      <c r="C987" s="397"/>
      <c r="D987" s="397"/>
      <c r="E987" s="750"/>
      <c r="F987" s="397"/>
      <c r="G987" s="530"/>
      <c r="H987" s="530"/>
      <c r="I987" s="530"/>
      <c r="J987" s="417"/>
      <c r="K987" s="505"/>
      <c r="L987" s="579"/>
      <c r="M987" s="397"/>
      <c r="N987" s="397"/>
      <c r="O987" s="397"/>
      <c r="P987" s="397"/>
      <c r="Q987" s="397"/>
      <c r="R987" s="397"/>
      <c r="S987" s="397"/>
      <c r="T987" s="397"/>
      <c r="U987" s="397"/>
      <c r="V987" s="397"/>
      <c r="W987" s="397"/>
      <c r="X987" s="397"/>
      <c r="Y987" s="397"/>
      <c r="Z987" s="397"/>
      <c r="AA987" s="397"/>
      <c r="AB987" s="530"/>
      <c r="AC987" s="530"/>
      <c r="AD987" s="530"/>
    </row>
    <row r="988" spans="2:30" x14ac:dyDescent="0.25">
      <c r="B988" s="397"/>
      <c r="C988" s="397"/>
      <c r="D988" s="397"/>
      <c r="E988" s="750"/>
      <c r="F988" s="397"/>
      <c r="G988" s="530"/>
      <c r="H988" s="530"/>
      <c r="I988" s="530"/>
      <c r="J988" s="417"/>
      <c r="K988" s="505"/>
      <c r="L988" s="579"/>
      <c r="M988" s="397"/>
      <c r="N988" s="397"/>
      <c r="O988" s="397"/>
      <c r="P988" s="397"/>
      <c r="Q988" s="397"/>
      <c r="R988" s="397"/>
      <c r="S988" s="397"/>
      <c r="T988" s="397"/>
      <c r="U988" s="397"/>
      <c r="V988" s="397"/>
      <c r="W988" s="397"/>
      <c r="X988" s="397"/>
      <c r="Y988" s="397"/>
      <c r="Z988" s="397"/>
      <c r="AA988" s="397"/>
      <c r="AB988" s="530"/>
      <c r="AC988" s="530"/>
      <c r="AD988" s="530"/>
    </row>
    <row r="989" spans="2:30" x14ac:dyDescent="0.25">
      <c r="B989" s="397"/>
      <c r="C989" s="397"/>
      <c r="D989" s="397"/>
      <c r="E989" s="750"/>
      <c r="F989" s="397"/>
      <c r="G989" s="530"/>
      <c r="H989" s="530"/>
      <c r="I989" s="530"/>
      <c r="J989" s="417"/>
      <c r="K989" s="505"/>
      <c r="L989" s="579"/>
      <c r="M989" s="397"/>
      <c r="N989" s="397"/>
      <c r="O989" s="397"/>
      <c r="P989" s="397"/>
      <c r="Q989" s="397"/>
      <c r="R989" s="397"/>
      <c r="S989" s="397"/>
      <c r="T989" s="397"/>
      <c r="U989" s="397"/>
      <c r="V989" s="397"/>
      <c r="W989" s="397"/>
      <c r="X989" s="397"/>
      <c r="Y989" s="397"/>
      <c r="Z989" s="397"/>
      <c r="AA989" s="397"/>
      <c r="AB989" s="530"/>
      <c r="AC989" s="530"/>
      <c r="AD989" s="530"/>
    </row>
    <row r="990" spans="2:30" x14ac:dyDescent="0.25">
      <c r="B990" s="397"/>
      <c r="C990" s="397"/>
      <c r="D990" s="397"/>
      <c r="E990" s="750"/>
      <c r="F990" s="397"/>
      <c r="G990" s="530"/>
      <c r="H990" s="530"/>
      <c r="I990" s="530"/>
      <c r="J990" s="417"/>
      <c r="K990" s="505"/>
      <c r="L990" s="579"/>
      <c r="M990" s="397"/>
      <c r="N990" s="397"/>
      <c r="O990" s="397"/>
      <c r="P990" s="397"/>
      <c r="Q990" s="397"/>
      <c r="R990" s="397"/>
      <c r="S990" s="397"/>
      <c r="T990" s="397"/>
      <c r="U990" s="397"/>
      <c r="V990" s="397"/>
      <c r="W990" s="397"/>
      <c r="X990" s="397"/>
      <c r="Y990" s="397"/>
      <c r="Z990" s="397"/>
      <c r="AA990" s="397"/>
      <c r="AB990" s="530"/>
      <c r="AC990" s="530"/>
      <c r="AD990" s="530"/>
    </row>
    <row r="991" spans="2:30" x14ac:dyDescent="0.25">
      <c r="B991" s="397"/>
      <c r="C991" s="397"/>
      <c r="D991" s="397"/>
      <c r="E991" s="750"/>
      <c r="F991" s="397"/>
      <c r="G991" s="530"/>
      <c r="H991" s="530"/>
      <c r="I991" s="530"/>
      <c r="J991" s="417"/>
      <c r="K991" s="505"/>
      <c r="L991" s="579"/>
      <c r="M991" s="397"/>
      <c r="N991" s="397"/>
      <c r="O991" s="397"/>
      <c r="P991" s="397"/>
      <c r="Q991" s="397"/>
      <c r="R991" s="397"/>
      <c r="S991" s="397"/>
      <c r="T991" s="397"/>
      <c r="U991" s="397"/>
      <c r="V991" s="397"/>
      <c r="W991" s="397"/>
      <c r="X991" s="397"/>
      <c r="Y991" s="397"/>
      <c r="Z991" s="397"/>
      <c r="AA991" s="397"/>
      <c r="AB991" s="530"/>
      <c r="AC991" s="530"/>
      <c r="AD991" s="530"/>
    </row>
    <row r="992" spans="2:30" x14ac:dyDescent="0.25">
      <c r="B992" s="397"/>
      <c r="C992" s="397"/>
      <c r="D992" s="397"/>
      <c r="E992" s="750"/>
      <c r="F992" s="397"/>
      <c r="G992" s="530"/>
      <c r="H992" s="530"/>
      <c r="I992" s="530"/>
      <c r="J992" s="417"/>
      <c r="K992" s="505"/>
      <c r="L992" s="579"/>
      <c r="M992" s="397"/>
      <c r="N992" s="397"/>
      <c r="O992" s="397"/>
      <c r="P992" s="397"/>
      <c r="Q992" s="397"/>
      <c r="R992" s="397"/>
      <c r="S992" s="397"/>
      <c r="T992" s="397"/>
      <c r="U992" s="397"/>
      <c r="V992" s="397"/>
      <c r="W992" s="397"/>
      <c r="X992" s="397"/>
      <c r="Y992" s="397"/>
      <c r="Z992" s="397"/>
      <c r="AA992" s="397"/>
      <c r="AB992" s="530"/>
      <c r="AC992" s="530"/>
      <c r="AD992" s="530"/>
    </row>
    <row r="993" spans="2:30" x14ac:dyDescent="0.25">
      <c r="B993" s="397"/>
      <c r="C993" s="397"/>
      <c r="D993" s="397"/>
      <c r="E993" s="750"/>
      <c r="F993" s="397"/>
      <c r="G993" s="530"/>
      <c r="H993" s="530"/>
      <c r="I993" s="530"/>
      <c r="J993" s="417"/>
      <c r="K993" s="505"/>
      <c r="L993" s="579"/>
      <c r="M993" s="397"/>
      <c r="N993" s="397"/>
      <c r="O993" s="397"/>
      <c r="P993" s="397"/>
      <c r="Q993" s="397"/>
      <c r="R993" s="397"/>
      <c r="S993" s="397"/>
      <c r="T993" s="397"/>
      <c r="U993" s="397"/>
      <c r="V993" s="397"/>
      <c r="W993" s="397"/>
      <c r="X993" s="397"/>
      <c r="Y993" s="397"/>
      <c r="Z993" s="397"/>
      <c r="AA993" s="397"/>
      <c r="AB993" s="530"/>
      <c r="AC993" s="530"/>
      <c r="AD993" s="530"/>
    </row>
    <row r="994" spans="2:30" x14ac:dyDescent="0.25">
      <c r="B994" s="397"/>
      <c r="C994" s="397"/>
      <c r="D994" s="397"/>
      <c r="E994" s="750"/>
      <c r="F994" s="397"/>
      <c r="G994" s="530"/>
      <c r="H994" s="530"/>
      <c r="I994" s="530"/>
      <c r="J994" s="417"/>
      <c r="K994" s="505"/>
      <c r="L994" s="579"/>
      <c r="M994" s="397"/>
      <c r="N994" s="397"/>
      <c r="O994" s="397"/>
      <c r="P994" s="397"/>
      <c r="Q994" s="397"/>
      <c r="R994" s="397"/>
      <c r="S994" s="397"/>
      <c r="T994" s="397"/>
      <c r="U994" s="397"/>
      <c r="V994" s="397"/>
      <c r="W994" s="397"/>
      <c r="X994" s="397"/>
      <c r="Y994" s="397"/>
      <c r="Z994" s="397"/>
      <c r="AA994" s="397"/>
      <c r="AB994" s="530"/>
      <c r="AC994" s="530"/>
      <c r="AD994" s="530"/>
    </row>
    <row r="995" spans="2:30" x14ac:dyDescent="0.25">
      <c r="B995" s="397"/>
      <c r="C995" s="397"/>
      <c r="D995" s="397"/>
      <c r="E995" s="750"/>
      <c r="F995" s="397"/>
      <c r="G995" s="530"/>
      <c r="H995" s="530"/>
      <c r="I995" s="530"/>
      <c r="J995" s="417"/>
      <c r="K995" s="505"/>
      <c r="L995" s="579"/>
      <c r="M995" s="397"/>
      <c r="N995" s="397"/>
      <c r="O995" s="397"/>
      <c r="P995" s="397"/>
      <c r="Q995" s="397"/>
      <c r="R995" s="397"/>
      <c r="S995" s="397"/>
      <c r="T995" s="397"/>
      <c r="U995" s="397"/>
      <c r="V995" s="397"/>
      <c r="W995" s="397"/>
      <c r="X995" s="397"/>
      <c r="Y995" s="397"/>
      <c r="Z995" s="397"/>
      <c r="AA995" s="397"/>
      <c r="AB995" s="530"/>
      <c r="AC995" s="530"/>
      <c r="AD995" s="530"/>
    </row>
    <row r="996" spans="2:30" x14ac:dyDescent="0.25">
      <c r="B996" s="397"/>
      <c r="C996" s="397"/>
      <c r="D996" s="397"/>
      <c r="E996" s="750"/>
      <c r="F996" s="397"/>
      <c r="G996" s="530"/>
      <c r="H996" s="530"/>
      <c r="I996" s="530"/>
      <c r="J996" s="417"/>
      <c r="K996" s="505"/>
      <c r="L996" s="579"/>
      <c r="M996" s="397"/>
      <c r="N996" s="397"/>
      <c r="O996" s="397"/>
      <c r="P996" s="397"/>
      <c r="Q996" s="397"/>
      <c r="R996" s="397"/>
      <c r="S996" s="397"/>
      <c r="T996" s="397"/>
      <c r="U996" s="397"/>
      <c r="V996" s="397"/>
      <c r="W996" s="397"/>
      <c r="X996" s="397"/>
      <c r="Y996" s="397"/>
      <c r="Z996" s="397"/>
      <c r="AA996" s="397"/>
      <c r="AB996" s="530"/>
      <c r="AC996" s="530"/>
      <c r="AD996" s="530"/>
    </row>
    <row r="997" spans="2:30" x14ac:dyDescent="0.25">
      <c r="B997" s="397"/>
      <c r="C997" s="397"/>
      <c r="D997" s="397"/>
      <c r="E997" s="750"/>
      <c r="F997" s="397"/>
      <c r="G997" s="530"/>
      <c r="H997" s="530"/>
      <c r="I997" s="530"/>
      <c r="J997" s="417"/>
      <c r="K997" s="505"/>
      <c r="L997" s="579"/>
      <c r="M997" s="397"/>
      <c r="N997" s="397"/>
      <c r="O997" s="397"/>
      <c r="P997" s="397"/>
      <c r="Q997" s="397"/>
      <c r="R997" s="397"/>
      <c r="S997" s="397"/>
      <c r="T997" s="397"/>
      <c r="U997" s="397"/>
      <c r="V997" s="397"/>
      <c r="W997" s="397"/>
      <c r="X997" s="397"/>
      <c r="Y997" s="397"/>
      <c r="Z997" s="397"/>
      <c r="AA997" s="397"/>
      <c r="AB997" s="530"/>
      <c r="AC997" s="530"/>
      <c r="AD997" s="530"/>
    </row>
    <row r="998" spans="2:30" x14ac:dyDescent="0.25">
      <c r="B998" s="397"/>
      <c r="C998" s="397"/>
      <c r="D998" s="397"/>
      <c r="E998" s="750"/>
      <c r="F998" s="397"/>
      <c r="G998" s="530"/>
      <c r="H998" s="530"/>
      <c r="I998" s="530"/>
      <c r="J998" s="417"/>
      <c r="K998" s="505"/>
      <c r="L998" s="579"/>
      <c r="M998" s="397"/>
      <c r="N998" s="397"/>
      <c r="O998" s="397"/>
      <c r="P998" s="397"/>
      <c r="Q998" s="397"/>
      <c r="R998" s="397"/>
      <c r="S998" s="397"/>
      <c r="T998" s="397"/>
      <c r="U998" s="397"/>
      <c r="V998" s="397"/>
      <c r="W998" s="397"/>
      <c r="X998" s="397"/>
      <c r="Y998" s="397"/>
      <c r="Z998" s="397"/>
      <c r="AA998" s="397"/>
      <c r="AB998" s="530"/>
      <c r="AC998" s="530"/>
      <c r="AD998" s="530"/>
    </row>
    <row r="999" spans="2:30" x14ac:dyDescent="0.25">
      <c r="B999" s="397"/>
      <c r="C999" s="397"/>
      <c r="D999" s="397"/>
      <c r="E999" s="750"/>
      <c r="F999" s="397"/>
      <c r="G999" s="530"/>
      <c r="H999" s="530"/>
      <c r="I999" s="530"/>
      <c r="J999" s="417"/>
      <c r="K999" s="505"/>
      <c r="L999" s="579"/>
      <c r="M999" s="397"/>
      <c r="N999" s="397"/>
      <c r="O999" s="397"/>
      <c r="P999" s="397"/>
      <c r="Q999" s="397"/>
      <c r="R999" s="397"/>
      <c r="S999" s="397"/>
      <c r="T999" s="397"/>
      <c r="U999" s="397"/>
      <c r="V999" s="397"/>
      <c r="W999" s="397"/>
      <c r="X999" s="397"/>
      <c r="Y999" s="397"/>
      <c r="Z999" s="397"/>
      <c r="AA999" s="397"/>
      <c r="AB999" s="530"/>
      <c r="AC999" s="530"/>
      <c r="AD999" s="530"/>
    </row>
    <row r="1000" spans="2:30" x14ac:dyDescent="0.25">
      <c r="B1000" s="397"/>
      <c r="C1000" s="397"/>
      <c r="D1000" s="397"/>
      <c r="E1000" s="750"/>
      <c r="F1000" s="397"/>
      <c r="G1000" s="530"/>
      <c r="H1000" s="530"/>
      <c r="I1000" s="530"/>
      <c r="J1000" s="417"/>
      <c r="K1000" s="505"/>
      <c r="L1000" s="579"/>
      <c r="M1000" s="397"/>
      <c r="N1000" s="397"/>
      <c r="O1000" s="397"/>
      <c r="P1000" s="397"/>
      <c r="Q1000" s="397"/>
      <c r="R1000" s="397"/>
      <c r="S1000" s="397"/>
      <c r="T1000" s="397"/>
      <c r="U1000" s="397"/>
      <c r="V1000" s="397"/>
      <c r="W1000" s="397"/>
      <c r="X1000" s="397"/>
      <c r="Y1000" s="397"/>
      <c r="Z1000" s="397"/>
      <c r="AA1000" s="397"/>
      <c r="AB1000" s="530"/>
      <c r="AC1000" s="530"/>
      <c r="AD1000" s="530"/>
    </row>
    <row r="1001" spans="2:30" x14ac:dyDescent="0.25">
      <c r="B1001" s="397"/>
      <c r="C1001" s="397"/>
      <c r="D1001" s="397"/>
      <c r="E1001" s="750"/>
      <c r="F1001" s="397"/>
      <c r="G1001" s="530"/>
      <c r="H1001" s="530"/>
      <c r="I1001" s="530"/>
      <c r="K1001" s="505"/>
      <c r="L1001" s="579"/>
      <c r="M1001" s="397"/>
      <c r="N1001" s="397"/>
      <c r="O1001" s="397"/>
      <c r="P1001" s="397"/>
      <c r="Q1001" s="397"/>
      <c r="R1001" s="397"/>
      <c r="S1001" s="397"/>
      <c r="T1001" s="397"/>
      <c r="U1001" s="397"/>
      <c r="V1001" s="397"/>
      <c r="W1001" s="397"/>
      <c r="X1001" s="397"/>
      <c r="Y1001" s="397"/>
      <c r="Z1001" s="397"/>
      <c r="AA1001" s="397"/>
      <c r="AB1001" s="530"/>
      <c r="AC1001" s="530"/>
      <c r="AD1001" s="530"/>
    </row>
    <row r="1002" spans="2:30" x14ac:dyDescent="0.25">
      <c r="B1002" s="397"/>
      <c r="C1002" s="397"/>
      <c r="D1002" s="397"/>
      <c r="E1002" s="750"/>
      <c r="F1002" s="397"/>
      <c r="G1002" s="530"/>
      <c r="H1002" s="530"/>
      <c r="P1002" s="397"/>
      <c r="Q1002" s="397"/>
      <c r="R1002" s="397"/>
      <c r="S1002" s="397"/>
      <c r="T1002" s="397"/>
      <c r="U1002" s="397"/>
      <c r="V1002" s="397"/>
      <c r="W1002" s="397"/>
      <c r="X1002" s="397"/>
      <c r="Y1002" s="397"/>
      <c r="Z1002" s="397"/>
      <c r="AA1002" s="397"/>
      <c r="AB1002" s="530"/>
      <c r="AC1002" s="530"/>
      <c r="AD1002" s="530"/>
    </row>
    <row r="1003" spans="2:30" x14ac:dyDescent="0.25">
      <c r="B1003" s="397"/>
      <c r="C1003" s="397"/>
      <c r="D1003" s="397"/>
      <c r="E1003" s="750"/>
      <c r="F1003" s="397"/>
      <c r="G1003" s="530"/>
      <c r="H1003" s="530"/>
      <c r="P1003" s="397"/>
      <c r="Q1003" s="397"/>
      <c r="R1003" s="397"/>
      <c r="S1003" s="397"/>
      <c r="T1003" s="397"/>
      <c r="U1003" s="397"/>
      <c r="V1003" s="397"/>
      <c r="W1003" s="397"/>
      <c r="X1003" s="397"/>
      <c r="Y1003" s="397"/>
      <c r="Z1003" s="397"/>
      <c r="AA1003" s="397"/>
      <c r="AB1003" s="530"/>
      <c r="AC1003" s="530"/>
      <c r="AD1003" s="530"/>
    </row>
    <row r="1004" spans="2:30" x14ac:dyDescent="0.25">
      <c r="B1004" s="397"/>
      <c r="C1004" s="397"/>
      <c r="D1004" s="397"/>
      <c r="E1004" s="750"/>
      <c r="F1004" s="397"/>
      <c r="G1004" s="530"/>
      <c r="H1004" s="530"/>
      <c r="P1004" s="397"/>
      <c r="Q1004" s="397"/>
      <c r="R1004" s="397"/>
      <c r="S1004" s="397"/>
      <c r="T1004" s="397"/>
      <c r="U1004" s="397"/>
      <c r="V1004" s="397"/>
      <c r="W1004" s="397"/>
      <c r="X1004" s="397"/>
      <c r="Y1004" s="397"/>
      <c r="Z1004" s="397"/>
      <c r="AA1004" s="397"/>
      <c r="AB1004" s="530"/>
      <c r="AC1004" s="530"/>
      <c r="AD1004" s="530"/>
    </row>
    <row r="1005" spans="2:30" x14ac:dyDescent="0.25">
      <c r="B1005" s="397"/>
      <c r="C1005" s="397"/>
      <c r="D1005" s="397"/>
      <c r="E1005" s="750"/>
      <c r="F1005" s="397"/>
      <c r="G1005" s="530"/>
      <c r="H1005" s="530"/>
    </row>
    <row r="1006" spans="2:30" x14ac:dyDescent="0.25">
      <c r="B1006" s="397"/>
      <c r="C1006" s="397"/>
      <c r="D1006" s="397"/>
      <c r="E1006" s="750"/>
      <c r="F1006" s="397"/>
      <c r="G1006" s="530"/>
      <c r="H1006" s="530"/>
    </row>
    <row r="1007" spans="2:30" x14ac:dyDescent="0.25">
      <c r="B1007" s="397"/>
      <c r="C1007" s="397"/>
      <c r="D1007" s="397"/>
      <c r="E1007" s="750"/>
      <c r="F1007" s="397"/>
      <c r="G1007" s="530"/>
      <c r="H1007" s="530"/>
    </row>
    <row r="1008" spans="2:30" x14ac:dyDescent="0.25">
      <c r="B1008" s="397"/>
      <c r="C1008" s="397"/>
      <c r="D1008" s="397"/>
      <c r="E1008" s="750"/>
      <c r="F1008" s="397"/>
      <c r="G1008" s="530"/>
      <c r="H1008" s="530"/>
    </row>
    <row r="1009" spans="2:8" x14ac:dyDescent="0.25">
      <c r="B1009" s="397"/>
      <c r="C1009" s="397"/>
      <c r="D1009" s="397"/>
      <c r="E1009" s="750"/>
      <c r="F1009" s="397"/>
      <c r="G1009" s="530"/>
      <c r="H1009" s="530"/>
    </row>
    <row r="1010" spans="2:8" x14ac:dyDescent="0.25">
      <c r="B1010" s="397"/>
      <c r="C1010" s="397"/>
      <c r="D1010" s="397"/>
      <c r="E1010" s="750"/>
      <c r="F1010" s="397"/>
      <c r="G1010" s="530"/>
      <c r="H1010" s="530"/>
    </row>
    <row r="1011" spans="2:8" x14ac:dyDescent="0.25">
      <c r="B1011" s="397"/>
      <c r="C1011" s="397"/>
      <c r="D1011" s="397"/>
      <c r="E1011" s="750"/>
      <c r="F1011" s="397"/>
      <c r="G1011" s="530"/>
      <c r="H1011" s="530"/>
    </row>
    <row r="1012" spans="2:8" x14ac:dyDescent="0.25">
      <c r="B1012" s="397"/>
      <c r="C1012" s="397"/>
      <c r="D1012" s="397"/>
      <c r="E1012" s="750"/>
      <c r="F1012" s="397"/>
      <c r="G1012" s="530"/>
      <c r="H1012" s="530"/>
    </row>
    <row r="1013" spans="2:8" x14ac:dyDescent="0.25">
      <c r="B1013" s="397"/>
      <c r="C1013" s="397"/>
      <c r="D1013" s="397"/>
      <c r="E1013" s="750"/>
      <c r="F1013" s="397"/>
      <c r="G1013" s="530"/>
      <c r="H1013" s="530"/>
    </row>
    <row r="1014" spans="2:8" x14ac:dyDescent="0.25">
      <c r="B1014" s="397"/>
      <c r="C1014" s="397"/>
      <c r="D1014" s="397"/>
      <c r="E1014" s="750"/>
      <c r="F1014" s="397"/>
      <c r="G1014" s="530"/>
      <c r="H1014" s="530"/>
    </row>
    <row r="1015" spans="2:8" x14ac:dyDescent="0.25">
      <c r="B1015" s="397"/>
      <c r="C1015" s="397"/>
      <c r="D1015" s="397"/>
      <c r="E1015" s="750"/>
      <c r="F1015" s="397"/>
      <c r="G1015" s="530"/>
      <c r="H1015" s="530"/>
    </row>
    <row r="1016" spans="2:8" x14ac:dyDescent="0.25">
      <c r="B1016" s="397"/>
      <c r="C1016" s="397"/>
      <c r="D1016" s="397"/>
      <c r="E1016" s="750"/>
      <c r="F1016" s="397"/>
      <c r="G1016" s="530"/>
      <c r="H1016" s="530"/>
    </row>
    <row r="1017" spans="2:8" x14ac:dyDescent="0.25">
      <c r="B1017" s="397"/>
      <c r="C1017" s="397"/>
      <c r="D1017" s="397"/>
      <c r="E1017" s="750"/>
      <c r="F1017" s="397"/>
      <c r="G1017" s="530"/>
      <c r="H1017" s="530"/>
    </row>
    <row r="1018" spans="2:8" x14ac:dyDescent="0.25">
      <c r="B1018" s="397"/>
      <c r="C1018" s="397"/>
      <c r="D1018" s="397"/>
      <c r="E1018" s="750"/>
      <c r="F1018" s="397"/>
      <c r="G1018" s="530"/>
      <c r="H1018" s="530"/>
    </row>
    <row r="1019" spans="2:8" x14ac:dyDescent="0.25">
      <c r="B1019" s="397"/>
      <c r="C1019" s="397"/>
      <c r="D1019" s="397"/>
      <c r="E1019" s="750"/>
      <c r="F1019" s="397"/>
      <c r="G1019" s="530"/>
      <c r="H1019" s="530"/>
    </row>
    <row r="1020" spans="2:8" x14ac:dyDescent="0.25">
      <c r="B1020" s="397"/>
      <c r="C1020" s="397"/>
      <c r="D1020" s="397"/>
      <c r="E1020" s="750"/>
      <c r="F1020" s="397"/>
      <c r="G1020" s="530"/>
      <c r="H1020" s="530"/>
    </row>
    <row r="1021" spans="2:8" x14ac:dyDescent="0.25">
      <c r="B1021" s="397"/>
      <c r="C1021" s="397"/>
      <c r="D1021" s="397"/>
      <c r="E1021" s="750"/>
      <c r="F1021" s="397"/>
      <c r="G1021" s="530"/>
      <c r="H1021" s="530"/>
    </row>
    <row r="1022" spans="2:8" x14ac:dyDescent="0.25">
      <c r="B1022" s="397"/>
      <c r="C1022" s="397"/>
      <c r="D1022" s="397"/>
      <c r="E1022" s="750"/>
      <c r="F1022" s="397"/>
      <c r="G1022" s="530"/>
      <c r="H1022" s="530"/>
    </row>
    <row r="1023" spans="2:8" x14ac:dyDescent="0.25">
      <c r="B1023" s="397"/>
      <c r="C1023" s="397"/>
      <c r="D1023" s="397"/>
      <c r="E1023" s="750"/>
      <c r="F1023" s="397"/>
      <c r="G1023" s="530"/>
      <c r="H1023" s="530"/>
    </row>
    <row r="1024" spans="2:8" x14ac:dyDescent="0.25">
      <c r="B1024" s="397"/>
      <c r="C1024" s="397"/>
      <c r="D1024" s="397"/>
      <c r="E1024" s="750"/>
      <c r="F1024" s="397"/>
      <c r="G1024" s="530"/>
      <c r="H1024" s="530"/>
    </row>
    <row r="1025" spans="2:8" x14ac:dyDescent="0.25">
      <c r="B1025" s="397"/>
      <c r="C1025" s="397"/>
      <c r="D1025" s="397"/>
      <c r="E1025" s="750"/>
      <c r="F1025" s="397"/>
      <c r="G1025" s="530"/>
      <c r="H1025" s="530"/>
    </row>
    <row r="1026" spans="2:8" x14ac:dyDescent="0.25">
      <c r="B1026" s="397"/>
      <c r="C1026" s="397"/>
      <c r="D1026" s="397"/>
      <c r="E1026" s="750"/>
      <c r="F1026" s="397"/>
      <c r="G1026" s="530"/>
      <c r="H1026" s="530"/>
    </row>
    <row r="1027" spans="2:8" x14ac:dyDescent="0.25">
      <c r="B1027" s="397"/>
      <c r="C1027" s="397"/>
      <c r="D1027" s="397"/>
      <c r="E1027" s="750"/>
      <c r="F1027" s="397"/>
      <c r="G1027" s="530"/>
      <c r="H1027" s="530"/>
    </row>
    <row r="1028" spans="2:8" x14ac:dyDescent="0.25">
      <c r="B1028" s="397"/>
      <c r="C1028" s="397"/>
      <c r="D1028" s="397"/>
      <c r="E1028" s="750"/>
      <c r="F1028" s="397"/>
      <c r="G1028" s="530"/>
      <c r="H1028" s="530"/>
    </row>
    <row r="1029" spans="2:8" x14ac:dyDescent="0.25">
      <c r="B1029" s="397"/>
      <c r="C1029" s="397"/>
      <c r="D1029" s="397"/>
      <c r="E1029" s="750"/>
      <c r="F1029" s="397"/>
      <c r="G1029" s="530"/>
      <c r="H1029" s="530"/>
    </row>
    <row r="1030" spans="2:8" x14ac:dyDescent="0.25">
      <c r="B1030" s="397"/>
      <c r="C1030" s="397"/>
      <c r="D1030" s="397"/>
      <c r="E1030" s="750"/>
      <c r="F1030" s="397"/>
      <c r="G1030" s="530"/>
      <c r="H1030" s="530"/>
    </row>
    <row r="1031" spans="2:8" x14ac:dyDescent="0.25">
      <c r="B1031" s="397"/>
      <c r="C1031" s="397"/>
      <c r="D1031" s="397"/>
      <c r="E1031" s="750"/>
      <c r="F1031" s="397"/>
      <c r="G1031" s="530"/>
      <c r="H1031" s="530"/>
    </row>
    <row r="1032" spans="2:8" x14ac:dyDescent="0.25">
      <c r="B1032" s="397"/>
      <c r="C1032" s="397"/>
      <c r="D1032" s="397"/>
      <c r="E1032" s="750"/>
      <c r="F1032" s="397"/>
      <c r="G1032" s="530"/>
      <c r="H1032" s="530"/>
    </row>
    <row r="1033" spans="2:8" x14ac:dyDescent="0.25">
      <c r="B1033" s="397"/>
      <c r="C1033" s="397"/>
      <c r="D1033" s="397"/>
      <c r="E1033" s="750"/>
      <c r="F1033" s="397"/>
      <c r="G1033" s="530"/>
      <c r="H1033" s="530"/>
    </row>
    <row r="1034" spans="2:8" x14ac:dyDescent="0.25">
      <c r="B1034" s="397"/>
      <c r="C1034" s="397"/>
      <c r="D1034" s="397"/>
      <c r="E1034" s="750"/>
      <c r="F1034" s="397"/>
      <c r="G1034" s="530"/>
      <c r="H1034" s="530"/>
    </row>
    <row r="1035" spans="2:8" x14ac:dyDescent="0.25">
      <c r="B1035" s="397"/>
      <c r="C1035" s="397"/>
      <c r="D1035" s="397"/>
      <c r="E1035" s="750"/>
      <c r="F1035" s="397"/>
      <c r="G1035" s="530"/>
      <c r="H1035" s="530"/>
    </row>
    <row r="1036" spans="2:8" x14ac:dyDescent="0.25">
      <c r="B1036" s="397"/>
      <c r="C1036" s="397"/>
      <c r="D1036" s="397"/>
      <c r="E1036" s="750"/>
      <c r="F1036" s="397"/>
      <c r="G1036" s="530"/>
      <c r="H1036" s="530"/>
    </row>
    <row r="1037" spans="2:8" x14ac:dyDescent="0.25">
      <c r="B1037" s="397"/>
      <c r="C1037" s="397"/>
      <c r="D1037" s="397"/>
      <c r="E1037" s="750"/>
      <c r="F1037" s="397"/>
      <c r="G1037" s="530"/>
      <c r="H1037" s="530"/>
    </row>
    <row r="1038" spans="2:8" x14ac:dyDescent="0.25">
      <c r="B1038" s="397"/>
      <c r="C1038" s="397"/>
      <c r="D1038" s="397"/>
      <c r="E1038" s="750"/>
      <c r="F1038" s="397"/>
      <c r="G1038" s="530"/>
      <c r="H1038" s="530"/>
    </row>
    <row r="1039" spans="2:8" x14ac:dyDescent="0.25">
      <c r="B1039" s="397"/>
      <c r="C1039" s="397"/>
      <c r="D1039" s="397"/>
      <c r="E1039" s="750"/>
      <c r="F1039" s="397"/>
      <c r="G1039" s="530"/>
      <c r="H1039" s="530"/>
    </row>
    <row r="1040" spans="2:8" x14ac:dyDescent="0.25">
      <c r="B1040" s="397"/>
      <c r="C1040" s="397"/>
      <c r="D1040" s="397"/>
      <c r="E1040" s="750"/>
      <c r="F1040" s="397"/>
      <c r="G1040" s="530"/>
      <c r="H1040" s="530"/>
    </row>
    <row r="1041" spans="2:8" x14ac:dyDescent="0.25">
      <c r="B1041" s="397"/>
      <c r="C1041" s="397"/>
      <c r="D1041" s="397"/>
      <c r="E1041" s="750"/>
      <c r="F1041" s="397"/>
      <c r="G1041" s="530"/>
      <c r="H1041" s="530"/>
    </row>
    <row r="1042" spans="2:8" x14ac:dyDescent="0.25">
      <c r="B1042" s="397"/>
      <c r="C1042" s="397"/>
      <c r="D1042" s="397"/>
      <c r="E1042" s="750"/>
      <c r="F1042" s="397"/>
      <c r="G1042" s="530"/>
      <c r="H1042" s="530"/>
    </row>
    <row r="1043" spans="2:8" x14ac:dyDescent="0.25">
      <c r="B1043" s="397"/>
      <c r="C1043" s="397"/>
      <c r="D1043" s="397"/>
      <c r="E1043" s="750"/>
      <c r="F1043" s="397"/>
      <c r="G1043" s="530"/>
      <c r="H1043" s="530"/>
    </row>
    <row r="1044" spans="2:8" x14ac:dyDescent="0.25">
      <c r="B1044" s="397"/>
      <c r="C1044" s="397"/>
      <c r="D1044" s="397"/>
      <c r="E1044" s="750"/>
      <c r="F1044" s="397"/>
      <c r="G1044" s="530"/>
      <c r="H1044" s="530"/>
    </row>
    <row r="1045" spans="2:8" x14ac:dyDescent="0.25">
      <c r="B1045" s="397"/>
      <c r="C1045" s="397"/>
      <c r="D1045" s="397"/>
      <c r="E1045" s="750"/>
      <c r="F1045" s="397"/>
      <c r="G1045" s="530"/>
      <c r="H1045" s="530"/>
    </row>
    <row r="1046" spans="2:8" x14ac:dyDescent="0.25">
      <c r="B1046" s="397"/>
      <c r="C1046" s="397"/>
      <c r="D1046" s="397"/>
      <c r="E1046" s="750"/>
      <c r="F1046" s="397"/>
      <c r="G1046" s="530"/>
      <c r="H1046" s="530"/>
    </row>
    <row r="1047" spans="2:8" x14ac:dyDescent="0.25">
      <c r="B1047" s="397"/>
      <c r="C1047" s="397"/>
      <c r="D1047" s="397"/>
      <c r="E1047" s="750"/>
      <c r="F1047" s="397"/>
      <c r="G1047" s="530"/>
      <c r="H1047" s="530"/>
    </row>
    <row r="1048" spans="2:8" x14ac:dyDescent="0.25">
      <c r="B1048" s="397"/>
      <c r="C1048" s="397"/>
      <c r="D1048" s="397"/>
      <c r="E1048" s="750"/>
      <c r="F1048" s="397"/>
      <c r="G1048" s="530"/>
      <c r="H1048" s="530"/>
    </row>
    <row r="1049" spans="2:8" x14ac:dyDescent="0.25">
      <c r="B1049" s="397"/>
      <c r="C1049" s="397"/>
      <c r="D1049" s="397"/>
      <c r="E1049" s="750"/>
      <c r="F1049" s="397"/>
      <c r="G1049" s="530"/>
      <c r="H1049" s="530"/>
    </row>
    <row r="1050" spans="2:8" x14ac:dyDescent="0.25">
      <c r="B1050" s="397"/>
      <c r="C1050" s="397"/>
      <c r="D1050" s="397"/>
      <c r="E1050" s="750"/>
      <c r="F1050" s="397"/>
      <c r="G1050" s="530"/>
      <c r="H1050" s="530"/>
    </row>
    <row r="1051" spans="2:8" x14ac:dyDescent="0.25">
      <c r="B1051" s="397"/>
      <c r="C1051" s="397"/>
      <c r="D1051" s="397"/>
      <c r="E1051" s="750"/>
      <c r="F1051" s="397"/>
      <c r="G1051" s="530"/>
      <c r="H1051" s="530"/>
    </row>
    <row r="1052" spans="2:8" x14ac:dyDescent="0.25">
      <c r="B1052" s="397"/>
      <c r="C1052" s="397"/>
      <c r="D1052" s="397"/>
      <c r="E1052" s="750"/>
      <c r="F1052" s="397"/>
      <c r="G1052" s="530"/>
      <c r="H1052" s="530"/>
    </row>
    <row r="1053" spans="2:8" x14ac:dyDescent="0.25">
      <c r="B1053" s="397"/>
      <c r="C1053" s="397"/>
      <c r="D1053" s="397"/>
      <c r="E1053" s="750"/>
      <c r="F1053" s="397"/>
      <c r="G1053" s="530"/>
      <c r="H1053" s="530"/>
    </row>
    <row r="1054" spans="2:8" x14ac:dyDescent="0.25">
      <c r="B1054" s="397"/>
      <c r="C1054" s="397"/>
      <c r="D1054" s="397"/>
      <c r="E1054" s="750"/>
      <c r="F1054" s="397"/>
      <c r="G1054" s="530"/>
      <c r="H1054" s="530"/>
    </row>
    <row r="1055" spans="2:8" x14ac:dyDescent="0.25">
      <c r="B1055" s="397"/>
      <c r="C1055" s="397"/>
      <c r="D1055" s="397"/>
      <c r="E1055" s="750"/>
      <c r="F1055" s="397"/>
      <c r="G1055" s="530"/>
      <c r="H1055" s="530"/>
    </row>
    <row r="1056" spans="2:8" x14ac:dyDescent="0.25">
      <c r="B1056" s="397"/>
      <c r="C1056" s="397"/>
      <c r="D1056" s="397"/>
      <c r="E1056" s="750"/>
      <c r="F1056" s="397"/>
      <c r="G1056" s="530"/>
      <c r="H1056" s="530"/>
    </row>
    <row r="1057" spans="2:8" x14ac:dyDescent="0.25">
      <c r="B1057" s="397"/>
      <c r="C1057" s="397"/>
      <c r="D1057" s="397"/>
      <c r="E1057" s="750"/>
      <c r="F1057" s="397"/>
      <c r="G1057" s="530"/>
      <c r="H1057" s="530"/>
    </row>
    <row r="1058" spans="2:8" x14ac:dyDescent="0.25">
      <c r="B1058" s="397"/>
      <c r="C1058" s="397"/>
      <c r="D1058" s="397"/>
      <c r="E1058" s="750"/>
      <c r="F1058" s="397"/>
      <c r="G1058" s="530"/>
      <c r="H1058" s="530"/>
    </row>
    <row r="1059" spans="2:8" x14ac:dyDescent="0.25">
      <c r="B1059" s="397"/>
      <c r="C1059" s="397"/>
      <c r="D1059" s="397"/>
      <c r="E1059" s="750"/>
      <c r="F1059" s="397"/>
      <c r="G1059" s="530"/>
      <c r="H1059" s="530"/>
    </row>
    <row r="1060" spans="2:8" x14ac:dyDescent="0.25">
      <c r="B1060" s="397"/>
      <c r="C1060" s="397"/>
      <c r="D1060" s="397"/>
      <c r="E1060" s="750"/>
      <c r="F1060" s="397"/>
      <c r="G1060" s="530"/>
      <c r="H1060" s="530"/>
    </row>
    <row r="1061" spans="2:8" x14ac:dyDescent="0.25">
      <c r="B1061" s="397"/>
      <c r="C1061" s="397"/>
      <c r="D1061" s="397"/>
      <c r="E1061" s="750"/>
      <c r="F1061" s="397"/>
      <c r="G1061" s="530"/>
      <c r="H1061" s="530"/>
    </row>
    <row r="1062" spans="2:8" x14ac:dyDescent="0.25">
      <c r="B1062" s="397"/>
      <c r="C1062" s="397"/>
      <c r="D1062" s="397"/>
      <c r="E1062" s="750"/>
      <c r="F1062" s="397"/>
      <c r="G1062" s="530"/>
      <c r="H1062" s="530"/>
    </row>
    <row r="1063" spans="2:8" x14ac:dyDescent="0.25">
      <c r="B1063" s="397"/>
      <c r="C1063" s="397"/>
      <c r="D1063" s="397"/>
      <c r="E1063" s="750"/>
      <c r="F1063" s="397"/>
      <c r="G1063" s="530"/>
      <c r="H1063" s="530"/>
    </row>
    <row r="1064" spans="2:8" x14ac:dyDescent="0.25">
      <c r="B1064" s="397"/>
      <c r="C1064" s="397"/>
      <c r="D1064" s="397"/>
      <c r="E1064" s="750"/>
      <c r="F1064" s="397"/>
      <c r="G1064" s="530"/>
      <c r="H1064" s="530"/>
    </row>
    <row r="1065" spans="2:8" x14ac:dyDescent="0.25">
      <c r="B1065" s="397"/>
      <c r="C1065" s="397"/>
      <c r="D1065" s="397"/>
      <c r="E1065" s="750"/>
      <c r="F1065" s="397"/>
      <c r="G1065" s="530"/>
      <c r="H1065" s="530"/>
    </row>
    <row r="1066" spans="2:8" x14ac:dyDescent="0.25">
      <c r="B1066" s="397"/>
      <c r="C1066" s="397"/>
      <c r="D1066" s="397"/>
      <c r="E1066" s="750"/>
      <c r="F1066" s="397"/>
      <c r="G1066" s="530"/>
      <c r="H1066" s="530"/>
    </row>
    <row r="1067" spans="2:8" x14ac:dyDescent="0.25">
      <c r="B1067" s="397"/>
      <c r="C1067" s="397"/>
      <c r="D1067" s="397"/>
      <c r="E1067" s="750"/>
      <c r="F1067" s="397"/>
      <c r="G1067" s="530"/>
      <c r="H1067" s="530"/>
    </row>
    <row r="1068" spans="2:8" x14ac:dyDescent="0.25">
      <c r="B1068" s="397"/>
      <c r="C1068" s="397"/>
      <c r="D1068" s="397"/>
      <c r="E1068" s="750"/>
      <c r="F1068" s="397"/>
      <c r="G1068" s="530"/>
      <c r="H1068" s="530"/>
    </row>
    <row r="1069" spans="2:8" x14ac:dyDescent="0.25">
      <c r="B1069" s="397"/>
      <c r="C1069" s="397"/>
      <c r="D1069" s="397"/>
      <c r="E1069" s="750"/>
      <c r="F1069" s="397"/>
      <c r="G1069" s="530"/>
      <c r="H1069" s="530"/>
    </row>
    <row r="1070" spans="2:8" x14ac:dyDescent="0.25">
      <c r="B1070" s="397"/>
      <c r="C1070" s="397"/>
      <c r="D1070" s="397"/>
      <c r="E1070" s="750"/>
      <c r="F1070" s="397"/>
      <c r="G1070" s="530"/>
      <c r="H1070" s="530"/>
    </row>
    <row r="1071" spans="2:8" x14ac:dyDescent="0.25">
      <c r="B1071" s="397"/>
      <c r="C1071" s="397"/>
      <c r="D1071" s="397"/>
      <c r="E1071" s="750"/>
      <c r="F1071" s="397"/>
      <c r="G1071" s="530"/>
      <c r="H1071" s="530"/>
    </row>
    <row r="1072" spans="2:8" x14ac:dyDescent="0.25">
      <c r="B1072" s="397"/>
      <c r="C1072" s="397"/>
      <c r="D1072" s="397"/>
      <c r="E1072" s="750"/>
      <c r="F1072" s="397"/>
      <c r="G1072" s="530"/>
      <c r="H1072" s="530"/>
    </row>
    <row r="1073" spans="2:8" x14ac:dyDescent="0.25">
      <c r="B1073" s="397"/>
      <c r="C1073" s="397"/>
      <c r="D1073" s="397"/>
      <c r="E1073" s="750"/>
      <c r="F1073" s="397"/>
      <c r="G1073" s="530"/>
      <c r="H1073" s="530"/>
    </row>
    <row r="1074" spans="2:8" x14ac:dyDescent="0.25">
      <c r="B1074" s="397"/>
      <c r="C1074" s="397"/>
      <c r="D1074" s="397"/>
      <c r="E1074" s="750"/>
      <c r="F1074" s="397"/>
      <c r="G1074" s="530"/>
      <c r="H1074" s="530"/>
    </row>
    <row r="1075" spans="2:8" x14ac:dyDescent="0.25">
      <c r="B1075" s="397"/>
      <c r="C1075" s="397"/>
      <c r="D1075" s="397"/>
      <c r="E1075" s="750"/>
      <c r="F1075" s="397"/>
      <c r="G1075" s="530"/>
      <c r="H1075" s="530"/>
    </row>
    <row r="1076" spans="2:8" x14ac:dyDescent="0.25">
      <c r="B1076" s="397"/>
      <c r="C1076" s="397"/>
      <c r="D1076" s="397"/>
      <c r="E1076" s="750"/>
      <c r="F1076" s="397"/>
      <c r="G1076" s="530"/>
      <c r="H1076" s="530"/>
    </row>
    <row r="1077" spans="2:8" x14ac:dyDescent="0.25">
      <c r="B1077" s="397"/>
      <c r="C1077" s="397"/>
      <c r="D1077" s="397"/>
      <c r="E1077" s="750"/>
      <c r="F1077" s="397"/>
      <c r="G1077" s="530"/>
      <c r="H1077" s="530"/>
    </row>
    <row r="1078" spans="2:8" x14ac:dyDescent="0.25">
      <c r="B1078" s="397"/>
      <c r="C1078" s="397"/>
      <c r="D1078" s="397"/>
      <c r="E1078" s="750"/>
      <c r="F1078" s="397"/>
      <c r="G1078" s="530"/>
      <c r="H1078" s="530"/>
    </row>
    <row r="1079" spans="2:8" x14ac:dyDescent="0.25">
      <c r="B1079" s="397"/>
      <c r="C1079" s="397"/>
      <c r="D1079" s="397"/>
      <c r="E1079" s="750"/>
      <c r="F1079" s="397"/>
      <c r="G1079" s="530"/>
      <c r="H1079" s="530"/>
    </row>
    <row r="1080" spans="2:8" x14ac:dyDescent="0.25">
      <c r="B1080" s="397"/>
      <c r="C1080" s="397"/>
      <c r="D1080" s="397"/>
      <c r="E1080" s="750"/>
      <c r="F1080" s="397"/>
      <c r="G1080" s="530"/>
      <c r="H1080" s="530"/>
    </row>
    <row r="1081" spans="2:8" x14ac:dyDescent="0.25">
      <c r="B1081" s="397"/>
      <c r="C1081" s="397"/>
      <c r="D1081" s="397"/>
      <c r="E1081" s="750"/>
      <c r="F1081" s="397"/>
      <c r="G1081" s="530"/>
      <c r="H1081" s="530"/>
    </row>
    <row r="1082" spans="2:8" x14ac:dyDescent="0.25">
      <c r="B1082" s="397"/>
      <c r="C1082" s="397"/>
      <c r="D1082" s="397"/>
      <c r="E1082" s="750"/>
      <c r="F1082" s="397"/>
      <c r="G1082" s="530"/>
      <c r="H1082" s="530"/>
    </row>
    <row r="1083" spans="2:8" x14ac:dyDescent="0.25">
      <c r="B1083" s="397"/>
      <c r="C1083" s="397"/>
      <c r="D1083" s="397"/>
      <c r="E1083" s="750"/>
      <c r="F1083" s="397"/>
      <c r="G1083" s="530"/>
      <c r="H1083" s="530"/>
    </row>
    <row r="1084" spans="2:8" x14ac:dyDescent="0.25">
      <c r="B1084" s="397"/>
      <c r="C1084" s="397"/>
      <c r="D1084" s="397"/>
      <c r="E1084" s="750"/>
      <c r="F1084" s="397"/>
      <c r="G1084" s="530"/>
      <c r="H1084" s="530"/>
    </row>
    <row r="1085" spans="2:8" x14ac:dyDescent="0.25">
      <c r="B1085" s="397"/>
      <c r="C1085" s="397"/>
      <c r="D1085" s="397"/>
      <c r="E1085" s="750"/>
      <c r="F1085" s="397"/>
      <c r="G1085" s="530"/>
      <c r="H1085" s="530"/>
    </row>
    <row r="1086" spans="2:8" x14ac:dyDescent="0.25">
      <c r="B1086" s="397"/>
      <c r="C1086" s="397"/>
      <c r="D1086" s="397"/>
      <c r="E1086" s="750"/>
      <c r="F1086" s="397"/>
      <c r="G1086" s="530"/>
      <c r="H1086" s="530"/>
    </row>
    <row r="1087" spans="2:8" x14ac:dyDescent="0.25">
      <c r="B1087" s="397"/>
      <c r="C1087" s="397"/>
      <c r="D1087" s="397"/>
      <c r="E1087" s="750"/>
      <c r="F1087" s="397"/>
      <c r="G1087" s="530"/>
      <c r="H1087" s="530"/>
    </row>
    <row r="1088" spans="2:8" x14ac:dyDescent="0.25">
      <c r="B1088" s="397"/>
      <c r="C1088" s="397"/>
      <c r="D1088" s="397"/>
      <c r="E1088" s="750"/>
      <c r="F1088" s="397"/>
      <c r="G1088" s="530"/>
      <c r="H1088" s="530"/>
    </row>
    <row r="1089" spans="2:8" x14ac:dyDescent="0.25">
      <c r="B1089" s="397"/>
      <c r="C1089" s="397"/>
      <c r="D1089" s="397"/>
      <c r="E1089" s="750"/>
      <c r="F1089" s="397"/>
      <c r="G1089" s="530"/>
      <c r="H1089" s="530"/>
    </row>
    <row r="1090" spans="2:8" x14ac:dyDescent="0.25">
      <c r="B1090" s="397"/>
      <c r="C1090" s="397"/>
      <c r="D1090" s="397"/>
      <c r="E1090" s="750"/>
      <c r="F1090" s="397"/>
      <c r="G1090" s="530"/>
      <c r="H1090" s="530"/>
    </row>
    <row r="1091" spans="2:8" x14ac:dyDescent="0.25">
      <c r="B1091" s="397"/>
      <c r="C1091" s="397"/>
      <c r="D1091" s="397"/>
      <c r="E1091" s="750"/>
      <c r="F1091" s="397"/>
      <c r="G1091" s="530"/>
      <c r="H1091" s="530"/>
    </row>
    <row r="1092" spans="2:8" x14ac:dyDescent="0.25">
      <c r="B1092" s="397"/>
      <c r="C1092" s="397"/>
      <c r="D1092" s="397"/>
      <c r="E1092" s="750"/>
      <c r="F1092" s="397"/>
      <c r="G1092" s="530"/>
      <c r="H1092" s="530"/>
    </row>
    <row r="1093" spans="2:8" x14ac:dyDescent="0.25">
      <c r="B1093" s="397"/>
      <c r="C1093" s="397"/>
      <c r="D1093" s="397"/>
      <c r="E1093" s="750"/>
      <c r="F1093" s="397"/>
      <c r="G1093" s="530"/>
      <c r="H1093" s="530"/>
    </row>
    <row r="1094" spans="2:8" x14ac:dyDescent="0.25">
      <c r="B1094" s="397"/>
      <c r="C1094" s="397"/>
      <c r="D1094" s="397"/>
      <c r="E1094" s="750"/>
      <c r="F1094" s="397"/>
      <c r="G1094" s="530"/>
      <c r="H1094" s="530"/>
    </row>
    <row r="1095" spans="2:8" x14ac:dyDescent="0.25">
      <c r="B1095" s="397"/>
      <c r="C1095" s="397"/>
      <c r="D1095" s="397"/>
      <c r="E1095" s="750"/>
      <c r="F1095" s="397"/>
      <c r="G1095" s="530"/>
      <c r="H1095" s="530"/>
    </row>
    <row r="1096" spans="2:8" x14ac:dyDescent="0.25">
      <c r="B1096" s="397"/>
      <c r="C1096" s="397"/>
      <c r="D1096" s="397"/>
      <c r="E1096" s="750"/>
      <c r="F1096" s="397"/>
      <c r="G1096" s="530"/>
      <c r="H1096" s="530"/>
    </row>
    <row r="1097" spans="2:8" x14ac:dyDescent="0.25">
      <c r="B1097" s="397"/>
      <c r="C1097" s="397"/>
      <c r="D1097" s="397"/>
      <c r="E1097" s="750"/>
      <c r="F1097" s="397"/>
      <c r="G1097" s="530"/>
      <c r="H1097" s="530"/>
    </row>
    <row r="1098" spans="2:8" x14ac:dyDescent="0.25">
      <c r="B1098" s="397"/>
      <c r="C1098" s="397"/>
      <c r="D1098" s="397"/>
      <c r="E1098" s="750"/>
      <c r="F1098" s="397"/>
      <c r="G1098" s="530"/>
      <c r="H1098" s="530"/>
    </row>
    <row r="1099" spans="2:8" x14ac:dyDescent="0.25">
      <c r="B1099" s="397"/>
      <c r="C1099" s="397"/>
      <c r="D1099" s="397"/>
      <c r="E1099" s="750"/>
      <c r="F1099" s="397"/>
      <c r="G1099" s="530"/>
      <c r="H1099" s="530"/>
    </row>
    <row r="1100" spans="2:8" x14ac:dyDescent="0.25">
      <c r="B1100" s="397"/>
      <c r="C1100" s="397"/>
      <c r="D1100" s="397"/>
      <c r="E1100" s="750"/>
      <c r="F1100" s="397"/>
      <c r="G1100" s="530"/>
      <c r="H1100" s="530"/>
    </row>
    <row r="1101" spans="2:8" x14ac:dyDescent="0.25">
      <c r="B1101" s="397"/>
      <c r="C1101" s="397"/>
      <c r="D1101" s="397"/>
      <c r="E1101" s="750"/>
      <c r="F1101" s="397"/>
      <c r="G1101" s="530"/>
      <c r="H1101" s="530"/>
    </row>
    <row r="1102" spans="2:8" x14ac:dyDescent="0.25">
      <c r="B1102" s="397"/>
      <c r="C1102" s="397"/>
      <c r="D1102" s="397"/>
      <c r="E1102" s="750"/>
      <c r="F1102" s="397"/>
      <c r="G1102" s="530"/>
      <c r="H1102" s="530"/>
    </row>
    <row r="1103" spans="2:8" x14ac:dyDescent="0.25">
      <c r="B1103" s="397"/>
      <c r="C1103" s="397"/>
      <c r="D1103" s="397"/>
      <c r="E1103" s="750"/>
      <c r="F1103" s="397"/>
      <c r="G1103" s="530"/>
      <c r="H1103" s="530"/>
    </row>
    <row r="1104" spans="2:8" x14ac:dyDescent="0.25">
      <c r="B1104" s="397"/>
      <c r="C1104" s="397"/>
      <c r="D1104" s="397"/>
      <c r="E1104" s="750"/>
      <c r="F1104" s="397"/>
      <c r="G1104" s="530"/>
      <c r="H1104" s="530"/>
    </row>
    <row r="1105" spans="2:8" x14ac:dyDescent="0.25">
      <c r="B1105" s="397"/>
      <c r="C1105" s="397"/>
      <c r="D1105" s="397"/>
      <c r="E1105" s="750"/>
      <c r="F1105" s="397"/>
      <c r="G1105" s="530"/>
      <c r="H1105" s="530"/>
    </row>
    <row r="1106" spans="2:8" x14ac:dyDescent="0.25">
      <c r="B1106" s="397"/>
      <c r="C1106" s="397"/>
      <c r="D1106" s="397"/>
      <c r="E1106" s="750"/>
      <c r="F1106" s="397"/>
      <c r="G1106" s="530"/>
      <c r="H1106" s="530"/>
    </row>
    <row r="1107" spans="2:8" x14ac:dyDescent="0.25">
      <c r="B1107" s="397"/>
      <c r="C1107" s="397"/>
      <c r="D1107" s="397"/>
      <c r="E1107" s="750"/>
      <c r="F1107" s="397"/>
      <c r="G1107" s="530"/>
      <c r="H1107" s="530"/>
    </row>
    <row r="1108" spans="2:8" x14ac:dyDescent="0.25">
      <c r="B1108" s="397"/>
      <c r="C1108" s="397"/>
      <c r="D1108" s="397"/>
      <c r="E1108" s="750"/>
      <c r="F1108" s="397"/>
      <c r="G1108" s="530"/>
      <c r="H1108" s="530"/>
    </row>
    <row r="1109" spans="2:8" x14ac:dyDescent="0.25">
      <c r="B1109" s="397"/>
      <c r="C1109" s="397"/>
      <c r="D1109" s="397"/>
      <c r="E1109" s="750"/>
      <c r="F1109" s="397"/>
      <c r="G1109" s="530"/>
      <c r="H1109" s="530"/>
    </row>
    <row r="1110" spans="2:8" x14ac:dyDescent="0.25">
      <c r="B1110" s="397"/>
      <c r="C1110" s="397"/>
      <c r="D1110" s="397"/>
      <c r="E1110" s="750"/>
      <c r="F1110" s="397"/>
      <c r="G1110" s="530"/>
      <c r="H1110" s="530"/>
    </row>
    <row r="1111" spans="2:8" x14ac:dyDescent="0.25">
      <c r="B1111" s="397"/>
      <c r="C1111" s="397"/>
      <c r="D1111" s="397"/>
      <c r="E1111" s="750"/>
      <c r="F1111" s="397"/>
      <c r="G1111" s="530"/>
      <c r="H1111" s="530"/>
    </row>
    <row r="1112" spans="2:8" x14ac:dyDescent="0.25">
      <c r="B1112" s="397"/>
      <c r="C1112" s="397"/>
      <c r="D1112" s="397"/>
      <c r="E1112" s="750"/>
      <c r="F1112" s="397"/>
      <c r="G1112" s="530"/>
      <c r="H1112" s="530"/>
    </row>
    <row r="1113" spans="2:8" x14ac:dyDescent="0.25">
      <c r="B1113" s="397"/>
      <c r="C1113" s="397"/>
      <c r="D1113" s="397"/>
      <c r="E1113" s="750"/>
      <c r="F1113" s="397"/>
      <c r="G1113" s="530"/>
      <c r="H1113" s="530"/>
    </row>
    <row r="1114" spans="2:8" x14ac:dyDescent="0.25">
      <c r="B1114" s="397"/>
      <c r="C1114" s="397"/>
      <c r="D1114" s="397"/>
      <c r="E1114" s="750"/>
      <c r="F1114" s="397"/>
      <c r="G1114" s="530"/>
      <c r="H1114" s="530"/>
    </row>
    <row r="1115" spans="2:8" x14ac:dyDescent="0.25">
      <c r="B1115" s="397"/>
      <c r="C1115" s="397"/>
      <c r="D1115" s="397"/>
      <c r="E1115" s="750"/>
      <c r="F1115" s="397"/>
      <c r="G1115" s="530"/>
      <c r="H1115" s="530"/>
    </row>
    <row r="1116" spans="2:8" x14ac:dyDescent="0.25">
      <c r="B1116" s="397"/>
      <c r="C1116" s="397"/>
      <c r="D1116" s="397"/>
      <c r="E1116" s="750"/>
      <c r="F1116" s="397"/>
      <c r="G1116" s="530"/>
      <c r="H1116" s="530"/>
    </row>
    <row r="1117" spans="2:8" x14ac:dyDescent="0.25">
      <c r="B1117" s="397"/>
      <c r="C1117" s="397"/>
      <c r="D1117" s="397"/>
      <c r="E1117" s="750"/>
      <c r="F1117" s="397"/>
      <c r="G1117" s="530"/>
      <c r="H1117" s="530"/>
    </row>
    <row r="1118" spans="2:8" x14ac:dyDescent="0.25">
      <c r="B1118" s="397"/>
      <c r="C1118" s="397"/>
      <c r="D1118" s="397"/>
      <c r="E1118" s="750"/>
      <c r="F1118" s="397"/>
      <c r="G1118" s="530"/>
      <c r="H1118" s="530"/>
    </row>
    <row r="1119" spans="2:8" x14ac:dyDescent="0.25">
      <c r="B1119" s="397"/>
      <c r="C1119" s="397"/>
      <c r="D1119" s="397"/>
      <c r="E1119" s="750"/>
      <c r="F1119" s="397"/>
      <c r="G1119" s="530"/>
      <c r="H1119" s="530"/>
    </row>
    <row r="1120" spans="2:8" x14ac:dyDescent="0.25">
      <c r="B1120" s="397"/>
      <c r="C1120" s="397"/>
      <c r="D1120" s="397"/>
      <c r="E1120" s="750"/>
      <c r="F1120" s="397"/>
      <c r="G1120" s="530"/>
      <c r="H1120" s="530"/>
    </row>
    <row r="1121" spans="2:8" x14ac:dyDescent="0.25">
      <c r="B1121" s="397"/>
      <c r="C1121" s="397"/>
      <c r="D1121" s="397"/>
      <c r="E1121" s="750"/>
      <c r="F1121" s="397"/>
      <c r="G1121" s="530"/>
      <c r="H1121" s="530"/>
    </row>
    <row r="1122" spans="2:8" x14ac:dyDescent="0.25">
      <c r="B1122" s="397"/>
      <c r="C1122" s="397"/>
      <c r="D1122" s="397"/>
      <c r="E1122" s="750"/>
      <c r="F1122" s="397"/>
      <c r="G1122" s="530"/>
      <c r="H1122" s="530"/>
    </row>
    <row r="1123" spans="2:8" x14ac:dyDescent="0.25">
      <c r="B1123" s="397"/>
      <c r="C1123" s="397"/>
      <c r="D1123" s="397"/>
      <c r="E1123" s="750"/>
      <c r="F1123" s="397"/>
      <c r="G1123" s="530"/>
      <c r="H1123" s="530"/>
    </row>
    <row r="1124" spans="2:8" x14ac:dyDescent="0.25">
      <c r="B1124" s="397"/>
      <c r="C1124" s="397"/>
      <c r="D1124" s="397"/>
      <c r="E1124" s="750"/>
      <c r="F1124" s="397"/>
      <c r="G1124" s="530"/>
      <c r="H1124" s="530"/>
    </row>
    <row r="1125" spans="2:8" x14ac:dyDescent="0.25">
      <c r="B1125" s="397"/>
      <c r="C1125" s="397"/>
      <c r="D1125" s="397"/>
      <c r="E1125" s="750"/>
      <c r="F1125" s="397"/>
      <c r="G1125" s="530"/>
      <c r="H1125" s="530"/>
    </row>
    <row r="1126" spans="2:8" x14ac:dyDescent="0.25">
      <c r="B1126" s="397"/>
      <c r="C1126" s="397"/>
      <c r="D1126" s="397"/>
      <c r="E1126" s="750"/>
      <c r="F1126" s="397"/>
      <c r="G1126" s="530"/>
      <c r="H1126" s="530"/>
    </row>
    <row r="1127" spans="2:8" x14ac:dyDescent="0.25">
      <c r="B1127" s="397"/>
      <c r="C1127" s="397"/>
      <c r="D1127" s="397"/>
      <c r="E1127" s="750"/>
      <c r="F1127" s="397"/>
      <c r="G1127" s="530"/>
      <c r="H1127" s="530"/>
    </row>
    <row r="1128" spans="2:8" x14ac:dyDescent="0.25">
      <c r="B1128" s="397"/>
      <c r="C1128" s="397"/>
      <c r="D1128" s="397"/>
      <c r="E1128" s="750"/>
      <c r="F1128" s="397"/>
      <c r="G1128" s="530"/>
      <c r="H1128" s="530"/>
    </row>
    <row r="1129" spans="2:8" x14ac:dyDescent="0.25">
      <c r="B1129" s="397"/>
      <c r="C1129" s="397"/>
      <c r="D1129" s="397"/>
      <c r="E1129" s="750"/>
      <c r="F1129" s="397"/>
      <c r="G1129" s="530"/>
      <c r="H1129" s="530"/>
    </row>
    <row r="1130" spans="2:8" x14ac:dyDescent="0.25">
      <c r="B1130" s="397"/>
      <c r="C1130" s="397"/>
      <c r="D1130" s="397"/>
      <c r="E1130" s="750"/>
      <c r="F1130" s="397"/>
      <c r="G1130" s="530"/>
      <c r="H1130" s="530"/>
    </row>
    <row r="1131" spans="2:8" x14ac:dyDescent="0.25">
      <c r="B1131" s="397"/>
      <c r="C1131" s="397"/>
      <c r="D1131" s="397"/>
      <c r="E1131" s="750"/>
      <c r="F1131" s="397"/>
      <c r="G1131" s="530"/>
      <c r="H1131" s="530"/>
    </row>
    <row r="1132" spans="2:8" x14ac:dyDescent="0.25">
      <c r="B1132" s="397"/>
      <c r="C1132" s="397"/>
      <c r="D1132" s="397"/>
      <c r="E1132" s="750"/>
      <c r="F1132" s="397"/>
      <c r="G1132" s="530"/>
      <c r="H1132" s="530"/>
    </row>
    <row r="1133" spans="2:8" x14ac:dyDescent="0.25">
      <c r="B1133" s="397"/>
      <c r="C1133" s="397"/>
      <c r="D1133" s="397"/>
      <c r="E1133" s="750"/>
      <c r="F1133" s="397"/>
      <c r="G1133" s="530"/>
      <c r="H1133" s="530"/>
    </row>
    <row r="1134" spans="2:8" x14ac:dyDescent="0.25">
      <c r="B1134" s="397"/>
      <c r="C1134" s="397"/>
      <c r="D1134" s="397"/>
      <c r="E1134" s="750"/>
      <c r="F1134" s="397"/>
      <c r="G1134" s="530"/>
      <c r="H1134" s="530"/>
    </row>
    <row r="1135" spans="2:8" x14ac:dyDescent="0.25">
      <c r="B1135" s="397"/>
      <c r="C1135" s="397"/>
      <c r="D1135" s="397"/>
      <c r="E1135" s="750"/>
      <c r="F1135" s="397"/>
      <c r="G1135" s="530"/>
      <c r="H1135" s="530"/>
    </row>
    <row r="1136" spans="2:8" x14ac:dyDescent="0.25">
      <c r="B1136" s="397"/>
      <c r="C1136" s="397"/>
      <c r="D1136" s="397"/>
      <c r="E1136" s="750"/>
      <c r="F1136" s="397"/>
      <c r="G1136" s="530"/>
      <c r="H1136" s="530"/>
    </row>
    <row r="1137" spans="2:8" x14ac:dyDescent="0.25">
      <c r="B1137" s="397"/>
      <c r="C1137" s="397"/>
      <c r="D1137" s="397"/>
      <c r="E1137" s="750"/>
      <c r="F1137" s="397"/>
      <c r="G1137" s="530"/>
      <c r="H1137" s="530"/>
    </row>
    <row r="1138" spans="2:8" x14ac:dyDescent="0.25">
      <c r="B1138" s="397"/>
      <c r="C1138" s="397"/>
      <c r="D1138" s="397"/>
      <c r="E1138" s="750"/>
      <c r="F1138" s="397"/>
      <c r="G1138" s="530"/>
      <c r="H1138" s="530"/>
    </row>
    <row r="1139" spans="2:8" x14ac:dyDescent="0.25">
      <c r="B1139" s="397"/>
      <c r="C1139" s="397"/>
      <c r="D1139" s="397"/>
      <c r="E1139" s="750"/>
      <c r="F1139" s="397"/>
      <c r="G1139" s="530"/>
      <c r="H1139" s="530"/>
    </row>
    <row r="1140" spans="2:8" x14ac:dyDescent="0.25">
      <c r="B1140" s="397"/>
      <c r="C1140" s="397"/>
      <c r="D1140" s="397"/>
      <c r="E1140" s="750"/>
      <c r="F1140" s="397"/>
      <c r="G1140" s="530"/>
      <c r="H1140" s="530"/>
    </row>
    <row r="1141" spans="2:8" x14ac:dyDescent="0.25">
      <c r="B1141" s="397"/>
      <c r="C1141" s="397"/>
      <c r="D1141" s="397"/>
      <c r="E1141" s="750"/>
      <c r="F1141" s="397"/>
      <c r="G1141" s="530"/>
      <c r="H1141" s="530"/>
    </row>
    <row r="1142" spans="2:8" x14ac:dyDescent="0.25">
      <c r="B1142" s="397"/>
      <c r="C1142" s="397"/>
      <c r="D1142" s="397"/>
      <c r="E1142" s="750"/>
      <c r="F1142" s="397"/>
      <c r="G1142" s="530"/>
      <c r="H1142" s="530"/>
    </row>
    <row r="1143" spans="2:8" x14ac:dyDescent="0.25">
      <c r="B1143" s="397"/>
      <c r="C1143" s="397"/>
      <c r="D1143" s="397"/>
      <c r="E1143" s="750"/>
      <c r="F1143" s="397"/>
      <c r="G1143" s="530"/>
      <c r="H1143" s="530"/>
    </row>
    <row r="1144" spans="2:8" x14ac:dyDescent="0.25">
      <c r="B1144" s="397"/>
      <c r="C1144" s="397"/>
      <c r="D1144" s="397"/>
      <c r="E1144" s="750"/>
      <c r="F1144" s="397"/>
      <c r="G1144" s="530"/>
      <c r="H1144" s="530"/>
    </row>
    <row r="1145" spans="2:8" x14ac:dyDescent="0.25">
      <c r="B1145" s="397"/>
      <c r="C1145" s="397"/>
      <c r="D1145" s="397"/>
      <c r="E1145" s="750"/>
      <c r="F1145" s="397"/>
      <c r="G1145" s="530"/>
      <c r="H1145" s="530"/>
    </row>
    <row r="1146" spans="2:8" x14ac:dyDescent="0.25">
      <c r="B1146" s="397"/>
      <c r="C1146" s="397"/>
      <c r="D1146" s="397"/>
      <c r="E1146" s="750"/>
      <c r="F1146" s="397"/>
      <c r="G1146" s="530"/>
      <c r="H1146" s="530"/>
    </row>
    <row r="1147" spans="2:8" x14ac:dyDescent="0.25">
      <c r="B1147" s="397"/>
      <c r="C1147" s="397"/>
      <c r="D1147" s="397"/>
      <c r="E1147" s="750"/>
      <c r="F1147" s="397"/>
      <c r="G1147" s="530"/>
      <c r="H1147" s="530"/>
    </row>
    <row r="1148" spans="2:8" x14ac:dyDescent="0.25">
      <c r="B1148" s="397"/>
      <c r="C1148" s="397"/>
      <c r="D1148" s="397"/>
      <c r="E1148" s="750"/>
      <c r="F1148" s="397"/>
      <c r="G1148" s="530"/>
      <c r="H1148" s="530"/>
    </row>
    <row r="1149" spans="2:8" x14ac:dyDescent="0.25">
      <c r="B1149" s="397"/>
      <c r="C1149" s="397"/>
      <c r="D1149" s="397"/>
      <c r="E1149" s="750"/>
      <c r="F1149" s="397"/>
      <c r="G1149" s="530"/>
      <c r="H1149" s="530"/>
    </row>
    <row r="1150" spans="2:8" x14ac:dyDescent="0.25">
      <c r="B1150" s="397"/>
      <c r="C1150" s="397"/>
      <c r="D1150" s="397"/>
      <c r="E1150" s="750"/>
      <c r="F1150" s="397"/>
      <c r="G1150" s="530"/>
      <c r="H1150" s="530"/>
    </row>
    <row r="1151" spans="2:8" x14ac:dyDescent="0.25">
      <c r="B1151" s="397"/>
      <c r="C1151" s="397"/>
      <c r="D1151" s="397"/>
      <c r="E1151" s="750"/>
      <c r="F1151" s="397"/>
      <c r="G1151" s="530"/>
      <c r="H1151" s="530"/>
    </row>
    <row r="1152" spans="2:8" x14ac:dyDescent="0.25">
      <c r="B1152" s="397"/>
      <c r="C1152" s="397"/>
      <c r="D1152" s="397"/>
      <c r="E1152" s="750"/>
      <c r="F1152" s="397"/>
      <c r="G1152" s="530"/>
      <c r="H1152" s="530"/>
    </row>
    <row r="1153" spans="2:8" x14ac:dyDescent="0.25">
      <c r="B1153" s="397"/>
      <c r="C1153" s="397"/>
      <c r="D1153" s="397"/>
      <c r="E1153" s="750"/>
      <c r="F1153" s="397"/>
      <c r="G1153" s="530"/>
      <c r="H1153" s="530"/>
    </row>
    <row r="1154" spans="2:8" x14ac:dyDescent="0.25">
      <c r="B1154" s="397"/>
      <c r="C1154" s="397"/>
      <c r="D1154" s="397"/>
      <c r="E1154" s="750"/>
      <c r="F1154" s="397"/>
      <c r="G1154" s="530"/>
      <c r="H1154" s="530"/>
    </row>
    <row r="1155" spans="2:8" x14ac:dyDescent="0.25">
      <c r="B1155" s="397"/>
      <c r="C1155" s="397"/>
      <c r="D1155" s="397"/>
      <c r="E1155" s="750"/>
      <c r="F1155" s="397"/>
      <c r="G1155" s="530"/>
      <c r="H1155" s="530"/>
    </row>
    <row r="1156" spans="2:8" x14ac:dyDescent="0.25">
      <c r="B1156" s="397"/>
      <c r="C1156" s="397"/>
      <c r="D1156" s="397"/>
      <c r="E1156" s="750"/>
      <c r="F1156" s="397"/>
      <c r="G1156" s="530"/>
      <c r="H1156" s="530"/>
    </row>
    <row r="1157" spans="2:8" x14ac:dyDescent="0.25">
      <c r="B1157" s="397"/>
      <c r="C1157" s="397"/>
      <c r="D1157" s="397"/>
      <c r="E1157" s="750"/>
      <c r="F1157" s="397"/>
      <c r="G1157" s="530"/>
      <c r="H1157" s="530"/>
    </row>
    <row r="1158" spans="2:8" x14ac:dyDescent="0.25">
      <c r="B1158" s="397"/>
      <c r="C1158" s="397"/>
      <c r="D1158" s="397"/>
      <c r="E1158" s="750"/>
      <c r="F1158" s="397"/>
      <c r="G1158" s="530"/>
      <c r="H1158" s="530"/>
    </row>
    <row r="1159" spans="2:8" x14ac:dyDescent="0.25">
      <c r="B1159" s="397"/>
      <c r="C1159" s="397"/>
      <c r="D1159" s="397"/>
      <c r="E1159" s="750"/>
      <c r="F1159" s="397"/>
      <c r="G1159" s="530"/>
      <c r="H1159" s="530"/>
    </row>
    <row r="1160" spans="2:8" x14ac:dyDescent="0.25">
      <c r="B1160" s="397"/>
      <c r="C1160" s="397"/>
      <c r="D1160" s="397"/>
      <c r="E1160" s="750"/>
      <c r="F1160" s="397"/>
      <c r="G1160" s="530"/>
      <c r="H1160" s="530"/>
    </row>
    <row r="1161" spans="2:8" x14ac:dyDescent="0.25">
      <c r="B1161" s="397"/>
      <c r="C1161" s="397"/>
      <c r="D1161" s="397"/>
      <c r="E1161" s="750"/>
      <c r="F1161" s="397"/>
      <c r="G1161" s="530"/>
      <c r="H1161" s="530"/>
    </row>
    <row r="1162" spans="2:8" x14ac:dyDescent="0.25">
      <c r="B1162" s="397"/>
      <c r="C1162" s="397"/>
      <c r="D1162" s="397"/>
      <c r="E1162" s="750"/>
      <c r="F1162" s="397"/>
      <c r="G1162" s="530"/>
      <c r="H1162" s="530"/>
    </row>
    <row r="1163" spans="2:8" x14ac:dyDescent="0.25">
      <c r="B1163" s="397"/>
      <c r="C1163" s="397"/>
      <c r="D1163" s="397"/>
      <c r="E1163" s="750"/>
      <c r="F1163" s="397"/>
      <c r="G1163" s="530"/>
      <c r="H1163" s="530"/>
    </row>
    <row r="1164" spans="2:8" x14ac:dyDescent="0.25">
      <c r="B1164" s="397"/>
      <c r="C1164" s="397"/>
      <c r="D1164" s="397"/>
      <c r="E1164" s="750"/>
      <c r="F1164" s="397"/>
      <c r="G1164" s="530"/>
      <c r="H1164" s="530"/>
    </row>
    <row r="1165" spans="2:8" x14ac:dyDescent="0.25">
      <c r="B1165" s="397"/>
      <c r="C1165" s="397"/>
      <c r="D1165" s="397"/>
      <c r="E1165" s="750"/>
      <c r="F1165" s="397"/>
      <c r="G1165" s="530"/>
      <c r="H1165" s="530"/>
    </row>
    <row r="1166" spans="2:8" x14ac:dyDescent="0.25">
      <c r="B1166" s="397"/>
      <c r="C1166" s="397"/>
      <c r="D1166" s="397"/>
      <c r="E1166" s="750"/>
      <c r="F1166" s="397"/>
      <c r="G1166" s="530"/>
      <c r="H1166" s="530"/>
    </row>
  </sheetData>
  <sheetProtection insertRows="0" autoFilter="0" pivotTables="0"/>
  <autoFilter ref="B6:H544" xr:uid="{AF3D355D-488C-4EC6-92AD-74F664EA5D40}"/>
  <mergeCells count="7">
    <mergeCell ref="Q55:R55"/>
    <mergeCell ref="Q63:R63"/>
    <mergeCell ref="B5:H5"/>
    <mergeCell ref="D1:H1"/>
    <mergeCell ref="Q24:R24"/>
    <mergeCell ref="Q37:R37"/>
    <mergeCell ref="Q47:R47"/>
  </mergeCells>
  <dataValidations count="2">
    <dataValidation type="list" allowBlank="1" showInputMessage="1" showErrorMessage="1" sqref="F349:F538" xr:uid="{06255CE9-2A29-4EFB-AFC7-D4243565C2DA}">
      <formula1>$H$6:$H$30</formula1>
    </dataValidation>
    <dataValidation allowBlank="1" sqref="E468:E472 E532:E538 E409:E413 E400:E401 E403:E406 E457:E466 E474:E476 E478:E479 E481:E489 E421:E454 E506:E513 E516:E520 E522 E524:E530 E491:E496 E498 E500:E504" xr:uid="{9CEA129C-776D-4CB1-8E28-66E97E79AC75}"/>
  </dataValidations>
  <pageMargins left="0.7" right="0.7" top="0.75" bottom="0.75" header="0.3" footer="0.3"/>
  <pageSetup orientation="portrait"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3"/>
  <sheetViews>
    <sheetView topLeftCell="G1" zoomScale="90" zoomScaleNormal="90" workbookViewId="0">
      <selection activeCell="H16" sqref="H16"/>
    </sheetView>
  </sheetViews>
  <sheetFormatPr defaultColWidth="9.140625" defaultRowHeight="15" x14ac:dyDescent="0.25"/>
  <cols>
    <col min="1" max="1" width="9.140625" style="1" customWidth="1"/>
    <col min="2" max="2" width="7.140625" style="2" customWidth="1"/>
    <col min="3" max="3" width="36.140625" style="1" customWidth="1"/>
    <col min="4" max="4" width="29.28515625" style="1" customWidth="1"/>
    <col min="5" max="5" width="23.7109375" style="1" customWidth="1"/>
    <col min="6" max="6" width="20.42578125" style="1" customWidth="1"/>
    <col min="7" max="7" width="18.140625" style="1" customWidth="1"/>
    <col min="8" max="8" width="149.28515625" style="1" customWidth="1"/>
    <col min="9" max="9" width="41.7109375" style="1" customWidth="1"/>
    <col min="10" max="10" width="27.5703125" style="1" customWidth="1"/>
    <col min="11" max="11" width="15.140625" style="1" customWidth="1"/>
    <col min="12" max="12" width="14" style="1" customWidth="1"/>
    <col min="13" max="18" width="9.140625" style="1"/>
    <col min="19" max="19" width="18.140625" style="1" customWidth="1"/>
    <col min="20" max="20" width="13.5703125" style="1" customWidth="1"/>
    <col min="21" max="21" width="14.140625" style="1" customWidth="1"/>
    <col min="22" max="16384" width="9.140625" style="1"/>
  </cols>
  <sheetData>
    <row r="1" spans="1:9" x14ac:dyDescent="0.25">
      <c r="A1"/>
    </row>
    <row r="2" spans="1:9" x14ac:dyDescent="0.25">
      <c r="B2" s="12" t="s">
        <v>10</v>
      </c>
    </row>
    <row r="4" spans="1:9" ht="15" customHeight="1" x14ac:dyDescent="0.25">
      <c r="B4" s="3" t="s">
        <v>11</v>
      </c>
      <c r="C4" s="4" t="s">
        <v>12</v>
      </c>
      <c r="D4" s="4" t="s">
        <v>13</v>
      </c>
      <c r="E4" s="4" t="s">
        <v>14</v>
      </c>
      <c r="F4" s="4"/>
      <c r="G4" s="4"/>
      <c r="H4" s="4" t="s">
        <v>15</v>
      </c>
    </row>
    <row r="5" spans="1:9" s="5" customFormat="1" ht="18" customHeight="1" x14ac:dyDescent="0.2">
      <c r="B5" s="6">
        <v>1</v>
      </c>
      <c r="C5" s="7" t="s">
        <v>16</v>
      </c>
      <c r="D5" s="104">
        <v>0.4178</v>
      </c>
      <c r="E5" s="8" t="s">
        <v>17</v>
      </c>
      <c r="F5" s="8"/>
      <c r="G5" s="8"/>
      <c r="H5" s="105" t="s">
        <v>18</v>
      </c>
    </row>
    <row r="6" spans="1:9" s="5" customFormat="1" ht="18" customHeight="1" x14ac:dyDescent="0.2">
      <c r="B6" s="6">
        <v>2</v>
      </c>
      <c r="C6" s="8" t="s">
        <v>19</v>
      </c>
      <c r="D6" s="101">
        <v>2.3999999999999998E-3</v>
      </c>
      <c r="E6" s="9" t="s">
        <v>20</v>
      </c>
      <c r="F6" s="9"/>
      <c r="G6" s="9"/>
      <c r="H6" s="8" t="s">
        <v>21</v>
      </c>
    </row>
    <row r="7" spans="1:9" s="5" customFormat="1" ht="18" customHeight="1" x14ac:dyDescent="0.2">
      <c r="B7" s="6">
        <v>3</v>
      </c>
      <c r="C7" s="8" t="s">
        <v>22</v>
      </c>
      <c r="D7" s="100">
        <f>0.00264</f>
        <v>2.64E-3</v>
      </c>
      <c r="E7" s="10" t="s">
        <v>20</v>
      </c>
      <c r="F7" s="10"/>
      <c r="G7" s="10"/>
      <c r="H7" s="10" t="s">
        <v>23</v>
      </c>
    </row>
    <row r="8" spans="1:9" s="5" customFormat="1" ht="18" customHeight="1" x14ac:dyDescent="0.2">
      <c r="B8" s="6">
        <v>4</v>
      </c>
      <c r="C8" s="8" t="s">
        <v>24</v>
      </c>
      <c r="D8" s="101">
        <f>D76*D71</f>
        <v>2.98249E-3</v>
      </c>
      <c r="E8" s="9" t="s">
        <v>20</v>
      </c>
      <c r="F8" s="9"/>
      <c r="G8" s="9"/>
      <c r="H8" s="8" t="s">
        <v>23</v>
      </c>
    </row>
    <row r="9" spans="1:9" s="5" customFormat="1" ht="24" x14ac:dyDescent="0.2">
      <c r="B9" s="103">
        <v>5</v>
      </c>
      <c r="C9" s="8" t="s">
        <v>25</v>
      </c>
      <c r="D9" s="8">
        <f>2.716/1000</f>
        <v>2.7160000000000001E-3</v>
      </c>
      <c r="E9" s="8" t="s">
        <v>26</v>
      </c>
      <c r="F9" s="8"/>
      <c r="G9" s="8"/>
      <c r="H9" s="106" t="s">
        <v>27</v>
      </c>
    </row>
    <row r="10" spans="1:9" x14ac:dyDescent="0.25">
      <c r="B10" s="103">
        <v>6</v>
      </c>
      <c r="C10" s="99" t="s">
        <v>28</v>
      </c>
      <c r="D10" s="102">
        <f>0.445 /1000</f>
        <v>4.4500000000000003E-4</v>
      </c>
      <c r="E10" s="99" t="s">
        <v>29</v>
      </c>
      <c r="F10" s="99"/>
      <c r="G10" s="99"/>
      <c r="H10" s="107"/>
      <c r="I10" s="11"/>
    </row>
    <row r="18" spans="2:9" x14ac:dyDescent="0.25">
      <c r="B18" s="86"/>
      <c r="C18" s="5"/>
      <c r="D18" s="108"/>
      <c r="H18" s="109"/>
      <c r="I18" s="11"/>
    </row>
    <row r="19" spans="2:9" x14ac:dyDescent="0.25">
      <c r="B19" s="12" t="s">
        <v>38</v>
      </c>
      <c r="C19" s="13"/>
    </row>
    <row r="21" spans="2:9" x14ac:dyDescent="0.25">
      <c r="B21" s="14" t="s">
        <v>11</v>
      </c>
      <c r="C21" s="15" t="s">
        <v>12</v>
      </c>
      <c r="D21" s="15" t="s">
        <v>13</v>
      </c>
      <c r="E21" s="15"/>
      <c r="F21" s="15"/>
      <c r="G21" s="15"/>
      <c r="H21" s="15" t="s">
        <v>15</v>
      </c>
      <c r="I21" s="15"/>
    </row>
    <row r="22" spans="2:9" x14ac:dyDescent="0.25">
      <c r="B22" s="6">
        <v>1</v>
      </c>
      <c r="C22" s="8" t="s">
        <v>39</v>
      </c>
      <c r="D22" s="8">
        <v>220.1</v>
      </c>
      <c r="E22" s="8"/>
      <c r="F22" s="8"/>
      <c r="G22" s="8"/>
      <c r="H22" s="385" t="s">
        <v>40</v>
      </c>
      <c r="I22" s="385"/>
    </row>
    <row r="23" spans="2:9" x14ac:dyDescent="0.25">
      <c r="B23" s="6">
        <v>2</v>
      </c>
      <c r="C23" s="8" t="s">
        <v>41</v>
      </c>
      <c r="D23" s="8">
        <f>1/1000</f>
        <v>1E-3</v>
      </c>
      <c r="E23" s="8"/>
      <c r="F23" s="8"/>
      <c r="G23" s="8"/>
      <c r="H23" s="385"/>
      <c r="I23" s="385"/>
    </row>
    <row r="24" spans="2:9" x14ac:dyDescent="0.25">
      <c r="B24" s="6">
        <v>3</v>
      </c>
      <c r="C24" s="8" t="s">
        <v>42</v>
      </c>
      <c r="D24" s="8">
        <f>1/1000</f>
        <v>1E-3</v>
      </c>
      <c r="E24" s="8"/>
      <c r="F24" s="8"/>
      <c r="G24" s="8"/>
      <c r="H24" s="385"/>
      <c r="I24" s="385"/>
    </row>
    <row r="25" spans="2:9" x14ac:dyDescent="0.25">
      <c r="B25" s="6">
        <v>4</v>
      </c>
      <c r="C25" s="8" t="s">
        <v>43</v>
      </c>
      <c r="D25" s="8">
        <v>1E-3</v>
      </c>
      <c r="E25" s="8"/>
      <c r="F25" s="8"/>
      <c r="G25" s="8"/>
      <c r="H25" s="385"/>
      <c r="I25" s="385"/>
    </row>
    <row r="26" spans="2:9" ht="18.75" x14ac:dyDescent="0.25">
      <c r="B26" s="86"/>
      <c r="C26" s="5"/>
      <c r="D26" s="122"/>
      <c r="E26" s="5"/>
      <c r="F26" s="5"/>
      <c r="G26" s="5"/>
    </row>
    <row r="27" spans="2:9" x14ac:dyDescent="0.25">
      <c r="B27" s="86"/>
      <c r="C27" s="5"/>
      <c r="D27" s="5"/>
      <c r="E27" s="5"/>
      <c r="F27" s="5"/>
      <c r="G27" s="5"/>
    </row>
    <row r="28" spans="2:9" x14ac:dyDescent="0.25">
      <c r="B28" s="86"/>
      <c r="C28" s="5"/>
      <c r="D28" s="5"/>
      <c r="E28" s="5"/>
      <c r="F28" s="5"/>
      <c r="G28" s="5"/>
    </row>
    <row r="29" spans="2:9" x14ac:dyDescent="0.25">
      <c r="B29" s="12" t="s">
        <v>44</v>
      </c>
    </row>
    <row r="31" spans="2:9" ht="15.75" x14ac:dyDescent="0.25">
      <c r="B31" s="3" t="s">
        <v>11</v>
      </c>
      <c r="C31" s="4" t="s">
        <v>45</v>
      </c>
      <c r="D31" s="4" t="s">
        <v>46</v>
      </c>
      <c r="E31" s="4"/>
      <c r="F31" s="4"/>
      <c r="G31" s="4"/>
      <c r="H31" s="4" t="s">
        <v>15</v>
      </c>
    </row>
    <row r="32" spans="2:9" x14ac:dyDescent="0.25">
      <c r="B32" s="16">
        <v>1</v>
      </c>
      <c r="C32" s="7" t="s">
        <v>47</v>
      </c>
      <c r="D32" s="7">
        <v>28</v>
      </c>
      <c r="E32" s="7"/>
      <c r="F32" s="7"/>
      <c r="G32" s="7"/>
      <c r="H32" s="17" t="s">
        <v>48</v>
      </c>
    </row>
    <row r="33" spans="2:11" x14ac:dyDescent="0.25">
      <c r="B33" s="16">
        <v>2</v>
      </c>
      <c r="C33" s="7" t="s">
        <v>49</v>
      </c>
      <c r="D33" s="7">
        <v>2800</v>
      </c>
      <c r="E33" s="7"/>
      <c r="F33" s="7"/>
      <c r="G33" s="7"/>
      <c r="H33" s="17" t="s">
        <v>48</v>
      </c>
    </row>
    <row r="34" spans="2:11" x14ac:dyDescent="0.25">
      <c r="B34" s="16">
        <v>3</v>
      </c>
      <c r="C34" s="7" t="s">
        <v>50</v>
      </c>
      <c r="D34" s="16">
        <v>677</v>
      </c>
      <c r="E34" s="16"/>
      <c r="F34" s="16"/>
      <c r="G34" s="16"/>
      <c r="H34" s="17" t="s">
        <v>48</v>
      </c>
    </row>
    <row r="35" spans="2:11" x14ac:dyDescent="0.25">
      <c r="B35" s="16">
        <v>4</v>
      </c>
      <c r="C35" s="7" t="s">
        <v>51</v>
      </c>
      <c r="D35" s="16">
        <v>265</v>
      </c>
      <c r="E35" s="16"/>
      <c r="F35" s="16"/>
      <c r="G35" s="16"/>
      <c r="H35" s="17" t="s">
        <v>48</v>
      </c>
    </row>
    <row r="36" spans="2:11" x14ac:dyDescent="0.25">
      <c r="B36" s="16">
        <v>5</v>
      </c>
      <c r="C36" s="8" t="s">
        <v>52</v>
      </c>
      <c r="D36" s="8">
        <v>1</v>
      </c>
      <c r="E36" s="8"/>
      <c r="F36" s="8"/>
      <c r="G36" s="8"/>
      <c r="H36" s="17" t="s">
        <v>48</v>
      </c>
    </row>
    <row r="37" spans="2:11" x14ac:dyDescent="0.25">
      <c r="B37" s="16">
        <v>6</v>
      </c>
      <c r="C37" s="7" t="s">
        <v>53</v>
      </c>
      <c r="D37" s="16">
        <v>1760</v>
      </c>
      <c r="E37" s="16"/>
      <c r="F37" s="16"/>
      <c r="G37" s="16"/>
      <c r="H37" s="17" t="s">
        <v>48</v>
      </c>
    </row>
    <row r="38" spans="2:11" x14ac:dyDescent="0.25">
      <c r="B38" s="16">
        <v>7</v>
      </c>
      <c r="C38" s="7" t="s">
        <v>54</v>
      </c>
      <c r="D38" s="16">
        <v>70</v>
      </c>
      <c r="E38" s="16"/>
      <c r="F38" s="16"/>
      <c r="G38" s="16"/>
      <c r="H38" s="17" t="s">
        <v>48</v>
      </c>
    </row>
    <row r="39" spans="2:11" x14ac:dyDescent="0.25">
      <c r="B39" s="16">
        <v>8</v>
      </c>
      <c r="C39" s="7" t="s">
        <v>55</v>
      </c>
      <c r="D39" s="16">
        <v>12400</v>
      </c>
      <c r="E39" s="16"/>
      <c r="F39" s="16"/>
      <c r="G39" s="16"/>
      <c r="H39" s="17" t="s">
        <v>48</v>
      </c>
    </row>
    <row r="40" spans="2:11" x14ac:dyDescent="0.25">
      <c r="B40" s="16">
        <v>9</v>
      </c>
      <c r="C40" s="7" t="s">
        <v>56</v>
      </c>
      <c r="D40" s="16">
        <v>1300</v>
      </c>
      <c r="E40" s="16"/>
      <c r="F40" s="16"/>
      <c r="G40" s="16"/>
      <c r="H40" s="17" t="s">
        <v>48</v>
      </c>
    </row>
    <row r="41" spans="2:11" x14ac:dyDescent="0.25">
      <c r="B41" s="16">
        <v>10</v>
      </c>
      <c r="C41" s="7" t="s">
        <v>57</v>
      </c>
      <c r="D41" s="16">
        <v>858</v>
      </c>
      <c r="E41" s="16"/>
      <c r="F41" s="16"/>
      <c r="G41" s="16"/>
      <c r="H41" s="17" t="s">
        <v>48</v>
      </c>
    </row>
    <row r="42" spans="2:11" x14ac:dyDescent="0.25">
      <c r="B42" s="16">
        <v>11</v>
      </c>
      <c r="C42" s="7" t="s">
        <v>58</v>
      </c>
      <c r="D42" s="16">
        <v>1300</v>
      </c>
      <c r="E42" s="16"/>
      <c r="F42" s="16"/>
      <c r="G42" s="16"/>
      <c r="H42" s="17" t="s">
        <v>59</v>
      </c>
    </row>
    <row r="43" spans="2:11" x14ac:dyDescent="0.25">
      <c r="B43" s="16"/>
      <c r="C43" s="7" t="s">
        <v>60</v>
      </c>
      <c r="D43" s="16">
        <v>1725</v>
      </c>
      <c r="E43" s="16"/>
      <c r="F43" s="16"/>
      <c r="G43" s="16"/>
      <c r="H43" s="17" t="s">
        <v>61</v>
      </c>
    </row>
    <row r="44" spans="2:11" x14ac:dyDescent="0.25">
      <c r="B44" s="18"/>
      <c r="C44" s="19"/>
      <c r="D44" s="18"/>
      <c r="E44" s="20"/>
      <c r="F44" s="20"/>
      <c r="G44" s="20"/>
    </row>
    <row r="45" spans="2:11" x14ac:dyDescent="0.25">
      <c r="B45" s="18"/>
      <c r="C45" s="19"/>
      <c r="D45" s="18"/>
      <c r="E45" s="20"/>
      <c r="F45" s="20"/>
      <c r="G45" s="20"/>
    </row>
    <row r="46" spans="2:11" ht="15.75" thickBot="1" x14ac:dyDescent="0.3"/>
    <row r="47" spans="2:11" x14ac:dyDescent="0.25">
      <c r="B47" s="21"/>
      <c r="C47" s="22"/>
      <c r="D47" s="22"/>
      <c r="E47" s="22"/>
      <c r="F47" s="22"/>
      <c r="G47" s="22"/>
      <c r="H47" s="22"/>
      <c r="I47" s="22"/>
      <c r="J47" s="22"/>
      <c r="K47" s="23"/>
    </row>
    <row r="48" spans="2:11" x14ac:dyDescent="0.25">
      <c r="B48" s="24"/>
      <c r="K48" s="62"/>
    </row>
    <row r="49" spans="2:11" x14ac:dyDescent="0.25">
      <c r="B49" s="24"/>
      <c r="C49" s="25" t="s">
        <v>62</v>
      </c>
      <c r="D49" s="26"/>
      <c r="E49" s="27"/>
      <c r="F49" s="27"/>
      <c r="G49" s="27"/>
      <c r="H49" s="26"/>
      <c r="K49" s="62"/>
    </row>
    <row r="50" spans="2:11" x14ac:dyDescent="0.25">
      <c r="B50" s="24"/>
      <c r="C50" s="1021" t="s">
        <v>63</v>
      </c>
      <c r="D50" s="51">
        <v>69.3</v>
      </c>
      <c r="E50" s="28" t="s">
        <v>64</v>
      </c>
      <c r="F50" s="27"/>
      <c r="G50" s="27"/>
      <c r="H50" s="26" t="s">
        <v>65</v>
      </c>
      <c r="K50" s="62"/>
    </row>
    <row r="51" spans="2:11" x14ac:dyDescent="0.25">
      <c r="B51" s="24"/>
      <c r="C51" s="1022"/>
      <c r="D51" s="51">
        <f>3/1000</f>
        <v>3.0000000000000001E-3</v>
      </c>
      <c r="E51" s="28" t="s">
        <v>66</v>
      </c>
      <c r="F51" s="27"/>
      <c r="G51" s="27"/>
      <c r="H51" s="26" t="s">
        <v>65</v>
      </c>
      <c r="K51" s="62"/>
    </row>
    <row r="52" spans="2:11" x14ac:dyDescent="0.25">
      <c r="B52" s="24"/>
      <c r="C52" s="1023"/>
      <c r="D52" s="51">
        <f>0.06/1000</f>
        <v>5.9999999999999995E-5</v>
      </c>
      <c r="E52" s="28" t="s">
        <v>67</v>
      </c>
      <c r="F52" s="27"/>
      <c r="G52" s="27"/>
      <c r="H52" s="26" t="s">
        <v>65</v>
      </c>
      <c r="K52" s="62"/>
    </row>
    <row r="53" spans="2:11" x14ac:dyDescent="0.25">
      <c r="B53" s="24"/>
      <c r="C53" s="1021" t="s">
        <v>68</v>
      </c>
      <c r="D53" s="51">
        <v>74.099999999999994</v>
      </c>
      <c r="E53" s="28" t="s">
        <v>64</v>
      </c>
      <c r="F53" s="27"/>
      <c r="G53" s="27"/>
      <c r="H53" s="26" t="s">
        <v>65</v>
      </c>
      <c r="K53" s="62"/>
    </row>
    <row r="54" spans="2:11" x14ac:dyDescent="0.25">
      <c r="B54" s="24"/>
      <c r="C54" s="1022"/>
      <c r="D54" s="51">
        <f>3/1000</f>
        <v>3.0000000000000001E-3</v>
      </c>
      <c r="E54" s="28" t="s">
        <v>66</v>
      </c>
      <c r="F54" s="27"/>
      <c r="G54" s="27"/>
      <c r="H54" s="26" t="s">
        <v>65</v>
      </c>
      <c r="K54" s="62"/>
    </row>
    <row r="55" spans="2:11" x14ac:dyDescent="0.25">
      <c r="B55" s="24"/>
      <c r="C55" s="1023"/>
      <c r="D55" s="51">
        <f>0.06/1000</f>
        <v>5.9999999999999995E-5</v>
      </c>
      <c r="E55" s="28" t="s">
        <v>67</v>
      </c>
      <c r="F55" s="27"/>
      <c r="G55" s="27"/>
      <c r="H55" s="26" t="s">
        <v>65</v>
      </c>
      <c r="K55" s="62"/>
    </row>
    <row r="56" spans="2:11" x14ac:dyDescent="0.25">
      <c r="B56" s="24"/>
      <c r="C56" s="1021" t="s">
        <v>69</v>
      </c>
      <c r="D56" s="51">
        <v>63.1</v>
      </c>
      <c r="E56" s="28" t="s">
        <v>64</v>
      </c>
      <c r="F56" s="27"/>
      <c r="G56" s="27"/>
      <c r="H56" s="26" t="s">
        <v>65</v>
      </c>
      <c r="K56" s="62"/>
    </row>
    <row r="57" spans="2:11" x14ac:dyDescent="0.25">
      <c r="B57" s="24"/>
      <c r="C57" s="1022"/>
      <c r="D57" s="51">
        <f>1/1000</f>
        <v>1E-3</v>
      </c>
      <c r="E57" s="28" t="s">
        <v>66</v>
      </c>
      <c r="F57" s="27"/>
      <c r="G57" s="27"/>
      <c r="H57" s="26" t="s">
        <v>65</v>
      </c>
      <c r="K57" s="62"/>
    </row>
    <row r="58" spans="2:11" x14ac:dyDescent="0.25">
      <c r="B58" s="24"/>
      <c r="C58" s="1023"/>
      <c r="D58" s="51">
        <f>0.1/1000</f>
        <v>1E-4</v>
      </c>
      <c r="E58" s="28" t="s">
        <v>67</v>
      </c>
      <c r="F58" s="27"/>
      <c r="G58" s="27"/>
      <c r="H58" s="26" t="s">
        <v>65</v>
      </c>
      <c r="K58" s="62"/>
    </row>
    <row r="59" spans="2:11" x14ac:dyDescent="0.25">
      <c r="B59" s="24"/>
      <c r="C59" s="1024" t="s">
        <v>70</v>
      </c>
      <c r="D59" s="51">
        <v>56.1</v>
      </c>
      <c r="E59" s="28" t="s">
        <v>64</v>
      </c>
      <c r="F59" s="27"/>
      <c r="G59" s="27"/>
      <c r="H59" s="26"/>
      <c r="K59" s="62"/>
    </row>
    <row r="60" spans="2:11" x14ac:dyDescent="0.25">
      <c r="B60" s="24"/>
      <c r="C60" s="1025"/>
      <c r="D60" s="51">
        <f>1/1000</f>
        <v>1E-3</v>
      </c>
      <c r="E60" s="28" t="s">
        <v>66</v>
      </c>
      <c r="F60" s="27"/>
      <c r="G60" s="27"/>
      <c r="H60" s="26"/>
      <c r="K60" s="62"/>
    </row>
    <row r="61" spans="2:11" x14ac:dyDescent="0.25">
      <c r="B61" s="24"/>
      <c r="C61" s="1026"/>
      <c r="D61" s="51">
        <f>0.1/1000</f>
        <v>1E-4</v>
      </c>
      <c r="E61" s="28" t="s">
        <v>67</v>
      </c>
      <c r="F61" s="27"/>
      <c r="G61" s="27"/>
      <c r="H61" s="26"/>
      <c r="K61" s="62"/>
    </row>
    <row r="62" spans="2:11" x14ac:dyDescent="0.25">
      <c r="B62" s="24"/>
      <c r="C62" s="26"/>
      <c r="D62" s="26"/>
      <c r="E62" s="27"/>
      <c r="F62" s="27"/>
      <c r="G62" s="27"/>
      <c r="H62" s="26"/>
      <c r="K62" s="62"/>
    </row>
    <row r="63" spans="2:11" x14ac:dyDescent="0.25">
      <c r="B63" s="24"/>
      <c r="C63" s="26"/>
      <c r="D63" s="26"/>
      <c r="E63" s="27"/>
      <c r="F63" s="27"/>
      <c r="G63" s="27"/>
      <c r="H63" s="26"/>
      <c r="K63" s="62"/>
    </row>
    <row r="64" spans="2:11" x14ac:dyDescent="0.25">
      <c r="B64" s="24"/>
      <c r="C64" s="25" t="s">
        <v>71</v>
      </c>
      <c r="D64" s="26"/>
      <c r="E64" s="27"/>
      <c r="F64" s="27"/>
      <c r="G64" s="27"/>
      <c r="K64" s="62"/>
    </row>
    <row r="65" spans="2:11" x14ac:dyDescent="0.25">
      <c r="B65" s="24"/>
      <c r="C65" s="52" t="s">
        <v>63</v>
      </c>
      <c r="D65" s="29">
        <v>4.4299999999999999E-2</v>
      </c>
      <c r="E65" s="28" t="s">
        <v>72</v>
      </c>
      <c r="F65" s="28"/>
      <c r="G65" s="28"/>
      <c r="H65" s="52" t="s">
        <v>65</v>
      </c>
      <c r="K65" s="62"/>
    </row>
    <row r="66" spans="2:11" x14ac:dyDescent="0.25">
      <c r="B66" s="24"/>
      <c r="C66" s="52" t="s">
        <v>68</v>
      </c>
      <c r="D66" s="30">
        <v>4.2999999999999997E-2</v>
      </c>
      <c r="E66" s="28" t="s">
        <v>72</v>
      </c>
      <c r="F66" s="28"/>
      <c r="G66" s="28"/>
      <c r="H66" s="52" t="s">
        <v>65</v>
      </c>
      <c r="K66" s="62"/>
    </row>
    <row r="67" spans="2:11" x14ac:dyDescent="0.25">
      <c r="B67" s="24"/>
      <c r="C67" s="52" t="s">
        <v>69</v>
      </c>
      <c r="D67" s="29">
        <v>4.7300000000000002E-2</v>
      </c>
      <c r="E67" s="28" t="s">
        <v>72</v>
      </c>
      <c r="F67" s="28"/>
      <c r="G67" s="28"/>
      <c r="H67" s="52" t="s">
        <v>65</v>
      </c>
      <c r="K67" s="62"/>
    </row>
    <row r="68" spans="2:11" x14ac:dyDescent="0.25">
      <c r="B68" s="24"/>
      <c r="C68" s="26"/>
      <c r="D68" s="26"/>
      <c r="E68" s="27"/>
      <c r="F68" s="27"/>
      <c r="G68" s="27"/>
      <c r="H68" s="26"/>
      <c r="K68" s="62"/>
    </row>
    <row r="69" spans="2:11" x14ac:dyDescent="0.25">
      <c r="B69" s="24"/>
      <c r="C69" s="25" t="s">
        <v>73</v>
      </c>
      <c r="D69" s="26"/>
      <c r="E69" s="27"/>
      <c r="F69" s="27"/>
      <c r="G69" s="27"/>
      <c r="H69" s="26"/>
      <c r="K69" s="62"/>
    </row>
    <row r="70" spans="2:11" x14ac:dyDescent="0.25">
      <c r="B70" s="24"/>
      <c r="C70" s="52" t="s">
        <v>63</v>
      </c>
      <c r="D70" s="31">
        <f>0.78/1000</f>
        <v>7.7999999999999999E-4</v>
      </c>
      <c r="E70" s="28" t="s">
        <v>74</v>
      </c>
      <c r="F70" s="28"/>
      <c r="G70" s="28"/>
      <c r="H70" s="395" t="s">
        <v>75</v>
      </c>
      <c r="K70" s="62"/>
    </row>
    <row r="71" spans="2:11" x14ac:dyDescent="0.25">
      <c r="B71" s="24"/>
      <c r="C71" s="52" t="s">
        <v>68</v>
      </c>
      <c r="D71" s="31">
        <f>0.959/1000</f>
        <v>9.59E-4</v>
      </c>
      <c r="E71" s="28" t="s">
        <v>74</v>
      </c>
      <c r="F71" s="28"/>
      <c r="G71" s="28"/>
      <c r="H71" s="395" t="s">
        <v>75</v>
      </c>
      <c r="K71" s="62"/>
    </row>
    <row r="72" spans="2:11" x14ac:dyDescent="0.25">
      <c r="B72" s="24"/>
      <c r="C72" s="52" t="s">
        <v>69</v>
      </c>
      <c r="D72" s="31">
        <f>0.525/1000</f>
        <v>5.2500000000000008E-4</v>
      </c>
      <c r="E72" s="28" t="s">
        <v>74</v>
      </c>
      <c r="F72" s="28"/>
      <c r="G72" s="28"/>
      <c r="H72" s="395" t="s">
        <v>76</v>
      </c>
      <c r="K72" s="62"/>
    </row>
    <row r="73" spans="2:11" x14ac:dyDescent="0.25">
      <c r="B73" s="24"/>
      <c r="C73" s="26"/>
      <c r="D73" s="373"/>
      <c r="E73" s="27"/>
      <c r="F73" s="27"/>
      <c r="G73" s="27"/>
      <c r="H73" s="32"/>
      <c r="K73" s="62"/>
    </row>
    <row r="74" spans="2:11" x14ac:dyDescent="0.25">
      <c r="B74" s="24"/>
      <c r="C74" s="25" t="s">
        <v>77</v>
      </c>
      <c r="E74" s="27"/>
      <c r="F74" s="27"/>
      <c r="G74" s="27"/>
      <c r="K74" s="62"/>
    </row>
    <row r="75" spans="2:11" ht="30" x14ac:dyDescent="0.25">
      <c r="B75" s="24"/>
      <c r="C75" s="52" t="s">
        <v>68</v>
      </c>
      <c r="D75" s="33">
        <f>(D66*D53)+(D54*D66*D32)+(D55*D66*D35)</f>
        <v>3.1905956999999998</v>
      </c>
      <c r="E75" s="26" t="s">
        <v>78</v>
      </c>
      <c r="F75" s="26"/>
      <c r="G75" s="26"/>
      <c r="K75" s="62"/>
    </row>
    <row r="76" spans="2:11" ht="30" x14ac:dyDescent="0.25">
      <c r="B76" s="24"/>
      <c r="C76" s="51" t="s">
        <v>79</v>
      </c>
      <c r="D76" s="51">
        <v>3.11</v>
      </c>
      <c r="E76" s="26" t="s">
        <v>78</v>
      </c>
      <c r="F76" s="26"/>
      <c r="G76" s="26"/>
      <c r="K76" s="62"/>
    </row>
    <row r="77" spans="2:11" ht="30" x14ac:dyDescent="0.25">
      <c r="B77" s="24"/>
      <c r="C77" s="52" t="s">
        <v>80</v>
      </c>
      <c r="D77" s="53">
        <v>3.15</v>
      </c>
      <c r="E77" s="26" t="s">
        <v>78</v>
      </c>
      <c r="F77" s="26"/>
      <c r="G77" s="26"/>
      <c r="K77" s="62"/>
    </row>
    <row r="78" spans="2:11" x14ac:dyDescent="0.25">
      <c r="B78" s="24"/>
      <c r="C78" s="26"/>
      <c r="D78" s="94"/>
      <c r="E78" s="26"/>
      <c r="F78" s="26"/>
      <c r="G78" s="26"/>
      <c r="K78" s="62"/>
    </row>
    <row r="79" spans="2:11" x14ac:dyDescent="0.25">
      <c r="B79" s="24"/>
      <c r="C79" s="25" t="s">
        <v>73</v>
      </c>
      <c r="D79" s="26"/>
      <c r="E79" s="27"/>
      <c r="F79" s="27"/>
      <c r="G79" s="27"/>
      <c r="K79" s="62"/>
    </row>
    <row r="80" spans="2:11" x14ac:dyDescent="0.25">
      <c r="B80" s="24"/>
      <c r="C80" s="52" t="s">
        <v>69</v>
      </c>
      <c r="D80" s="31">
        <f>0.58</f>
        <v>0.57999999999999996</v>
      </c>
      <c r="E80" s="26" t="s">
        <v>81</v>
      </c>
      <c r="F80" s="26"/>
      <c r="G80" s="26"/>
      <c r="K80" s="62"/>
    </row>
    <row r="81" spans="1:11" ht="15.75" thickBot="1" x14ac:dyDescent="0.3">
      <c r="B81" s="34"/>
      <c r="C81" s="35"/>
      <c r="D81" s="35"/>
      <c r="E81" s="35"/>
      <c r="F81" s="35"/>
      <c r="G81" s="35"/>
      <c r="H81" s="35"/>
      <c r="I81" s="35"/>
      <c r="J81" s="35"/>
      <c r="K81" s="36"/>
    </row>
    <row r="83" spans="1:11" x14ac:dyDescent="0.25">
      <c r="C83" s="1031" t="s">
        <v>82</v>
      </c>
      <c r="D83" s="1032"/>
      <c r="E83" s="91" t="s">
        <v>83</v>
      </c>
      <c r="F83" s="386"/>
      <c r="G83" s="386"/>
    </row>
    <row r="84" spans="1:11" x14ac:dyDescent="0.25">
      <c r="C84" s="1027" t="s">
        <v>84</v>
      </c>
      <c r="D84" s="1028"/>
      <c r="E84" s="38">
        <f>0.225/1000</f>
        <v>2.2499999999999999E-4</v>
      </c>
      <c r="F84" s="387"/>
      <c r="G84" s="387"/>
      <c r="H84" s="92" t="s">
        <v>85</v>
      </c>
    </row>
    <row r="85" spans="1:11" x14ac:dyDescent="0.25">
      <c r="C85" s="1029" t="s">
        <v>86</v>
      </c>
      <c r="D85" s="1030"/>
      <c r="E85" s="41">
        <f>0.136/1000</f>
        <v>1.36E-4</v>
      </c>
      <c r="F85" s="387"/>
      <c r="G85" s="387"/>
      <c r="H85" s="39" t="s">
        <v>85</v>
      </c>
    </row>
    <row r="86" spans="1:11" x14ac:dyDescent="0.25">
      <c r="C86" s="1027" t="s">
        <v>87</v>
      </c>
      <c r="D86" s="1028"/>
      <c r="E86" s="41">
        <f>0.166/1000</f>
        <v>1.66E-4</v>
      </c>
      <c r="F86" s="387"/>
      <c r="G86" s="387"/>
      <c r="H86" s="39" t="s">
        <v>85</v>
      </c>
    </row>
    <row r="87" spans="1:11" x14ac:dyDescent="0.25">
      <c r="H87" s="42"/>
    </row>
    <row r="88" spans="1:11" x14ac:dyDescent="0.25">
      <c r="H88" s="42"/>
    </row>
    <row r="89" spans="1:11" x14ac:dyDescent="0.25">
      <c r="A89" s="63"/>
      <c r="C89" s="37" t="s">
        <v>88</v>
      </c>
      <c r="D89" s="37"/>
      <c r="E89" s="37" t="s">
        <v>89</v>
      </c>
      <c r="F89" s="388"/>
      <c r="G89" s="388"/>
      <c r="H89" s="42"/>
    </row>
    <row r="90" spans="1:11" x14ac:dyDescent="0.25">
      <c r="C90" s="1019" t="s">
        <v>90</v>
      </c>
      <c r="D90" s="51" t="s">
        <v>91</v>
      </c>
      <c r="E90" s="43">
        <f>0.21962/1000</f>
        <v>2.1962000000000001E-4</v>
      </c>
      <c r="F90" s="389"/>
      <c r="G90" s="389"/>
      <c r="H90" s="1" t="s">
        <v>92</v>
      </c>
    </row>
    <row r="91" spans="1:11" x14ac:dyDescent="0.25">
      <c r="C91" s="1020"/>
      <c r="D91" s="51" t="s">
        <v>93</v>
      </c>
      <c r="E91" s="43">
        <f>0.2471/1000</f>
        <v>2.4709999999999999E-4</v>
      </c>
      <c r="F91" s="389"/>
      <c r="G91" s="389"/>
      <c r="H91" s="1" t="s">
        <v>92</v>
      </c>
    </row>
    <row r="92" spans="1:11" x14ac:dyDescent="0.25">
      <c r="C92" s="44"/>
      <c r="D92" s="51"/>
      <c r="E92" s="45"/>
      <c r="F92" s="390"/>
      <c r="G92" s="390"/>
      <c r="H92" s="42"/>
    </row>
    <row r="93" spans="1:11" x14ac:dyDescent="0.25">
      <c r="A93" s="270"/>
      <c r="C93" s="44" t="s">
        <v>94</v>
      </c>
      <c r="D93" s="51" t="s">
        <v>93</v>
      </c>
      <c r="E93" s="43">
        <f>0.44863/1000</f>
        <v>4.4862999999999999E-4</v>
      </c>
      <c r="F93" s="389"/>
      <c r="G93" s="389"/>
      <c r="H93" s="1" t="s">
        <v>92</v>
      </c>
    </row>
    <row r="94" spans="1:11" x14ac:dyDescent="0.25">
      <c r="A94" s="270"/>
      <c r="C94" s="44" t="s">
        <v>95</v>
      </c>
      <c r="D94" s="51" t="s">
        <v>93</v>
      </c>
      <c r="E94" s="46">
        <f>0.53912/1000</f>
        <v>5.3912000000000003E-4</v>
      </c>
      <c r="F94" s="391"/>
      <c r="G94" s="391"/>
    </row>
    <row r="95" spans="1:11" x14ac:dyDescent="0.25">
      <c r="C95" s="1019" t="s">
        <v>96</v>
      </c>
      <c r="D95" s="51" t="s">
        <v>91</v>
      </c>
      <c r="E95" s="46">
        <f>0.17343/1000</f>
        <v>1.7343E-4</v>
      </c>
      <c r="F95" s="391"/>
      <c r="G95" s="391"/>
    </row>
    <row r="96" spans="1:11" x14ac:dyDescent="0.25">
      <c r="C96" s="1020"/>
      <c r="D96" s="51" t="s">
        <v>68</v>
      </c>
      <c r="E96" s="46">
        <f>0.14197/1000</f>
        <v>1.4197000000000002E-4</v>
      </c>
      <c r="F96" s="391"/>
      <c r="G96" s="391"/>
    </row>
    <row r="97" spans="1:8" x14ac:dyDescent="0.25">
      <c r="A97" s="1">
        <f>F97+(G97+H97)/1000</f>
        <v>0.10601039999999999</v>
      </c>
      <c r="C97" s="51" t="s">
        <v>97</v>
      </c>
      <c r="D97" s="51"/>
      <c r="E97" s="815">
        <f>A97/A99/1000</f>
        <v>6.5871972361340663E-5</v>
      </c>
      <c r="F97" s="816">
        <v>0.106</v>
      </c>
      <c r="G97" s="392">
        <v>9.4999999999999998E-3</v>
      </c>
      <c r="H97" s="89">
        <v>8.9999999999999998E-4</v>
      </c>
    </row>
    <row r="98" spans="1:8" x14ac:dyDescent="0.25">
      <c r="A98" s="1">
        <f>F98+(G98+H98)/1000</f>
        <v>5.40215E-2</v>
      </c>
      <c r="C98" s="51" t="s">
        <v>98</v>
      </c>
      <c r="D98" s="51"/>
      <c r="E98" s="815">
        <f>A98/A99/1000</f>
        <v>3.3567487292927538E-5</v>
      </c>
      <c r="F98">
        <v>5.3999999999999999E-2</v>
      </c>
      <c r="G98" s="2">
        <v>2.06E-2</v>
      </c>
      <c r="H98" s="89">
        <v>8.9999999999999998E-4</v>
      </c>
    </row>
    <row r="99" spans="1:8" x14ac:dyDescent="0.25">
      <c r="A99">
        <v>1.60934</v>
      </c>
    </row>
    <row r="100" spans="1:8" x14ac:dyDescent="0.25">
      <c r="A100" s="374"/>
      <c r="C100" s="369" t="s">
        <v>177</v>
      </c>
      <c r="D100" s="1">
        <f>D102/D103</f>
        <v>1.6093444978925633</v>
      </c>
    </row>
    <row r="101" spans="1:8" x14ac:dyDescent="0.25">
      <c r="A101" s="374"/>
      <c r="C101" s="37" t="s">
        <v>88</v>
      </c>
      <c r="D101" s="37" t="s">
        <v>2358</v>
      </c>
      <c r="E101" s="37" t="s">
        <v>124</v>
      </c>
    </row>
    <row r="102" spans="1:8" x14ac:dyDescent="0.25">
      <c r="A102" s="270"/>
      <c r="C102" s="370" t="s">
        <v>282</v>
      </c>
      <c r="D102" s="370">
        <v>0.36799999999999999</v>
      </c>
      <c r="E102" s="818">
        <f>D102/1000</f>
        <v>3.68E-4</v>
      </c>
      <c r="F102" s="370" t="s">
        <v>285</v>
      </c>
      <c r="G102" s="393"/>
    </row>
    <row r="103" spans="1:8" x14ac:dyDescent="0.25">
      <c r="C103" s="51" t="s">
        <v>282</v>
      </c>
      <c r="D103" s="371">
        <f>D102*0.621371</f>
        <v>0.22866452800000001</v>
      </c>
      <c r="E103" s="817">
        <f t="shared" ref="E103:E107" si="0">D103/1000</f>
        <v>2.2866452800000001E-4</v>
      </c>
      <c r="F103" s="372" t="s">
        <v>286</v>
      </c>
      <c r="G103"/>
    </row>
    <row r="104" spans="1:8" x14ac:dyDescent="0.25">
      <c r="A104" s="374"/>
      <c r="C104" s="370" t="s">
        <v>283</v>
      </c>
      <c r="D104" s="370">
        <v>5.8000000000000003E-2</v>
      </c>
      <c r="E104" s="818">
        <f>D104/1000</f>
        <v>5.8E-5</v>
      </c>
      <c r="F104" s="370" t="s">
        <v>287</v>
      </c>
      <c r="G104" s="393"/>
    </row>
    <row r="105" spans="1:8" x14ac:dyDescent="0.25">
      <c r="A105" s="374"/>
      <c r="C105" s="51" t="s">
        <v>283</v>
      </c>
      <c r="D105" s="371">
        <f>D104*0.621371</f>
        <v>3.6039518E-2</v>
      </c>
      <c r="E105" s="817">
        <f t="shared" si="0"/>
        <v>3.6039518000000002E-5</v>
      </c>
      <c r="F105" s="51" t="s">
        <v>288</v>
      </c>
    </row>
    <row r="106" spans="1:8" x14ac:dyDescent="0.25">
      <c r="C106" s="370" t="s">
        <v>284</v>
      </c>
      <c r="D106" s="370">
        <v>0.13300000000000001</v>
      </c>
      <c r="E106" s="818">
        <f t="shared" si="0"/>
        <v>1.3300000000000001E-4</v>
      </c>
      <c r="F106" s="370" t="s">
        <v>287</v>
      </c>
      <c r="G106" s="393"/>
    </row>
    <row r="107" spans="1:8" x14ac:dyDescent="0.25">
      <c r="C107" s="51" t="s">
        <v>284</v>
      </c>
      <c r="D107" s="29">
        <f>D106*0.621371</f>
        <v>8.2642343000000007E-2</v>
      </c>
      <c r="E107" s="817">
        <f t="shared" si="0"/>
        <v>8.2642343000000011E-5</v>
      </c>
      <c r="F107" s="51" t="s">
        <v>288</v>
      </c>
    </row>
    <row r="108" spans="1:8" x14ac:dyDescent="0.25">
      <c r="D108" s="30"/>
    </row>
    <row r="109" spans="1:8" x14ac:dyDescent="0.25">
      <c r="D109" s="30"/>
    </row>
    <row r="110" spans="1:8" x14ac:dyDescent="0.25">
      <c r="C110" s="814" t="s">
        <v>2349</v>
      </c>
      <c r="D110" s="814" t="s">
        <v>2350</v>
      </c>
    </row>
    <row r="111" spans="1:8" x14ac:dyDescent="0.25">
      <c r="C111" s="51" t="s">
        <v>2351</v>
      </c>
      <c r="D111" s="51">
        <v>5.3866999999999999E-4</v>
      </c>
      <c r="E111" s="1" t="s">
        <v>2366</v>
      </c>
    </row>
    <row r="113" spans="2:17" x14ac:dyDescent="0.25">
      <c r="C113" s="814" t="s">
        <v>2352</v>
      </c>
      <c r="D113" s="814" t="s">
        <v>2350</v>
      </c>
    </row>
    <row r="114" spans="2:17" x14ac:dyDescent="0.25">
      <c r="C114" s="51" t="s">
        <v>2353</v>
      </c>
      <c r="D114" s="51">
        <v>3.54E-6</v>
      </c>
      <c r="E114" s="1" t="s">
        <v>2366</v>
      </c>
      <c r="G114" s="1" t="s">
        <v>2364</v>
      </c>
    </row>
    <row r="116" spans="2:17" x14ac:dyDescent="0.25">
      <c r="C116" s="814" t="s">
        <v>2354</v>
      </c>
      <c r="D116" s="814" t="s">
        <v>2350</v>
      </c>
    </row>
    <row r="117" spans="2:17" x14ac:dyDescent="0.25">
      <c r="C117" s="51" t="s">
        <v>2355</v>
      </c>
      <c r="D117" s="51">
        <v>1.31879E-4</v>
      </c>
      <c r="E117" s="1" t="s">
        <v>2365</v>
      </c>
    </row>
    <row r="118" spans="2:17" x14ac:dyDescent="0.25">
      <c r="D118" s="30"/>
    </row>
    <row r="119" spans="2:17" x14ac:dyDescent="0.25">
      <c r="D119" s="30"/>
      <c r="E119" s="828"/>
    </row>
    <row r="121" spans="2:17" s="26" customFormat="1" ht="18.75" x14ac:dyDescent="0.3">
      <c r="B121" s="1017" t="s">
        <v>99</v>
      </c>
      <c r="C121" s="1018"/>
      <c r="D121" s="1018"/>
      <c r="E121" s="69"/>
      <c r="F121" s="69"/>
      <c r="G121" s="69"/>
      <c r="H121" s="69"/>
      <c r="I121" s="70"/>
      <c r="J121" s="71"/>
      <c r="K121" s="72"/>
      <c r="L121" s="48"/>
      <c r="M121" s="48"/>
      <c r="N121" s="48"/>
      <c r="O121" s="48"/>
      <c r="P121" s="48"/>
      <c r="Q121" s="48"/>
    </row>
    <row r="122" spans="2:17" s="26" customFormat="1" x14ac:dyDescent="0.25">
      <c r="B122" s="73"/>
      <c r="D122" s="47"/>
      <c r="I122" s="27"/>
      <c r="J122" s="48"/>
      <c r="K122" s="74"/>
      <c r="L122" s="48"/>
      <c r="M122" s="48"/>
      <c r="N122" s="48"/>
      <c r="O122" s="48"/>
      <c r="P122" s="48"/>
      <c r="Q122" s="48"/>
    </row>
    <row r="123" spans="2:17" s="26" customFormat="1" x14ac:dyDescent="0.25">
      <c r="B123" s="75" t="s">
        <v>100</v>
      </c>
      <c r="C123" s="76" t="s">
        <v>101</v>
      </c>
      <c r="D123" s="76">
        <v>677</v>
      </c>
      <c r="E123" s="76">
        <f>D123*20%</f>
        <v>135.4</v>
      </c>
      <c r="F123" s="76"/>
      <c r="G123" s="76"/>
      <c r="I123" s="27"/>
      <c r="J123" s="48"/>
      <c r="K123" s="74"/>
      <c r="L123" s="48"/>
      <c r="M123" s="48"/>
      <c r="N123" s="48"/>
      <c r="O123" s="48"/>
      <c r="P123" s="48"/>
      <c r="Q123" s="48"/>
    </row>
    <row r="124" spans="2:17" s="26" customFormat="1" x14ac:dyDescent="0.25">
      <c r="B124" s="77"/>
      <c r="C124" s="76" t="s">
        <v>102</v>
      </c>
      <c r="D124" s="76">
        <v>3170</v>
      </c>
      <c r="E124" s="76">
        <f>D124*40%</f>
        <v>1268</v>
      </c>
      <c r="F124" s="76"/>
      <c r="G124" s="76"/>
      <c r="I124" s="27"/>
      <c r="J124" s="48"/>
      <c r="K124" s="74"/>
      <c r="L124" s="48"/>
      <c r="M124" s="48"/>
      <c r="N124" s="48"/>
      <c r="O124" s="48"/>
      <c r="P124" s="48"/>
      <c r="Q124" s="48"/>
    </row>
    <row r="125" spans="2:17" s="26" customFormat="1" x14ac:dyDescent="0.25">
      <c r="B125" s="77"/>
      <c r="C125" s="76" t="s">
        <v>103</v>
      </c>
      <c r="D125" s="76">
        <v>1300</v>
      </c>
      <c r="E125" s="76">
        <f>D125*40%</f>
        <v>520</v>
      </c>
      <c r="F125" s="76"/>
      <c r="G125" s="76"/>
      <c r="I125" s="27"/>
      <c r="J125" s="48"/>
      <c r="K125" s="74"/>
      <c r="L125" s="48"/>
      <c r="M125" s="48"/>
      <c r="N125" s="48"/>
      <c r="O125" s="48"/>
      <c r="P125" s="48"/>
      <c r="Q125" s="48"/>
    </row>
    <row r="126" spans="2:17" s="26" customFormat="1" x14ac:dyDescent="0.25">
      <c r="B126" s="77"/>
      <c r="C126" s="78" t="s">
        <v>104</v>
      </c>
      <c r="D126" s="78"/>
      <c r="E126" s="79">
        <f>SUM(E123:E125)</f>
        <v>1923.4</v>
      </c>
      <c r="F126" s="394"/>
      <c r="G126" s="394"/>
      <c r="I126" s="27"/>
      <c r="J126" s="48"/>
      <c r="K126" s="74"/>
      <c r="L126" s="48"/>
      <c r="M126" s="48"/>
      <c r="N126" s="48"/>
      <c r="O126" s="48"/>
      <c r="P126" s="48"/>
      <c r="Q126" s="48"/>
    </row>
    <row r="127" spans="2:17" s="26" customFormat="1" x14ac:dyDescent="0.25">
      <c r="B127" s="73"/>
      <c r="D127" s="47"/>
      <c r="I127" s="27"/>
      <c r="J127" s="48"/>
      <c r="K127" s="74"/>
      <c r="L127" s="48"/>
      <c r="M127" s="48"/>
      <c r="N127" s="48"/>
      <c r="O127" s="48"/>
      <c r="P127" s="48"/>
      <c r="Q127" s="48"/>
    </row>
    <row r="128" spans="2:17" s="26" customFormat="1" x14ac:dyDescent="0.25">
      <c r="B128" s="75" t="s">
        <v>60</v>
      </c>
      <c r="C128" s="76" t="s">
        <v>101</v>
      </c>
      <c r="D128" s="76">
        <v>677</v>
      </c>
      <c r="E128" s="76">
        <f>D128*50%</f>
        <v>338.5</v>
      </c>
      <c r="F128" s="76"/>
      <c r="G128" s="76"/>
      <c r="I128" s="27"/>
      <c r="J128" s="48"/>
      <c r="K128" s="74"/>
      <c r="L128" s="48"/>
      <c r="M128" s="48"/>
      <c r="N128" s="48"/>
      <c r="O128" s="48"/>
      <c r="P128" s="48"/>
      <c r="Q128" s="48"/>
    </row>
    <row r="129" spans="2:17" s="26" customFormat="1" x14ac:dyDescent="0.25">
      <c r="B129" s="77"/>
      <c r="C129" s="76" t="s">
        <v>102</v>
      </c>
      <c r="D129" s="76">
        <v>3170</v>
      </c>
      <c r="E129" s="76">
        <f>D129*50%</f>
        <v>1585</v>
      </c>
      <c r="F129" s="76"/>
      <c r="G129" s="76"/>
      <c r="I129" s="27"/>
      <c r="J129" s="48"/>
      <c r="K129" s="74"/>
      <c r="L129" s="48"/>
      <c r="M129" s="48"/>
      <c r="N129" s="48"/>
      <c r="O129" s="48"/>
      <c r="P129" s="48"/>
      <c r="Q129" s="48"/>
    </row>
    <row r="130" spans="2:17" s="26" customFormat="1" x14ac:dyDescent="0.25">
      <c r="B130" s="77"/>
      <c r="C130" s="76"/>
      <c r="D130" s="76"/>
      <c r="E130" s="76"/>
      <c r="F130" s="76"/>
      <c r="G130" s="76"/>
      <c r="I130" s="27"/>
      <c r="J130" s="48"/>
      <c r="K130" s="74"/>
      <c r="L130" s="48"/>
      <c r="M130" s="48"/>
      <c r="N130" s="48"/>
      <c r="O130" s="48"/>
      <c r="P130" s="48"/>
      <c r="Q130" s="48"/>
    </row>
    <row r="131" spans="2:17" s="26" customFormat="1" x14ac:dyDescent="0.25">
      <c r="B131" s="77"/>
      <c r="C131" s="78" t="s">
        <v>104</v>
      </c>
      <c r="D131" s="78"/>
      <c r="E131" s="79">
        <f>SUM(E128:E130)</f>
        <v>1923.5</v>
      </c>
      <c r="F131" s="394"/>
      <c r="G131" s="394"/>
      <c r="I131" s="27"/>
      <c r="J131" s="48"/>
      <c r="K131" s="74"/>
      <c r="L131" s="48"/>
      <c r="M131" s="48"/>
      <c r="N131" s="48"/>
      <c r="O131" s="48"/>
      <c r="P131" s="48"/>
      <c r="Q131" s="48"/>
    </row>
    <row r="132" spans="2:17" s="26" customFormat="1" x14ac:dyDescent="0.25">
      <c r="B132" s="73"/>
      <c r="D132" s="47"/>
      <c r="I132" s="27"/>
      <c r="J132" s="48"/>
      <c r="K132" s="74"/>
      <c r="L132" s="48"/>
      <c r="M132" s="48"/>
      <c r="N132" s="48"/>
      <c r="O132" s="48"/>
      <c r="P132" s="48"/>
      <c r="Q132" s="48"/>
    </row>
    <row r="133" spans="2:17" s="26" customFormat="1" x14ac:dyDescent="0.25">
      <c r="B133" s="77" t="s">
        <v>105</v>
      </c>
      <c r="C133" s="76" t="s">
        <v>102</v>
      </c>
      <c r="D133" s="76"/>
      <c r="E133" s="98"/>
      <c r="F133" s="98"/>
      <c r="G133" s="98"/>
      <c r="I133" s="27"/>
      <c r="J133" s="48"/>
      <c r="K133" s="74"/>
      <c r="L133" s="48"/>
      <c r="M133" s="48"/>
      <c r="N133" s="48"/>
      <c r="O133" s="48"/>
      <c r="P133" s="48"/>
      <c r="Q133" s="48"/>
    </row>
    <row r="134" spans="2:17" s="26" customFormat="1" x14ac:dyDescent="0.25">
      <c r="B134" s="75"/>
      <c r="C134" s="76" t="s">
        <v>103</v>
      </c>
      <c r="D134" s="76"/>
      <c r="E134" s="76"/>
      <c r="F134" s="76"/>
      <c r="G134" s="76"/>
      <c r="I134" s="27"/>
      <c r="J134" s="48"/>
      <c r="K134" s="74"/>
      <c r="L134" s="48"/>
      <c r="M134" s="48"/>
      <c r="N134" s="48"/>
      <c r="O134" s="48"/>
      <c r="P134" s="48"/>
      <c r="Q134" s="48"/>
    </row>
    <row r="135" spans="2:17" s="26" customFormat="1" x14ac:dyDescent="0.25">
      <c r="B135" s="75"/>
      <c r="C135" s="76" t="s">
        <v>106</v>
      </c>
      <c r="D135" s="76"/>
      <c r="E135" s="76"/>
      <c r="F135" s="76"/>
      <c r="G135" s="76"/>
      <c r="I135" s="27"/>
      <c r="J135" s="48"/>
      <c r="K135" s="74"/>
      <c r="L135" s="48"/>
      <c r="M135" s="48"/>
      <c r="N135" s="48"/>
      <c r="O135" s="48"/>
      <c r="P135" s="48"/>
      <c r="Q135" s="48"/>
    </row>
    <row r="136" spans="2:17" s="26" customFormat="1" x14ac:dyDescent="0.25">
      <c r="B136" s="77"/>
      <c r="C136" s="78" t="s">
        <v>104</v>
      </c>
      <c r="D136" s="78"/>
      <c r="E136" s="79">
        <v>3922</v>
      </c>
      <c r="F136" s="394"/>
      <c r="G136" s="394"/>
      <c r="I136" s="27"/>
      <c r="J136" s="48"/>
      <c r="K136" s="74"/>
      <c r="L136" s="48"/>
      <c r="M136" s="48"/>
      <c r="N136" s="48"/>
      <c r="O136" s="48"/>
      <c r="P136" s="48"/>
      <c r="Q136" s="48"/>
    </row>
    <row r="137" spans="2:17" s="26" customFormat="1" x14ac:dyDescent="0.25">
      <c r="B137" s="93"/>
      <c r="C137" s="48"/>
      <c r="D137" s="48"/>
      <c r="E137" s="48"/>
      <c r="F137" s="48"/>
      <c r="G137" s="48"/>
      <c r="I137" s="27"/>
      <c r="J137" s="48"/>
      <c r="K137" s="74"/>
      <c r="L137" s="48"/>
      <c r="M137" s="48"/>
      <c r="N137" s="48"/>
      <c r="O137" s="48"/>
      <c r="P137" s="48"/>
      <c r="Q137" s="48"/>
    </row>
    <row r="138" spans="2:17" s="26" customFormat="1" x14ac:dyDescent="0.25">
      <c r="B138" s="93"/>
      <c r="C138" s="48"/>
      <c r="D138" s="48"/>
      <c r="E138" s="48"/>
      <c r="F138" s="48"/>
      <c r="G138" s="48"/>
      <c r="I138" s="27"/>
      <c r="J138" s="48"/>
      <c r="K138" s="74"/>
      <c r="L138" s="48"/>
      <c r="M138" s="48"/>
      <c r="N138" s="48"/>
      <c r="O138" s="48"/>
      <c r="P138" s="48"/>
      <c r="Q138" s="48"/>
    </row>
    <row r="139" spans="2:17" s="26" customFormat="1" x14ac:dyDescent="0.25">
      <c r="B139" s="75" t="s">
        <v>107</v>
      </c>
      <c r="C139" s="76" t="s">
        <v>108</v>
      </c>
      <c r="D139" s="76">
        <f>D34</f>
        <v>677</v>
      </c>
      <c r="E139" s="76">
        <f>0.23*D139</f>
        <v>155.71</v>
      </c>
      <c r="F139" s="76"/>
      <c r="G139" s="76"/>
      <c r="I139" s="27"/>
      <c r="J139" s="48"/>
      <c r="K139" s="74"/>
      <c r="L139" s="48"/>
      <c r="M139" s="48"/>
      <c r="N139" s="48"/>
      <c r="O139" s="48"/>
      <c r="P139" s="48"/>
      <c r="Q139" s="48"/>
    </row>
    <row r="140" spans="2:17" s="26" customFormat="1" x14ac:dyDescent="0.25">
      <c r="B140" s="75"/>
      <c r="C140" s="76" t="s">
        <v>109</v>
      </c>
      <c r="D140" s="76">
        <v>3500</v>
      </c>
      <c r="E140" s="76">
        <f>0.25*D140</f>
        <v>875</v>
      </c>
      <c r="F140" s="76"/>
      <c r="G140" s="76"/>
      <c r="I140" s="27"/>
      <c r="J140" s="48"/>
      <c r="K140" s="74"/>
      <c r="L140" s="48"/>
      <c r="M140" s="48"/>
      <c r="N140" s="48"/>
      <c r="O140" s="48"/>
      <c r="P140" s="48"/>
      <c r="Q140" s="48"/>
    </row>
    <row r="141" spans="2:17" s="26" customFormat="1" x14ac:dyDescent="0.25">
      <c r="B141" s="75"/>
      <c r="C141" s="76" t="s">
        <v>110</v>
      </c>
      <c r="D141" s="76">
        <f>D42</f>
        <v>1300</v>
      </c>
      <c r="E141" s="76">
        <f>0.52*D141</f>
        <v>676</v>
      </c>
      <c r="F141" s="76"/>
      <c r="G141" s="76"/>
      <c r="I141" s="27"/>
      <c r="J141" s="48"/>
      <c r="K141" s="74"/>
      <c r="L141" s="48"/>
      <c r="M141" s="48"/>
      <c r="N141" s="48"/>
      <c r="O141" s="48"/>
      <c r="P141" s="48"/>
      <c r="Q141" s="48"/>
    </row>
    <row r="142" spans="2:17" s="26" customFormat="1" x14ac:dyDescent="0.25">
      <c r="B142" s="75"/>
      <c r="C142" s="78" t="s">
        <v>104</v>
      </c>
      <c r="D142" s="78"/>
      <c r="E142" s="78">
        <f>SUM(E139:E141)</f>
        <v>1706.71</v>
      </c>
      <c r="F142" s="76"/>
      <c r="G142" s="76"/>
      <c r="I142" s="27"/>
      <c r="J142" s="48"/>
      <c r="K142" s="74"/>
      <c r="L142" s="48"/>
      <c r="M142" s="48"/>
      <c r="N142" s="48"/>
      <c r="O142" s="48"/>
      <c r="P142" s="48"/>
      <c r="Q142" s="48"/>
    </row>
    <row r="143" spans="2:17" s="26" customFormat="1" x14ac:dyDescent="0.25">
      <c r="B143" s="80"/>
      <c r="C143" s="81"/>
      <c r="D143" s="82"/>
      <c r="E143" s="81"/>
      <c r="F143" s="81"/>
      <c r="G143" s="81"/>
      <c r="H143" s="81"/>
      <c r="I143" s="83"/>
      <c r="J143" s="84"/>
      <c r="K143" s="85"/>
      <c r="L143" s="48"/>
      <c r="M143" s="48"/>
      <c r="N143" s="48"/>
      <c r="O143" s="48"/>
      <c r="P143" s="48"/>
      <c r="Q143" s="48"/>
    </row>
    <row r="146" spans="2:24" x14ac:dyDescent="0.25">
      <c r="B146" s="384"/>
      <c r="C146" s="384" t="s">
        <v>366</v>
      </c>
      <c r="D146" s="384" t="s">
        <v>418</v>
      </c>
      <c r="E146" s="582" t="s">
        <v>290</v>
      </c>
      <c r="F146" s="384" t="s">
        <v>365</v>
      </c>
      <c r="G146" s="384" t="s">
        <v>120</v>
      </c>
      <c r="H146" s="51"/>
      <c r="I146" s="51"/>
      <c r="J146" s="51"/>
      <c r="K146" s="51"/>
      <c r="L146" s="51"/>
      <c r="N146" s="51"/>
      <c r="O146" s="51" t="s">
        <v>1628</v>
      </c>
      <c r="P146" s="51"/>
      <c r="Q146" s="51"/>
      <c r="R146" s="51"/>
      <c r="S146" s="1" t="s">
        <v>1792</v>
      </c>
      <c r="T146" s="1" t="s">
        <v>1793</v>
      </c>
    </row>
    <row r="147" spans="2:24" ht="15.75" x14ac:dyDescent="0.25">
      <c r="B147" s="103">
        <v>1</v>
      </c>
      <c r="C147" s="51"/>
      <c r="D147" s="51"/>
      <c r="E147" s="583" t="s">
        <v>30</v>
      </c>
      <c r="F147" s="102">
        <v>0.39</v>
      </c>
      <c r="G147" s="99" t="s">
        <v>31</v>
      </c>
      <c r="H147" s="1036" t="s">
        <v>32</v>
      </c>
      <c r="I147" s="1036"/>
      <c r="J147" s="1036"/>
      <c r="K147" s="1036"/>
      <c r="L147" s="422"/>
      <c r="M147" s="655">
        <f>AVERAGE(O148:O159)</f>
        <v>626.66666666666663</v>
      </c>
      <c r="N147" s="430" t="s">
        <v>1763</v>
      </c>
      <c r="O147" s="431" t="s">
        <v>1725</v>
      </c>
      <c r="P147" s="431" t="s">
        <v>1725</v>
      </c>
      <c r="Q147" s="51" t="s">
        <v>1791</v>
      </c>
      <c r="R147" s="51"/>
      <c r="S147" s="431" t="s">
        <v>1725</v>
      </c>
      <c r="T147" s="431" t="s">
        <v>1794</v>
      </c>
    </row>
    <row r="148" spans="2:24" ht="15.75" x14ac:dyDescent="0.25">
      <c r="B148" s="103">
        <f>B147+1</f>
        <v>2</v>
      </c>
      <c r="C148" s="51"/>
      <c r="D148" s="51"/>
      <c r="E148" s="583" t="s">
        <v>33</v>
      </c>
      <c r="F148" s="102">
        <v>2.91</v>
      </c>
      <c r="G148" s="99" t="s">
        <v>31</v>
      </c>
      <c r="H148" s="1036" t="s">
        <v>32</v>
      </c>
      <c r="I148" s="1036"/>
      <c r="J148" s="1036"/>
      <c r="K148" s="1036"/>
      <c r="L148" s="422"/>
      <c r="M148" s="655"/>
      <c r="N148" s="642" t="s">
        <v>1728</v>
      </c>
      <c r="O148" s="429">
        <f>AVERAGE(641,689)</f>
        <v>665</v>
      </c>
      <c r="P148" s="429" t="s">
        <v>1729</v>
      </c>
      <c r="Q148" s="51">
        <v>665</v>
      </c>
      <c r="R148" s="1033" t="s">
        <v>1790</v>
      </c>
      <c r="S148" s="51">
        <f>AVERAGE(Q148,Q151)</f>
        <v>705</v>
      </c>
      <c r="T148" s="416">
        <v>41.9</v>
      </c>
    </row>
    <row r="149" spans="2:24" x14ac:dyDescent="0.25">
      <c r="B149" s="103">
        <f t="shared" ref="B149:B231" si="1">B148+1</f>
        <v>3</v>
      </c>
      <c r="C149" s="51"/>
      <c r="D149" s="51"/>
      <c r="E149" s="583" t="s">
        <v>1619</v>
      </c>
      <c r="F149" s="102">
        <v>8.14</v>
      </c>
      <c r="G149" s="99" t="s">
        <v>31</v>
      </c>
      <c r="H149" s="1036" t="s">
        <v>34</v>
      </c>
      <c r="I149" s="1036"/>
      <c r="J149" s="1036"/>
      <c r="K149" s="1036"/>
      <c r="L149" s="1036"/>
      <c r="M149" s="655"/>
      <c r="N149" s="429" t="s">
        <v>1733</v>
      </c>
      <c r="O149" s="429">
        <f>AVERAGE(497,849)</f>
        <v>673</v>
      </c>
      <c r="P149" s="429" t="s">
        <v>1734</v>
      </c>
      <c r="Q149" s="51"/>
      <c r="R149" s="1034"/>
    </row>
    <row r="150" spans="2:24" x14ac:dyDescent="0.25">
      <c r="B150" s="103">
        <f t="shared" si="1"/>
        <v>4</v>
      </c>
      <c r="C150" s="51"/>
      <c r="D150" s="51"/>
      <c r="E150" s="583" t="s">
        <v>35</v>
      </c>
      <c r="F150" s="102">
        <v>6.15</v>
      </c>
      <c r="G150" s="99" t="s">
        <v>31</v>
      </c>
      <c r="H150" s="1036" t="s">
        <v>34</v>
      </c>
      <c r="I150" s="1036"/>
      <c r="J150" s="1036"/>
      <c r="K150" s="1036"/>
      <c r="L150" s="1036"/>
      <c r="M150" s="655"/>
      <c r="N150" s="429" t="s">
        <v>1738</v>
      </c>
      <c r="O150" s="429">
        <f>AVERAGE(625,753)</f>
        <v>689</v>
      </c>
      <c r="P150" s="429" t="s">
        <v>1739</v>
      </c>
      <c r="Q150" s="51"/>
      <c r="R150" s="1034"/>
      <c r="W150" s="45">
        <v>2.016E-3</v>
      </c>
    </row>
    <row r="151" spans="2:24" ht="15.75" x14ac:dyDescent="0.25">
      <c r="B151" s="103">
        <f t="shared" si="1"/>
        <v>5</v>
      </c>
      <c r="C151" s="51"/>
      <c r="D151" s="51"/>
      <c r="E151" s="583" t="s">
        <v>36</v>
      </c>
      <c r="F151" s="368"/>
      <c r="G151" s="99" t="s">
        <v>31</v>
      </c>
      <c r="H151" s="423"/>
      <c r="I151" s="423"/>
      <c r="J151" s="423"/>
      <c r="K151" s="1037"/>
      <c r="L151" s="1037"/>
      <c r="M151" s="655"/>
      <c r="N151" s="642" t="s">
        <v>1743</v>
      </c>
      <c r="O151" s="429">
        <f>AVERAGE(593,897)</f>
        <v>745</v>
      </c>
      <c r="P151" s="429" t="s">
        <v>1744</v>
      </c>
      <c r="Q151" s="51">
        <v>745</v>
      </c>
      <c r="R151" s="1034"/>
    </row>
    <row r="152" spans="2:24" x14ac:dyDescent="0.25">
      <c r="B152" s="103">
        <f t="shared" si="1"/>
        <v>6</v>
      </c>
      <c r="C152" s="51"/>
      <c r="D152" s="51"/>
      <c r="E152" s="583" t="s">
        <v>37</v>
      </c>
      <c r="F152" s="368"/>
      <c r="G152" s="99" t="s">
        <v>31</v>
      </c>
      <c r="H152" s="106"/>
      <c r="I152" s="424"/>
      <c r="J152" s="51"/>
      <c r="K152" s="51"/>
      <c r="L152" s="51"/>
      <c r="M152" s="655"/>
      <c r="N152" s="429" t="s">
        <v>1748</v>
      </c>
      <c r="O152" s="429">
        <f>AVERAGE(800,880)</f>
        <v>840</v>
      </c>
      <c r="P152" s="429" t="s">
        <v>1749</v>
      </c>
      <c r="Q152" s="51"/>
      <c r="R152" s="1034"/>
    </row>
    <row r="153" spans="2:24" x14ac:dyDescent="0.25">
      <c r="B153" s="103">
        <f t="shared" si="1"/>
        <v>7</v>
      </c>
      <c r="C153" s="51"/>
      <c r="D153" s="51"/>
      <c r="E153" s="583" t="s">
        <v>289</v>
      </c>
      <c r="F153" s="368"/>
      <c r="G153" s="99" t="s">
        <v>31</v>
      </c>
      <c r="H153" s="106"/>
      <c r="I153" s="424"/>
      <c r="J153" s="51"/>
      <c r="K153" s="51"/>
      <c r="L153" s="51"/>
      <c r="M153" s="655"/>
      <c r="N153" s="429" t="s">
        <v>1753</v>
      </c>
      <c r="O153" s="429">
        <f>AVERAGE(689,897)</f>
        <v>793</v>
      </c>
      <c r="P153" s="429" t="s">
        <v>1754</v>
      </c>
      <c r="Q153" s="51"/>
      <c r="R153" s="1034"/>
      <c r="T153" s="1" t="s">
        <v>1813</v>
      </c>
    </row>
    <row r="154" spans="2:24" x14ac:dyDescent="0.25">
      <c r="B154" s="103">
        <f t="shared" si="1"/>
        <v>8</v>
      </c>
      <c r="C154" s="429" t="s">
        <v>1608</v>
      </c>
      <c r="D154" s="415"/>
      <c r="E154" s="519" t="s">
        <v>291</v>
      </c>
      <c r="F154" s="648">
        <f>W155</f>
        <v>0.32899869960988298</v>
      </c>
      <c r="G154" s="99" t="s">
        <v>31</v>
      </c>
      <c r="H154" s="425" t="s">
        <v>292</v>
      </c>
      <c r="I154" s="372"/>
      <c r="K154" s="372"/>
      <c r="L154" s="372"/>
      <c r="M154" s="655"/>
      <c r="N154" s="643" t="s">
        <v>1758</v>
      </c>
      <c r="O154" s="429">
        <f>AVERAGE(112,144)</f>
        <v>128</v>
      </c>
      <c r="P154" s="429" t="s">
        <v>1759</v>
      </c>
      <c r="Q154" s="51"/>
      <c r="R154" s="1034"/>
      <c r="S154"/>
      <c r="T154">
        <v>471</v>
      </c>
      <c r="U154" s="372" t="s">
        <v>1629</v>
      </c>
      <c r="V154" s="372">
        <v>471</v>
      </c>
      <c r="W154" s="695">
        <f>V154/X154</f>
        <v>0.74761904761904763</v>
      </c>
      <c r="X154" s="372">
        <v>630</v>
      </c>
    </row>
    <row r="155" spans="2:24" ht="27.75" customHeight="1" x14ac:dyDescent="0.25">
      <c r="B155" s="103">
        <f t="shared" si="1"/>
        <v>9</v>
      </c>
      <c r="C155" s="429" t="s">
        <v>1608</v>
      </c>
      <c r="D155" s="415"/>
      <c r="E155" s="524" t="s">
        <v>1609</v>
      </c>
      <c r="F155" s="648">
        <f>W156</f>
        <v>6.6861702127659572E-2</v>
      </c>
      <c r="G155" s="99" t="s">
        <v>31</v>
      </c>
      <c r="H155" s="426" t="s">
        <v>292</v>
      </c>
      <c r="I155" s="372"/>
      <c r="K155" s="372"/>
      <c r="L155" s="372"/>
      <c r="M155" s="655"/>
      <c r="N155" s="429" t="s">
        <v>1788</v>
      </c>
      <c r="O155" s="429">
        <f>AVERAGE(368,577)</f>
        <v>472.5</v>
      </c>
      <c r="P155" s="429" t="s">
        <v>1764</v>
      </c>
      <c r="Q155" s="51"/>
      <c r="R155" s="1035"/>
      <c r="S155"/>
      <c r="T155" s="1">
        <v>630</v>
      </c>
      <c r="U155" s="527" t="s">
        <v>291</v>
      </c>
      <c r="V155" s="644">
        <v>253</v>
      </c>
      <c r="W155" s="645">
        <f>V155/O160</f>
        <v>0.32899869960988298</v>
      </c>
      <c r="X155" s="372">
        <f>O160</f>
        <v>769</v>
      </c>
    </row>
    <row r="156" spans="2:24" ht="24" x14ac:dyDescent="0.25">
      <c r="B156" s="103">
        <f t="shared" si="1"/>
        <v>10</v>
      </c>
      <c r="C156" s="429" t="s">
        <v>1608</v>
      </c>
      <c r="D156" s="415"/>
      <c r="E156" s="522" t="s">
        <v>1610</v>
      </c>
      <c r="F156" s="649">
        <f>W157</f>
        <v>0.47464239271781533</v>
      </c>
      <c r="G156" s="99" t="s">
        <v>31</v>
      </c>
      <c r="H156" s="426" t="s">
        <v>292</v>
      </c>
      <c r="I156" s="372"/>
      <c r="K156" s="372"/>
      <c r="L156" s="372"/>
      <c r="M156" s="655"/>
      <c r="N156" s="429" t="s">
        <v>1768</v>
      </c>
      <c r="O156" s="429">
        <f>AVERAGE(352,849)</f>
        <v>600.5</v>
      </c>
      <c r="P156" s="429" t="s">
        <v>1769</v>
      </c>
      <c r="Q156" s="51"/>
      <c r="R156" s="51"/>
      <c r="S156"/>
      <c r="T156" s="1" t="s">
        <v>423</v>
      </c>
      <c r="U156" s="528" t="s">
        <v>1609</v>
      </c>
      <c r="V156" s="644">
        <v>41.9</v>
      </c>
      <c r="W156" s="645">
        <f>V156/M147</f>
        <v>6.6861702127659572E-2</v>
      </c>
      <c r="X156" s="372">
        <f>M147</f>
        <v>626.66666666666663</v>
      </c>
    </row>
    <row r="157" spans="2:24" x14ac:dyDescent="0.25">
      <c r="B157" s="103">
        <f t="shared" si="1"/>
        <v>11</v>
      </c>
      <c r="C157" s="429" t="s">
        <v>1608</v>
      </c>
      <c r="D157" s="415"/>
      <c r="E157" s="677" t="s">
        <v>1797</v>
      </c>
      <c r="F157" s="650">
        <f>W161</f>
        <v>0.46854942233632862</v>
      </c>
      <c r="G157" s="99" t="s">
        <v>31</v>
      </c>
      <c r="H157" s="372"/>
      <c r="I157" s="372"/>
      <c r="J157" s="372"/>
      <c r="K157" s="372"/>
      <c r="L157" s="372"/>
      <c r="M157"/>
      <c r="N157" s="429" t="s">
        <v>1773</v>
      </c>
      <c r="O157" s="429">
        <f>AVERAGE(529,737)</f>
        <v>633</v>
      </c>
      <c r="P157" s="429" t="s">
        <v>1774</v>
      </c>
      <c r="Q157" s="51"/>
      <c r="R157" s="51"/>
      <c r="S157"/>
      <c r="U157" s="535" t="s">
        <v>1610</v>
      </c>
      <c r="V157" s="646">
        <v>365</v>
      </c>
      <c r="W157" s="645">
        <f>V157/O160</f>
        <v>0.47464239271781533</v>
      </c>
      <c r="X157" s="372">
        <f>X155</f>
        <v>769</v>
      </c>
    </row>
    <row r="158" spans="2:24" x14ac:dyDescent="0.25">
      <c r="B158" s="103">
        <f t="shared" si="1"/>
        <v>12</v>
      </c>
      <c r="C158" s="429" t="s">
        <v>1608</v>
      </c>
      <c r="D158" s="584" t="s">
        <v>296</v>
      </c>
      <c r="E158" s="700" t="s">
        <v>296</v>
      </c>
      <c r="F158" s="650">
        <v>4.8</v>
      </c>
      <c r="G158" s="99" t="s">
        <v>31</v>
      </c>
      <c r="H158" s="372"/>
      <c r="I158" s="372"/>
      <c r="J158" s="372"/>
      <c r="K158" s="372"/>
      <c r="L158" s="372"/>
      <c r="M158"/>
      <c r="N158" s="429" t="s">
        <v>1778</v>
      </c>
      <c r="O158" s="429">
        <f>AVERAGE(657,800)</f>
        <v>728.5</v>
      </c>
      <c r="P158" s="429" t="s">
        <v>1779</v>
      </c>
      <c r="Q158" s="51"/>
      <c r="R158" s="51"/>
      <c r="S158"/>
      <c r="U158" s="533" t="s">
        <v>431</v>
      </c>
      <c r="V158" s="644">
        <v>242</v>
      </c>
      <c r="W158" s="645">
        <f>V158/S160</f>
        <v>0.31469440832249673</v>
      </c>
      <c r="X158" s="372">
        <f>X155</f>
        <v>769</v>
      </c>
    </row>
    <row r="159" spans="2:24" x14ac:dyDescent="0.25">
      <c r="B159" s="103">
        <f t="shared" si="1"/>
        <v>13</v>
      </c>
      <c r="C159" s="429" t="s">
        <v>1608</v>
      </c>
      <c r="D159" s="415"/>
      <c r="E159" s="521" t="s">
        <v>431</v>
      </c>
      <c r="F159" s="648">
        <f>W158</f>
        <v>0.31469440832249673</v>
      </c>
      <c r="G159" s="99" t="s">
        <v>31</v>
      </c>
      <c r="H159" s="426" t="s">
        <v>292</v>
      </c>
      <c r="I159" s="372"/>
      <c r="K159" s="372"/>
      <c r="L159" s="372"/>
      <c r="M159"/>
      <c r="N159" s="429" t="s">
        <v>1783</v>
      </c>
      <c r="O159" s="429">
        <f>AVERAGE(400,705)</f>
        <v>552.5</v>
      </c>
      <c r="P159" s="429" t="s">
        <v>1784</v>
      </c>
      <c r="Q159" s="51"/>
      <c r="R159" s="51"/>
      <c r="S159"/>
      <c r="U159" s="536" t="s">
        <v>299</v>
      </c>
      <c r="V159" s="646">
        <v>219</v>
      </c>
      <c r="W159" s="645">
        <f>V159/O166</f>
        <v>0.35322580645161289</v>
      </c>
      <c r="X159" s="372">
        <f>S167</f>
        <v>620</v>
      </c>
    </row>
    <row r="160" spans="2:24" x14ac:dyDescent="0.25">
      <c r="B160" s="103">
        <f t="shared" si="1"/>
        <v>14</v>
      </c>
      <c r="C160" s="429" t="s">
        <v>1608</v>
      </c>
      <c r="D160" s="584" t="s">
        <v>296</v>
      </c>
      <c r="E160" s="680" t="s">
        <v>1804</v>
      </c>
      <c r="F160" s="648">
        <f>W164</f>
        <v>0.27896491228070175</v>
      </c>
      <c r="G160" s="99" t="s">
        <v>31</v>
      </c>
      <c r="H160" s="426"/>
      <c r="I160" s="372"/>
      <c r="K160" s="372"/>
      <c r="L160" s="372"/>
      <c r="M160"/>
      <c r="N160" s="429" t="s">
        <v>1636</v>
      </c>
      <c r="O160" s="372">
        <v>769</v>
      </c>
      <c r="P160" s="51"/>
      <c r="Q160" s="51"/>
      <c r="R160" s="51"/>
      <c r="S160">
        <f>O160</f>
        <v>769</v>
      </c>
      <c r="U160" s="534" t="s">
        <v>300</v>
      </c>
      <c r="V160" s="644">
        <v>219</v>
      </c>
      <c r="W160" s="645">
        <f>V160/O166</f>
        <v>0.35322580645161289</v>
      </c>
      <c r="X160" s="372">
        <f>S167</f>
        <v>620</v>
      </c>
    </row>
    <row r="161" spans="2:24" x14ac:dyDescent="0.25">
      <c r="B161" s="103">
        <f t="shared" si="1"/>
        <v>15</v>
      </c>
      <c r="C161" s="429" t="s">
        <v>1608</v>
      </c>
      <c r="D161" s="415"/>
      <c r="E161" s="523" t="s">
        <v>299</v>
      </c>
      <c r="F161" s="649">
        <f>W159</f>
        <v>0.35322580645161289</v>
      </c>
      <c r="G161" s="99" t="s">
        <v>31</v>
      </c>
      <c r="H161" s="426" t="s">
        <v>292</v>
      </c>
      <c r="I161" s="372"/>
      <c r="K161" s="372"/>
      <c r="L161" s="372"/>
      <c r="M161"/>
      <c r="N161" s="429" t="s">
        <v>1709</v>
      </c>
      <c r="O161" s="372">
        <v>529</v>
      </c>
      <c r="P161" s="51"/>
      <c r="Q161" s="51"/>
      <c r="R161" s="51"/>
      <c r="S161">
        <f t="shared" ref="S161:S164" si="2">O161</f>
        <v>529</v>
      </c>
      <c r="U161" s="670" t="s">
        <v>1797</v>
      </c>
      <c r="V161" s="647">
        <f>V157</f>
        <v>365</v>
      </c>
      <c r="W161" s="645">
        <f>V161/X161</f>
        <v>0.46854942233632862</v>
      </c>
      <c r="X161" s="372">
        <v>779</v>
      </c>
    </row>
    <row r="162" spans="2:24" x14ac:dyDescent="0.25">
      <c r="B162" s="103">
        <f t="shared" si="1"/>
        <v>16</v>
      </c>
      <c r="C162" s="429" t="s">
        <v>1608</v>
      </c>
      <c r="D162" s="415"/>
      <c r="E162" s="520" t="s">
        <v>300</v>
      </c>
      <c r="F162" s="648">
        <f>W160</f>
        <v>0.35322580645161289</v>
      </c>
      <c r="G162" s="99" t="s">
        <v>31</v>
      </c>
      <c r="H162" s="426" t="s">
        <v>292</v>
      </c>
      <c r="I162" s="372"/>
      <c r="K162" s="372"/>
      <c r="L162" s="372"/>
      <c r="M162"/>
      <c r="N162" s="429" t="s">
        <v>1714</v>
      </c>
      <c r="O162" s="372">
        <v>778</v>
      </c>
      <c r="P162" s="51"/>
      <c r="Q162" s="51"/>
      <c r="R162" s="51"/>
      <c r="S162">
        <f t="shared" si="2"/>
        <v>778</v>
      </c>
      <c r="U162" s="671" t="s">
        <v>1799</v>
      </c>
      <c r="V162" s="647">
        <f>V155</f>
        <v>253</v>
      </c>
      <c r="W162" s="645">
        <f>V162/X162</f>
        <v>0.323943661971831</v>
      </c>
      <c r="X162" s="372">
        <v>781</v>
      </c>
    </row>
    <row r="163" spans="2:24" x14ac:dyDescent="0.25">
      <c r="B163" s="103">
        <f t="shared" si="1"/>
        <v>17</v>
      </c>
      <c r="C163" s="429" t="s">
        <v>1608</v>
      </c>
      <c r="D163" s="415"/>
      <c r="E163" s="682" t="s">
        <v>1799</v>
      </c>
      <c r="F163" s="416">
        <f>W162</f>
        <v>0.323943661971831</v>
      </c>
      <c r="G163" s="99" t="s">
        <v>31</v>
      </c>
      <c r="H163" s="372"/>
      <c r="I163" s="372"/>
      <c r="K163" s="372"/>
      <c r="L163" s="372"/>
      <c r="M163"/>
      <c r="N163" s="429" t="s">
        <v>1715</v>
      </c>
      <c r="O163" s="372">
        <v>779</v>
      </c>
      <c r="P163" s="51"/>
      <c r="Q163" s="51"/>
      <c r="R163" s="51"/>
      <c r="S163">
        <f t="shared" si="2"/>
        <v>779</v>
      </c>
      <c r="U163" s="678" t="s">
        <v>1803</v>
      </c>
      <c r="V163" s="644">
        <v>258.33999999999997</v>
      </c>
      <c r="W163" s="645">
        <f>V163/X163</f>
        <v>0.45322807017543854</v>
      </c>
      <c r="X163" s="372">
        <v>570</v>
      </c>
    </row>
    <row r="164" spans="2:24" x14ac:dyDescent="0.25">
      <c r="B164" s="103">
        <f t="shared" si="1"/>
        <v>18</v>
      </c>
      <c r="C164" s="429" t="s">
        <v>1608</v>
      </c>
      <c r="D164" s="584" t="s">
        <v>1620</v>
      </c>
      <c r="E164" s="681" t="s">
        <v>1803</v>
      </c>
      <c r="F164" s="418">
        <f>W163</f>
        <v>0.45322807017543854</v>
      </c>
      <c r="G164" s="99" t="s">
        <v>31</v>
      </c>
      <c r="H164" s="372"/>
      <c r="I164" s="372"/>
      <c r="K164" s="372"/>
      <c r="L164" s="372"/>
      <c r="M164"/>
      <c r="N164" s="429" t="s">
        <v>301</v>
      </c>
      <c r="O164" s="372">
        <v>781</v>
      </c>
      <c r="P164" s="51"/>
      <c r="Q164" s="51"/>
      <c r="R164" s="51"/>
      <c r="S164">
        <f t="shared" si="2"/>
        <v>781</v>
      </c>
      <c r="T164"/>
      <c r="U164" s="679" t="s">
        <v>1804</v>
      </c>
      <c r="V164" s="372">
        <v>159.01</v>
      </c>
      <c r="W164" s="372">
        <f>V164/X164</f>
        <v>0.27896491228070175</v>
      </c>
      <c r="X164" s="372">
        <v>570</v>
      </c>
    </row>
    <row r="165" spans="2:24" x14ac:dyDescent="0.25">
      <c r="B165" s="103">
        <f>B164+1</f>
        <v>19</v>
      </c>
      <c r="C165" s="429" t="s">
        <v>1608</v>
      </c>
      <c r="D165" s="584" t="s">
        <v>1833</v>
      </c>
      <c r="E165" s="721" t="s">
        <v>1833</v>
      </c>
      <c r="F165" s="418">
        <v>1.2290000000000001</v>
      </c>
      <c r="G165" s="99" t="s">
        <v>31</v>
      </c>
      <c r="H165" s="372"/>
      <c r="I165" s="372"/>
      <c r="K165" s="372"/>
      <c r="L165" s="372"/>
      <c r="M165"/>
      <c r="N165" s="429"/>
      <c r="O165" s="372"/>
      <c r="P165" s="51"/>
      <c r="Q165" s="51"/>
      <c r="R165" s="51"/>
      <c r="S165"/>
      <c r="T165"/>
      <c r="U165" s="679"/>
      <c r="V165" s="372"/>
      <c r="W165" s="372"/>
      <c r="X165" s="372"/>
    </row>
    <row r="166" spans="2:24" x14ac:dyDescent="0.25">
      <c r="B166" s="103">
        <f t="shared" si="1"/>
        <v>20</v>
      </c>
      <c r="C166" s="429" t="s">
        <v>303</v>
      </c>
      <c r="D166" s="415"/>
      <c r="E166" s="512" t="s">
        <v>304</v>
      </c>
      <c r="F166" s="416">
        <v>8.14</v>
      </c>
      <c r="G166" s="417" t="s">
        <v>364</v>
      </c>
      <c r="H166" s="425" t="s">
        <v>34</v>
      </c>
      <c r="I166" s="372"/>
      <c r="K166" s="372"/>
      <c r="L166" s="372"/>
      <c r="M166"/>
      <c r="N166" s="429" t="s">
        <v>1789</v>
      </c>
      <c r="O166" s="372">
        <v>620</v>
      </c>
      <c r="P166" s="51"/>
      <c r="Q166" s="51"/>
      <c r="R166" s="51"/>
      <c r="S166" s="1" t="s">
        <v>1651</v>
      </c>
      <c r="T166">
        <f>1*0.027*25.4/1000</f>
        <v>6.8579999999999997E-4</v>
      </c>
      <c r="U166" s="584" t="s">
        <v>296</v>
      </c>
      <c r="V166" s="647">
        <v>4.78</v>
      </c>
      <c r="W166" s="647">
        <f>V166</f>
        <v>4.78</v>
      </c>
      <c r="X166" s="372">
        <v>1450</v>
      </c>
    </row>
    <row r="167" spans="2:24" x14ac:dyDescent="0.25">
      <c r="B167" s="103">
        <f t="shared" si="1"/>
        <v>21</v>
      </c>
      <c r="C167" s="429" t="s">
        <v>303</v>
      </c>
      <c r="D167" s="415"/>
      <c r="E167" s="507" t="s">
        <v>305</v>
      </c>
      <c r="F167" s="416">
        <v>10.8</v>
      </c>
      <c r="G167" s="417" t="s">
        <v>364</v>
      </c>
      <c r="H167" s="426" t="s">
        <v>292</v>
      </c>
      <c r="I167" s="417"/>
      <c r="K167" s="417"/>
      <c r="L167" s="417"/>
      <c r="M167" s="397"/>
      <c r="N167" s="397"/>
      <c r="O167" s="397"/>
      <c r="P167" s="397"/>
      <c r="Q167" s="397"/>
      <c r="R167" s="397"/>
      <c r="S167">
        <f>O166</f>
        <v>620</v>
      </c>
      <c r="T167" s="397" t="s">
        <v>1809</v>
      </c>
      <c r="U167" t="s">
        <v>1805</v>
      </c>
      <c r="V167"/>
      <c r="W167"/>
      <c r="X167" s="396">
        <v>1300</v>
      </c>
    </row>
    <row r="168" spans="2:24" ht="17.25" x14ac:dyDescent="0.25">
      <c r="B168" s="103">
        <f t="shared" si="1"/>
        <v>22</v>
      </c>
      <c r="C168" s="429" t="s">
        <v>303</v>
      </c>
      <c r="D168" s="415"/>
      <c r="E168" s="513" t="s">
        <v>306</v>
      </c>
      <c r="F168" s="418">
        <v>3.76</v>
      </c>
      <c r="G168" s="417" t="s">
        <v>364</v>
      </c>
      <c r="H168" s="426" t="s">
        <v>292</v>
      </c>
      <c r="I168" s="417"/>
      <c r="K168" s="417"/>
      <c r="L168" s="417"/>
      <c r="M168" s="397"/>
      <c r="N168" s="688" t="s">
        <v>1807</v>
      </c>
      <c r="O168" s="397"/>
      <c r="P168" s="397"/>
      <c r="Q168" s="397"/>
      <c r="R168" s="397"/>
      <c r="S168" s="397"/>
      <c r="T168" s="397"/>
      <c r="U168" s="397" t="s">
        <v>1806</v>
      </c>
      <c r="V168" s="397"/>
      <c r="W168" s="397"/>
      <c r="X168" s="398">
        <v>1600</v>
      </c>
    </row>
    <row r="169" spans="2:24" x14ac:dyDescent="0.25">
      <c r="B169" s="103">
        <f t="shared" si="1"/>
        <v>23</v>
      </c>
      <c r="C169" s="429" t="s">
        <v>303</v>
      </c>
      <c r="D169" s="415"/>
      <c r="E169" s="514" t="s">
        <v>35</v>
      </c>
      <c r="F169" s="416">
        <v>6.15</v>
      </c>
      <c r="G169" s="417" t="s">
        <v>364</v>
      </c>
      <c r="H169" s="425" t="s">
        <v>34</v>
      </c>
      <c r="I169" s="372"/>
      <c r="K169" s="372"/>
      <c r="L169" s="372"/>
      <c r="M169"/>
      <c r="N169" s="688"/>
      <c r="O169"/>
      <c r="P169"/>
      <c r="Q169"/>
      <c r="R169"/>
      <c r="S169"/>
      <c r="T169"/>
      <c r="U169" s="397"/>
      <c r="V169" s="397"/>
      <c r="W169" s="397"/>
      <c r="X169" s="398"/>
    </row>
    <row r="170" spans="2:24" x14ac:dyDescent="0.25">
      <c r="B170" s="103">
        <f t="shared" si="1"/>
        <v>24</v>
      </c>
      <c r="C170" s="429" t="s">
        <v>303</v>
      </c>
      <c r="D170" s="415"/>
      <c r="E170" s="515" t="s">
        <v>307</v>
      </c>
      <c r="F170" s="416">
        <v>1.85</v>
      </c>
      <c r="G170" s="417" t="s">
        <v>364</v>
      </c>
      <c r="H170" s="372"/>
      <c r="I170" s="372"/>
      <c r="K170" s="372"/>
      <c r="L170" s="372"/>
      <c r="M170"/>
      <c r="N170" s="688" t="s">
        <v>1808</v>
      </c>
      <c r="O170"/>
      <c r="P170"/>
      <c r="Q170"/>
      <c r="R170"/>
      <c r="S170"/>
      <c r="T170"/>
      <c r="U170"/>
      <c r="V170"/>
      <c r="W170"/>
      <c r="X170" s="396"/>
    </row>
    <row r="171" spans="2:24" ht="20.25" x14ac:dyDescent="0.35">
      <c r="B171" s="103">
        <f t="shared" si="1"/>
        <v>25</v>
      </c>
      <c r="C171" s="429" t="s">
        <v>303</v>
      </c>
      <c r="D171" s="415"/>
      <c r="E171" s="571" t="s">
        <v>308</v>
      </c>
      <c r="F171" s="404">
        <v>10</v>
      </c>
      <c r="G171" s="417" t="s">
        <v>364</v>
      </c>
      <c r="H171" s="372" t="s">
        <v>1604</v>
      </c>
      <c r="I171" s="568" t="s">
        <v>1605</v>
      </c>
      <c r="K171" s="372"/>
      <c r="L171" s="372"/>
      <c r="M171"/>
      <c r="N171"/>
      <c r="O171"/>
      <c r="P171"/>
      <c r="Q171"/>
      <c r="R171"/>
      <c r="S171"/>
      <c r="T171"/>
      <c r="U171"/>
      <c r="V171"/>
      <c r="W171"/>
      <c r="X171" s="396"/>
    </row>
    <row r="172" spans="2:24" x14ac:dyDescent="0.25">
      <c r="B172" s="103">
        <f t="shared" si="1"/>
        <v>26</v>
      </c>
      <c r="C172" s="429" t="s">
        <v>303</v>
      </c>
      <c r="D172" s="415"/>
      <c r="E172" s="585" t="s">
        <v>309</v>
      </c>
      <c r="F172">
        <v>4.4000000000000004</v>
      </c>
      <c r="G172" s="417" t="s">
        <v>364</v>
      </c>
      <c r="H172" s="372" t="s">
        <v>356</v>
      </c>
      <c r="I172" s="372" t="s">
        <v>1603</v>
      </c>
      <c r="K172" s="372"/>
      <c r="L172" s="372"/>
      <c r="M172"/>
      <c r="N172"/>
      <c r="O172"/>
      <c r="P172"/>
      <c r="Q172"/>
      <c r="R172"/>
      <c r="S172"/>
      <c r="T172"/>
      <c r="U172" t="s">
        <v>1814</v>
      </c>
      <c r="V172"/>
      <c r="W172" t="s">
        <v>1815</v>
      </c>
      <c r="X172" s="396" t="s">
        <v>1816</v>
      </c>
    </row>
    <row r="173" spans="2:24" x14ac:dyDescent="0.25">
      <c r="B173" s="103">
        <f t="shared" si="1"/>
        <v>27</v>
      </c>
      <c r="C173" s="429" t="s">
        <v>36</v>
      </c>
      <c r="D173" s="660" t="s">
        <v>1596</v>
      </c>
      <c r="E173" s="693" t="s">
        <v>1811</v>
      </c>
      <c r="F173" s="51">
        <v>5.5</v>
      </c>
      <c r="G173" s="372" t="s">
        <v>363</v>
      </c>
      <c r="H173" s="425" t="s">
        <v>311</v>
      </c>
      <c r="I173" s="427"/>
      <c r="K173" s="372"/>
      <c r="L173" s="372"/>
      <c r="M173"/>
      <c r="N173"/>
      <c r="O173"/>
      <c r="P173"/>
      <c r="Q173"/>
      <c r="R173"/>
      <c r="S173"/>
      <c r="T173"/>
      <c r="U173"/>
      <c r="V173"/>
      <c r="W173">
        <v>1</v>
      </c>
      <c r="X173" s="396" t="s">
        <v>438</v>
      </c>
    </row>
    <row r="174" spans="2:24" x14ac:dyDescent="0.25">
      <c r="B174" s="103">
        <f t="shared" si="1"/>
        <v>28</v>
      </c>
      <c r="C174" s="429" t="s">
        <v>36</v>
      </c>
      <c r="D174" s="643" t="s">
        <v>1812</v>
      </c>
      <c r="E174" s="694" t="s">
        <v>316</v>
      </c>
      <c r="F174" s="51">
        <v>7.62</v>
      </c>
      <c r="G174" s="417" t="s">
        <v>364</v>
      </c>
      <c r="H174" s="426" t="s">
        <v>32</v>
      </c>
      <c r="I174" s="372"/>
      <c r="K174" s="372"/>
      <c r="L174" s="372"/>
      <c r="M174"/>
      <c r="N174"/>
      <c r="O174"/>
      <c r="P174"/>
      <c r="Q174"/>
      <c r="R174"/>
      <c r="S174"/>
      <c r="T174"/>
      <c r="U174"/>
      <c r="V174"/>
      <c r="W174"/>
      <c r="X174" s="396"/>
    </row>
    <row r="175" spans="2:24" x14ac:dyDescent="0.25">
      <c r="B175" s="103">
        <f t="shared" si="1"/>
        <v>29</v>
      </c>
      <c r="C175" s="429" t="s">
        <v>36</v>
      </c>
      <c r="D175" s="584" t="s">
        <v>312</v>
      </c>
      <c r="E175" s="693"/>
      <c r="F175" s="372">
        <v>5.5</v>
      </c>
      <c r="G175" s="417" t="s">
        <v>364</v>
      </c>
      <c r="H175" s="372" t="s">
        <v>1810</v>
      </c>
      <c r="I175" s="372"/>
      <c r="J175" s="372"/>
      <c r="K175" s="372"/>
      <c r="L175" s="372"/>
      <c r="M175"/>
      <c r="N175"/>
      <c r="O175"/>
      <c r="P175"/>
      <c r="Q175"/>
      <c r="R175"/>
      <c r="S175"/>
      <c r="T175"/>
      <c r="U175"/>
      <c r="V175"/>
      <c r="W175">
        <f>1.45/(1*1/1000)</f>
        <v>1450</v>
      </c>
      <c r="X175" s="396"/>
    </row>
    <row r="176" spans="2:24" x14ac:dyDescent="0.25">
      <c r="B176" s="103">
        <f t="shared" si="1"/>
        <v>30</v>
      </c>
      <c r="C176" s="429" t="s">
        <v>36</v>
      </c>
      <c r="D176" s="584" t="s">
        <v>313</v>
      </c>
      <c r="E176" s="693"/>
      <c r="F176" s="372">
        <v>5.5</v>
      </c>
      <c r="G176" s="417" t="s">
        <v>364</v>
      </c>
      <c r="H176" s="372" t="s">
        <v>1810</v>
      </c>
      <c r="I176" s="372"/>
      <c r="J176" s="372"/>
      <c r="K176" s="372"/>
      <c r="L176" s="372"/>
      <c r="M176"/>
      <c r="N176"/>
      <c r="O176"/>
      <c r="P176"/>
      <c r="Q176"/>
      <c r="R176"/>
      <c r="S176"/>
      <c r="T176"/>
      <c r="U176"/>
      <c r="V176"/>
      <c r="W176"/>
      <c r="X176" s="396"/>
    </row>
    <row r="177" spans="1:24" x14ac:dyDescent="0.25">
      <c r="B177" s="103">
        <f t="shared" si="1"/>
        <v>31</v>
      </c>
      <c r="C177" s="429" t="s">
        <v>36</v>
      </c>
      <c r="D177" s="584" t="s">
        <v>314</v>
      </c>
      <c r="E177" s="693"/>
      <c r="F177" s="372">
        <v>5.5</v>
      </c>
      <c r="G177" s="417" t="s">
        <v>364</v>
      </c>
      <c r="H177" s="372"/>
      <c r="I177" s="372"/>
      <c r="J177" s="372"/>
      <c r="K177" s="372"/>
      <c r="L177" s="372"/>
      <c r="M177"/>
      <c r="N177"/>
      <c r="O177"/>
      <c r="P177"/>
      <c r="Q177"/>
      <c r="R177"/>
      <c r="S177"/>
      <c r="T177"/>
      <c r="U177"/>
      <c r="V177"/>
      <c r="W177" s="647">
        <v>4.78</v>
      </c>
      <c r="X177" s="396" t="s">
        <v>423</v>
      </c>
    </row>
    <row r="178" spans="1:24" x14ac:dyDescent="0.25">
      <c r="B178" s="103">
        <f t="shared" si="1"/>
        <v>32</v>
      </c>
      <c r="C178" s="429" t="s">
        <v>36</v>
      </c>
      <c r="D178" s="584" t="s">
        <v>315</v>
      </c>
      <c r="E178" s="693"/>
      <c r="F178" s="372">
        <v>5.5</v>
      </c>
      <c r="G178" s="417" t="s">
        <v>364</v>
      </c>
      <c r="H178" s="372"/>
      <c r="I178" s="372"/>
      <c r="J178" s="372"/>
      <c r="K178" s="372"/>
      <c r="L178" s="372"/>
      <c r="M178"/>
      <c r="N178"/>
      <c r="O178"/>
      <c r="P178"/>
      <c r="Q178"/>
      <c r="R178"/>
      <c r="S178"/>
      <c r="T178"/>
      <c r="U178"/>
      <c r="V178"/>
      <c r="W178"/>
      <c r="X178" s="396"/>
    </row>
    <row r="179" spans="1:24" x14ac:dyDescent="0.25">
      <c r="B179" s="103">
        <f t="shared" si="1"/>
        <v>33</v>
      </c>
      <c r="C179" s="429" t="s">
        <v>36</v>
      </c>
      <c r="D179" s="584" t="s">
        <v>317</v>
      </c>
      <c r="E179" s="693"/>
      <c r="F179" s="372">
        <v>5.5</v>
      </c>
      <c r="G179" s="417" t="s">
        <v>364</v>
      </c>
      <c r="H179" s="372"/>
      <c r="I179" s="372"/>
      <c r="J179" s="372"/>
      <c r="K179" s="372"/>
      <c r="L179" s="372"/>
      <c r="M179"/>
      <c r="N179"/>
      <c r="O179"/>
      <c r="P179"/>
      <c r="Q179"/>
      <c r="R179"/>
      <c r="S179"/>
      <c r="T179"/>
      <c r="U179"/>
      <c r="V179"/>
      <c r="W179">
        <v>2.7E-2</v>
      </c>
      <c r="X179" s="396" t="s">
        <v>1817</v>
      </c>
    </row>
    <row r="180" spans="1:24" x14ac:dyDescent="0.25">
      <c r="B180" s="103">
        <f t="shared" si="1"/>
        <v>34</v>
      </c>
      <c r="C180" s="429" t="s">
        <v>36</v>
      </c>
      <c r="D180" s="584" t="s">
        <v>318</v>
      </c>
      <c r="E180" s="693"/>
      <c r="F180" s="372">
        <v>5.5</v>
      </c>
      <c r="G180" s="417" t="s">
        <v>364</v>
      </c>
      <c r="H180" s="372"/>
      <c r="I180" s="372"/>
      <c r="J180" s="372"/>
      <c r="K180" s="372"/>
      <c r="L180" s="372"/>
      <c r="M180"/>
      <c r="N180"/>
      <c r="O180"/>
      <c r="P180"/>
      <c r="Q180"/>
      <c r="R180"/>
      <c r="S180"/>
      <c r="T180"/>
      <c r="U180"/>
      <c r="V180"/>
      <c r="W180">
        <v>1</v>
      </c>
      <c r="X180" s="396" t="s">
        <v>1650</v>
      </c>
    </row>
    <row r="181" spans="1:24" x14ac:dyDescent="0.25">
      <c r="B181" s="103">
        <f t="shared" si="1"/>
        <v>35</v>
      </c>
      <c r="C181" s="429" t="s">
        <v>36</v>
      </c>
      <c r="D181" s="584" t="s">
        <v>319</v>
      </c>
      <c r="E181" s="693"/>
      <c r="F181" s="372">
        <v>5.5</v>
      </c>
      <c r="G181" s="417" t="s">
        <v>364</v>
      </c>
      <c r="H181" s="372"/>
      <c r="I181" s="372"/>
      <c r="J181" s="372"/>
      <c r="K181" s="372"/>
      <c r="L181" s="372"/>
      <c r="M181"/>
      <c r="N181"/>
      <c r="O181"/>
      <c r="P181"/>
      <c r="Q181"/>
      <c r="R181"/>
      <c r="S181"/>
      <c r="T181"/>
      <c r="U181"/>
      <c r="V181"/>
      <c r="W181">
        <f>W179*25.4/1000*W180</f>
        <v>6.8579999999999997E-4</v>
      </c>
      <c r="X181" s="396" t="s">
        <v>422</v>
      </c>
    </row>
    <row r="182" spans="1:24" x14ac:dyDescent="0.25">
      <c r="B182" s="103">
        <f t="shared" si="1"/>
        <v>36</v>
      </c>
      <c r="C182" s="429" t="s">
        <v>36</v>
      </c>
      <c r="D182" s="584" t="s">
        <v>320</v>
      </c>
      <c r="E182" s="693"/>
      <c r="F182" s="372">
        <v>5.5</v>
      </c>
      <c r="G182" s="417" t="s">
        <v>364</v>
      </c>
      <c r="H182" s="372"/>
      <c r="I182" s="372"/>
      <c r="J182" s="372"/>
      <c r="K182" s="372"/>
      <c r="L182" s="372"/>
      <c r="M182"/>
      <c r="N182"/>
      <c r="O182"/>
      <c r="P182"/>
      <c r="Q182"/>
      <c r="R182"/>
      <c r="S182"/>
      <c r="T182"/>
      <c r="U182"/>
      <c r="V182" t="s">
        <v>1818</v>
      </c>
      <c r="W182">
        <f>W177/W181</f>
        <v>6969.9620880723251</v>
      </c>
      <c r="X182" s="396"/>
    </row>
    <row r="183" spans="1:24" x14ac:dyDescent="0.25">
      <c r="B183" s="103">
        <f t="shared" si="1"/>
        <v>37</v>
      </c>
      <c r="C183" s="429" t="s">
        <v>33</v>
      </c>
      <c r="D183" s="415"/>
      <c r="E183" s="652" t="s">
        <v>321</v>
      </c>
      <c r="F183" s="419">
        <v>1.5</v>
      </c>
      <c r="G183" s="372" t="s">
        <v>31</v>
      </c>
      <c r="H183" s="372"/>
      <c r="I183" s="51"/>
      <c r="J183" s="51"/>
      <c r="K183" s="51"/>
      <c r="L183" s="51"/>
      <c r="M183"/>
      <c r="N183"/>
      <c r="O183"/>
      <c r="P183"/>
      <c r="Q183"/>
      <c r="R183"/>
      <c r="S183"/>
      <c r="T183"/>
      <c r="U183"/>
      <c r="V183" t="s">
        <v>1818</v>
      </c>
      <c r="W183">
        <v>1450</v>
      </c>
      <c r="X183" s="396"/>
    </row>
    <row r="184" spans="1:24" x14ac:dyDescent="0.25">
      <c r="B184" s="103">
        <f t="shared" si="1"/>
        <v>38</v>
      </c>
      <c r="C184" s="429" t="s">
        <v>33</v>
      </c>
      <c r="D184" s="415"/>
      <c r="E184" s="584" t="s">
        <v>336</v>
      </c>
      <c r="F184" s="372"/>
      <c r="G184" s="372"/>
      <c r="H184" s="372"/>
      <c r="I184" s="51"/>
      <c r="J184" s="51"/>
      <c r="K184" s="51"/>
      <c r="L184" s="51"/>
      <c r="M184"/>
      <c r="N184"/>
      <c r="O184"/>
      <c r="P184"/>
      <c r="Q184"/>
      <c r="R184"/>
      <c r="S184"/>
      <c r="T184"/>
      <c r="U184"/>
      <c r="V184"/>
      <c r="W184">
        <f>W182/W183</f>
        <v>4.8068704055671203</v>
      </c>
      <c r="X184" s="396"/>
    </row>
    <row r="185" spans="1:24" x14ac:dyDescent="0.25">
      <c r="B185" s="103">
        <f t="shared" si="1"/>
        <v>39</v>
      </c>
      <c r="C185" s="429" t="s">
        <v>33</v>
      </c>
      <c r="D185" s="415"/>
      <c r="E185" s="584" t="s">
        <v>322</v>
      </c>
      <c r="F185" s="372"/>
      <c r="G185" s="372"/>
      <c r="H185" s="372"/>
      <c r="I185" s="51"/>
      <c r="J185" s="51"/>
      <c r="K185" s="51"/>
      <c r="L185" s="51"/>
      <c r="M185"/>
      <c r="N185"/>
      <c r="O185"/>
      <c r="P185"/>
      <c r="Q185"/>
      <c r="R185"/>
      <c r="S185"/>
      <c r="T185"/>
      <c r="U185"/>
      <c r="V185"/>
      <c r="W185"/>
      <c r="X185" s="396"/>
    </row>
    <row r="186" spans="1:24" x14ac:dyDescent="0.25">
      <c r="A186" s="697"/>
      <c r="B186" s="103">
        <f>B184+1</f>
        <v>39</v>
      </c>
      <c r="C186" s="429" t="s">
        <v>33</v>
      </c>
      <c r="D186" s="1016" t="s">
        <v>323</v>
      </c>
      <c r="E186" s="587" t="s">
        <v>323</v>
      </c>
      <c r="F186" s="412">
        <v>1.63</v>
      </c>
      <c r="G186" s="372" t="s">
        <v>31</v>
      </c>
      <c r="H186" s="372"/>
      <c r="I186" s="51"/>
      <c r="J186" s="51"/>
      <c r="K186" s="51"/>
      <c r="L186" s="51"/>
      <c r="M186"/>
      <c r="N186"/>
      <c r="O186"/>
      <c r="P186"/>
      <c r="Q186"/>
      <c r="R186"/>
      <c r="S186"/>
      <c r="T186"/>
      <c r="U186"/>
      <c r="V186"/>
      <c r="W186"/>
      <c r="X186" s="396"/>
    </row>
    <row r="187" spans="1:24" x14ac:dyDescent="0.25">
      <c r="A187" s="697"/>
      <c r="B187" s="103">
        <f>B186+1</f>
        <v>40</v>
      </c>
      <c r="C187" s="429" t="s">
        <v>33</v>
      </c>
      <c r="D187" s="1016"/>
      <c r="E187" s="584" t="s">
        <v>332</v>
      </c>
      <c r="F187" s="372">
        <v>1.38</v>
      </c>
      <c r="G187" s="372" t="s">
        <v>31</v>
      </c>
      <c r="H187" s="372"/>
      <c r="I187" s="51"/>
      <c r="J187" s="51"/>
      <c r="K187" s="51"/>
      <c r="L187" s="51"/>
      <c r="M187"/>
      <c r="N187"/>
      <c r="O187"/>
      <c r="P187"/>
      <c r="Q187"/>
      <c r="R187"/>
      <c r="S187"/>
      <c r="T187"/>
      <c r="U187"/>
      <c r="V187"/>
      <c r="W187"/>
      <c r="X187" s="396"/>
    </row>
    <row r="188" spans="1:24" x14ac:dyDescent="0.25">
      <c r="A188" s="697"/>
      <c r="B188" s="103">
        <f t="shared" si="1"/>
        <v>41</v>
      </c>
      <c r="C188" s="429" t="s">
        <v>33</v>
      </c>
      <c r="D188" s="1016"/>
      <c r="E188" s="584" t="s">
        <v>333</v>
      </c>
      <c r="F188" s="372"/>
      <c r="G188" s="372"/>
      <c r="H188" s="372"/>
      <c r="I188" s="51"/>
      <c r="J188" s="51"/>
      <c r="K188" s="51"/>
      <c r="L188" s="51"/>
      <c r="M188"/>
      <c r="N188"/>
      <c r="O188"/>
      <c r="P188"/>
      <c r="Q188"/>
      <c r="R188"/>
      <c r="S188"/>
      <c r="T188"/>
      <c r="U188"/>
      <c r="V188"/>
      <c r="W188"/>
      <c r="X188" s="396"/>
    </row>
    <row r="189" spans="1:24" x14ac:dyDescent="0.25">
      <c r="A189" s="464"/>
      <c r="B189" s="103">
        <v>43</v>
      </c>
      <c r="C189" s="429" t="s">
        <v>33</v>
      </c>
      <c r="D189" s="1016"/>
      <c r="E189" s="588" t="s">
        <v>376</v>
      </c>
      <c r="F189" s="412">
        <v>1.63</v>
      </c>
      <c r="G189" s="372" t="s">
        <v>31</v>
      </c>
      <c r="H189" s="372"/>
      <c r="I189" s="413" t="s">
        <v>376</v>
      </c>
      <c r="J189" s="413" t="s">
        <v>377</v>
      </c>
      <c r="K189" s="414">
        <v>1.63</v>
      </c>
      <c r="L189" s="413" t="s">
        <v>369</v>
      </c>
      <c r="M189"/>
      <c r="N189"/>
      <c r="O189"/>
      <c r="P189"/>
      <c r="Q189"/>
      <c r="R189"/>
      <c r="S189"/>
      <c r="T189"/>
      <c r="U189"/>
      <c r="V189"/>
      <c r="W189"/>
      <c r="X189" s="396"/>
    </row>
    <row r="190" spans="1:24" x14ac:dyDescent="0.25">
      <c r="A190" s="464"/>
      <c r="B190" s="103">
        <v>44</v>
      </c>
      <c r="C190" s="429" t="s">
        <v>33</v>
      </c>
      <c r="D190" s="1016"/>
      <c r="E190" s="589" t="s">
        <v>378</v>
      </c>
      <c r="F190" s="412">
        <v>1.38</v>
      </c>
      <c r="G190" s="372" t="s">
        <v>31</v>
      </c>
      <c r="H190" s="372"/>
      <c r="I190" s="413" t="s">
        <v>378</v>
      </c>
      <c r="J190" s="413" t="s">
        <v>379</v>
      </c>
      <c r="K190" s="414">
        <v>1.38</v>
      </c>
      <c r="L190" s="413" t="s">
        <v>369</v>
      </c>
      <c r="M190"/>
      <c r="N190"/>
      <c r="O190"/>
      <c r="P190"/>
      <c r="Q190"/>
      <c r="R190"/>
      <c r="S190"/>
      <c r="T190"/>
      <c r="U190"/>
      <c r="V190"/>
      <c r="W190"/>
      <c r="X190" s="396"/>
    </row>
    <row r="191" spans="1:24" x14ac:dyDescent="0.25">
      <c r="A191" s="464"/>
      <c r="B191" s="103">
        <v>45</v>
      </c>
      <c r="C191" s="429" t="s">
        <v>33</v>
      </c>
      <c r="D191" s="1016"/>
      <c r="E191" s="590" t="s">
        <v>380</v>
      </c>
      <c r="F191" s="412">
        <v>1.42</v>
      </c>
      <c r="G191" s="372" t="s">
        <v>31</v>
      </c>
      <c r="H191" s="372"/>
      <c r="I191" s="413" t="s">
        <v>380</v>
      </c>
      <c r="J191" s="413" t="s">
        <v>381</v>
      </c>
      <c r="K191" s="414">
        <v>1.42</v>
      </c>
      <c r="L191" s="413" t="s">
        <v>369</v>
      </c>
      <c r="M191"/>
      <c r="N191"/>
      <c r="O191"/>
      <c r="P191"/>
      <c r="Q191"/>
      <c r="R191"/>
      <c r="S191"/>
      <c r="T191"/>
      <c r="U191"/>
      <c r="V191"/>
      <c r="W191"/>
      <c r="X191" s="396"/>
    </row>
    <row r="192" spans="1:24" x14ac:dyDescent="0.25">
      <c r="A192" s="464"/>
      <c r="B192" s="103">
        <v>46</v>
      </c>
      <c r="C192" s="429" t="s">
        <v>33</v>
      </c>
      <c r="D192" s="1016"/>
      <c r="E192" s="591" t="s">
        <v>382</v>
      </c>
      <c r="F192" s="412">
        <v>1.1299999999999999</v>
      </c>
      <c r="G192" s="372" t="s">
        <v>31</v>
      </c>
      <c r="H192" s="372"/>
      <c r="I192" s="413" t="s">
        <v>382</v>
      </c>
      <c r="J192" s="413" t="s">
        <v>383</v>
      </c>
      <c r="K192" s="414">
        <v>1.1299999999999999</v>
      </c>
      <c r="L192" s="413" t="s">
        <v>369</v>
      </c>
      <c r="M192"/>
      <c r="N192"/>
      <c r="O192"/>
      <c r="P192"/>
      <c r="Q192"/>
      <c r="R192"/>
      <c r="S192"/>
      <c r="T192"/>
      <c r="U192"/>
      <c r="V192"/>
      <c r="W192"/>
      <c r="X192" s="396"/>
    </row>
    <row r="193" spans="1:24" ht="24" x14ac:dyDescent="0.25">
      <c r="A193" s="464"/>
      <c r="B193" s="103">
        <v>47</v>
      </c>
      <c r="C193" s="429" t="s">
        <v>33</v>
      </c>
      <c r="D193" s="1016"/>
      <c r="E193" s="592" t="s">
        <v>400</v>
      </c>
      <c r="F193" s="412">
        <v>1.1299999999999999</v>
      </c>
      <c r="G193" s="372" t="s">
        <v>31</v>
      </c>
      <c r="H193" s="372"/>
      <c r="I193" s="413" t="s">
        <v>400</v>
      </c>
      <c r="J193" s="413" t="s">
        <v>384</v>
      </c>
      <c r="K193" s="414">
        <v>1.1299999999999999</v>
      </c>
      <c r="L193" s="413" t="s">
        <v>369</v>
      </c>
      <c r="M193"/>
      <c r="N193"/>
      <c r="O193"/>
      <c r="P193"/>
      <c r="Q193"/>
      <c r="R193"/>
      <c r="S193"/>
      <c r="T193"/>
      <c r="U193"/>
      <c r="V193"/>
      <c r="W193"/>
      <c r="X193" s="396"/>
    </row>
    <row r="194" spans="1:24" x14ac:dyDescent="0.25">
      <c r="A194" s="464"/>
      <c r="B194" s="103">
        <v>48</v>
      </c>
      <c r="C194" s="429" t="s">
        <v>33</v>
      </c>
      <c r="D194" s="1016"/>
      <c r="E194" s="593" t="s">
        <v>385</v>
      </c>
      <c r="F194" s="412">
        <v>3.07</v>
      </c>
      <c r="G194" s="372" t="s">
        <v>31</v>
      </c>
      <c r="H194" s="372"/>
      <c r="I194" s="413" t="s">
        <v>385</v>
      </c>
      <c r="J194" s="413" t="s">
        <v>386</v>
      </c>
      <c r="K194" s="414">
        <v>3.07</v>
      </c>
      <c r="L194" s="413" t="s">
        <v>369</v>
      </c>
      <c r="M194"/>
      <c r="N194"/>
      <c r="O194"/>
      <c r="P194"/>
      <c r="Q194"/>
      <c r="R194"/>
      <c r="S194"/>
      <c r="T194"/>
      <c r="U194"/>
      <c r="V194"/>
      <c r="W194"/>
      <c r="X194" s="396"/>
    </row>
    <row r="195" spans="1:24" x14ac:dyDescent="0.25">
      <c r="A195" s="464"/>
      <c r="B195" s="103">
        <v>49</v>
      </c>
      <c r="C195" s="429" t="s">
        <v>33</v>
      </c>
      <c r="D195" s="1016"/>
      <c r="E195" s="594" t="s">
        <v>408</v>
      </c>
      <c r="F195" s="412">
        <v>5.89</v>
      </c>
      <c r="G195" s="372" t="s">
        <v>31</v>
      </c>
      <c r="H195" s="372"/>
      <c r="I195" s="413" t="s">
        <v>394</v>
      </c>
      <c r="J195" s="413" t="s">
        <v>395</v>
      </c>
      <c r="K195" s="414">
        <v>5.89</v>
      </c>
      <c r="L195" s="413" t="s">
        <v>369</v>
      </c>
      <c r="M195"/>
      <c r="N195"/>
      <c r="O195"/>
      <c r="P195"/>
      <c r="Q195"/>
      <c r="R195"/>
      <c r="S195"/>
      <c r="T195"/>
      <c r="U195"/>
      <c r="V195"/>
      <c r="W195"/>
      <c r="X195" s="396"/>
    </row>
    <row r="196" spans="1:24" x14ac:dyDescent="0.25">
      <c r="A196" s="464"/>
      <c r="B196" s="103">
        <v>50</v>
      </c>
      <c r="C196" s="429" t="s">
        <v>33</v>
      </c>
      <c r="D196" s="1016"/>
      <c r="E196" s="595" t="s">
        <v>409</v>
      </c>
      <c r="F196" s="412">
        <v>2.44</v>
      </c>
      <c r="G196" s="372" t="s">
        <v>31</v>
      </c>
      <c r="H196" s="372"/>
      <c r="I196" s="413" t="s">
        <v>396</v>
      </c>
      <c r="J196" s="413" t="s">
        <v>397</v>
      </c>
      <c r="K196" s="414">
        <v>2.44</v>
      </c>
      <c r="L196" s="413" t="s">
        <v>369</v>
      </c>
      <c r="M196"/>
      <c r="N196"/>
      <c r="O196"/>
      <c r="P196"/>
      <c r="Q196"/>
      <c r="R196"/>
      <c r="S196"/>
      <c r="T196"/>
      <c r="U196"/>
      <c r="V196"/>
      <c r="W196"/>
      <c r="X196" s="396"/>
    </row>
    <row r="197" spans="1:24" x14ac:dyDescent="0.25">
      <c r="A197" s="464"/>
      <c r="B197" s="103">
        <v>51</v>
      </c>
      <c r="C197" s="429" t="s">
        <v>33</v>
      </c>
      <c r="D197" s="1016"/>
      <c r="E197" s="596" t="s">
        <v>1624</v>
      </c>
      <c r="F197" s="412">
        <v>2.1800000000000002</v>
      </c>
      <c r="G197" s="372" t="s">
        <v>31</v>
      </c>
      <c r="H197" s="372"/>
      <c r="I197" s="413" t="s">
        <v>398</v>
      </c>
      <c r="J197" s="413" t="s">
        <v>399</v>
      </c>
      <c r="K197" s="414">
        <v>2.1800000000000002</v>
      </c>
      <c r="L197" s="413" t="s">
        <v>369</v>
      </c>
      <c r="M197"/>
      <c r="N197"/>
      <c r="O197"/>
      <c r="P197"/>
      <c r="Q197"/>
      <c r="R197"/>
      <c r="S197"/>
      <c r="T197"/>
      <c r="U197"/>
      <c r="V197"/>
      <c r="W197"/>
      <c r="X197" s="396"/>
    </row>
    <row r="198" spans="1:24" ht="38.25" customHeight="1" x14ac:dyDescent="0.25">
      <c r="A198" s="464"/>
      <c r="B198" s="103">
        <v>52</v>
      </c>
      <c r="C198" s="429" t="s">
        <v>33</v>
      </c>
      <c r="D198" s="1016" t="s">
        <v>367</v>
      </c>
      <c r="E198" s="597" t="s">
        <v>402</v>
      </c>
      <c r="F198" s="372">
        <v>1.72</v>
      </c>
      <c r="G198" s="372" t="s">
        <v>31</v>
      </c>
      <c r="H198" s="372"/>
      <c r="I198" s="405" t="s">
        <v>402</v>
      </c>
      <c r="J198" s="405" t="s">
        <v>368</v>
      </c>
      <c r="K198" s="406">
        <v>1.72</v>
      </c>
      <c r="L198" s="405" t="s">
        <v>369</v>
      </c>
      <c r="M198"/>
      <c r="N198"/>
      <c r="O198"/>
      <c r="P198"/>
      <c r="Q198"/>
      <c r="R198"/>
      <c r="S198"/>
      <c r="T198"/>
      <c r="U198"/>
      <c r="V198"/>
      <c r="W198"/>
      <c r="X198" s="396"/>
    </row>
    <row r="199" spans="1:24" ht="38.25" customHeight="1" x14ac:dyDescent="0.25">
      <c r="A199" s="464"/>
      <c r="B199" s="103">
        <v>53</v>
      </c>
      <c r="C199" s="429" t="s">
        <v>33</v>
      </c>
      <c r="D199" s="1016"/>
      <c r="E199" s="533" t="s">
        <v>403</v>
      </c>
      <c r="F199" s="412">
        <v>1.9</v>
      </c>
      <c r="G199" s="372" t="s">
        <v>31</v>
      </c>
      <c r="H199" s="372"/>
      <c r="I199" s="405" t="s">
        <v>403</v>
      </c>
      <c r="J199" s="406" t="s">
        <v>370</v>
      </c>
      <c r="K199" s="407">
        <v>1.9</v>
      </c>
      <c r="L199" s="405" t="s">
        <v>369</v>
      </c>
      <c r="M199"/>
      <c r="N199"/>
      <c r="O199"/>
      <c r="P199"/>
      <c r="Q199"/>
      <c r="R199"/>
      <c r="S199"/>
      <c r="T199"/>
      <c r="U199"/>
      <c r="V199"/>
      <c r="W199"/>
      <c r="X199" s="396"/>
    </row>
    <row r="200" spans="1:24" ht="25.5" customHeight="1" x14ac:dyDescent="0.25">
      <c r="A200" s="464"/>
      <c r="B200" s="103">
        <v>54</v>
      </c>
      <c r="C200" s="429" t="s">
        <v>33</v>
      </c>
      <c r="D200" s="1016"/>
      <c r="E200" s="535" t="s">
        <v>404</v>
      </c>
      <c r="F200" s="412">
        <v>2.17</v>
      </c>
      <c r="G200" s="372" t="s">
        <v>31</v>
      </c>
      <c r="H200" s="372"/>
      <c r="I200" s="405" t="s">
        <v>404</v>
      </c>
      <c r="J200" s="405" t="s">
        <v>371</v>
      </c>
      <c r="K200" s="407">
        <v>2.17</v>
      </c>
      <c r="L200" s="405" t="s">
        <v>369</v>
      </c>
      <c r="M200"/>
      <c r="N200"/>
      <c r="O200"/>
      <c r="P200"/>
      <c r="Q200"/>
      <c r="R200"/>
      <c r="S200"/>
      <c r="T200"/>
      <c r="U200"/>
      <c r="V200"/>
      <c r="W200"/>
      <c r="X200" s="396"/>
    </row>
    <row r="201" spans="1:24" ht="24" x14ac:dyDescent="0.25">
      <c r="A201" s="464"/>
      <c r="B201" s="103">
        <v>55</v>
      </c>
      <c r="C201" s="429" t="s">
        <v>33</v>
      </c>
      <c r="D201" s="1016"/>
      <c r="E201" s="598" t="s">
        <v>405</v>
      </c>
      <c r="F201" s="412">
        <v>1.64</v>
      </c>
      <c r="G201" s="372" t="s">
        <v>31</v>
      </c>
      <c r="H201" s="372"/>
      <c r="I201" s="405" t="s">
        <v>405</v>
      </c>
      <c r="J201" s="405" t="s">
        <v>372</v>
      </c>
      <c r="K201" s="407">
        <v>1.64</v>
      </c>
      <c r="L201" s="405" t="s">
        <v>369</v>
      </c>
      <c r="M201"/>
      <c r="N201"/>
      <c r="O201"/>
      <c r="P201"/>
      <c r="Q201"/>
      <c r="R201"/>
      <c r="S201"/>
      <c r="T201"/>
      <c r="U201"/>
      <c r="V201"/>
      <c r="W201"/>
      <c r="X201" s="396"/>
    </row>
    <row r="202" spans="1:24" ht="24" x14ac:dyDescent="0.25">
      <c r="A202" s="464"/>
      <c r="B202" s="103">
        <v>56</v>
      </c>
      <c r="C202" s="429" t="s">
        <v>33</v>
      </c>
      <c r="D202" s="1016"/>
      <c r="E202" s="536" t="s">
        <v>406</v>
      </c>
      <c r="F202" s="412">
        <v>2.35</v>
      </c>
      <c r="G202" s="372" t="s">
        <v>31</v>
      </c>
      <c r="H202" s="372"/>
      <c r="I202" s="405" t="s">
        <v>406</v>
      </c>
      <c r="J202" s="405" t="s">
        <v>373</v>
      </c>
      <c r="K202" s="407">
        <v>2.35</v>
      </c>
      <c r="L202" s="405" t="s">
        <v>369</v>
      </c>
      <c r="M202"/>
      <c r="N202"/>
      <c r="O202"/>
      <c r="P202"/>
      <c r="Q202"/>
      <c r="R202"/>
      <c r="S202"/>
      <c r="T202"/>
      <c r="U202"/>
      <c r="V202"/>
      <c r="W202"/>
      <c r="X202" s="396"/>
    </row>
    <row r="203" spans="1:24" ht="24" x14ac:dyDescent="0.25">
      <c r="A203" s="464"/>
      <c r="B203" s="103">
        <v>57</v>
      </c>
      <c r="C203" s="429" t="s">
        <v>33</v>
      </c>
      <c r="D203" s="1016"/>
      <c r="E203" s="527" t="s">
        <v>401</v>
      </c>
      <c r="F203" s="412">
        <v>1.86</v>
      </c>
      <c r="G203" s="372" t="s">
        <v>31</v>
      </c>
      <c r="H203" s="372"/>
      <c r="I203" s="405" t="s">
        <v>401</v>
      </c>
      <c r="J203" s="405" t="s">
        <v>374</v>
      </c>
      <c r="K203" s="407">
        <v>1.86</v>
      </c>
      <c r="L203" s="405" t="s">
        <v>369</v>
      </c>
      <c r="M203"/>
      <c r="N203"/>
      <c r="O203"/>
      <c r="P203"/>
      <c r="Q203"/>
      <c r="R203"/>
      <c r="S203"/>
      <c r="T203"/>
      <c r="U203"/>
      <c r="V203"/>
      <c r="W203"/>
      <c r="X203" s="396"/>
    </row>
    <row r="204" spans="1:24" ht="24" x14ac:dyDescent="0.25">
      <c r="A204" s="464"/>
      <c r="B204" s="103">
        <v>58</v>
      </c>
      <c r="C204" s="429" t="s">
        <v>33</v>
      </c>
      <c r="D204" s="1016"/>
      <c r="E204" s="528" t="s">
        <v>407</v>
      </c>
      <c r="F204" s="412">
        <v>1.96</v>
      </c>
      <c r="G204" s="372" t="s">
        <v>31</v>
      </c>
      <c r="H204" s="372"/>
      <c r="I204" s="405" t="s">
        <v>407</v>
      </c>
      <c r="J204" s="405" t="s">
        <v>375</v>
      </c>
      <c r="K204" s="407">
        <v>1.96</v>
      </c>
      <c r="L204" s="405" t="s">
        <v>369</v>
      </c>
      <c r="M204"/>
      <c r="N204"/>
      <c r="O204"/>
      <c r="P204"/>
      <c r="Q204"/>
      <c r="R204"/>
      <c r="S204"/>
      <c r="T204"/>
      <c r="U204"/>
      <c r="V204"/>
      <c r="W204"/>
      <c r="X204" s="396"/>
    </row>
    <row r="205" spans="1:24" x14ac:dyDescent="0.25">
      <c r="A205" s="464"/>
      <c r="B205" s="103">
        <v>59</v>
      </c>
      <c r="C205" s="429" t="s">
        <v>33</v>
      </c>
      <c r="D205" s="1016" t="s">
        <v>414</v>
      </c>
      <c r="E205" s="599" t="s">
        <v>1621</v>
      </c>
      <c r="F205" s="412">
        <v>2.44</v>
      </c>
      <c r="G205" s="372" t="s">
        <v>31</v>
      </c>
      <c r="H205" s="372"/>
      <c r="I205" s="410" t="s">
        <v>387</v>
      </c>
      <c r="J205" s="410" t="s">
        <v>388</v>
      </c>
      <c r="K205" s="411">
        <v>2.44</v>
      </c>
      <c r="L205" s="410" t="s">
        <v>369</v>
      </c>
      <c r="M205"/>
      <c r="N205"/>
      <c r="O205"/>
      <c r="P205"/>
      <c r="Q205"/>
      <c r="R205"/>
      <c r="S205"/>
      <c r="T205"/>
      <c r="U205"/>
      <c r="V205"/>
      <c r="W205"/>
      <c r="X205" s="396"/>
    </row>
    <row r="206" spans="1:24" x14ac:dyDescent="0.25">
      <c r="A206" s="697"/>
      <c r="B206" s="103">
        <v>60</v>
      </c>
      <c r="C206" s="429" t="s">
        <v>33</v>
      </c>
      <c r="D206" s="1016"/>
      <c r="E206" s="600" t="s">
        <v>1625</v>
      </c>
      <c r="F206" s="412">
        <v>2.08</v>
      </c>
      <c r="G206" s="372" t="s">
        <v>31</v>
      </c>
      <c r="H206" s="372"/>
      <c r="I206" s="410" t="s">
        <v>387</v>
      </c>
      <c r="J206" s="410" t="s">
        <v>389</v>
      </c>
      <c r="K206" s="411">
        <v>2.08</v>
      </c>
      <c r="L206" s="410" t="s">
        <v>369</v>
      </c>
      <c r="M206"/>
      <c r="N206"/>
      <c r="O206"/>
      <c r="P206"/>
      <c r="Q206"/>
      <c r="R206"/>
      <c r="S206"/>
      <c r="T206"/>
      <c r="U206"/>
      <c r="V206"/>
      <c r="W206"/>
      <c r="X206" s="396"/>
    </row>
    <row r="207" spans="1:24" x14ac:dyDescent="0.25">
      <c r="A207" s="697"/>
      <c r="B207" s="103">
        <v>61</v>
      </c>
      <c r="C207" s="429" t="s">
        <v>33</v>
      </c>
      <c r="D207" s="1016"/>
      <c r="E207" s="601" t="s">
        <v>1622</v>
      </c>
      <c r="F207" s="412">
        <v>1.71</v>
      </c>
      <c r="G207" s="372" t="s">
        <v>31</v>
      </c>
      <c r="H207" s="372"/>
      <c r="I207" s="410" t="s">
        <v>390</v>
      </c>
      <c r="J207" s="410" t="s">
        <v>1623</v>
      </c>
      <c r="K207" s="411">
        <v>1.71</v>
      </c>
      <c r="L207" s="410" t="s">
        <v>369</v>
      </c>
      <c r="M207"/>
      <c r="N207"/>
      <c r="O207"/>
      <c r="P207"/>
      <c r="Q207"/>
      <c r="R207"/>
      <c r="S207"/>
      <c r="T207"/>
      <c r="U207"/>
      <c r="V207"/>
      <c r="W207"/>
      <c r="X207" s="396"/>
    </row>
    <row r="208" spans="1:24" x14ac:dyDescent="0.25">
      <c r="A208" s="697"/>
      <c r="B208" s="103">
        <f t="shared" si="1"/>
        <v>62</v>
      </c>
      <c r="C208" s="429" t="s">
        <v>33</v>
      </c>
      <c r="D208" s="1016" t="s">
        <v>413</v>
      </c>
      <c r="E208" s="675" t="s">
        <v>411</v>
      </c>
      <c r="F208" s="412">
        <v>5.35</v>
      </c>
      <c r="G208" s="372" t="s">
        <v>31</v>
      </c>
      <c r="H208" s="372"/>
      <c r="I208" s="408" t="s">
        <v>391</v>
      </c>
      <c r="J208" s="408" t="s">
        <v>392</v>
      </c>
      <c r="K208" s="409">
        <v>5.35</v>
      </c>
      <c r="L208" s="408" t="s">
        <v>369</v>
      </c>
      <c r="M208"/>
      <c r="N208"/>
      <c r="O208"/>
      <c r="P208"/>
      <c r="Q208"/>
      <c r="R208"/>
      <c r="S208"/>
      <c r="T208"/>
      <c r="U208"/>
      <c r="V208"/>
      <c r="W208"/>
      <c r="X208" s="396"/>
    </row>
    <row r="209" spans="1:24" x14ac:dyDescent="0.25">
      <c r="A209" s="697"/>
      <c r="B209" s="103">
        <f t="shared" si="1"/>
        <v>63</v>
      </c>
      <c r="C209" s="429" t="s">
        <v>33</v>
      </c>
      <c r="D209" s="1016"/>
      <c r="E209" s="602" t="s">
        <v>1616</v>
      </c>
      <c r="F209" s="412">
        <v>5.42</v>
      </c>
      <c r="G209" s="372" t="s">
        <v>31</v>
      </c>
      <c r="H209" s="372"/>
      <c r="I209" s="408" t="s">
        <v>1617</v>
      </c>
      <c r="J209" s="408" t="s">
        <v>393</v>
      </c>
      <c r="K209" s="409">
        <v>5.42</v>
      </c>
      <c r="L209" s="408" t="s">
        <v>369</v>
      </c>
      <c r="M209"/>
      <c r="N209"/>
      <c r="O209"/>
      <c r="P209"/>
      <c r="Q209"/>
      <c r="R209"/>
      <c r="S209"/>
      <c r="T209"/>
      <c r="U209"/>
      <c r="V209"/>
      <c r="W209"/>
      <c r="X209" s="396"/>
    </row>
    <row r="210" spans="1:24" x14ac:dyDescent="0.25">
      <c r="A210" s="697"/>
      <c r="B210" s="103">
        <v>64</v>
      </c>
      <c r="C210" s="429" t="s">
        <v>33</v>
      </c>
      <c r="D210" s="1016"/>
      <c r="E210" s="584" t="s">
        <v>326</v>
      </c>
      <c r="F210" s="372"/>
      <c r="G210" s="372"/>
      <c r="H210" s="372"/>
      <c r="I210" s="51"/>
      <c r="J210" s="51"/>
      <c r="K210" s="51"/>
      <c r="L210" s="51"/>
      <c r="M210"/>
      <c r="N210"/>
      <c r="O210"/>
      <c r="P210"/>
      <c r="Q210"/>
      <c r="R210"/>
      <c r="S210"/>
      <c r="T210"/>
      <c r="U210"/>
      <c r="V210"/>
      <c r="W210"/>
      <c r="X210" s="396"/>
    </row>
    <row r="211" spans="1:24" x14ac:dyDescent="0.25">
      <c r="B211" s="103">
        <v>65</v>
      </c>
      <c r="C211" s="429" t="s">
        <v>33</v>
      </c>
      <c r="D211" s="1016"/>
      <c r="E211" s="584" t="s">
        <v>327</v>
      </c>
      <c r="F211" s="372"/>
      <c r="G211" s="372"/>
      <c r="H211" s="372"/>
      <c r="I211" s="372"/>
      <c r="J211" s="372"/>
      <c r="K211" s="372"/>
      <c r="L211" s="372"/>
      <c r="M211"/>
      <c r="N211"/>
      <c r="O211"/>
      <c r="P211"/>
      <c r="Q211"/>
      <c r="R211"/>
      <c r="S211"/>
      <c r="T211"/>
      <c r="U211"/>
      <c r="V211"/>
      <c r="W211"/>
      <c r="X211" s="396"/>
    </row>
    <row r="212" spans="1:24" x14ac:dyDescent="0.25">
      <c r="B212" s="103">
        <v>66</v>
      </c>
      <c r="C212" s="429" t="s">
        <v>33</v>
      </c>
      <c r="D212" s="415"/>
      <c r="E212" s="584" t="s">
        <v>335</v>
      </c>
      <c r="F212" s="372"/>
      <c r="G212" s="372"/>
      <c r="H212" s="372"/>
      <c r="I212" s="372"/>
      <c r="J212" s="372"/>
      <c r="K212" s="372"/>
      <c r="L212" s="372"/>
      <c r="M212"/>
      <c r="N212"/>
      <c r="O212"/>
      <c r="P212"/>
      <c r="Q212"/>
      <c r="R212"/>
      <c r="S212"/>
      <c r="T212"/>
      <c r="U212"/>
      <c r="V212"/>
      <c r="W212"/>
      <c r="X212" s="396"/>
    </row>
    <row r="213" spans="1:24" x14ac:dyDescent="0.25">
      <c r="B213" s="103">
        <f t="shared" si="1"/>
        <v>67</v>
      </c>
      <c r="C213" s="429" t="s">
        <v>33</v>
      </c>
      <c r="D213" s="415"/>
      <c r="E213" s="584" t="s">
        <v>324</v>
      </c>
      <c r="F213" s="372"/>
      <c r="G213" s="372"/>
      <c r="H213" s="372"/>
      <c r="I213" s="404"/>
      <c r="J213" s="404"/>
      <c r="K213" s="412"/>
      <c r="L213" s="404"/>
      <c r="M213"/>
      <c r="N213"/>
      <c r="O213"/>
      <c r="P213"/>
      <c r="Q213"/>
      <c r="R213"/>
      <c r="S213"/>
      <c r="T213"/>
      <c r="U213"/>
      <c r="V213"/>
      <c r="W213"/>
      <c r="X213" s="396"/>
    </row>
    <row r="214" spans="1:24" x14ac:dyDescent="0.25">
      <c r="B214" s="103">
        <f t="shared" si="1"/>
        <v>68</v>
      </c>
      <c r="C214" s="429" t="s">
        <v>33</v>
      </c>
      <c r="D214" s="415"/>
      <c r="E214" s="584" t="s">
        <v>325</v>
      </c>
      <c r="F214" s="372"/>
      <c r="G214" s="372"/>
      <c r="H214" s="372"/>
      <c r="I214" s="404"/>
      <c r="J214" s="404"/>
      <c r="K214" s="412"/>
      <c r="L214" s="404"/>
      <c r="M214"/>
      <c r="N214"/>
      <c r="O214"/>
      <c r="P214"/>
      <c r="Q214"/>
      <c r="R214"/>
      <c r="S214"/>
      <c r="T214"/>
      <c r="U214"/>
      <c r="V214"/>
      <c r="W214"/>
      <c r="X214" s="396"/>
    </row>
    <row r="215" spans="1:24" x14ac:dyDescent="0.25">
      <c r="B215" s="103">
        <f t="shared" si="1"/>
        <v>69</v>
      </c>
      <c r="C215" s="429" t="s">
        <v>33</v>
      </c>
      <c r="D215" s="415"/>
      <c r="E215" s="584" t="s">
        <v>328</v>
      </c>
      <c r="F215" s="372"/>
      <c r="G215" s="372"/>
      <c r="H215" s="372"/>
      <c r="I215" s="428"/>
      <c r="J215" s="404"/>
      <c r="K215" s="412"/>
      <c r="L215" s="404"/>
      <c r="M215"/>
      <c r="N215"/>
      <c r="O215"/>
      <c r="P215"/>
      <c r="Q215"/>
      <c r="R215"/>
      <c r="S215"/>
      <c r="T215"/>
      <c r="U215"/>
      <c r="V215"/>
      <c r="W215"/>
      <c r="X215" s="396"/>
    </row>
    <row r="216" spans="1:24" x14ac:dyDescent="0.25">
      <c r="B216" s="103">
        <f t="shared" si="1"/>
        <v>70</v>
      </c>
      <c r="C216" s="429" t="s">
        <v>33</v>
      </c>
      <c r="D216" s="415"/>
      <c r="E216" s="584" t="s">
        <v>329</v>
      </c>
      <c r="F216" s="372"/>
      <c r="G216" s="372"/>
      <c r="H216" s="372"/>
      <c r="I216" s="372"/>
      <c r="J216" s="372"/>
      <c r="K216" s="372"/>
      <c r="L216" s="372"/>
      <c r="M216"/>
      <c r="N216"/>
      <c r="O216"/>
      <c r="P216"/>
      <c r="Q216"/>
      <c r="R216"/>
      <c r="S216"/>
      <c r="T216"/>
      <c r="U216"/>
      <c r="V216"/>
      <c r="W216"/>
      <c r="X216" s="396"/>
    </row>
    <row r="217" spans="1:24" x14ac:dyDescent="0.25">
      <c r="B217" s="103">
        <f t="shared" si="1"/>
        <v>71</v>
      </c>
      <c r="C217" s="429" t="s">
        <v>33</v>
      </c>
      <c r="D217" s="415"/>
      <c r="E217" s="584" t="s">
        <v>330</v>
      </c>
      <c r="F217" s="372"/>
      <c r="G217" s="372"/>
      <c r="H217" s="372"/>
      <c r="I217" s="372"/>
      <c r="J217" s="372"/>
      <c r="K217" s="372"/>
      <c r="L217" s="372"/>
      <c r="M217"/>
      <c r="N217"/>
      <c r="O217"/>
      <c r="P217"/>
      <c r="Q217"/>
      <c r="R217"/>
      <c r="S217"/>
      <c r="T217"/>
      <c r="U217"/>
      <c r="V217"/>
      <c r="W217"/>
      <c r="X217" s="396"/>
    </row>
    <row r="218" spans="1:24" x14ac:dyDescent="0.25">
      <c r="B218" s="103">
        <f t="shared" si="1"/>
        <v>72</v>
      </c>
      <c r="C218" s="429" t="s">
        <v>33</v>
      </c>
      <c r="D218" s="415"/>
      <c r="E218" s="584" t="s">
        <v>331</v>
      </c>
      <c r="F218" s="372"/>
      <c r="G218" s="372"/>
      <c r="H218" s="372"/>
      <c r="I218" s="372"/>
      <c r="J218" s="372"/>
      <c r="K218" s="372"/>
      <c r="L218" s="372"/>
      <c r="M218"/>
      <c r="N218"/>
      <c r="O218"/>
      <c r="P218"/>
      <c r="Q218"/>
      <c r="R218"/>
      <c r="S218"/>
      <c r="T218"/>
      <c r="U218"/>
      <c r="V218"/>
      <c r="W218"/>
      <c r="X218" s="396"/>
    </row>
    <row r="219" spans="1:24" x14ac:dyDescent="0.25">
      <c r="B219" s="103">
        <f t="shared" si="1"/>
        <v>73</v>
      </c>
      <c r="C219" s="429" t="s">
        <v>33</v>
      </c>
      <c r="D219" s="415"/>
      <c r="E219" s="584" t="s">
        <v>334</v>
      </c>
      <c r="F219" s="372"/>
      <c r="G219" s="372"/>
      <c r="H219" s="372"/>
      <c r="I219" s="428"/>
      <c r="J219" s="372"/>
      <c r="K219" s="372"/>
      <c r="L219" s="372"/>
      <c r="M219"/>
      <c r="N219"/>
      <c r="O219"/>
      <c r="P219"/>
      <c r="Q219"/>
      <c r="R219"/>
      <c r="S219"/>
      <c r="T219"/>
      <c r="U219"/>
      <c r="V219"/>
      <c r="W219"/>
      <c r="X219" s="396"/>
    </row>
    <row r="220" spans="1:24" x14ac:dyDescent="0.25">
      <c r="B220" s="103">
        <f t="shared" si="1"/>
        <v>74</v>
      </c>
      <c r="C220" s="429" t="s">
        <v>33</v>
      </c>
      <c r="D220" s="415"/>
      <c r="E220" s="584" t="s">
        <v>331</v>
      </c>
      <c r="F220" s="372"/>
      <c r="G220" s="372"/>
      <c r="H220" s="372"/>
      <c r="I220" s="51"/>
      <c r="J220" s="51"/>
      <c r="K220" s="51"/>
      <c r="L220" s="51"/>
      <c r="M220"/>
      <c r="N220"/>
      <c r="O220"/>
      <c r="P220"/>
      <c r="Q220"/>
      <c r="R220"/>
      <c r="S220"/>
      <c r="T220"/>
      <c r="U220"/>
      <c r="V220"/>
      <c r="W220"/>
      <c r="X220" s="396"/>
    </row>
    <row r="221" spans="1:24" x14ac:dyDescent="0.25">
      <c r="B221" s="103">
        <f t="shared" si="1"/>
        <v>75</v>
      </c>
      <c r="C221" s="429" t="s">
        <v>33</v>
      </c>
      <c r="D221" s="584" t="s">
        <v>337</v>
      </c>
      <c r="E221" s="690" t="s">
        <v>1802</v>
      </c>
      <c r="F221" s="372">
        <v>3.7</v>
      </c>
      <c r="G221" s="372" t="s">
        <v>31</v>
      </c>
      <c r="H221" s="372"/>
      <c r="I221" s="51"/>
      <c r="J221" s="51"/>
      <c r="K221" s="51"/>
      <c r="L221" s="51"/>
      <c r="M221"/>
      <c r="N221"/>
      <c r="O221"/>
      <c r="P221"/>
      <c r="Q221"/>
      <c r="R221"/>
      <c r="S221"/>
      <c r="T221"/>
      <c r="U221"/>
      <c r="V221"/>
      <c r="W221"/>
      <c r="X221" s="396"/>
    </row>
    <row r="222" spans="1:24" x14ac:dyDescent="0.25">
      <c r="B222" s="103">
        <f t="shared" si="1"/>
        <v>76</v>
      </c>
      <c r="C222" s="429" t="s">
        <v>33</v>
      </c>
      <c r="D222" s="584" t="s">
        <v>1618</v>
      </c>
      <c r="E222" s="690" t="s">
        <v>1802</v>
      </c>
      <c r="F222" s="372"/>
      <c r="G222" s="372"/>
      <c r="H222" s="372"/>
      <c r="I222" s="51"/>
      <c r="J222" s="51"/>
      <c r="K222" s="51"/>
      <c r="L222" s="51"/>
      <c r="M222"/>
      <c r="N222"/>
      <c r="O222"/>
      <c r="P222"/>
      <c r="Q222"/>
      <c r="R222"/>
      <c r="S222"/>
      <c r="T222"/>
      <c r="U222"/>
      <c r="V222"/>
      <c r="W222"/>
      <c r="X222" s="396"/>
    </row>
    <row r="223" spans="1:24" x14ac:dyDescent="0.25">
      <c r="B223" s="103">
        <f t="shared" si="1"/>
        <v>77</v>
      </c>
      <c r="C223" s="429" t="s">
        <v>33</v>
      </c>
      <c r="D223" s="584" t="s">
        <v>340</v>
      </c>
      <c r="E223" s="690" t="s">
        <v>1802</v>
      </c>
      <c r="F223" s="372"/>
      <c r="G223" s="372"/>
      <c r="H223" s="372"/>
      <c r="I223" s="51"/>
      <c r="J223" s="51"/>
      <c r="K223" s="51"/>
      <c r="L223" s="51"/>
      <c r="M223"/>
      <c r="N223"/>
      <c r="O223"/>
      <c r="P223"/>
      <c r="Q223"/>
      <c r="R223"/>
      <c r="S223"/>
      <c r="T223"/>
      <c r="U223"/>
      <c r="V223"/>
      <c r="W223"/>
      <c r="X223" s="396"/>
    </row>
    <row r="224" spans="1:24" x14ac:dyDescent="0.25">
      <c r="B224" s="103">
        <f t="shared" si="1"/>
        <v>78</v>
      </c>
      <c r="C224" s="429" t="s">
        <v>33</v>
      </c>
      <c r="D224" s="415"/>
      <c r="E224" s="603" t="s">
        <v>339</v>
      </c>
      <c r="F224" s="419">
        <v>2.19</v>
      </c>
      <c r="G224" s="404" t="s">
        <v>360</v>
      </c>
      <c r="H224" s="372"/>
      <c r="I224" s="51"/>
      <c r="J224" s="51"/>
      <c r="K224" s="51"/>
      <c r="L224" s="51"/>
      <c r="M224"/>
      <c r="N224"/>
      <c r="O224"/>
      <c r="P224"/>
      <c r="Q224"/>
      <c r="R224"/>
      <c r="S224"/>
      <c r="T224"/>
      <c r="U224"/>
      <c r="V224"/>
      <c r="W224"/>
      <c r="X224" s="396"/>
    </row>
    <row r="225" spans="2:24" x14ac:dyDescent="0.25">
      <c r="B225" s="103">
        <f t="shared" si="1"/>
        <v>79</v>
      </c>
      <c r="C225" s="429" t="s">
        <v>341</v>
      </c>
      <c r="D225" s="415"/>
      <c r="E225" s="584" t="s">
        <v>342</v>
      </c>
      <c r="F225" s="372"/>
      <c r="G225" s="372"/>
      <c r="H225" s="372"/>
      <c r="I225" s="51"/>
      <c r="J225" s="51"/>
      <c r="K225" s="51"/>
      <c r="L225" s="51"/>
      <c r="M225"/>
      <c r="N225"/>
      <c r="O225"/>
      <c r="P225"/>
      <c r="Q225"/>
      <c r="R225"/>
      <c r="S225"/>
      <c r="T225"/>
      <c r="U225"/>
      <c r="V225"/>
      <c r="W225"/>
      <c r="X225" s="396"/>
    </row>
    <row r="226" spans="2:24" x14ac:dyDescent="0.25">
      <c r="B226" s="103">
        <f t="shared" si="1"/>
        <v>80</v>
      </c>
      <c r="C226" s="429" t="s">
        <v>341</v>
      </c>
      <c r="D226" s="415"/>
      <c r="E226" s="584" t="s">
        <v>343</v>
      </c>
      <c r="F226" s="372"/>
      <c r="G226" s="372"/>
      <c r="H226" s="372"/>
      <c r="I226" s="51"/>
      <c r="J226" s="51"/>
      <c r="K226" s="51"/>
      <c r="L226" s="51"/>
      <c r="M226"/>
      <c r="N226"/>
      <c r="O226"/>
      <c r="P226"/>
      <c r="Q226"/>
      <c r="R226"/>
      <c r="S226"/>
      <c r="T226"/>
      <c r="U226"/>
      <c r="V226"/>
      <c r="W226"/>
      <c r="X226" s="396"/>
    </row>
    <row r="227" spans="2:24" x14ac:dyDescent="0.25">
      <c r="B227" s="103">
        <f t="shared" si="1"/>
        <v>81</v>
      </c>
      <c r="C227" s="429" t="s">
        <v>341</v>
      </c>
      <c r="D227" s="415"/>
      <c r="E227" s="586" t="s">
        <v>344</v>
      </c>
      <c r="F227" s="372"/>
      <c r="G227" s="372"/>
      <c r="H227" s="372"/>
      <c r="I227" s="51"/>
      <c r="J227" s="51"/>
      <c r="K227" s="51"/>
      <c r="L227" s="51"/>
      <c r="M227"/>
      <c r="N227"/>
      <c r="O227"/>
      <c r="P227"/>
      <c r="Q227"/>
      <c r="R227"/>
      <c r="S227"/>
      <c r="T227"/>
      <c r="U227"/>
      <c r="V227"/>
      <c r="W227"/>
      <c r="X227" s="396"/>
    </row>
    <row r="228" spans="2:24" x14ac:dyDescent="0.25">
      <c r="B228" s="103">
        <f t="shared" si="1"/>
        <v>82</v>
      </c>
      <c r="C228" s="429" t="s">
        <v>341</v>
      </c>
      <c r="D228" s="415"/>
      <c r="E228" s="586" t="s">
        <v>345</v>
      </c>
      <c r="F228" s="372"/>
      <c r="G228" s="372"/>
      <c r="H228" s="372"/>
      <c r="I228" s="51"/>
      <c r="J228" s="51"/>
      <c r="K228" s="51"/>
      <c r="L228" s="51"/>
      <c r="M228"/>
      <c r="N228"/>
      <c r="O228"/>
      <c r="P228"/>
      <c r="Q228"/>
      <c r="R228"/>
      <c r="S228"/>
      <c r="T228"/>
      <c r="U228"/>
      <c r="V228"/>
      <c r="W228"/>
      <c r="X228" s="396"/>
    </row>
    <row r="229" spans="2:24" x14ac:dyDescent="0.25">
      <c r="B229" s="103">
        <f t="shared" si="1"/>
        <v>83</v>
      </c>
      <c r="C229" s="429" t="s">
        <v>341</v>
      </c>
      <c r="D229" s="415"/>
      <c r="E229" s="584" t="s">
        <v>346</v>
      </c>
      <c r="F229" s="372"/>
      <c r="G229" s="372"/>
      <c r="H229" s="372"/>
      <c r="I229" s="51"/>
      <c r="J229" s="51"/>
      <c r="K229" s="51"/>
      <c r="L229" s="51"/>
      <c r="M229"/>
      <c r="N229"/>
      <c r="O229"/>
      <c r="P229"/>
      <c r="Q229"/>
      <c r="R229"/>
      <c r="S229"/>
      <c r="T229"/>
      <c r="U229"/>
      <c r="V229"/>
      <c r="W229"/>
      <c r="X229" s="396"/>
    </row>
    <row r="230" spans="2:24" x14ac:dyDescent="0.25">
      <c r="B230" s="103">
        <f t="shared" si="1"/>
        <v>84</v>
      </c>
      <c r="C230" s="429" t="s">
        <v>341</v>
      </c>
      <c r="D230" s="415"/>
      <c r="E230" s="584" t="s">
        <v>347</v>
      </c>
      <c r="F230" s="372"/>
      <c r="G230" s="372"/>
      <c r="H230" s="372"/>
      <c r="I230" s="51"/>
      <c r="J230" s="51"/>
      <c r="K230" s="51"/>
      <c r="L230" s="51"/>
      <c r="M230"/>
      <c r="N230"/>
      <c r="O230"/>
      <c r="P230"/>
      <c r="Q230"/>
      <c r="R230"/>
      <c r="S230"/>
      <c r="T230"/>
      <c r="U230"/>
      <c r="V230"/>
      <c r="W230"/>
      <c r="X230" s="396"/>
    </row>
    <row r="231" spans="2:24" x14ac:dyDescent="0.25">
      <c r="B231" s="103">
        <f t="shared" si="1"/>
        <v>85</v>
      </c>
      <c r="C231" s="429" t="s">
        <v>341</v>
      </c>
      <c r="D231" s="415"/>
      <c r="E231" s="584" t="s">
        <v>348</v>
      </c>
      <c r="F231" s="372"/>
      <c r="G231" s="372"/>
      <c r="H231" s="372"/>
      <c r="I231" s="51"/>
      <c r="J231" s="51"/>
      <c r="K231" s="51"/>
      <c r="L231" s="51"/>
      <c r="M231"/>
      <c r="N231"/>
      <c r="O231"/>
      <c r="P231"/>
      <c r="Q231"/>
      <c r="R231"/>
      <c r="S231"/>
      <c r="T231"/>
      <c r="U231"/>
      <c r="V231"/>
      <c r="W231"/>
      <c r="X231" s="396"/>
    </row>
    <row r="232" spans="2:24" x14ac:dyDescent="0.25">
      <c r="B232" s="103">
        <f t="shared" ref="B232:B241" si="3">B231+1</f>
        <v>86</v>
      </c>
      <c r="C232" s="429" t="s">
        <v>341</v>
      </c>
      <c r="D232" s="415"/>
      <c r="E232" s="584" t="s">
        <v>349</v>
      </c>
      <c r="F232" s="372"/>
      <c r="G232" s="372"/>
      <c r="H232" s="372"/>
      <c r="I232" s="51"/>
      <c r="J232" s="51"/>
      <c r="K232" s="51"/>
      <c r="L232" s="51"/>
      <c r="M232"/>
      <c r="N232"/>
      <c r="O232"/>
      <c r="P232"/>
      <c r="Q232"/>
      <c r="R232"/>
      <c r="S232"/>
      <c r="T232"/>
      <c r="U232"/>
      <c r="V232"/>
      <c r="W232"/>
      <c r="X232" s="396"/>
    </row>
    <row r="233" spans="2:24" x14ac:dyDescent="0.25">
      <c r="B233" s="103">
        <f t="shared" si="3"/>
        <v>87</v>
      </c>
      <c r="C233" s="429" t="s">
        <v>341</v>
      </c>
      <c r="D233" s="415"/>
      <c r="E233" s="584" t="s">
        <v>350</v>
      </c>
      <c r="F233" s="372"/>
      <c r="G233" s="372"/>
      <c r="H233" s="372"/>
      <c r="I233" s="51"/>
      <c r="J233" s="51"/>
      <c r="K233" s="51"/>
      <c r="L233" s="51"/>
      <c r="M233"/>
      <c r="N233"/>
      <c r="O233"/>
      <c r="P233"/>
      <c r="Q233"/>
      <c r="R233"/>
      <c r="S233"/>
      <c r="T233"/>
      <c r="U233"/>
      <c r="V233"/>
      <c r="W233"/>
      <c r="X233" s="396"/>
    </row>
    <row r="234" spans="2:24" x14ac:dyDescent="0.25">
      <c r="B234" s="103">
        <f t="shared" si="3"/>
        <v>88</v>
      </c>
      <c r="C234" s="429" t="s">
        <v>341</v>
      </c>
      <c r="D234" s="415"/>
      <c r="E234" s="584" t="s">
        <v>351</v>
      </c>
      <c r="F234" s="372"/>
      <c r="G234" s="372"/>
      <c r="H234" s="372"/>
      <c r="I234" s="372"/>
      <c r="J234" s="372"/>
      <c r="K234" s="372"/>
      <c r="L234" s="372"/>
      <c r="M234"/>
      <c r="N234"/>
      <c r="O234"/>
      <c r="P234"/>
      <c r="Q234"/>
      <c r="R234"/>
      <c r="S234"/>
      <c r="T234"/>
      <c r="U234"/>
      <c r="V234"/>
      <c r="W234"/>
      <c r="X234" s="396"/>
    </row>
    <row r="235" spans="2:24" x14ac:dyDescent="0.25">
      <c r="B235" s="103">
        <f t="shared" si="3"/>
        <v>89</v>
      </c>
      <c r="C235" s="429" t="s">
        <v>341</v>
      </c>
      <c r="D235" s="415"/>
      <c r="E235" s="584" t="s">
        <v>352</v>
      </c>
      <c r="F235" s="372"/>
      <c r="G235" s="372"/>
      <c r="H235" s="372"/>
      <c r="I235" s="372"/>
      <c r="J235" s="372"/>
      <c r="K235" s="372"/>
      <c r="L235" s="372"/>
      <c r="M235"/>
      <c r="N235"/>
      <c r="O235"/>
      <c r="P235"/>
      <c r="Q235"/>
      <c r="R235"/>
      <c r="S235"/>
      <c r="T235"/>
      <c r="U235"/>
      <c r="V235"/>
      <c r="W235"/>
      <c r="X235" s="396"/>
    </row>
    <row r="236" spans="2:24" x14ac:dyDescent="0.25">
      <c r="B236" s="103">
        <f t="shared" si="3"/>
        <v>90</v>
      </c>
      <c r="C236" s="429" t="s">
        <v>341</v>
      </c>
      <c r="D236" s="415"/>
      <c r="E236" s="584" t="s">
        <v>353</v>
      </c>
      <c r="F236" s="372"/>
      <c r="G236" s="372"/>
      <c r="H236" s="372"/>
      <c r="I236" s="372"/>
      <c r="J236" s="372"/>
      <c r="K236" s="372"/>
      <c r="L236" s="372"/>
      <c r="M236"/>
      <c r="N236"/>
      <c r="O236"/>
      <c r="P236"/>
      <c r="Q236"/>
      <c r="R236"/>
      <c r="S236"/>
      <c r="T236"/>
      <c r="U236"/>
      <c r="V236"/>
      <c r="W236"/>
      <c r="X236" s="396"/>
    </row>
    <row r="237" spans="2:24" x14ac:dyDescent="0.25">
      <c r="B237" s="103">
        <f t="shared" si="3"/>
        <v>91</v>
      </c>
      <c r="C237" s="429" t="s">
        <v>354</v>
      </c>
      <c r="D237" s="415"/>
      <c r="E237" s="722" t="s">
        <v>355</v>
      </c>
      <c r="F237" s="417">
        <v>2.42</v>
      </c>
      <c r="G237" s="404" t="s">
        <v>362</v>
      </c>
      <c r="H237" s="404">
        <v>0</v>
      </c>
      <c r="I237" s="372"/>
      <c r="J237" s="426" t="s">
        <v>356</v>
      </c>
      <c r="K237" s="372"/>
      <c r="L237" s="372"/>
      <c r="M237" s="399"/>
      <c r="N237" s="399"/>
      <c r="O237" s="399"/>
      <c r="P237" s="399"/>
      <c r="Q237" s="399"/>
      <c r="R237" s="399"/>
      <c r="S237" s="399"/>
      <c r="T237" s="399"/>
      <c r="U237"/>
      <c r="V237"/>
      <c r="W237"/>
      <c r="X237" s="396"/>
    </row>
    <row r="238" spans="2:24" ht="30" x14ac:dyDescent="0.25">
      <c r="B238" s="103">
        <f t="shared" si="3"/>
        <v>92</v>
      </c>
      <c r="C238" s="429" t="s">
        <v>354</v>
      </c>
      <c r="D238" s="415"/>
      <c r="E238" s="723" t="s">
        <v>357</v>
      </c>
      <c r="F238" s="417">
        <v>23.5</v>
      </c>
      <c r="G238" s="404" t="s">
        <v>421</v>
      </c>
      <c r="H238" s="372">
        <v>0</v>
      </c>
      <c r="I238" s="372"/>
      <c r="J238" s="426" t="s">
        <v>358</v>
      </c>
      <c r="K238" s="372"/>
      <c r="L238" s="372"/>
      <c r="M238"/>
      <c r="N238"/>
      <c r="O238"/>
      <c r="P238"/>
      <c r="Q238"/>
      <c r="R238"/>
      <c r="S238"/>
      <c r="T238"/>
      <c r="U238" s="399"/>
      <c r="V238" s="399"/>
      <c r="W238" s="399"/>
      <c r="X238" s="400"/>
    </row>
    <row r="239" spans="2:24" ht="30" x14ac:dyDescent="0.25">
      <c r="B239" s="103">
        <f t="shared" si="3"/>
        <v>93</v>
      </c>
      <c r="C239" s="429" t="s">
        <v>354</v>
      </c>
      <c r="D239" s="415"/>
      <c r="E239" s="724" t="s">
        <v>359</v>
      </c>
      <c r="F239" s="417">
        <v>149.70000000000002</v>
      </c>
      <c r="G239" s="404" t="s">
        <v>421</v>
      </c>
      <c r="H239" s="372">
        <v>0</v>
      </c>
      <c r="I239" s="372"/>
      <c r="J239" s="426" t="s">
        <v>356</v>
      </c>
      <c r="K239" s="372"/>
      <c r="L239" s="372"/>
      <c r="M239"/>
      <c r="N239"/>
      <c r="O239"/>
      <c r="P239"/>
      <c r="Q239"/>
      <c r="R239"/>
      <c r="S239"/>
      <c r="T239"/>
      <c r="U239"/>
      <c r="V239"/>
      <c r="W239"/>
      <c r="X239" s="401"/>
    </row>
    <row r="240" spans="2:24" x14ac:dyDescent="0.25">
      <c r="B240" s="103">
        <f t="shared" si="3"/>
        <v>94</v>
      </c>
      <c r="C240" s="429" t="s">
        <v>354</v>
      </c>
      <c r="D240" s="415"/>
      <c r="E240" s="725" t="s">
        <v>453</v>
      </c>
      <c r="F240" s="659">
        <f>F162</f>
        <v>0.35322580645161289</v>
      </c>
      <c r="G240" s="404" t="s">
        <v>421</v>
      </c>
      <c r="H240" s="404">
        <v>0</v>
      </c>
      <c r="I240" s="372"/>
      <c r="J240" s="426" t="s">
        <v>292</v>
      </c>
      <c r="K240" s="372"/>
      <c r="L240" s="372"/>
      <c r="M240"/>
      <c r="N240"/>
      <c r="O240"/>
      <c r="P240"/>
      <c r="Q240"/>
      <c r="R240"/>
      <c r="S240"/>
      <c r="T240"/>
      <c r="U240"/>
      <c r="V240"/>
      <c r="W240"/>
      <c r="X240" s="401"/>
    </row>
    <row r="241" spans="2:24" ht="30" x14ac:dyDescent="0.25">
      <c r="B241" s="103">
        <f t="shared" si="3"/>
        <v>95</v>
      </c>
      <c r="C241" s="429" t="s">
        <v>354</v>
      </c>
      <c r="D241" s="415"/>
      <c r="E241" s="726" t="s">
        <v>1796</v>
      </c>
      <c r="F241" s="658">
        <v>5.8019567561909152E-2</v>
      </c>
      <c r="G241" s="404" t="s">
        <v>421</v>
      </c>
      <c r="H241" s="372">
        <v>0</v>
      </c>
      <c r="I241" s="372"/>
      <c r="J241" s="426" t="s">
        <v>292</v>
      </c>
      <c r="K241" s="372"/>
      <c r="L241" s="372"/>
      <c r="M241"/>
      <c r="N241"/>
      <c r="O241"/>
      <c r="P241"/>
      <c r="Q241"/>
      <c r="R241"/>
      <c r="S241"/>
      <c r="T241"/>
      <c r="U241"/>
      <c r="V241"/>
      <c r="W241"/>
      <c r="X241" s="401"/>
    </row>
    <row r="242" spans="2:24" ht="16.5" customHeight="1" x14ac:dyDescent="0.25">
      <c r="B242" s="95">
        <v>96</v>
      </c>
      <c r="C242" s="429" t="s">
        <v>354</v>
      </c>
      <c r="D242" s="415"/>
      <c r="E242" s="727" t="s">
        <v>455</v>
      </c>
      <c r="F242" s="659">
        <f>F162</f>
        <v>0.35322580645161289</v>
      </c>
      <c r="G242" s="404" t="s">
        <v>421</v>
      </c>
      <c r="H242" s="372"/>
      <c r="I242" s="372"/>
      <c r="J242" s="426" t="s">
        <v>292</v>
      </c>
      <c r="K242" s="372"/>
      <c r="L242" s="372"/>
      <c r="M242" s="402"/>
      <c r="N242" s="402"/>
      <c r="O242" s="402"/>
      <c r="P242" s="402"/>
      <c r="Q242" s="402"/>
      <c r="R242" s="402"/>
      <c r="S242" s="402"/>
      <c r="T242" s="402"/>
      <c r="U242"/>
      <c r="V242"/>
      <c r="W242"/>
      <c r="X242" s="401"/>
    </row>
    <row r="243" spans="2:24" x14ac:dyDescent="0.25">
      <c r="U243" s="402"/>
      <c r="V243" s="402"/>
      <c r="W243" s="402"/>
      <c r="X243" s="403"/>
    </row>
  </sheetData>
  <mergeCells count="21">
    <mergeCell ref="R148:R155"/>
    <mergeCell ref="H147:K147"/>
    <mergeCell ref="H148:K148"/>
    <mergeCell ref="H149:L149"/>
    <mergeCell ref="H150:L150"/>
    <mergeCell ref="K151:L151"/>
    <mergeCell ref="C90:C91"/>
    <mergeCell ref="C95:C96"/>
    <mergeCell ref="C50:C52"/>
    <mergeCell ref="C53:C55"/>
    <mergeCell ref="C56:C58"/>
    <mergeCell ref="C59:C61"/>
    <mergeCell ref="C84:D84"/>
    <mergeCell ref="C85:D85"/>
    <mergeCell ref="C86:D86"/>
    <mergeCell ref="C83:D83"/>
    <mergeCell ref="D186:D197"/>
    <mergeCell ref="D198:D204"/>
    <mergeCell ref="D205:D207"/>
    <mergeCell ref="D208:D211"/>
    <mergeCell ref="B121:D121"/>
  </mergeCells>
  <hyperlinks>
    <hyperlink ref="H70" r:id="rId1" xr:uid="{00000000-0004-0000-0000-000000000000}"/>
    <hyperlink ref="H22" r:id="rId2" xr:uid="{00000000-0004-0000-0000-000001000000}"/>
    <hyperlink ref="H71" r:id="rId3" xr:uid="{00000000-0004-0000-0000-000002000000}"/>
    <hyperlink ref="H72" r:id="rId4" xr:uid="{00000000-0004-0000-0000-000003000000}"/>
    <hyperlink ref="H32" r:id="rId5" xr:uid="{00000000-0004-0000-0000-000004000000}"/>
    <hyperlink ref="H33:H41" r:id="rId6" display="https://www.ghgprotocol.org/sites/default/files/ghgp/Global-Warming-Potential-Values%20%28Feb%2016%202016%29_1.pdf" xr:uid="{00000000-0004-0000-0000-000005000000}"/>
    <hyperlink ref="H84" r:id="rId7" xr:uid="{E163E520-A9E3-4295-A5EE-BE1C5D50A5D1}"/>
    <hyperlink ref="H5" r:id="rId8" display="DEWA data - published in 2018 sustainability report" xr:uid="{3CBC0433-CDCA-4D36-ABA3-1381AFADF6E7}"/>
    <hyperlink ref="H147" r:id="rId9" xr:uid="{66FB7C89-6D3B-44AD-B382-781A9E35CC0B}"/>
    <hyperlink ref="H148" r:id="rId10" xr:uid="{32A4D52E-73ED-4854-A8C0-E9B4B904A4EA}"/>
    <hyperlink ref="H149" r:id="rId11" display="https://www.winnipeg.ca/finance/findata/matmgt/documents/2012/682-2012/682-2012_Appendix_H-WSTP_South_End_Plant_Process_Selection_Report/Appendix 7.pdf" xr:uid="{22CBAB22-CD14-49A3-8642-7B0D25E5EDA4}"/>
    <hyperlink ref="H150" r:id="rId12" display="https://www.winnipeg.ca/finance/findata/matmgt/documents/2012/682-2012/682-2012_Appendix_H-WSTP_South_End_Plant_Process_Selection_Report/Appendix 7.pdf" xr:uid="{4840FE93-F84B-4B01-AF40-24D18C50820D}"/>
    <hyperlink ref="H166" r:id="rId13" xr:uid="{67EC2E73-7D4D-4B1E-95FA-ED9805551D12}"/>
    <hyperlink ref="H169" r:id="rId14" xr:uid="{AA3C4907-0020-4FAB-A4DF-F5A73179CF4F}"/>
    <hyperlink ref="H173" r:id="rId15" xr:uid="{7C8EBE5C-93C4-4AEF-A28D-59A1B55AD7E3}"/>
    <hyperlink ref="H159" r:id="rId16" xr:uid="{72E232FA-0B5D-41E6-B080-28C092F8B1E6}"/>
    <hyperlink ref="H161" r:id="rId17" xr:uid="{8ABBBFC9-A4C9-4D16-8C00-A5A86D19F420}"/>
    <hyperlink ref="H162" r:id="rId18" xr:uid="{A3C42D4B-D1D5-4C84-87D2-1842BF2C70DB}"/>
    <hyperlink ref="H167" r:id="rId19" xr:uid="{703CFA2F-B6C7-4E42-9C68-438486BBC4D3}"/>
    <hyperlink ref="H168" r:id="rId20" xr:uid="{3583609C-E07C-41D1-B5FC-8442DF2AC500}"/>
    <hyperlink ref="H155" r:id="rId21" xr:uid="{1C61B76A-A6EA-4627-B776-0EBE118DBD37}"/>
    <hyperlink ref="H156" r:id="rId22" xr:uid="{54F72EAD-0A6C-4B8D-8696-2142638897D1}"/>
    <hyperlink ref="J237" r:id="rId23" xr:uid="{51B6A98A-9DC9-4EF6-BDEA-FB2DB55000A8}"/>
    <hyperlink ref="J238" r:id="rId24" xr:uid="{8CBF8D24-F443-4213-9045-7D7E86CD095D}"/>
    <hyperlink ref="J239" r:id="rId25" xr:uid="{1347E0D2-8799-4D51-B129-1A65FD0B776E}"/>
    <hyperlink ref="J240" r:id="rId26" xr:uid="{64E9B9F5-E5FB-4B28-89DE-412C4B44B872}"/>
    <hyperlink ref="J241" r:id="rId27" xr:uid="{2FDA9D2E-F9CC-490C-BB83-C0B3AA712E68}"/>
    <hyperlink ref="J242" r:id="rId28" xr:uid="{B0EE87FA-B20B-4161-9ACD-D70A8F7D5D06}"/>
    <hyperlink ref="H174" r:id="rId29" xr:uid="{67FAEC3E-D0F9-4AFE-BC5E-1AF308D50256}"/>
    <hyperlink ref="H154" r:id="rId30" xr:uid="{2453B00A-F8BF-4EFA-81DD-CCA2B470B05B}"/>
  </hyperlinks>
  <pageMargins left="0.7" right="0.7" top="0.75" bottom="0.75" header="0.3" footer="0.3"/>
  <pageSetup orientation="portrait" r:id="rId3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9696A-DDD4-4F47-AFDA-B1A832AF7235}">
  <dimension ref="A1:N287"/>
  <sheetViews>
    <sheetView zoomScaleNormal="100" workbookViewId="0">
      <selection activeCell="H2" sqref="H2"/>
    </sheetView>
  </sheetViews>
  <sheetFormatPr defaultColWidth="8.5703125" defaultRowHeight="15" x14ac:dyDescent="0.25"/>
  <cols>
    <col min="1" max="1" width="7.28515625" style="111" customWidth="1"/>
    <col min="2" max="2" width="6.28515625" style="111" customWidth="1"/>
    <col min="3" max="3" width="16.5703125" style="111" customWidth="1"/>
    <col min="4" max="4" width="25.7109375" style="111" customWidth="1"/>
    <col min="5" max="5" width="22.42578125" style="111" customWidth="1"/>
    <col min="6" max="7" width="19.85546875" style="111" customWidth="1"/>
    <col min="8" max="8" width="22.7109375" style="111" customWidth="1"/>
    <col min="9" max="9" width="23.140625" style="111" customWidth="1"/>
    <col min="10" max="10" width="9.28515625" style="111" customWidth="1"/>
    <col min="11" max="11" width="10.28515625" style="111" customWidth="1"/>
    <col min="12" max="12" width="5.5703125" style="111" customWidth="1"/>
    <col min="13" max="13" width="0.5703125" style="111" customWidth="1"/>
    <col min="14" max="16" width="8.7109375" style="111" customWidth="1"/>
    <col min="17" max="33" width="4.85546875" style="111" customWidth="1"/>
    <col min="34" max="34" width="5.28515625" style="111" customWidth="1"/>
    <col min="35" max="35" width="4.7109375" style="111" customWidth="1"/>
    <col min="36" max="36" width="5.28515625" style="111" customWidth="1"/>
    <col min="37" max="37" width="5.5703125" style="111" customWidth="1"/>
    <col min="38" max="16384" width="8.5703125" style="111"/>
  </cols>
  <sheetData>
    <row r="1" spans="1:13" s="1" customFormat="1" ht="24.95" customHeight="1" x14ac:dyDescent="0.35">
      <c r="A1" s="378"/>
      <c r="B1" s="378"/>
      <c r="C1" s="378"/>
      <c r="D1" s="378"/>
      <c r="E1" s="379" t="s">
        <v>2361</v>
      </c>
      <c r="F1" s="380"/>
      <c r="G1" s="380"/>
      <c r="H1" s="378"/>
      <c r="I1" s="378"/>
      <c r="J1" s="378"/>
      <c r="K1" s="378"/>
      <c r="L1" s="375"/>
      <c r="M1" s="378"/>
    </row>
    <row r="2" spans="1:13" s="1" customFormat="1" ht="28.5" customHeight="1" x14ac:dyDescent="0.25">
      <c r="A2" s="154"/>
      <c r="B2" s="154"/>
      <c r="C2" s="154"/>
      <c r="D2" s="154"/>
      <c r="E2" s="154"/>
      <c r="F2" s="154"/>
      <c r="G2" s="154"/>
      <c r="H2" s="154"/>
      <c r="I2" s="154"/>
      <c r="J2" s="154"/>
      <c r="K2" s="154"/>
    </row>
    <row r="3" spans="1:13" s="1" customFormat="1" ht="12" customHeight="1" x14ac:dyDescent="0.25">
      <c r="A3" s="154"/>
      <c r="B3" s="154"/>
      <c r="C3" s="154"/>
      <c r="D3" s="154"/>
      <c r="E3" s="154"/>
      <c r="F3" s="154"/>
      <c r="G3" s="154"/>
      <c r="H3" s="154"/>
      <c r="I3" s="154"/>
      <c r="J3" s="154"/>
      <c r="K3" s="154"/>
    </row>
    <row r="4" spans="1:13" s="1" customFormat="1" x14ac:dyDescent="0.25">
      <c r="A4" s="154"/>
      <c r="B4" s="154"/>
      <c r="C4" s="154"/>
      <c r="D4" s="156"/>
      <c r="E4" s="153"/>
      <c r="F4" s="153"/>
      <c r="G4" s="153"/>
      <c r="H4" s="154"/>
      <c r="I4" s="154"/>
      <c r="J4" s="154"/>
      <c r="K4" s="154"/>
    </row>
    <row r="5" spans="1:13" s="1" customFormat="1" x14ac:dyDescent="0.25">
      <c r="A5" s="154"/>
      <c r="B5" s="154"/>
      <c r="C5" s="154"/>
      <c r="D5" s="156"/>
      <c r="E5" s="153"/>
      <c r="F5" s="153"/>
      <c r="G5" s="153"/>
      <c r="H5" s="154"/>
      <c r="I5" s="154"/>
      <c r="J5" s="154"/>
      <c r="K5" s="154"/>
    </row>
    <row r="6" spans="1:13" x14ac:dyDescent="0.25">
      <c r="A6" s="157"/>
      <c r="B6" s="157"/>
      <c r="C6" s="165"/>
      <c r="D6" s="166"/>
      <c r="E6" s="166"/>
      <c r="F6" s="166"/>
      <c r="G6" s="166"/>
      <c r="H6" s="166"/>
      <c r="I6" s="166"/>
      <c r="J6" s="158"/>
      <c r="K6" s="157"/>
    </row>
    <row r="7" spans="1:13" x14ac:dyDescent="0.25">
      <c r="A7" s="157"/>
      <c r="B7" s="157"/>
      <c r="C7" s="210"/>
      <c r="D7" s="166"/>
      <c r="E7" s="166"/>
      <c r="F7" s="166"/>
      <c r="G7" s="166"/>
      <c r="H7" s="157"/>
      <c r="I7" s="157"/>
      <c r="J7" s="157"/>
      <c r="K7" s="157"/>
    </row>
    <row r="8" spans="1:13" x14ac:dyDescent="0.25">
      <c r="A8" s="157"/>
      <c r="B8" s="157"/>
      <c r="C8" s="205"/>
      <c r="D8" s="166"/>
      <c r="E8" s="166"/>
      <c r="F8" s="166"/>
      <c r="G8" s="166"/>
      <c r="H8" s="157"/>
      <c r="I8" s="157"/>
      <c r="J8" s="157"/>
      <c r="K8" s="157"/>
    </row>
    <row r="9" spans="1:13" ht="26.25" customHeight="1" x14ac:dyDescent="0.25">
      <c r="A9" s="157"/>
      <c r="B9" s="157"/>
      <c r="C9" s="132"/>
      <c r="D9" s="132"/>
      <c r="E9" s="820"/>
      <c r="F9" s="820"/>
      <c r="G9" s="820"/>
      <c r="H9" s="820"/>
      <c r="I9" s="157"/>
      <c r="J9" s="157"/>
      <c r="K9" s="157"/>
    </row>
    <row r="10" spans="1:13" ht="48" customHeight="1" x14ac:dyDescent="0.25">
      <c r="A10" s="157"/>
      <c r="B10" s="157"/>
      <c r="C10" s="811" t="s">
        <v>2368</v>
      </c>
      <c r="D10" s="833" t="s">
        <v>2360</v>
      </c>
      <c r="E10" s="831" t="s">
        <v>2372</v>
      </c>
      <c r="F10" s="835" t="s">
        <v>2359</v>
      </c>
      <c r="G10" s="829" t="s">
        <v>2367</v>
      </c>
      <c r="H10" s="821" t="s">
        <v>2371</v>
      </c>
      <c r="I10" s="192"/>
      <c r="J10" s="192"/>
      <c r="K10" s="157"/>
    </row>
    <row r="11" spans="1:13" x14ac:dyDescent="0.25">
      <c r="A11" s="157"/>
      <c r="B11" s="157"/>
      <c r="C11" s="812" t="str">
        <f>'Project Emission Distribution'!D25</f>
        <v>A201</v>
      </c>
      <c r="D11" s="834">
        <v>200</v>
      </c>
      <c r="E11" s="832">
        <v>20</v>
      </c>
      <c r="F11" s="836">
        <v>300</v>
      </c>
      <c r="G11" s="830">
        <v>4000</v>
      </c>
      <c r="H11" s="841">
        <f>(D11*E11*F11*G11)/1000*'GWP &amp; Emission Factors '!$D$5*'GWP &amp; Emission Factors '!$D$23</f>
        <v>2005.44</v>
      </c>
      <c r="I11" s="193"/>
      <c r="J11" s="193"/>
      <c r="K11" s="157"/>
    </row>
    <row r="12" spans="1:13" x14ac:dyDescent="0.25">
      <c r="A12" s="157"/>
      <c r="B12" s="157"/>
      <c r="C12" s="812" t="str">
        <f>'Project Emission Distribution'!D26</f>
        <v>AN02</v>
      </c>
      <c r="D12" s="834"/>
      <c r="E12" s="832"/>
      <c r="F12" s="836"/>
      <c r="G12" s="830"/>
      <c r="H12" s="841">
        <f>(D12*E12*F12*G12)/1000*'GWP &amp; Emission Factors '!$D$5*'GWP &amp; Emission Factors '!$D$23</f>
        <v>0</v>
      </c>
      <c r="I12" s="193"/>
      <c r="J12" s="193"/>
      <c r="K12" s="157"/>
    </row>
    <row r="13" spans="1:13" x14ac:dyDescent="0.25">
      <c r="A13" s="157"/>
      <c r="B13" s="157"/>
      <c r="C13" s="812" t="str">
        <f>'Project Emission Distribution'!D27</f>
        <v>AN03</v>
      </c>
      <c r="D13" s="834"/>
      <c r="E13" s="832"/>
      <c r="F13" s="836"/>
      <c r="G13" s="830"/>
      <c r="H13" s="841">
        <f>(D13*E13*F13*G13)/1000*'GWP &amp; Emission Factors '!$D$5*'GWP &amp; Emission Factors '!$D$23</f>
        <v>0</v>
      </c>
      <c r="I13" s="193"/>
      <c r="J13" s="193"/>
      <c r="K13" s="157"/>
    </row>
    <row r="14" spans="1:13" x14ac:dyDescent="0.25">
      <c r="A14" s="157"/>
      <c r="B14" s="157"/>
      <c r="C14" s="812" t="str">
        <f>'Project Emission Distribution'!D28</f>
        <v>AN04</v>
      </c>
      <c r="D14" s="834"/>
      <c r="E14" s="832"/>
      <c r="F14" s="836"/>
      <c r="G14" s="830"/>
      <c r="H14" s="841">
        <f>(D14*E14*F14*G14)/1000*'GWP &amp; Emission Factors '!$D$5*'GWP &amp; Emission Factors '!$D$23</f>
        <v>0</v>
      </c>
      <c r="I14" s="193"/>
      <c r="J14" s="193"/>
      <c r="K14" s="157"/>
    </row>
    <row r="15" spans="1:13" x14ac:dyDescent="0.25">
      <c r="A15" s="157"/>
      <c r="B15" s="157"/>
      <c r="C15" s="812" t="str">
        <f>'Project Emission Distribution'!D29</f>
        <v>AN05</v>
      </c>
      <c r="D15" s="834"/>
      <c r="E15" s="832"/>
      <c r="F15" s="836"/>
      <c r="G15" s="830"/>
      <c r="H15" s="841">
        <f>(D15*E15*F15*G15)/1000*'GWP &amp; Emission Factors '!$D$5*'GWP &amp; Emission Factors '!$D$23</f>
        <v>0</v>
      </c>
      <c r="I15" s="193"/>
      <c r="J15" s="193"/>
      <c r="K15" s="157"/>
    </row>
    <row r="16" spans="1:13" x14ac:dyDescent="0.25">
      <c r="A16" s="157"/>
      <c r="B16" s="157"/>
      <c r="C16" s="812" t="str">
        <f>'Project Emission Distribution'!D30</f>
        <v>AN06</v>
      </c>
      <c r="D16" s="834"/>
      <c r="E16" s="832"/>
      <c r="F16" s="836"/>
      <c r="G16" s="830"/>
      <c r="H16" s="841">
        <f>(D16*E16*F16*G16)/1000*'GWP &amp; Emission Factors '!$D$5*'GWP &amp; Emission Factors '!$D$23</f>
        <v>0</v>
      </c>
      <c r="I16" s="193"/>
      <c r="J16" s="193"/>
      <c r="K16" s="157"/>
    </row>
    <row r="17" spans="1:14" x14ac:dyDescent="0.25">
      <c r="A17" s="157"/>
      <c r="B17" s="157"/>
      <c r="C17" s="812" t="str">
        <f>'Project Emission Distribution'!D31</f>
        <v>AN07</v>
      </c>
      <c r="D17" s="834"/>
      <c r="E17" s="832"/>
      <c r="F17" s="836"/>
      <c r="G17" s="830"/>
      <c r="H17" s="841">
        <f>(D17*E17*F17*G17)/1000*'GWP &amp; Emission Factors '!$D$5*'GWP &amp; Emission Factors '!$D$23</f>
        <v>0</v>
      </c>
      <c r="I17" s="193"/>
      <c r="J17" s="193"/>
      <c r="K17" s="157"/>
    </row>
    <row r="18" spans="1:14" x14ac:dyDescent="0.25">
      <c r="A18" s="157"/>
      <c r="B18" s="157"/>
      <c r="C18" s="812" t="str">
        <f>'Project Emission Distribution'!D32</f>
        <v>AN08</v>
      </c>
      <c r="D18" s="834"/>
      <c r="E18" s="832"/>
      <c r="F18" s="836"/>
      <c r="G18" s="830"/>
      <c r="H18" s="841">
        <f>(D18*E18*F18*G18)/1000*'GWP &amp; Emission Factors '!$D$5*'GWP &amp; Emission Factors '!$D$23</f>
        <v>0</v>
      </c>
      <c r="I18" s="193"/>
      <c r="J18" s="193"/>
      <c r="K18" s="157"/>
    </row>
    <row r="19" spans="1:14" x14ac:dyDescent="0.25">
      <c r="A19" s="157"/>
      <c r="B19" s="157"/>
      <c r="C19" s="812" t="str">
        <f>'Project Emission Distribution'!D33</f>
        <v>AN09</v>
      </c>
      <c r="D19" s="834"/>
      <c r="E19" s="832"/>
      <c r="F19" s="836"/>
      <c r="G19" s="830"/>
      <c r="H19" s="841">
        <f>(D19*E19*F19*G19)/1000*'GWP &amp; Emission Factors '!$D$5*'GWP &amp; Emission Factors '!$D$23</f>
        <v>0</v>
      </c>
      <c r="I19" s="193"/>
      <c r="J19" s="193"/>
      <c r="K19" s="157"/>
      <c r="N19" s="117"/>
    </row>
    <row r="20" spans="1:14" x14ac:dyDescent="0.25">
      <c r="A20" s="157"/>
      <c r="B20" s="157"/>
      <c r="C20" s="812" t="str">
        <f>'Project Emission Distribution'!D34</f>
        <v>AN10</v>
      </c>
      <c r="D20" s="834"/>
      <c r="E20" s="832"/>
      <c r="F20" s="836"/>
      <c r="G20" s="830"/>
      <c r="H20" s="841">
        <f>(D20*E20*F20*G20)/1000*'GWP &amp; Emission Factors '!$D$5*'GWP &amp; Emission Factors '!$D$23</f>
        <v>0</v>
      </c>
      <c r="I20" s="193"/>
      <c r="J20" s="193"/>
      <c r="K20" s="157"/>
    </row>
    <row r="21" spans="1:14" x14ac:dyDescent="0.25">
      <c r="A21" s="157"/>
      <c r="B21" s="157"/>
      <c r="C21" s="812" t="str">
        <f>'Project Emission Distribution'!D35</f>
        <v>AN11</v>
      </c>
      <c r="D21" s="834"/>
      <c r="E21" s="832"/>
      <c r="F21" s="836"/>
      <c r="G21" s="830"/>
      <c r="H21" s="841">
        <f>(D21*E21*F21*G21)/1000*'GWP &amp; Emission Factors '!$D$5*'GWP &amp; Emission Factors '!$D$23</f>
        <v>0</v>
      </c>
      <c r="I21" s="193"/>
      <c r="J21" s="193"/>
      <c r="K21" s="157"/>
    </row>
    <row r="22" spans="1:14" x14ac:dyDescent="0.25">
      <c r="A22" s="157"/>
      <c r="B22" s="157"/>
      <c r="C22" s="812" t="str">
        <f>'Project Emission Distribution'!D36</f>
        <v>AN12</v>
      </c>
      <c r="D22" s="834"/>
      <c r="E22" s="832"/>
      <c r="F22" s="836"/>
      <c r="G22" s="830"/>
      <c r="H22" s="841">
        <f>(D22*E22*F22*G22)/1000*'GWP &amp; Emission Factors '!$D$5*'GWP &amp; Emission Factors '!$D$23</f>
        <v>0</v>
      </c>
      <c r="I22" s="193"/>
      <c r="J22" s="193"/>
      <c r="K22" s="157"/>
    </row>
    <row r="23" spans="1:14" x14ac:dyDescent="0.25">
      <c r="A23" s="157"/>
      <c r="B23" s="157"/>
      <c r="C23" s="812" t="str">
        <f>'Project Emission Distribution'!D37</f>
        <v>AN13</v>
      </c>
      <c r="D23" s="834"/>
      <c r="E23" s="832"/>
      <c r="F23" s="836"/>
      <c r="G23" s="830"/>
      <c r="H23" s="841">
        <f>(D23*E23*F23*G23)/1000*'GWP &amp; Emission Factors '!$D$5*'GWP &amp; Emission Factors '!$D$23</f>
        <v>0</v>
      </c>
      <c r="I23" s="193"/>
      <c r="J23" s="193"/>
      <c r="K23" s="157"/>
    </row>
    <row r="24" spans="1:14" x14ac:dyDescent="0.25">
      <c r="A24" s="157"/>
      <c r="B24" s="157"/>
      <c r="C24" s="812" t="str">
        <f>'Project Emission Distribution'!D38</f>
        <v>AN14</v>
      </c>
      <c r="D24" s="834"/>
      <c r="E24" s="832"/>
      <c r="F24" s="836"/>
      <c r="G24" s="830"/>
      <c r="H24" s="841">
        <f>(D24*E24*F24*G24)/1000*'GWP &amp; Emission Factors '!$D$5*'GWP &amp; Emission Factors '!$D$23</f>
        <v>0</v>
      </c>
      <c r="I24" s="193"/>
      <c r="J24" s="193"/>
      <c r="K24" s="157"/>
    </row>
    <row r="25" spans="1:14" x14ac:dyDescent="0.25">
      <c r="A25" s="157"/>
      <c r="B25" s="157"/>
      <c r="C25" s="812" t="str">
        <f>'Project Emission Distribution'!D39</f>
        <v>AN15</v>
      </c>
      <c r="D25" s="834"/>
      <c r="E25" s="832"/>
      <c r="F25" s="836"/>
      <c r="G25" s="830"/>
      <c r="H25" s="841">
        <f>(D25*E25*F25*G25)/1000*'GWP &amp; Emission Factors '!$D$5*'GWP &amp; Emission Factors '!$D$23</f>
        <v>0</v>
      </c>
      <c r="I25" s="193"/>
      <c r="J25" s="193"/>
      <c r="K25" s="157"/>
    </row>
    <row r="26" spans="1:14" x14ac:dyDescent="0.25">
      <c r="A26" s="157"/>
      <c r="B26" s="157"/>
      <c r="C26" s="812" t="str">
        <f>'Project Emission Distribution'!D40</f>
        <v>AN16</v>
      </c>
      <c r="D26" s="834"/>
      <c r="E26" s="832"/>
      <c r="F26" s="836"/>
      <c r="G26" s="830"/>
      <c r="H26" s="841">
        <f>(D26*E26*F26*G26)/1000*'GWP &amp; Emission Factors '!$D$5*'GWP &amp; Emission Factors '!$D$23</f>
        <v>0</v>
      </c>
      <c r="I26" s="193"/>
      <c r="J26" s="193"/>
      <c r="K26" s="157"/>
    </row>
    <row r="27" spans="1:14" x14ac:dyDescent="0.25">
      <c r="A27" s="157"/>
      <c r="B27" s="157"/>
      <c r="C27" s="812" t="str">
        <f>'Project Emission Distribution'!D41</f>
        <v>AN17</v>
      </c>
      <c r="D27" s="834"/>
      <c r="E27" s="832"/>
      <c r="F27" s="836"/>
      <c r="G27" s="830"/>
      <c r="H27" s="841">
        <f>(D27*E27*F27*G27)/1000*'GWP &amp; Emission Factors '!$D$5*'GWP &amp; Emission Factors '!$D$23</f>
        <v>0</v>
      </c>
      <c r="I27" s="193"/>
      <c r="J27" s="193"/>
      <c r="K27" s="157"/>
    </row>
    <row r="28" spans="1:14" x14ac:dyDescent="0.25">
      <c r="A28" s="157"/>
      <c r="B28" s="157"/>
      <c r="C28" s="812" t="str">
        <f>'Project Emission Distribution'!D42</f>
        <v>AN18</v>
      </c>
      <c r="D28" s="834"/>
      <c r="E28" s="832"/>
      <c r="F28" s="836"/>
      <c r="G28" s="830"/>
      <c r="H28" s="841">
        <f>(D28*E28*F28*G28)/1000*'GWP &amp; Emission Factors '!$D$5*'GWP &amp; Emission Factors '!$D$23</f>
        <v>0</v>
      </c>
      <c r="I28" s="193"/>
      <c r="J28" s="193"/>
      <c r="K28" s="157"/>
    </row>
    <row r="29" spans="1:14" x14ac:dyDescent="0.25">
      <c r="A29" s="157"/>
      <c r="B29" s="157"/>
      <c r="C29" s="812" t="str">
        <f>'Project Emission Distribution'!D43</f>
        <v>AN19</v>
      </c>
      <c r="D29" s="834"/>
      <c r="E29" s="832"/>
      <c r="F29" s="836"/>
      <c r="G29" s="830"/>
      <c r="H29" s="841">
        <f>(D29*E29*F29*G29)/1000*'GWP &amp; Emission Factors '!$D$5*'GWP &amp; Emission Factors '!$D$23</f>
        <v>0</v>
      </c>
      <c r="I29" s="193"/>
      <c r="J29" s="193"/>
      <c r="K29" s="157"/>
    </row>
    <row r="30" spans="1:14" x14ac:dyDescent="0.25">
      <c r="A30" s="157"/>
      <c r="B30" s="157"/>
      <c r="C30" s="812" t="str">
        <f>'Project Emission Distribution'!D44</f>
        <v>AN20</v>
      </c>
      <c r="D30" s="834"/>
      <c r="E30" s="832"/>
      <c r="F30" s="836"/>
      <c r="G30" s="830"/>
      <c r="H30" s="841">
        <f>(D30*E30*F30*G30)/1000*'GWP &amp; Emission Factors '!$D$5*'GWP &amp; Emission Factors '!$D$23</f>
        <v>0</v>
      </c>
      <c r="I30" s="193"/>
      <c r="J30" s="193"/>
      <c r="K30" s="157"/>
    </row>
    <row r="31" spans="1:14" x14ac:dyDescent="0.25">
      <c r="A31" s="157"/>
      <c r="B31" s="157"/>
      <c r="C31" s="812" t="str">
        <f>'Project Emission Distribution'!D45</f>
        <v>AN21</v>
      </c>
      <c r="D31" s="834"/>
      <c r="E31" s="832"/>
      <c r="F31" s="836"/>
      <c r="G31" s="830"/>
      <c r="H31" s="841">
        <f>(D31*E31*F31*G31)/1000*'GWP &amp; Emission Factors '!$D$5*'GWP &amp; Emission Factors '!$D$23</f>
        <v>0</v>
      </c>
      <c r="I31" s="193"/>
      <c r="J31" s="193"/>
      <c r="K31" s="157"/>
    </row>
    <row r="32" spans="1:14" x14ac:dyDescent="0.25">
      <c r="A32" s="157"/>
      <c r="B32" s="157"/>
      <c r="C32" s="812" t="str">
        <f>'Project Emission Distribution'!D46</f>
        <v>AN22</v>
      </c>
      <c r="D32" s="834"/>
      <c r="E32" s="832"/>
      <c r="F32" s="836"/>
      <c r="G32" s="830"/>
      <c r="H32" s="841">
        <f>(D32*E32*F32*G32)/1000*'GWP &amp; Emission Factors '!$D$5*'GWP &amp; Emission Factors '!$D$23</f>
        <v>0</v>
      </c>
      <c r="I32" s="193"/>
      <c r="J32" s="193"/>
      <c r="K32" s="157"/>
    </row>
    <row r="33" spans="1:11" x14ac:dyDescent="0.25">
      <c r="A33" s="157"/>
      <c r="B33" s="157"/>
      <c r="C33" s="812" t="str">
        <f>'Project Emission Distribution'!D47</f>
        <v>AN23</v>
      </c>
      <c r="D33" s="834"/>
      <c r="E33" s="832"/>
      <c r="F33" s="836"/>
      <c r="G33" s="830"/>
      <c r="H33" s="841">
        <f>(D33*E33*F33*G33)/1000*'GWP &amp; Emission Factors '!$D$5*'GWP &amp; Emission Factors '!$D$23</f>
        <v>0</v>
      </c>
      <c r="I33" s="193"/>
      <c r="J33" s="193"/>
      <c r="K33" s="157"/>
    </row>
    <row r="34" spans="1:11" x14ac:dyDescent="0.25">
      <c r="A34" s="157"/>
      <c r="B34" s="157"/>
      <c r="C34" s="812" t="str">
        <f>'Project Emission Distribution'!D48</f>
        <v>AN24</v>
      </c>
      <c r="D34" s="834"/>
      <c r="E34" s="832"/>
      <c r="F34" s="836"/>
      <c r="G34" s="830"/>
      <c r="H34" s="841">
        <f>(D34*E34*F34*G34)/1000*'GWP &amp; Emission Factors '!$D$5*'GWP &amp; Emission Factors '!$D$23</f>
        <v>0</v>
      </c>
      <c r="I34" s="193"/>
      <c r="J34" s="193"/>
      <c r="K34" s="157"/>
    </row>
    <row r="35" spans="1:11" x14ac:dyDescent="0.25">
      <c r="A35" s="157"/>
      <c r="B35" s="157"/>
      <c r="C35" s="812" t="str">
        <f>'Project Emission Distribution'!D49</f>
        <v>AN25</v>
      </c>
      <c r="D35" s="834"/>
      <c r="E35" s="832"/>
      <c r="F35" s="836"/>
      <c r="G35" s="830"/>
      <c r="H35" s="841">
        <f>(D35*E35*F35*G35)/1000*'GWP &amp; Emission Factors '!$D$5*'GWP &amp; Emission Factors '!$D$23</f>
        <v>0</v>
      </c>
      <c r="I35" s="193"/>
      <c r="J35" s="193"/>
      <c r="K35" s="157"/>
    </row>
    <row r="36" spans="1:11" x14ac:dyDescent="0.25">
      <c r="A36" s="157"/>
      <c r="B36" s="157"/>
      <c r="C36" s="812" t="str">
        <f>'Project Emission Distribution'!D50</f>
        <v>AN26</v>
      </c>
      <c r="D36" s="834"/>
      <c r="E36" s="832"/>
      <c r="F36" s="836"/>
      <c r="G36" s="830"/>
      <c r="H36" s="841">
        <f>(D36*E36*F36*G36)/1000*'GWP &amp; Emission Factors '!$D$5*'GWP &amp; Emission Factors '!$D$23</f>
        <v>0</v>
      </c>
      <c r="I36" s="193"/>
      <c r="J36" s="193"/>
      <c r="K36" s="157"/>
    </row>
    <row r="37" spans="1:11" x14ac:dyDescent="0.25">
      <c r="A37" s="157"/>
      <c r="B37" s="157"/>
      <c r="C37" s="812" t="str">
        <f>'Project Emission Distribution'!D51</f>
        <v>AN27</v>
      </c>
      <c r="D37" s="834"/>
      <c r="E37" s="832"/>
      <c r="F37" s="836"/>
      <c r="G37" s="830"/>
      <c r="H37" s="841">
        <f>(D37*E37*F37*G37)/1000*'GWP &amp; Emission Factors '!$D$5*'GWP &amp; Emission Factors '!$D$23</f>
        <v>0</v>
      </c>
      <c r="I37" s="193"/>
      <c r="J37" s="193"/>
      <c r="K37" s="157"/>
    </row>
    <row r="38" spans="1:11" x14ac:dyDescent="0.25">
      <c r="A38" s="157"/>
      <c r="B38" s="157"/>
      <c r="C38" s="812" t="str">
        <f>'Project Emission Distribution'!D52</f>
        <v>AN28</v>
      </c>
      <c r="D38" s="834"/>
      <c r="E38" s="832"/>
      <c r="F38" s="836"/>
      <c r="G38" s="830"/>
      <c r="H38" s="841">
        <f>(D38*E38*F38*G38)/1000*'GWP &amp; Emission Factors '!$D$5*'GWP &amp; Emission Factors '!$D$23</f>
        <v>0</v>
      </c>
      <c r="I38" s="193"/>
      <c r="J38" s="193"/>
      <c r="K38" s="157"/>
    </row>
    <row r="39" spans="1:11" x14ac:dyDescent="0.25">
      <c r="A39" s="157"/>
      <c r="B39" s="157"/>
      <c r="C39" s="812" t="str">
        <f>'Project Emission Distribution'!D53</f>
        <v>AN29</v>
      </c>
      <c r="D39" s="834"/>
      <c r="E39" s="832"/>
      <c r="F39" s="836"/>
      <c r="G39" s="830"/>
      <c r="H39" s="841">
        <f>(D39*E39*F39*G39)/1000*'GWP &amp; Emission Factors '!$D$5*'GWP &amp; Emission Factors '!$D$23</f>
        <v>0</v>
      </c>
      <c r="I39" s="193"/>
      <c r="J39" s="193"/>
      <c r="K39" s="157"/>
    </row>
    <row r="40" spans="1:11" x14ac:dyDescent="0.25">
      <c r="A40" s="157"/>
      <c r="B40" s="157"/>
      <c r="C40" s="812" t="str">
        <f>'Project Emission Distribution'!D54</f>
        <v>AN30</v>
      </c>
      <c r="D40" s="834"/>
      <c r="E40" s="832"/>
      <c r="F40" s="836"/>
      <c r="G40" s="830"/>
      <c r="H40" s="841">
        <f>(D40*E40*F40*G40)/1000*'GWP &amp; Emission Factors '!$D$5*'GWP &amp; Emission Factors '!$D$23</f>
        <v>0</v>
      </c>
      <c r="I40" s="193"/>
      <c r="J40" s="193"/>
      <c r="K40" s="157"/>
    </row>
    <row r="41" spans="1:11" x14ac:dyDescent="0.25">
      <c r="A41" s="157"/>
      <c r="B41" s="157"/>
      <c r="C41" s="812" t="str">
        <f>'Project Emission Distribution'!D55</f>
        <v>AN31</v>
      </c>
      <c r="D41" s="834"/>
      <c r="E41" s="832"/>
      <c r="F41" s="836"/>
      <c r="G41" s="830"/>
      <c r="H41" s="841">
        <f>(D41*E41*F41*G41)/1000*'GWP &amp; Emission Factors '!$D$5*'GWP &amp; Emission Factors '!$D$23</f>
        <v>0</v>
      </c>
      <c r="I41" s="193"/>
      <c r="J41" s="193"/>
      <c r="K41" s="157"/>
    </row>
    <row r="42" spans="1:11" x14ac:dyDescent="0.25">
      <c r="A42" s="157"/>
      <c r="B42" s="157"/>
      <c r="C42" s="812" t="str">
        <f>'Project Emission Distribution'!D56</f>
        <v>AN32</v>
      </c>
      <c r="D42" s="834"/>
      <c r="E42" s="832"/>
      <c r="F42" s="836"/>
      <c r="G42" s="830"/>
      <c r="H42" s="841">
        <f>(D42*E42*F42*G42)/1000*'GWP &amp; Emission Factors '!$D$5*'GWP &amp; Emission Factors '!$D$23</f>
        <v>0</v>
      </c>
      <c r="I42" s="193"/>
      <c r="J42" s="193"/>
      <c r="K42" s="157"/>
    </row>
    <row r="43" spans="1:11" x14ac:dyDescent="0.25">
      <c r="A43" s="157"/>
      <c r="B43" s="157"/>
      <c r="C43" s="812" t="str">
        <f>'Project Emission Distribution'!D57</f>
        <v>AN33</v>
      </c>
      <c r="D43" s="834"/>
      <c r="E43" s="832"/>
      <c r="F43" s="836"/>
      <c r="G43" s="830"/>
      <c r="H43" s="841">
        <f>(D43*E43*F43*G43)/1000*'GWP &amp; Emission Factors '!$D$5*'GWP &amp; Emission Factors '!$D$23</f>
        <v>0</v>
      </c>
      <c r="I43" s="193"/>
      <c r="J43" s="193"/>
      <c r="K43" s="157"/>
    </row>
    <row r="44" spans="1:11" x14ac:dyDescent="0.25">
      <c r="A44" s="157"/>
      <c r="B44" s="157"/>
      <c r="C44" s="812" t="str">
        <f>'Project Emission Distribution'!D58</f>
        <v>AN34</v>
      </c>
      <c r="D44" s="834"/>
      <c r="E44" s="832"/>
      <c r="F44" s="836"/>
      <c r="G44" s="830"/>
      <c r="H44" s="841">
        <f>(D44*E44*F44*G44)/1000*'GWP &amp; Emission Factors '!$D$5*'GWP &amp; Emission Factors '!$D$23</f>
        <v>0</v>
      </c>
      <c r="I44" s="193"/>
      <c r="J44" s="193"/>
      <c r="K44" s="157"/>
    </row>
    <row r="45" spans="1:11" x14ac:dyDescent="0.25">
      <c r="A45" s="157"/>
      <c r="B45" s="157"/>
      <c r="C45" s="812" t="str">
        <f>'Project Emission Distribution'!D59</f>
        <v>AN35</v>
      </c>
      <c r="D45" s="834"/>
      <c r="E45" s="832"/>
      <c r="F45" s="836"/>
      <c r="G45" s="830"/>
      <c r="H45" s="841">
        <f>(D45*E45*F45*G45)/1000*'GWP &amp; Emission Factors '!$D$5*'GWP &amp; Emission Factors '!$D$23</f>
        <v>0</v>
      </c>
      <c r="I45" s="193"/>
      <c r="J45" s="193"/>
      <c r="K45" s="157"/>
    </row>
    <row r="46" spans="1:11" x14ac:dyDescent="0.25">
      <c r="A46" s="157"/>
      <c r="B46" s="157"/>
      <c r="C46" s="812" t="str">
        <f>'Project Emission Distribution'!D60</f>
        <v>AN36</v>
      </c>
      <c r="D46" s="834"/>
      <c r="E46" s="832"/>
      <c r="F46" s="836"/>
      <c r="G46" s="830"/>
      <c r="H46" s="841">
        <f>(D46*E46*F46*G46)/1000*'GWP &amp; Emission Factors '!$D$5*'GWP &amp; Emission Factors '!$D$23</f>
        <v>0</v>
      </c>
      <c r="I46" s="193"/>
      <c r="J46" s="193"/>
      <c r="K46" s="157"/>
    </row>
    <row r="47" spans="1:11" x14ac:dyDescent="0.25">
      <c r="A47" s="157"/>
      <c r="B47" s="157"/>
      <c r="C47" s="812" t="str">
        <f>'Project Emission Distribution'!D61</f>
        <v>AN37</v>
      </c>
      <c r="D47" s="834"/>
      <c r="E47" s="832"/>
      <c r="F47" s="836"/>
      <c r="G47" s="830"/>
      <c r="H47" s="841">
        <f>(D47*E47*F47*G47)/1000*'GWP &amp; Emission Factors '!$D$5*'GWP &amp; Emission Factors '!$D$23</f>
        <v>0</v>
      </c>
      <c r="I47" s="193"/>
      <c r="J47" s="193"/>
      <c r="K47" s="157"/>
    </row>
    <row r="48" spans="1:11" x14ac:dyDescent="0.25">
      <c r="A48" s="157"/>
      <c r="B48" s="157"/>
      <c r="C48" s="812" t="str">
        <f>'Project Emission Distribution'!D62</f>
        <v>AN38</v>
      </c>
      <c r="D48" s="834"/>
      <c r="E48" s="832"/>
      <c r="F48" s="836"/>
      <c r="G48" s="830"/>
      <c r="H48" s="841">
        <f>(D48*E48*F48*G48)/1000*'GWP &amp; Emission Factors '!$D$5*'GWP &amp; Emission Factors '!$D$23</f>
        <v>0</v>
      </c>
      <c r="I48" s="193"/>
      <c r="J48" s="193"/>
      <c r="K48" s="157"/>
    </row>
    <row r="49" spans="1:11" x14ac:dyDescent="0.25">
      <c r="A49" s="157"/>
      <c r="B49" s="157"/>
      <c r="C49" s="812" t="str">
        <f>'Project Emission Distribution'!D63</f>
        <v>AN39</v>
      </c>
      <c r="D49" s="834"/>
      <c r="E49" s="832"/>
      <c r="F49" s="836"/>
      <c r="G49" s="830"/>
      <c r="H49" s="841">
        <f>(D49*E49*F49*G49)/1000*'GWP &amp; Emission Factors '!$D$5*'GWP &amp; Emission Factors '!$D$23</f>
        <v>0</v>
      </c>
      <c r="I49" s="193"/>
      <c r="J49" s="193"/>
      <c r="K49" s="157"/>
    </row>
    <row r="50" spans="1:11" x14ac:dyDescent="0.25">
      <c r="A50" s="157"/>
      <c r="B50" s="157"/>
      <c r="C50" s="812" t="str">
        <f>'Project Emission Distribution'!D64</f>
        <v>AN40</v>
      </c>
      <c r="D50" s="834"/>
      <c r="E50" s="832"/>
      <c r="F50" s="836"/>
      <c r="G50" s="830"/>
      <c r="H50" s="841">
        <f>(D50*E50*F50*G50)/1000*'GWP &amp; Emission Factors '!$D$5*'GWP &amp; Emission Factors '!$D$23</f>
        <v>0</v>
      </c>
      <c r="I50" s="193"/>
      <c r="J50" s="193"/>
      <c r="K50" s="157"/>
    </row>
    <row r="51" spans="1:11" x14ac:dyDescent="0.25">
      <c r="A51" s="157"/>
      <c r="B51" s="157"/>
      <c r="C51" s="812" t="str">
        <f>'Project Emission Distribution'!D65</f>
        <v>AN41</v>
      </c>
      <c r="D51" s="834"/>
      <c r="E51" s="832"/>
      <c r="F51" s="836"/>
      <c r="G51" s="830"/>
      <c r="H51" s="841">
        <f>(D51*E51*F51*G51)/1000*'GWP &amp; Emission Factors '!$D$5*'GWP &amp; Emission Factors '!$D$23</f>
        <v>0</v>
      </c>
      <c r="I51" s="193"/>
      <c r="J51" s="193"/>
      <c r="K51" s="157"/>
    </row>
    <row r="52" spans="1:11" x14ac:dyDescent="0.25">
      <c r="A52" s="157"/>
      <c r="B52" s="157"/>
      <c r="C52" s="812" t="str">
        <f>'Project Emission Distribution'!D66</f>
        <v>AN42</v>
      </c>
      <c r="D52" s="834"/>
      <c r="E52" s="832"/>
      <c r="F52" s="836"/>
      <c r="G52" s="830"/>
      <c r="H52" s="841">
        <f>(D52*E52*F52*G52)/1000*'GWP &amp; Emission Factors '!$D$5*'GWP &amp; Emission Factors '!$D$23</f>
        <v>0</v>
      </c>
      <c r="I52" s="193"/>
      <c r="J52" s="193"/>
      <c r="K52" s="157"/>
    </row>
    <row r="53" spans="1:11" x14ac:dyDescent="0.25">
      <c r="A53" s="157"/>
      <c r="B53" s="157"/>
      <c r="C53" s="812" t="str">
        <f>'Project Emission Distribution'!D67</f>
        <v>AN43</v>
      </c>
      <c r="D53" s="834"/>
      <c r="E53" s="832"/>
      <c r="F53" s="836"/>
      <c r="G53" s="830"/>
      <c r="H53" s="841">
        <f>(D53*E53*F53*G53)/1000*'GWP &amp; Emission Factors '!$D$5*'GWP &amp; Emission Factors '!$D$23</f>
        <v>0</v>
      </c>
      <c r="I53" s="193"/>
      <c r="J53" s="193"/>
      <c r="K53" s="157"/>
    </row>
    <row r="54" spans="1:11" x14ac:dyDescent="0.25">
      <c r="A54" s="157"/>
      <c r="B54" s="157"/>
      <c r="C54" s="812" t="str">
        <f>'Project Emission Distribution'!D68</f>
        <v>AN44</v>
      </c>
      <c r="D54" s="834"/>
      <c r="E54" s="832"/>
      <c r="F54" s="836"/>
      <c r="G54" s="830"/>
      <c r="H54" s="841">
        <f>(D54*E54*F54*G54)/1000*'GWP &amp; Emission Factors '!$D$5*'GWP &amp; Emission Factors '!$D$23</f>
        <v>0</v>
      </c>
      <c r="I54" s="193"/>
      <c r="J54" s="193"/>
      <c r="K54" s="157"/>
    </row>
    <row r="55" spans="1:11" x14ac:dyDescent="0.25">
      <c r="A55" s="157"/>
      <c r="B55" s="157"/>
      <c r="C55" s="812" t="str">
        <f>'Project Emission Distribution'!D69</f>
        <v>AN45</v>
      </c>
      <c r="D55" s="834"/>
      <c r="E55" s="832"/>
      <c r="F55" s="836"/>
      <c r="G55" s="830"/>
      <c r="H55" s="841">
        <f>(D55*E55*F55*G55)/1000*'GWP &amp; Emission Factors '!$D$5*'GWP &amp; Emission Factors '!$D$23</f>
        <v>0</v>
      </c>
      <c r="I55" s="193"/>
      <c r="J55" s="193"/>
      <c r="K55" s="157"/>
    </row>
    <row r="56" spans="1:11" x14ac:dyDescent="0.25">
      <c r="A56" s="157"/>
      <c r="B56" s="157"/>
      <c r="C56" s="812" t="str">
        <f>'Project Emission Distribution'!D70</f>
        <v>AN46</v>
      </c>
      <c r="D56" s="834"/>
      <c r="E56" s="832"/>
      <c r="F56" s="836"/>
      <c r="G56" s="830"/>
      <c r="H56" s="841">
        <f>(D56*E56*F56*G56)/1000*'GWP &amp; Emission Factors '!$D$5*'GWP &amp; Emission Factors '!$D$23</f>
        <v>0</v>
      </c>
      <c r="I56" s="193"/>
      <c r="J56" s="193"/>
      <c r="K56" s="157"/>
    </row>
    <row r="57" spans="1:11" x14ac:dyDescent="0.25">
      <c r="A57" s="157"/>
      <c r="B57" s="157"/>
      <c r="C57" s="812" t="str">
        <f>'Project Emission Distribution'!D71</f>
        <v>AN47</v>
      </c>
      <c r="D57" s="834"/>
      <c r="E57" s="832"/>
      <c r="F57" s="836"/>
      <c r="G57" s="830"/>
      <c r="H57" s="841">
        <f>(D57*E57*F57*G57)/1000*'GWP &amp; Emission Factors '!$D$5*'GWP &amp; Emission Factors '!$D$23</f>
        <v>0</v>
      </c>
      <c r="I57" s="193"/>
      <c r="J57" s="193"/>
      <c r="K57" s="157"/>
    </row>
    <row r="58" spans="1:11" x14ac:dyDescent="0.25">
      <c r="A58" s="157"/>
      <c r="B58" s="157"/>
      <c r="C58" s="812" t="str">
        <f>'Project Emission Distribution'!D72</f>
        <v>AN48</v>
      </c>
      <c r="D58" s="834"/>
      <c r="E58" s="832"/>
      <c r="F58" s="836"/>
      <c r="G58" s="830"/>
      <c r="H58" s="841">
        <f>(D58*E58*F58*G58)/1000*'GWP &amp; Emission Factors '!$D$5*'GWP &amp; Emission Factors '!$D$23</f>
        <v>0</v>
      </c>
      <c r="I58" s="193"/>
      <c r="J58" s="193"/>
      <c r="K58" s="157"/>
    </row>
    <row r="59" spans="1:11" x14ac:dyDescent="0.25">
      <c r="A59" s="157"/>
      <c r="B59" s="157"/>
      <c r="C59" s="812" t="str">
        <f>'Project Emission Distribution'!D73</f>
        <v>AN49</v>
      </c>
      <c r="D59" s="834"/>
      <c r="E59" s="832"/>
      <c r="F59" s="836"/>
      <c r="G59" s="830"/>
      <c r="H59" s="841">
        <f>(D59*E59*F59*G59)/1000*'GWP &amp; Emission Factors '!$D$5*'GWP &amp; Emission Factors '!$D$23</f>
        <v>0</v>
      </c>
      <c r="I59" s="193"/>
      <c r="J59" s="193"/>
      <c r="K59" s="157"/>
    </row>
    <row r="60" spans="1:11" x14ac:dyDescent="0.25">
      <c r="A60" s="157"/>
      <c r="B60" s="157"/>
      <c r="C60" s="812" t="str">
        <f>'Project Emission Distribution'!D74</f>
        <v>AN50</v>
      </c>
      <c r="D60" s="834"/>
      <c r="E60" s="832"/>
      <c r="F60" s="836"/>
      <c r="G60" s="830"/>
      <c r="H60" s="841">
        <f>(D60*E60*F60*G60)/1000*'GWP &amp; Emission Factors '!$D$5*'GWP &amp; Emission Factors '!$D$23</f>
        <v>0</v>
      </c>
      <c r="I60" s="193"/>
      <c r="J60" s="193"/>
      <c r="K60" s="157"/>
    </row>
    <row r="61" spans="1:11" x14ac:dyDescent="0.25">
      <c r="A61" s="157"/>
      <c r="B61" s="157"/>
      <c r="C61" s="812" t="str">
        <f>'Project Emission Distribution'!D75</f>
        <v>AN51</v>
      </c>
      <c r="D61" s="834"/>
      <c r="E61" s="832"/>
      <c r="F61" s="836"/>
      <c r="G61" s="830"/>
      <c r="H61" s="841">
        <f>(D61*E61*F61*G61)/1000*'GWP &amp; Emission Factors '!$D$5*'GWP &amp; Emission Factors '!$D$23</f>
        <v>0</v>
      </c>
      <c r="I61" s="193"/>
      <c r="J61" s="193"/>
      <c r="K61" s="157"/>
    </row>
    <row r="62" spans="1:11" x14ac:dyDescent="0.25">
      <c r="A62" s="157"/>
      <c r="B62" s="157"/>
      <c r="C62" s="812" t="str">
        <f>'Project Emission Distribution'!D76</f>
        <v>AN52</v>
      </c>
      <c r="D62" s="834"/>
      <c r="E62" s="832"/>
      <c r="F62" s="836"/>
      <c r="G62" s="830"/>
      <c r="H62" s="841">
        <f>(D62*E62*F62*G62)/1000*'GWP &amp; Emission Factors '!$D$5*'GWP &amp; Emission Factors '!$D$23</f>
        <v>0</v>
      </c>
      <c r="I62" s="193"/>
      <c r="J62" s="193"/>
      <c r="K62" s="157"/>
    </row>
    <row r="63" spans="1:11" x14ac:dyDescent="0.25">
      <c r="A63" s="157"/>
      <c r="B63" s="157"/>
      <c r="C63" s="812" t="str">
        <f>'Project Emission Distribution'!D77</f>
        <v>AN53</v>
      </c>
      <c r="D63" s="834"/>
      <c r="E63" s="832"/>
      <c r="F63" s="836"/>
      <c r="G63" s="830"/>
      <c r="H63" s="841">
        <f>(D63*E63*F63*G63)/1000*'GWP &amp; Emission Factors '!$D$5*'GWP &amp; Emission Factors '!$D$23</f>
        <v>0</v>
      </c>
      <c r="I63" s="193"/>
      <c r="J63" s="193"/>
      <c r="K63" s="157"/>
    </row>
    <row r="64" spans="1:11" x14ac:dyDescent="0.25">
      <c r="A64" s="157"/>
      <c r="B64" s="157"/>
      <c r="C64" s="812" t="str">
        <f>'Project Emission Distribution'!D78</f>
        <v>AN54</v>
      </c>
      <c r="D64" s="834"/>
      <c r="E64" s="832"/>
      <c r="F64" s="836"/>
      <c r="G64" s="830"/>
      <c r="H64" s="841">
        <f>(D64*E64*F64*G64)/1000*'GWP &amp; Emission Factors '!$D$5*'GWP &amp; Emission Factors '!$D$23</f>
        <v>0</v>
      </c>
      <c r="I64" s="193"/>
      <c r="J64" s="193"/>
      <c r="K64" s="157"/>
    </row>
    <row r="65" spans="1:11" x14ac:dyDescent="0.25">
      <c r="A65" s="157"/>
      <c r="B65" s="157"/>
      <c r="C65" s="812" t="str">
        <f>'Project Emission Distribution'!D79</f>
        <v>AN55</v>
      </c>
      <c r="D65" s="834"/>
      <c r="E65" s="832"/>
      <c r="F65" s="836"/>
      <c r="G65" s="830"/>
      <c r="H65" s="841">
        <f>(D65*E65*F65*G65)/1000*'GWP &amp; Emission Factors '!$D$5*'GWP &amp; Emission Factors '!$D$23</f>
        <v>0</v>
      </c>
      <c r="I65" s="193"/>
      <c r="J65" s="193"/>
      <c r="K65" s="157"/>
    </row>
    <row r="66" spans="1:11" x14ac:dyDescent="0.25">
      <c r="A66" s="157"/>
      <c r="B66" s="157"/>
      <c r="C66" s="812" t="str">
        <f>'Project Emission Distribution'!D80</f>
        <v>AN56</v>
      </c>
      <c r="D66" s="834"/>
      <c r="E66" s="832"/>
      <c r="F66" s="836"/>
      <c r="G66" s="830"/>
      <c r="H66" s="841">
        <f>(D66*E66*F66*G66)/1000*'GWP &amp; Emission Factors '!$D$5*'GWP &amp; Emission Factors '!$D$23</f>
        <v>0</v>
      </c>
      <c r="I66" s="193"/>
      <c r="J66" s="193"/>
      <c r="K66" s="157"/>
    </row>
    <row r="67" spans="1:11" x14ac:dyDescent="0.25">
      <c r="A67" s="157"/>
      <c r="B67" s="157"/>
      <c r="C67" s="812" t="str">
        <f>'Project Emission Distribution'!D81</f>
        <v>AN57</v>
      </c>
      <c r="D67" s="834"/>
      <c r="E67" s="832"/>
      <c r="F67" s="836"/>
      <c r="G67" s="830"/>
      <c r="H67" s="841">
        <f>(D67*E67*F67*G67)/1000*'GWP &amp; Emission Factors '!$D$5*'GWP &amp; Emission Factors '!$D$23</f>
        <v>0</v>
      </c>
      <c r="I67" s="193"/>
      <c r="J67" s="193"/>
      <c r="K67" s="157"/>
    </row>
    <row r="68" spans="1:11" x14ac:dyDescent="0.25">
      <c r="A68" s="157"/>
      <c r="B68" s="157"/>
      <c r="C68" s="812" t="str">
        <f>'Project Emission Distribution'!D82</f>
        <v>AN58</v>
      </c>
      <c r="D68" s="834"/>
      <c r="E68" s="832"/>
      <c r="F68" s="836"/>
      <c r="G68" s="830"/>
      <c r="H68" s="841">
        <f>(D68*E68*F68*G68)/1000*'GWP &amp; Emission Factors '!$D$5*'GWP &amp; Emission Factors '!$D$23</f>
        <v>0</v>
      </c>
      <c r="I68" s="193"/>
      <c r="J68" s="193"/>
      <c r="K68" s="157"/>
    </row>
    <row r="69" spans="1:11" x14ac:dyDescent="0.25">
      <c r="A69" s="157"/>
      <c r="B69" s="157"/>
      <c r="C69" s="812" t="str">
        <f>'Project Emission Distribution'!D83</f>
        <v>AN59</v>
      </c>
      <c r="D69" s="834"/>
      <c r="E69" s="832"/>
      <c r="F69" s="836"/>
      <c r="G69" s="830"/>
      <c r="H69" s="841">
        <f>(D69*E69*F69*G69)/1000*'GWP &amp; Emission Factors '!$D$5*'GWP &amp; Emission Factors '!$D$23</f>
        <v>0</v>
      </c>
      <c r="I69" s="193"/>
      <c r="J69" s="193"/>
      <c r="K69" s="157"/>
    </row>
    <row r="70" spans="1:11" x14ac:dyDescent="0.25">
      <c r="A70" s="157"/>
      <c r="B70" s="157"/>
      <c r="C70" s="812" t="str">
        <f>'Project Emission Distribution'!D84</f>
        <v>AN60</v>
      </c>
      <c r="D70" s="834"/>
      <c r="E70" s="832"/>
      <c r="F70" s="836"/>
      <c r="G70" s="830"/>
      <c r="H70" s="841">
        <f>(D70*E70*F70*G70)/1000*'GWP &amp; Emission Factors '!$D$5*'GWP &amp; Emission Factors '!$D$23</f>
        <v>0</v>
      </c>
      <c r="I70" s="193"/>
      <c r="J70" s="193"/>
      <c r="K70" s="157"/>
    </row>
    <row r="71" spans="1:11" x14ac:dyDescent="0.25">
      <c r="A71" s="157"/>
      <c r="B71" s="157"/>
      <c r="C71" s="157"/>
      <c r="D71" s="194"/>
      <c r="E71" s="194"/>
      <c r="F71" s="194"/>
      <c r="G71" s="194"/>
      <c r="H71" s="194"/>
      <c r="I71" s="157"/>
      <c r="J71" s="157"/>
      <c r="K71" s="157"/>
    </row>
    <row r="72" spans="1:11" x14ac:dyDescent="0.25">
      <c r="A72" s="157"/>
      <c r="B72" s="157"/>
      <c r="C72" s="157"/>
      <c r="D72" s="194"/>
      <c r="E72" s="194"/>
      <c r="F72" s="194"/>
      <c r="G72" s="194"/>
      <c r="H72" s="194"/>
      <c r="I72" s="157"/>
      <c r="J72" s="157"/>
      <c r="K72" s="157"/>
    </row>
    <row r="73" spans="1:11" x14ac:dyDescent="0.25">
      <c r="A73" s="157"/>
      <c r="B73" s="157"/>
      <c r="C73" s="157"/>
      <c r="D73" s="157"/>
      <c r="E73" s="157"/>
      <c r="F73" s="157"/>
      <c r="G73" s="157"/>
      <c r="H73" s="157"/>
      <c r="I73" s="157"/>
      <c r="J73" s="157"/>
      <c r="K73" s="157"/>
    </row>
    <row r="76" spans="1:11" x14ac:dyDescent="0.25">
      <c r="C76" s="116"/>
    </row>
    <row r="77" spans="1:11" x14ac:dyDescent="0.25">
      <c r="C77" s="116"/>
    </row>
    <row r="78" spans="1:11" x14ac:dyDescent="0.25">
      <c r="C78" s="116"/>
    </row>
    <row r="79" spans="1:11" x14ac:dyDescent="0.25">
      <c r="C79" s="116"/>
    </row>
    <row r="80" spans="1:11" x14ac:dyDescent="0.25">
      <c r="C80" s="116"/>
    </row>
    <row r="81" spans="3:3" x14ac:dyDescent="0.25">
      <c r="C81" s="116"/>
    </row>
    <row r="82" spans="3:3" x14ac:dyDescent="0.25">
      <c r="C82" s="116"/>
    </row>
    <row r="83" spans="3:3" x14ac:dyDescent="0.25">
      <c r="C83" s="116"/>
    </row>
    <row r="84" spans="3:3" x14ac:dyDescent="0.25">
      <c r="C84" s="116"/>
    </row>
    <row r="85" spans="3:3" x14ac:dyDescent="0.25">
      <c r="C85" s="116"/>
    </row>
    <row r="86" spans="3:3" x14ac:dyDescent="0.25">
      <c r="C86" s="116"/>
    </row>
    <row r="87" spans="3:3" x14ac:dyDescent="0.25">
      <c r="C87" s="116"/>
    </row>
    <row r="88" spans="3:3" x14ac:dyDescent="0.25">
      <c r="C88" s="116"/>
    </row>
    <row r="89" spans="3:3" x14ac:dyDescent="0.25">
      <c r="C89" s="116"/>
    </row>
    <row r="90" spans="3:3" x14ac:dyDescent="0.25">
      <c r="C90" s="116"/>
    </row>
    <row r="91" spans="3:3" x14ac:dyDescent="0.25">
      <c r="C91" s="116"/>
    </row>
    <row r="92" spans="3:3" x14ac:dyDescent="0.25">
      <c r="C92" s="116"/>
    </row>
    <row r="93" spans="3:3" x14ac:dyDescent="0.25">
      <c r="C93" s="116"/>
    </row>
    <row r="94" spans="3:3" x14ac:dyDescent="0.25">
      <c r="C94" s="116"/>
    </row>
    <row r="95" spans="3:3" x14ac:dyDescent="0.25">
      <c r="C95" s="116"/>
    </row>
    <row r="96" spans="3:3" x14ac:dyDescent="0.25">
      <c r="C96" s="116"/>
    </row>
    <row r="97" spans="3:3" x14ac:dyDescent="0.25">
      <c r="C97" s="116"/>
    </row>
    <row r="98" spans="3:3" x14ac:dyDescent="0.25">
      <c r="C98" s="116"/>
    </row>
    <row r="99" spans="3:3" x14ac:dyDescent="0.25">
      <c r="C99" s="116"/>
    </row>
    <row r="100" spans="3:3" x14ac:dyDescent="0.25">
      <c r="C100" s="116"/>
    </row>
    <row r="101" spans="3:3" x14ac:dyDescent="0.25">
      <c r="C101" s="116"/>
    </row>
    <row r="102" spans="3:3" x14ac:dyDescent="0.25">
      <c r="C102" s="116"/>
    </row>
    <row r="103" spans="3:3" x14ac:dyDescent="0.25">
      <c r="C103" s="116"/>
    </row>
    <row r="104" spans="3:3" x14ac:dyDescent="0.25">
      <c r="C104" s="116"/>
    </row>
    <row r="105" spans="3:3" x14ac:dyDescent="0.25">
      <c r="C105" s="116"/>
    </row>
    <row r="106" spans="3:3" x14ac:dyDescent="0.25">
      <c r="C106" s="116"/>
    </row>
    <row r="107" spans="3:3" x14ac:dyDescent="0.25">
      <c r="C107" s="116"/>
    </row>
    <row r="108" spans="3:3" x14ac:dyDescent="0.25">
      <c r="C108" s="116"/>
    </row>
    <row r="109" spans="3:3" x14ac:dyDescent="0.25">
      <c r="C109" s="116"/>
    </row>
    <row r="110" spans="3:3" x14ac:dyDescent="0.25">
      <c r="C110" s="116"/>
    </row>
    <row r="111" spans="3:3" x14ac:dyDescent="0.25">
      <c r="C111" s="116"/>
    </row>
    <row r="112" spans="3:3" x14ac:dyDescent="0.25">
      <c r="C112" s="116"/>
    </row>
    <row r="113" spans="3:3" x14ac:dyDescent="0.25">
      <c r="C113" s="116"/>
    </row>
    <row r="114" spans="3:3" x14ac:dyDescent="0.25">
      <c r="C114" s="116"/>
    </row>
    <row r="115" spans="3:3" x14ac:dyDescent="0.25">
      <c r="C115" s="116"/>
    </row>
    <row r="116" spans="3:3" x14ac:dyDescent="0.25">
      <c r="C116" s="116"/>
    </row>
    <row r="117" spans="3:3" x14ac:dyDescent="0.25">
      <c r="C117" s="116"/>
    </row>
    <row r="118" spans="3:3" x14ac:dyDescent="0.25">
      <c r="C118" s="116"/>
    </row>
    <row r="119" spans="3:3" x14ac:dyDescent="0.25">
      <c r="C119" s="116"/>
    </row>
    <row r="120" spans="3:3" x14ac:dyDescent="0.25">
      <c r="C120" s="116"/>
    </row>
    <row r="121" spans="3:3" x14ac:dyDescent="0.25">
      <c r="C121" s="116"/>
    </row>
    <row r="122" spans="3:3" x14ac:dyDescent="0.25">
      <c r="C122" s="116"/>
    </row>
    <row r="123" spans="3:3" x14ac:dyDescent="0.25">
      <c r="C123" s="116"/>
    </row>
    <row r="124" spans="3:3" x14ac:dyDescent="0.25">
      <c r="C124" s="116"/>
    </row>
    <row r="125" spans="3:3" x14ac:dyDescent="0.25">
      <c r="C125" s="116"/>
    </row>
    <row r="126" spans="3:3" x14ac:dyDescent="0.25">
      <c r="C126" s="116"/>
    </row>
    <row r="127" spans="3:3" x14ac:dyDescent="0.25">
      <c r="C127" s="116"/>
    </row>
    <row r="128" spans="3:3" x14ac:dyDescent="0.25">
      <c r="C128" s="116"/>
    </row>
    <row r="129" spans="3:3" x14ac:dyDescent="0.25">
      <c r="C129" s="116"/>
    </row>
    <row r="130" spans="3:3" x14ac:dyDescent="0.25">
      <c r="C130" s="116"/>
    </row>
    <row r="131" spans="3:3" x14ac:dyDescent="0.25">
      <c r="C131" s="116"/>
    </row>
    <row r="132" spans="3:3" x14ac:dyDescent="0.25">
      <c r="C132" s="116"/>
    </row>
    <row r="133" spans="3:3" x14ac:dyDescent="0.25">
      <c r="C133" s="116"/>
    </row>
    <row r="134" spans="3:3" x14ac:dyDescent="0.25">
      <c r="C134" s="116"/>
    </row>
    <row r="135" spans="3:3" x14ac:dyDescent="0.25">
      <c r="C135" s="116"/>
    </row>
    <row r="136" spans="3:3" x14ac:dyDescent="0.25">
      <c r="C136" s="116"/>
    </row>
    <row r="137" spans="3:3" x14ac:dyDescent="0.25">
      <c r="C137" s="116"/>
    </row>
    <row r="138" spans="3:3" x14ac:dyDescent="0.25">
      <c r="C138" s="116"/>
    </row>
    <row r="139" spans="3:3" x14ac:dyDescent="0.25">
      <c r="C139" s="116"/>
    </row>
    <row r="140" spans="3:3" x14ac:dyDescent="0.25">
      <c r="C140" s="116"/>
    </row>
    <row r="141" spans="3:3" x14ac:dyDescent="0.25">
      <c r="C141" s="116"/>
    </row>
    <row r="142" spans="3:3" x14ac:dyDescent="0.25">
      <c r="C142" s="116"/>
    </row>
    <row r="143" spans="3:3" x14ac:dyDescent="0.25">
      <c r="C143" s="116"/>
    </row>
    <row r="144" spans="3:3" x14ac:dyDescent="0.25">
      <c r="C144" s="116"/>
    </row>
    <row r="145" spans="3:3" x14ac:dyDescent="0.25">
      <c r="C145" s="116"/>
    </row>
    <row r="146" spans="3:3" x14ac:dyDescent="0.25">
      <c r="C146" s="116"/>
    </row>
    <row r="147" spans="3:3" x14ac:dyDescent="0.25">
      <c r="C147" s="116"/>
    </row>
    <row r="148" spans="3:3" x14ac:dyDescent="0.25">
      <c r="C148" s="116"/>
    </row>
    <row r="149" spans="3:3" x14ac:dyDescent="0.25">
      <c r="C149" s="116"/>
    </row>
    <row r="150" spans="3:3" x14ac:dyDescent="0.25">
      <c r="C150" s="116"/>
    </row>
    <row r="151" spans="3:3" x14ac:dyDescent="0.25">
      <c r="C151" s="116"/>
    </row>
    <row r="152" spans="3:3" x14ac:dyDescent="0.25">
      <c r="C152" s="116"/>
    </row>
    <row r="153" spans="3:3" x14ac:dyDescent="0.25">
      <c r="C153" s="116"/>
    </row>
    <row r="154" spans="3:3" x14ac:dyDescent="0.25">
      <c r="C154" s="116"/>
    </row>
    <row r="155" spans="3:3" x14ac:dyDescent="0.25">
      <c r="C155" s="116"/>
    </row>
    <row r="156" spans="3:3" x14ac:dyDescent="0.25">
      <c r="C156" s="116"/>
    </row>
    <row r="157" spans="3:3" x14ac:dyDescent="0.25">
      <c r="C157" s="116"/>
    </row>
    <row r="158" spans="3:3" x14ac:dyDescent="0.25">
      <c r="C158" s="116"/>
    </row>
    <row r="159" spans="3:3" x14ac:dyDescent="0.25">
      <c r="C159" s="116"/>
    </row>
    <row r="160" spans="3:3" x14ac:dyDescent="0.25">
      <c r="C160" s="116"/>
    </row>
    <row r="161" spans="3:3" x14ac:dyDescent="0.25">
      <c r="C161" s="116"/>
    </row>
    <row r="162" spans="3:3" x14ac:dyDescent="0.25">
      <c r="C162" s="116"/>
    </row>
    <row r="163" spans="3:3" x14ac:dyDescent="0.25">
      <c r="C163" s="116"/>
    </row>
    <row r="164" spans="3:3" x14ac:dyDescent="0.25">
      <c r="C164" s="116"/>
    </row>
    <row r="165" spans="3:3" x14ac:dyDescent="0.25">
      <c r="C165" s="116"/>
    </row>
    <row r="166" spans="3:3" x14ac:dyDescent="0.25">
      <c r="C166" s="116"/>
    </row>
    <row r="167" spans="3:3" x14ac:dyDescent="0.25">
      <c r="C167" s="116"/>
    </row>
    <row r="168" spans="3:3" x14ac:dyDescent="0.25">
      <c r="C168" s="116"/>
    </row>
    <row r="169" spans="3:3" x14ac:dyDescent="0.25">
      <c r="C169" s="116"/>
    </row>
    <row r="170" spans="3:3" x14ac:dyDescent="0.25">
      <c r="C170" s="116"/>
    </row>
    <row r="171" spans="3:3" x14ac:dyDescent="0.25">
      <c r="C171" s="116"/>
    </row>
    <row r="172" spans="3:3" x14ac:dyDescent="0.25">
      <c r="C172" s="116"/>
    </row>
    <row r="173" spans="3:3" x14ac:dyDescent="0.25">
      <c r="C173" s="116"/>
    </row>
    <row r="174" spans="3:3" x14ac:dyDescent="0.25">
      <c r="C174" s="116"/>
    </row>
    <row r="175" spans="3:3" x14ac:dyDescent="0.25">
      <c r="C175" s="116"/>
    </row>
    <row r="176" spans="3:3" x14ac:dyDescent="0.25">
      <c r="C176" s="116"/>
    </row>
    <row r="177" spans="3:3" x14ac:dyDescent="0.25">
      <c r="C177" s="116"/>
    </row>
    <row r="178" spans="3:3" x14ac:dyDescent="0.25">
      <c r="C178" s="116"/>
    </row>
    <row r="179" spans="3:3" x14ac:dyDescent="0.25">
      <c r="C179" s="116"/>
    </row>
    <row r="180" spans="3:3" x14ac:dyDescent="0.25">
      <c r="C180" s="116"/>
    </row>
    <row r="181" spans="3:3" x14ac:dyDescent="0.25">
      <c r="C181" s="116"/>
    </row>
    <row r="182" spans="3:3" x14ac:dyDescent="0.25">
      <c r="C182" s="116"/>
    </row>
    <row r="183" spans="3:3" x14ac:dyDescent="0.25">
      <c r="C183" s="116"/>
    </row>
    <row r="184" spans="3:3" x14ac:dyDescent="0.25">
      <c r="C184" s="116"/>
    </row>
    <row r="185" spans="3:3" x14ac:dyDescent="0.25">
      <c r="C185" s="116"/>
    </row>
    <row r="186" spans="3:3" x14ac:dyDescent="0.25">
      <c r="C186" s="116"/>
    </row>
    <row r="187" spans="3:3" x14ac:dyDescent="0.25">
      <c r="C187" s="116"/>
    </row>
    <row r="188" spans="3:3" x14ac:dyDescent="0.25">
      <c r="C188" s="116"/>
    </row>
    <row r="189" spans="3:3" x14ac:dyDescent="0.25">
      <c r="C189" s="116"/>
    </row>
    <row r="190" spans="3:3" x14ac:dyDescent="0.25">
      <c r="C190" s="116"/>
    </row>
    <row r="191" spans="3:3" x14ac:dyDescent="0.25">
      <c r="C191" s="116"/>
    </row>
    <row r="192" spans="3:3" x14ac:dyDescent="0.25">
      <c r="C192" s="116"/>
    </row>
    <row r="193" spans="3:3" x14ac:dyDescent="0.25">
      <c r="C193" s="116"/>
    </row>
    <row r="194" spans="3:3" x14ac:dyDescent="0.25">
      <c r="C194" s="116"/>
    </row>
    <row r="195" spans="3:3" x14ac:dyDescent="0.25">
      <c r="C195" s="116"/>
    </row>
    <row r="196" spans="3:3" x14ac:dyDescent="0.25">
      <c r="C196" s="116"/>
    </row>
    <row r="197" spans="3:3" x14ac:dyDescent="0.25">
      <c r="C197" s="116"/>
    </row>
    <row r="198" spans="3:3" x14ac:dyDescent="0.25">
      <c r="C198" s="116"/>
    </row>
    <row r="199" spans="3:3" x14ac:dyDescent="0.25">
      <c r="C199" s="116"/>
    </row>
    <row r="200" spans="3:3" x14ac:dyDescent="0.25">
      <c r="C200" s="116"/>
    </row>
    <row r="201" spans="3:3" x14ac:dyDescent="0.25">
      <c r="C201" s="116"/>
    </row>
    <row r="202" spans="3:3" x14ac:dyDescent="0.25">
      <c r="C202" s="116"/>
    </row>
    <row r="203" spans="3:3" x14ac:dyDescent="0.25">
      <c r="C203" s="116"/>
    </row>
    <row r="204" spans="3:3" x14ac:dyDescent="0.25">
      <c r="C204" s="116"/>
    </row>
    <row r="205" spans="3:3" x14ac:dyDescent="0.25">
      <c r="C205" s="116"/>
    </row>
    <row r="206" spans="3:3" x14ac:dyDescent="0.25">
      <c r="C206" s="116"/>
    </row>
    <row r="207" spans="3:3" x14ac:dyDescent="0.25">
      <c r="C207" s="116"/>
    </row>
    <row r="208" spans="3:3" x14ac:dyDescent="0.25">
      <c r="C208" s="116"/>
    </row>
    <row r="209" spans="3:3" x14ac:dyDescent="0.25">
      <c r="C209" s="116"/>
    </row>
    <row r="210" spans="3:3" x14ac:dyDescent="0.25">
      <c r="C210" s="116"/>
    </row>
    <row r="211" spans="3:3" x14ac:dyDescent="0.25">
      <c r="C211" s="116"/>
    </row>
    <row r="212" spans="3:3" x14ac:dyDescent="0.25">
      <c r="C212" s="116"/>
    </row>
    <row r="213" spans="3:3" x14ac:dyDescent="0.25">
      <c r="C213" s="116"/>
    </row>
    <row r="214" spans="3:3" x14ac:dyDescent="0.25">
      <c r="C214" s="116"/>
    </row>
    <row r="215" spans="3:3" x14ac:dyDescent="0.25">
      <c r="C215" s="116"/>
    </row>
    <row r="216" spans="3:3" x14ac:dyDescent="0.25">
      <c r="C216" s="116"/>
    </row>
    <row r="217" spans="3:3" x14ac:dyDescent="0.25">
      <c r="C217" s="116"/>
    </row>
    <row r="218" spans="3:3" x14ac:dyDescent="0.25">
      <c r="C218" s="116"/>
    </row>
    <row r="219" spans="3:3" x14ac:dyDescent="0.25">
      <c r="C219" s="116"/>
    </row>
    <row r="220" spans="3:3" x14ac:dyDescent="0.25">
      <c r="C220" s="116"/>
    </row>
    <row r="221" spans="3:3" x14ac:dyDescent="0.25">
      <c r="C221" s="116"/>
    </row>
    <row r="222" spans="3:3" x14ac:dyDescent="0.25">
      <c r="C222" s="116"/>
    </row>
    <row r="223" spans="3:3" x14ac:dyDescent="0.25">
      <c r="C223" s="116"/>
    </row>
    <row r="224" spans="3:3" x14ac:dyDescent="0.25">
      <c r="C224" s="116"/>
    </row>
    <row r="225" spans="3:3" x14ac:dyDescent="0.25">
      <c r="C225" s="116"/>
    </row>
    <row r="226" spans="3:3" x14ac:dyDescent="0.25">
      <c r="C226" s="116"/>
    </row>
    <row r="227" spans="3:3" x14ac:dyDescent="0.25">
      <c r="C227" s="116"/>
    </row>
    <row r="228" spans="3:3" x14ac:dyDescent="0.25">
      <c r="C228" s="116"/>
    </row>
    <row r="229" spans="3:3" x14ac:dyDescent="0.25">
      <c r="C229" s="116"/>
    </row>
    <row r="230" spans="3:3" x14ac:dyDescent="0.25">
      <c r="C230" s="116"/>
    </row>
    <row r="231" spans="3:3" x14ac:dyDescent="0.25">
      <c r="C231" s="116"/>
    </row>
    <row r="232" spans="3:3" x14ac:dyDescent="0.25">
      <c r="C232" s="116"/>
    </row>
    <row r="233" spans="3:3" x14ac:dyDescent="0.25">
      <c r="C233" s="116"/>
    </row>
    <row r="234" spans="3:3" x14ac:dyDescent="0.25">
      <c r="C234" s="116"/>
    </row>
    <row r="235" spans="3:3" x14ac:dyDescent="0.25">
      <c r="C235" s="116"/>
    </row>
    <row r="236" spans="3:3" x14ac:dyDescent="0.25">
      <c r="C236" s="116"/>
    </row>
    <row r="237" spans="3:3" x14ac:dyDescent="0.25">
      <c r="C237" s="116"/>
    </row>
    <row r="238" spans="3:3" x14ac:dyDescent="0.25">
      <c r="C238" s="116"/>
    </row>
    <row r="239" spans="3:3" x14ac:dyDescent="0.25">
      <c r="C239" s="116"/>
    </row>
    <row r="240" spans="3:3" x14ac:dyDescent="0.25">
      <c r="C240" s="116"/>
    </row>
    <row r="241" spans="3:3" x14ac:dyDescent="0.25">
      <c r="C241" s="116"/>
    </row>
    <row r="242" spans="3:3" x14ac:dyDescent="0.25">
      <c r="C242" s="116"/>
    </row>
    <row r="243" spans="3:3" x14ac:dyDescent="0.25">
      <c r="C243" s="116"/>
    </row>
    <row r="244" spans="3:3" x14ac:dyDescent="0.25">
      <c r="C244" s="116"/>
    </row>
    <row r="245" spans="3:3" x14ac:dyDescent="0.25">
      <c r="C245" s="116"/>
    </row>
    <row r="246" spans="3:3" x14ac:dyDescent="0.25">
      <c r="C246" s="116"/>
    </row>
    <row r="247" spans="3:3" x14ac:dyDescent="0.25">
      <c r="C247" s="116"/>
    </row>
    <row r="248" spans="3:3" x14ac:dyDescent="0.25">
      <c r="C248" s="116"/>
    </row>
    <row r="249" spans="3:3" x14ac:dyDescent="0.25">
      <c r="C249" s="116"/>
    </row>
    <row r="250" spans="3:3" x14ac:dyDescent="0.25">
      <c r="C250" s="116"/>
    </row>
    <row r="251" spans="3:3" x14ac:dyDescent="0.25">
      <c r="C251" s="116"/>
    </row>
    <row r="252" spans="3:3" x14ac:dyDescent="0.25">
      <c r="C252" s="116"/>
    </row>
    <row r="253" spans="3:3" x14ac:dyDescent="0.25">
      <c r="C253" s="116"/>
    </row>
    <row r="254" spans="3:3" x14ac:dyDescent="0.25">
      <c r="C254" s="116"/>
    </row>
    <row r="255" spans="3:3" x14ac:dyDescent="0.25">
      <c r="C255" s="116"/>
    </row>
    <row r="256" spans="3:3" x14ac:dyDescent="0.25">
      <c r="C256" s="116"/>
    </row>
    <row r="257" spans="3:3" x14ac:dyDescent="0.25">
      <c r="C257" s="116"/>
    </row>
    <row r="258" spans="3:3" x14ac:dyDescent="0.25">
      <c r="C258" s="116"/>
    </row>
    <row r="259" spans="3:3" x14ac:dyDescent="0.25">
      <c r="C259" s="116"/>
    </row>
    <row r="260" spans="3:3" x14ac:dyDescent="0.25">
      <c r="C260" s="116"/>
    </row>
    <row r="261" spans="3:3" x14ac:dyDescent="0.25">
      <c r="C261" s="116"/>
    </row>
    <row r="262" spans="3:3" x14ac:dyDescent="0.25">
      <c r="C262" s="116"/>
    </row>
    <row r="263" spans="3:3" x14ac:dyDescent="0.25">
      <c r="C263" s="116"/>
    </row>
    <row r="264" spans="3:3" x14ac:dyDescent="0.25">
      <c r="C264" s="116"/>
    </row>
    <row r="265" spans="3:3" x14ac:dyDescent="0.25">
      <c r="C265" s="116"/>
    </row>
    <row r="266" spans="3:3" x14ac:dyDescent="0.25">
      <c r="C266" s="116"/>
    </row>
    <row r="267" spans="3:3" x14ac:dyDescent="0.25">
      <c r="C267" s="116"/>
    </row>
    <row r="268" spans="3:3" x14ac:dyDescent="0.25">
      <c r="C268" s="116"/>
    </row>
    <row r="269" spans="3:3" x14ac:dyDescent="0.25">
      <c r="C269" s="116"/>
    </row>
    <row r="270" spans="3:3" x14ac:dyDescent="0.25">
      <c r="C270" s="116"/>
    </row>
    <row r="271" spans="3:3" x14ac:dyDescent="0.25">
      <c r="C271" s="116"/>
    </row>
    <row r="272" spans="3:3" x14ac:dyDescent="0.25">
      <c r="C272" s="116"/>
    </row>
    <row r="273" spans="3:3" x14ac:dyDescent="0.25">
      <c r="C273" s="116"/>
    </row>
    <row r="274" spans="3:3" x14ac:dyDescent="0.25">
      <c r="C274" s="116"/>
    </row>
    <row r="275" spans="3:3" x14ac:dyDescent="0.25">
      <c r="C275" s="116"/>
    </row>
    <row r="276" spans="3:3" x14ac:dyDescent="0.25">
      <c r="C276" s="116"/>
    </row>
    <row r="277" spans="3:3" x14ac:dyDescent="0.25">
      <c r="C277" s="116"/>
    </row>
    <row r="278" spans="3:3" x14ac:dyDescent="0.25">
      <c r="C278" s="116"/>
    </row>
    <row r="279" spans="3:3" x14ac:dyDescent="0.25">
      <c r="C279" s="116"/>
    </row>
    <row r="280" spans="3:3" x14ac:dyDescent="0.25">
      <c r="C280" s="116"/>
    </row>
    <row r="281" spans="3:3" x14ac:dyDescent="0.25">
      <c r="C281" s="116"/>
    </row>
    <row r="282" spans="3:3" x14ac:dyDescent="0.25">
      <c r="C282" s="116"/>
    </row>
    <row r="283" spans="3:3" x14ac:dyDescent="0.25">
      <c r="C283" s="116"/>
    </row>
    <row r="284" spans="3:3" x14ac:dyDescent="0.25">
      <c r="C284" s="116"/>
    </row>
    <row r="285" spans="3:3" x14ac:dyDescent="0.25">
      <c r="C285" s="116"/>
    </row>
    <row r="286" spans="3:3" x14ac:dyDescent="0.25">
      <c r="C286" s="116"/>
    </row>
    <row r="287" spans="3:3" x14ac:dyDescent="0.25">
      <c r="C287" s="116"/>
    </row>
  </sheetData>
  <dataValidations count="3">
    <dataValidation type="custom" allowBlank="1" showInputMessage="1" showErrorMessage="1" error="You have already entered the same Project Serial No" sqref="C11:C70" xr:uid="{6E468287-E7EC-47AF-9FBF-82BBAEBA29B3}">
      <formula1>COUNTIF($C$11:$C$46,C11)&lt;=1</formula1>
    </dataValidation>
    <dataValidation type="whole" operator="greaterThanOrEqual" allowBlank="1" showInputMessage="1" showErrorMessage="1" prompt="Please enter whole numbers" sqref="E11:G70" xr:uid="{198392D3-7B04-436A-A1C9-10442E22BCF2}">
      <formula1>0</formula1>
    </dataValidation>
    <dataValidation type="decimal" operator="greaterThanOrEqual" allowBlank="1" showInputMessage="1" showErrorMessage="1" prompt="Please enter Power rating of total electrical equipments in the product" sqref="D11:D70" xr:uid="{B3708FF1-FCB9-4E10-A2DA-5C5D14DFC3E9}">
      <formula1>0</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5B1C9-959B-4291-AEC7-0D8968F4F50E}">
  <dimension ref="A2:Z99"/>
  <sheetViews>
    <sheetView workbookViewId="0">
      <selection activeCell="AC9" sqref="AC9"/>
    </sheetView>
  </sheetViews>
  <sheetFormatPr defaultRowHeight="15" x14ac:dyDescent="0.25"/>
  <cols>
    <col min="3" max="3" width="27" customWidth="1"/>
    <col min="4" max="4" width="27" bestFit="1" customWidth="1"/>
    <col min="5" max="5" width="11.85546875" customWidth="1"/>
    <col min="6" max="6" width="13.140625" customWidth="1"/>
    <col min="7" max="7" width="12" customWidth="1"/>
    <col min="14" max="14" width="17" bestFit="1" customWidth="1"/>
    <col min="15" max="15" width="27" bestFit="1" customWidth="1"/>
    <col min="16" max="16" width="8.7109375" bestFit="1" customWidth="1"/>
    <col min="17" max="18" width="10.85546875" bestFit="1" customWidth="1"/>
    <col min="19" max="19" width="19.28515625" customWidth="1"/>
    <col min="21" max="21" width="21.7109375" customWidth="1"/>
    <col min="22" max="22" width="24" customWidth="1"/>
    <col min="25" max="25" width="19.7109375" customWidth="1"/>
  </cols>
  <sheetData>
    <row r="2" spans="1:25" x14ac:dyDescent="0.25">
      <c r="S2" s="429" t="s">
        <v>426</v>
      </c>
      <c r="U2" s="430" t="s">
        <v>419</v>
      </c>
      <c r="V2" s="431" t="s">
        <v>290</v>
      </c>
      <c r="W2" s="431" t="s">
        <v>425</v>
      </c>
      <c r="X2" s="431" t="s">
        <v>14</v>
      </c>
      <c r="Y2" s="431" t="s">
        <v>427</v>
      </c>
    </row>
    <row r="3" spans="1:25" x14ac:dyDescent="0.25">
      <c r="S3" s="429" t="s">
        <v>303</v>
      </c>
      <c r="U3" s="404" t="s">
        <v>291</v>
      </c>
      <c r="V3" s="372">
        <f>P12/'GWP &amp; Emission Factors '!O160</f>
        <v>0.32899869960988298</v>
      </c>
      <c r="W3" s="372"/>
      <c r="X3" s="372"/>
      <c r="Y3" s="372"/>
    </row>
    <row r="4" spans="1:25" x14ac:dyDescent="0.25">
      <c r="S4" s="429" t="s">
        <v>36</v>
      </c>
      <c r="U4" s="404" t="s">
        <v>293</v>
      </c>
      <c r="V4" s="372"/>
      <c r="W4" s="372"/>
      <c r="X4" s="372"/>
      <c r="Y4" s="372"/>
    </row>
    <row r="5" spans="1:25" x14ac:dyDescent="0.25">
      <c r="S5" s="429" t="s">
        <v>33</v>
      </c>
      <c r="U5" s="404" t="s">
        <v>294</v>
      </c>
      <c r="V5" s="372">
        <f>P14/'GWP &amp; Emission Factors '!O160</f>
        <v>0.47464239271781533</v>
      </c>
      <c r="W5" s="372"/>
      <c r="X5" s="372"/>
      <c r="Y5" s="372"/>
    </row>
    <row r="6" spans="1:25" x14ac:dyDescent="0.25">
      <c r="S6" s="429" t="s">
        <v>354</v>
      </c>
      <c r="U6" s="404" t="s">
        <v>295</v>
      </c>
      <c r="V6" s="372"/>
      <c r="W6" s="372"/>
      <c r="X6" s="372"/>
      <c r="Y6" s="372"/>
    </row>
    <row r="7" spans="1:25" x14ac:dyDescent="0.25">
      <c r="U7" s="404" t="s">
        <v>296</v>
      </c>
      <c r="V7" s="372"/>
      <c r="W7" s="372"/>
      <c r="X7" s="372"/>
      <c r="Y7" s="372"/>
    </row>
    <row r="8" spans="1:25" x14ac:dyDescent="0.25">
      <c r="U8" s="404" t="s">
        <v>297</v>
      </c>
      <c r="V8" s="372"/>
      <c r="W8" s="372"/>
      <c r="X8" s="372"/>
      <c r="Y8" s="372"/>
    </row>
    <row r="9" spans="1:25" x14ac:dyDescent="0.25">
      <c r="U9" s="404" t="s">
        <v>298</v>
      </c>
      <c r="V9" s="372"/>
      <c r="W9" s="372"/>
      <c r="X9" s="372"/>
      <c r="Y9" s="372"/>
    </row>
    <row r="10" spans="1:25" x14ac:dyDescent="0.25">
      <c r="A10" t="s">
        <v>429</v>
      </c>
      <c r="B10" t="s">
        <v>428</v>
      </c>
      <c r="U10" s="404" t="s">
        <v>299</v>
      </c>
      <c r="V10" s="372"/>
      <c r="W10" s="372"/>
      <c r="X10" s="372"/>
      <c r="Y10" s="372"/>
    </row>
    <row r="11" spans="1:25" x14ac:dyDescent="0.25">
      <c r="A11" s="372"/>
      <c r="B11" s="372">
        <f>M11</f>
        <v>0</v>
      </c>
      <c r="C11" s="430" t="s">
        <v>419</v>
      </c>
      <c r="D11" s="431" t="s">
        <v>290</v>
      </c>
      <c r="E11" s="431" t="s">
        <v>425</v>
      </c>
      <c r="F11" s="431" t="s">
        <v>14</v>
      </c>
      <c r="G11" s="431" t="s">
        <v>427</v>
      </c>
      <c r="M11">
        <f>0</f>
        <v>0</v>
      </c>
      <c r="N11" s="430" t="s">
        <v>419</v>
      </c>
      <c r="O11" s="431" t="s">
        <v>290</v>
      </c>
      <c r="P11" s="431" t="s">
        <v>425</v>
      </c>
      <c r="Q11" s="431" t="s">
        <v>14</v>
      </c>
      <c r="R11" s="431" t="s">
        <v>427</v>
      </c>
      <c r="S11" s="1"/>
      <c r="T11" s="1"/>
      <c r="U11" s="404" t="s">
        <v>300</v>
      </c>
      <c r="V11" s="372"/>
      <c r="W11" s="372"/>
      <c r="X11" s="372"/>
      <c r="Y11" s="372"/>
    </row>
    <row r="12" spans="1:25" x14ac:dyDescent="0.25">
      <c r="A12" s="432">
        <v>1</v>
      </c>
      <c r="B12" s="372">
        <f t="shared" ref="B12:B14" si="0">M12</f>
        <v>1</v>
      </c>
      <c r="C12" s="429" t="s">
        <v>426</v>
      </c>
      <c r="D12" s="404" t="s">
        <v>291</v>
      </c>
      <c r="E12" s="416">
        <v>253</v>
      </c>
      <c r="F12" s="417" t="s">
        <v>361</v>
      </c>
      <c r="G12" s="51" t="s">
        <v>422</v>
      </c>
      <c r="M12">
        <f>M11+1</f>
        <v>1</v>
      </c>
      <c r="N12" s="429" t="s">
        <v>426</v>
      </c>
      <c r="O12" s="404" t="s">
        <v>291</v>
      </c>
      <c r="P12" s="416">
        <v>253</v>
      </c>
      <c r="Q12" s="417" t="s">
        <v>361</v>
      </c>
      <c r="R12" s="51" t="s">
        <v>422</v>
      </c>
      <c r="S12" s="1"/>
      <c r="T12" s="1"/>
      <c r="U12" s="404" t="s">
        <v>301</v>
      </c>
      <c r="V12" s="51"/>
      <c r="W12" s="51"/>
      <c r="X12" s="51"/>
      <c r="Y12" s="51"/>
    </row>
    <row r="13" spans="1:25" x14ac:dyDescent="0.25">
      <c r="A13" s="432">
        <f>A12+1</f>
        <v>2</v>
      </c>
      <c r="B13" s="372">
        <f t="shared" si="0"/>
        <v>2</v>
      </c>
      <c r="C13" s="429" t="s">
        <v>426</v>
      </c>
      <c r="D13" s="404" t="s">
        <v>293</v>
      </c>
      <c r="E13" s="416">
        <v>41.9</v>
      </c>
      <c r="F13" s="417" t="s">
        <v>361</v>
      </c>
      <c r="G13" s="51" t="s">
        <v>422</v>
      </c>
      <c r="M13">
        <f t="shared" ref="M13:M76" si="1">M12+1</f>
        <v>2</v>
      </c>
      <c r="N13" s="429" t="s">
        <v>426</v>
      </c>
      <c r="O13" s="404" t="s">
        <v>293</v>
      </c>
      <c r="P13" s="416">
        <v>41.9</v>
      </c>
      <c r="Q13" s="417" t="s">
        <v>361</v>
      </c>
      <c r="R13" s="51" t="s">
        <v>422</v>
      </c>
      <c r="S13" s="1"/>
      <c r="T13" s="1"/>
      <c r="U13" s="404" t="s">
        <v>302</v>
      </c>
      <c r="V13" s="51"/>
      <c r="W13" s="51"/>
      <c r="X13" s="51"/>
      <c r="Y13" s="51"/>
    </row>
    <row r="14" spans="1:25" x14ac:dyDescent="0.25">
      <c r="A14" s="432">
        <f t="shared" ref="A14:A50" si="2">A13+1</f>
        <v>3</v>
      </c>
      <c r="B14" s="372">
        <f t="shared" si="0"/>
        <v>3</v>
      </c>
      <c r="C14" s="429" t="s">
        <v>426</v>
      </c>
      <c r="D14" s="404" t="s">
        <v>430</v>
      </c>
      <c r="E14" s="418">
        <v>365</v>
      </c>
      <c r="F14" s="417" t="s">
        <v>361</v>
      </c>
      <c r="G14" s="51" t="s">
        <v>422</v>
      </c>
      <c r="M14">
        <f t="shared" si="1"/>
        <v>3</v>
      </c>
      <c r="N14" s="429" t="s">
        <v>426</v>
      </c>
      <c r="O14" s="404" t="s">
        <v>294</v>
      </c>
      <c r="P14" s="418">
        <v>365</v>
      </c>
      <c r="Q14" s="417" t="s">
        <v>361</v>
      </c>
      <c r="R14" s="51" t="s">
        <v>422</v>
      </c>
      <c r="S14" s="1"/>
      <c r="T14" s="1"/>
      <c r="U14" s="404" t="s">
        <v>304</v>
      </c>
      <c r="V14" s="51"/>
      <c r="W14" s="51"/>
      <c r="X14" s="51"/>
      <c r="Y14" s="51"/>
    </row>
    <row r="15" spans="1:25" x14ac:dyDescent="0.25">
      <c r="A15" s="432">
        <f t="shared" si="2"/>
        <v>4</v>
      </c>
      <c r="B15" s="372">
        <f>M17</f>
        <v>6</v>
      </c>
      <c r="C15" s="429" t="s">
        <v>426</v>
      </c>
      <c r="D15" s="404" t="s">
        <v>431</v>
      </c>
      <c r="E15" s="416">
        <v>242</v>
      </c>
      <c r="F15" s="417" t="s">
        <v>361</v>
      </c>
      <c r="G15" s="51" t="s">
        <v>422</v>
      </c>
      <c r="M15">
        <f t="shared" si="1"/>
        <v>4</v>
      </c>
      <c r="N15" s="429" t="s">
        <v>426</v>
      </c>
      <c r="O15" s="404" t="s">
        <v>295</v>
      </c>
      <c r="P15" s="371"/>
      <c r="Q15" s="417"/>
      <c r="R15" s="51" t="s">
        <v>422</v>
      </c>
      <c r="S15" s="1"/>
      <c r="T15" s="1"/>
      <c r="U15" s="417" t="s">
        <v>305</v>
      </c>
      <c r="V15" s="51"/>
      <c r="W15" s="51"/>
      <c r="X15" s="51"/>
      <c r="Y15" s="51"/>
    </row>
    <row r="16" spans="1:25" x14ac:dyDescent="0.25">
      <c r="A16" s="432">
        <f t="shared" si="2"/>
        <v>5</v>
      </c>
      <c r="B16" s="372">
        <f>M19</f>
        <v>8</v>
      </c>
      <c r="C16" s="429" t="s">
        <v>426</v>
      </c>
      <c r="D16" s="404" t="s">
        <v>299</v>
      </c>
      <c r="E16" s="418">
        <v>219</v>
      </c>
      <c r="F16" s="417" t="s">
        <v>361</v>
      </c>
      <c r="G16" s="51" t="s">
        <v>422</v>
      </c>
      <c r="M16">
        <f t="shared" si="1"/>
        <v>5</v>
      </c>
      <c r="N16" s="429" t="s">
        <v>426</v>
      </c>
      <c r="O16" s="404" t="s">
        <v>296</v>
      </c>
      <c r="P16" s="371"/>
      <c r="Q16" s="417"/>
      <c r="R16" s="51" t="s">
        <v>422</v>
      </c>
      <c r="S16" s="1"/>
      <c r="T16" s="1"/>
      <c r="U16" s="417" t="s">
        <v>306</v>
      </c>
      <c r="V16" s="51"/>
      <c r="W16" s="51"/>
      <c r="X16" s="51"/>
      <c r="Y16" s="51"/>
    </row>
    <row r="17" spans="1:26" x14ac:dyDescent="0.25">
      <c r="A17" s="432">
        <f t="shared" si="2"/>
        <v>6</v>
      </c>
      <c r="B17" s="372">
        <f>M20</f>
        <v>9</v>
      </c>
      <c r="C17" s="429" t="s">
        <v>426</v>
      </c>
      <c r="D17" s="404" t="s">
        <v>300</v>
      </c>
      <c r="E17" s="416">
        <v>219</v>
      </c>
      <c r="F17" s="417" t="s">
        <v>361</v>
      </c>
      <c r="G17" s="51" t="s">
        <v>422</v>
      </c>
      <c r="M17">
        <f t="shared" si="1"/>
        <v>6</v>
      </c>
      <c r="N17" s="429" t="s">
        <v>426</v>
      </c>
      <c r="O17" s="404" t="s">
        <v>297</v>
      </c>
      <c r="P17" s="416">
        <v>242</v>
      </c>
      <c r="Q17" s="417" t="s">
        <v>361</v>
      </c>
      <c r="R17" s="51" t="s">
        <v>422</v>
      </c>
      <c r="S17" s="1"/>
      <c r="T17" s="1"/>
      <c r="U17" s="404" t="s">
        <v>35</v>
      </c>
      <c r="V17" s="51"/>
      <c r="W17" s="51"/>
      <c r="X17" s="51"/>
      <c r="Y17" s="51"/>
    </row>
    <row r="18" spans="1:26" x14ac:dyDescent="0.25">
      <c r="A18" s="432">
        <f t="shared" si="2"/>
        <v>7</v>
      </c>
      <c r="B18" s="372">
        <f>M23</f>
        <v>12</v>
      </c>
      <c r="C18" s="429" t="s">
        <v>303</v>
      </c>
      <c r="D18" s="404" t="s">
        <v>304</v>
      </c>
      <c r="E18" s="416">
        <v>8.14</v>
      </c>
      <c r="F18" s="417" t="s">
        <v>364</v>
      </c>
      <c r="G18" s="51" t="s">
        <v>423</v>
      </c>
      <c r="M18">
        <f t="shared" si="1"/>
        <v>7</v>
      </c>
      <c r="N18" s="429" t="s">
        <v>426</v>
      </c>
      <c r="O18" s="404" t="s">
        <v>298</v>
      </c>
      <c r="P18" s="416"/>
      <c r="Q18" s="417" t="s">
        <v>361</v>
      </c>
      <c r="R18" s="51" t="s">
        <v>422</v>
      </c>
      <c r="S18" s="1"/>
      <c r="T18" s="1"/>
      <c r="U18" s="404" t="s">
        <v>307</v>
      </c>
      <c r="V18" s="51"/>
      <c r="W18" s="51"/>
      <c r="X18" s="51"/>
      <c r="Y18" s="51"/>
    </row>
    <row r="19" spans="1:26" x14ac:dyDescent="0.25">
      <c r="A19" s="432">
        <f t="shared" si="2"/>
        <v>8</v>
      </c>
      <c r="B19" s="372">
        <f>M24</f>
        <v>13</v>
      </c>
      <c r="C19" s="429" t="s">
        <v>303</v>
      </c>
      <c r="D19" s="417" t="s">
        <v>305</v>
      </c>
      <c r="E19" s="416">
        <v>10.8</v>
      </c>
      <c r="F19" s="417" t="s">
        <v>361</v>
      </c>
      <c r="G19" s="51" t="s">
        <v>423</v>
      </c>
      <c r="M19">
        <f t="shared" si="1"/>
        <v>8</v>
      </c>
      <c r="N19" s="429" t="s">
        <v>426</v>
      </c>
      <c r="O19" s="404" t="s">
        <v>299</v>
      </c>
      <c r="P19" s="418">
        <v>219</v>
      </c>
      <c r="Q19" s="417" t="s">
        <v>361</v>
      </c>
      <c r="R19" s="51" t="s">
        <v>422</v>
      </c>
      <c r="S19" s="1"/>
      <c r="T19" s="1"/>
      <c r="U19" s="1"/>
      <c r="V19" s="1"/>
      <c r="W19" s="1"/>
      <c r="X19" s="1"/>
      <c r="Y19" s="1"/>
    </row>
    <row r="20" spans="1:26" x14ac:dyDescent="0.25">
      <c r="A20" s="432">
        <f t="shared" si="2"/>
        <v>9</v>
      </c>
      <c r="B20" s="372">
        <f>M25</f>
        <v>14</v>
      </c>
      <c r="C20" s="429" t="s">
        <v>303</v>
      </c>
      <c r="D20" s="417" t="s">
        <v>306</v>
      </c>
      <c r="E20" s="418">
        <v>3.76</v>
      </c>
      <c r="F20" s="417" t="s">
        <v>361</v>
      </c>
      <c r="G20" s="51" t="s">
        <v>423</v>
      </c>
      <c r="M20">
        <f t="shared" si="1"/>
        <v>9</v>
      </c>
      <c r="N20" s="429" t="s">
        <v>426</v>
      </c>
      <c r="O20" s="404" t="s">
        <v>300</v>
      </c>
      <c r="P20" s="416">
        <v>219</v>
      </c>
      <c r="Q20" s="417" t="s">
        <v>361</v>
      </c>
      <c r="R20" s="51" t="s">
        <v>422</v>
      </c>
      <c r="S20" s="1"/>
      <c r="T20" s="1"/>
      <c r="U20" s="1"/>
      <c r="V20" s="1"/>
      <c r="W20" s="1"/>
      <c r="X20" s="1"/>
      <c r="Y20" s="1"/>
    </row>
    <row r="21" spans="1:26" x14ac:dyDescent="0.25">
      <c r="A21" s="432">
        <f t="shared" si="2"/>
        <v>10</v>
      </c>
      <c r="B21" s="372">
        <f>M26</f>
        <v>15</v>
      </c>
      <c r="C21" s="429" t="s">
        <v>303</v>
      </c>
      <c r="D21" s="404" t="s">
        <v>35</v>
      </c>
      <c r="E21" s="416">
        <v>6.15</v>
      </c>
      <c r="F21" s="417" t="s">
        <v>361</v>
      </c>
      <c r="G21" s="51" t="s">
        <v>423</v>
      </c>
      <c r="M21">
        <f t="shared" si="1"/>
        <v>10</v>
      </c>
      <c r="N21" s="429" t="s">
        <v>426</v>
      </c>
      <c r="O21" s="404" t="s">
        <v>301</v>
      </c>
      <c r="P21" s="416"/>
      <c r="Q21" s="417" t="s">
        <v>361</v>
      </c>
      <c r="R21" s="51" t="s">
        <v>422</v>
      </c>
      <c r="S21" s="1"/>
      <c r="T21" s="1"/>
      <c r="U21" s="1"/>
      <c r="V21" s="1"/>
      <c r="W21" s="1"/>
      <c r="X21" s="1"/>
      <c r="Y21" s="1"/>
    </row>
    <row r="22" spans="1:26" x14ac:dyDescent="0.25">
      <c r="A22" s="432">
        <f t="shared" si="2"/>
        <v>11</v>
      </c>
      <c r="B22" s="372">
        <f>M27</f>
        <v>16</v>
      </c>
      <c r="C22" s="429" t="s">
        <v>303</v>
      </c>
      <c r="D22" s="404" t="s">
        <v>307</v>
      </c>
      <c r="E22" s="416">
        <v>1.85</v>
      </c>
      <c r="F22" s="417" t="s">
        <v>361</v>
      </c>
      <c r="G22" s="51" t="s">
        <v>423</v>
      </c>
      <c r="M22">
        <f t="shared" si="1"/>
        <v>11</v>
      </c>
      <c r="N22" s="429" t="s">
        <v>426</v>
      </c>
      <c r="O22" s="404" t="s">
        <v>302</v>
      </c>
      <c r="P22" s="418"/>
      <c r="Q22" s="417" t="s">
        <v>361</v>
      </c>
      <c r="R22" s="51" t="s">
        <v>422</v>
      </c>
      <c r="S22" s="1"/>
      <c r="T22" s="1"/>
      <c r="Z22" s="372"/>
    </row>
    <row r="23" spans="1:26" x14ac:dyDescent="0.25">
      <c r="A23" s="432">
        <f t="shared" si="2"/>
        <v>12</v>
      </c>
      <c r="B23" s="372">
        <f>M30</f>
        <v>19</v>
      </c>
      <c r="C23" s="429" t="s">
        <v>36</v>
      </c>
      <c r="D23" s="404" t="s">
        <v>310</v>
      </c>
      <c r="E23" s="372">
        <v>1.9490000000000001</v>
      </c>
      <c r="F23" s="372" t="s">
        <v>363</v>
      </c>
      <c r="G23" s="51" t="s">
        <v>423</v>
      </c>
      <c r="M23">
        <f t="shared" si="1"/>
        <v>12</v>
      </c>
      <c r="N23" s="429" t="s">
        <v>303</v>
      </c>
      <c r="O23" s="404" t="s">
        <v>304</v>
      </c>
      <c r="P23" s="416">
        <v>8.14</v>
      </c>
      <c r="Q23" s="417" t="s">
        <v>364</v>
      </c>
      <c r="R23" s="51" t="s">
        <v>423</v>
      </c>
      <c r="S23" s="1"/>
      <c r="T23" s="1"/>
      <c r="Z23" s="372"/>
    </row>
    <row r="24" spans="1:26" x14ac:dyDescent="0.25">
      <c r="A24" s="432">
        <f t="shared" si="2"/>
        <v>13</v>
      </c>
      <c r="B24" s="372">
        <f>M31</f>
        <v>20</v>
      </c>
      <c r="C24" s="429" t="s">
        <v>36</v>
      </c>
      <c r="D24" s="404" t="s">
        <v>316</v>
      </c>
      <c r="E24" s="419">
        <v>7.62</v>
      </c>
      <c r="F24" s="417" t="s">
        <v>361</v>
      </c>
      <c r="G24" s="51" t="s">
        <v>423</v>
      </c>
      <c r="M24">
        <f t="shared" si="1"/>
        <v>13</v>
      </c>
      <c r="N24" s="429" t="s">
        <v>303</v>
      </c>
      <c r="O24" s="417" t="s">
        <v>305</v>
      </c>
      <c r="P24" s="416">
        <v>10.8</v>
      </c>
      <c r="Q24" s="417" t="s">
        <v>361</v>
      </c>
      <c r="R24" s="51" t="s">
        <v>422</v>
      </c>
      <c r="S24" s="1"/>
      <c r="T24" s="1"/>
      <c r="Z24" s="428"/>
    </row>
    <row r="25" spans="1:26" x14ac:dyDescent="0.25">
      <c r="A25" s="432">
        <f t="shared" si="2"/>
        <v>14</v>
      </c>
      <c r="B25" s="372">
        <f>M43</f>
        <v>32</v>
      </c>
      <c r="C25" s="429" t="s">
        <v>33</v>
      </c>
      <c r="D25" s="404" t="s">
        <v>323</v>
      </c>
      <c r="E25" s="412">
        <v>1.63</v>
      </c>
      <c r="F25" s="372" t="s">
        <v>31</v>
      </c>
      <c r="G25" s="51" t="s">
        <v>423</v>
      </c>
      <c r="M25">
        <f t="shared" si="1"/>
        <v>14</v>
      </c>
      <c r="N25" s="429" t="s">
        <v>303</v>
      </c>
      <c r="O25" s="417" t="s">
        <v>306</v>
      </c>
      <c r="P25" s="418">
        <v>3.76</v>
      </c>
      <c r="Q25" s="417" t="s">
        <v>361</v>
      </c>
      <c r="R25" s="51" t="s">
        <v>422</v>
      </c>
      <c r="S25" s="1"/>
      <c r="T25" s="1"/>
      <c r="Z25" s="372"/>
    </row>
    <row r="26" spans="1:26" x14ac:dyDescent="0.25">
      <c r="A26" s="432">
        <f t="shared" si="2"/>
        <v>15</v>
      </c>
      <c r="B26" s="372">
        <f t="shared" ref="B26:B46" si="3">M46</f>
        <v>35</v>
      </c>
      <c r="C26" s="429" t="s">
        <v>33</v>
      </c>
      <c r="D26" s="404" t="s">
        <v>376</v>
      </c>
      <c r="E26" s="412">
        <v>1.63</v>
      </c>
      <c r="F26" s="372" t="s">
        <v>31</v>
      </c>
      <c r="G26" s="51" t="str">
        <f t="shared" ref="G26:G47" si="4">$R$23</f>
        <v>Kg</v>
      </c>
      <c r="M26">
        <f t="shared" si="1"/>
        <v>15</v>
      </c>
      <c r="N26" s="429" t="s">
        <v>303</v>
      </c>
      <c r="O26" s="404" t="s">
        <v>35</v>
      </c>
      <c r="P26" s="416">
        <v>6.15</v>
      </c>
      <c r="Q26" s="417" t="s">
        <v>361</v>
      </c>
      <c r="R26" s="51" t="s">
        <v>422</v>
      </c>
      <c r="S26" s="1"/>
      <c r="T26" s="1"/>
      <c r="Z26" s="372"/>
    </row>
    <row r="27" spans="1:26" x14ac:dyDescent="0.25">
      <c r="A27" s="432">
        <f t="shared" si="2"/>
        <v>16</v>
      </c>
      <c r="B27" s="372">
        <f t="shared" si="3"/>
        <v>36</v>
      </c>
      <c r="C27" s="429" t="s">
        <v>33</v>
      </c>
      <c r="D27" s="404" t="s">
        <v>378</v>
      </c>
      <c r="E27" s="412">
        <v>1.38</v>
      </c>
      <c r="F27" s="372" t="s">
        <v>31</v>
      </c>
      <c r="G27" s="51" t="str">
        <f t="shared" si="4"/>
        <v>Kg</v>
      </c>
      <c r="M27">
        <f t="shared" si="1"/>
        <v>16</v>
      </c>
      <c r="N27" s="429" t="s">
        <v>303</v>
      </c>
      <c r="O27" s="404" t="s">
        <v>307</v>
      </c>
      <c r="P27" s="416">
        <v>1.85</v>
      </c>
      <c r="Q27" s="417" t="s">
        <v>361</v>
      </c>
      <c r="R27" s="51" t="s">
        <v>422</v>
      </c>
      <c r="S27" s="1"/>
      <c r="T27" s="1"/>
      <c r="Z27" s="372"/>
    </row>
    <row r="28" spans="1:26" x14ac:dyDescent="0.25">
      <c r="A28" s="432">
        <f t="shared" si="2"/>
        <v>17</v>
      </c>
      <c r="B28" s="372">
        <f t="shared" si="3"/>
        <v>37</v>
      </c>
      <c r="C28" s="429" t="s">
        <v>33</v>
      </c>
      <c r="D28" s="404" t="s">
        <v>380</v>
      </c>
      <c r="E28" s="412">
        <v>1.42</v>
      </c>
      <c r="F28" s="372" t="s">
        <v>31</v>
      </c>
      <c r="G28" s="51" t="str">
        <f t="shared" si="4"/>
        <v>Kg</v>
      </c>
      <c r="M28">
        <f t="shared" si="1"/>
        <v>17</v>
      </c>
      <c r="N28" s="429" t="s">
        <v>303</v>
      </c>
      <c r="O28" s="404" t="s">
        <v>308</v>
      </c>
      <c r="P28" s="404"/>
      <c r="Q28" s="404"/>
      <c r="R28" s="51"/>
      <c r="S28" s="1"/>
      <c r="T28" s="1"/>
      <c r="Z28" s="372"/>
    </row>
    <row r="29" spans="1:26" x14ac:dyDescent="0.25">
      <c r="A29" s="432">
        <f t="shared" si="2"/>
        <v>18</v>
      </c>
      <c r="B29" s="372">
        <f t="shared" si="3"/>
        <v>38</v>
      </c>
      <c r="C29" s="429" t="s">
        <v>33</v>
      </c>
      <c r="D29" s="404" t="s">
        <v>382</v>
      </c>
      <c r="E29" s="412">
        <v>1.1299999999999999</v>
      </c>
      <c r="F29" s="372" t="s">
        <v>31</v>
      </c>
      <c r="G29" s="51" t="str">
        <f t="shared" si="4"/>
        <v>Kg</v>
      </c>
      <c r="M29">
        <f t="shared" si="1"/>
        <v>18</v>
      </c>
      <c r="N29" s="429" t="s">
        <v>303</v>
      </c>
      <c r="O29" s="404" t="s">
        <v>309</v>
      </c>
      <c r="P29" s="372"/>
      <c r="Q29" s="372"/>
      <c r="R29" s="51"/>
      <c r="S29" s="1"/>
      <c r="T29" s="1"/>
      <c r="Z29" s="372"/>
    </row>
    <row r="30" spans="1:26" ht="26.25" x14ac:dyDescent="0.25">
      <c r="A30" s="432">
        <f t="shared" si="2"/>
        <v>19</v>
      </c>
      <c r="B30" s="372">
        <f t="shared" si="3"/>
        <v>39</v>
      </c>
      <c r="C30" s="429" t="s">
        <v>33</v>
      </c>
      <c r="D30" s="420" t="s">
        <v>400</v>
      </c>
      <c r="E30" s="412">
        <v>1.1299999999999999</v>
      </c>
      <c r="F30" s="372" t="s">
        <v>31</v>
      </c>
      <c r="G30" s="51" t="str">
        <f t="shared" si="4"/>
        <v>Kg</v>
      </c>
      <c r="M30">
        <f t="shared" si="1"/>
        <v>19</v>
      </c>
      <c r="N30" s="429" t="s">
        <v>36</v>
      </c>
      <c r="O30" s="404" t="s">
        <v>310</v>
      </c>
      <c r="P30" s="372">
        <v>1.9490000000000001</v>
      </c>
      <c r="Q30" s="372" t="s">
        <v>363</v>
      </c>
      <c r="R30" s="51" t="s">
        <v>423</v>
      </c>
      <c r="S30" s="1"/>
      <c r="T30" s="1"/>
      <c r="Z30" s="372"/>
    </row>
    <row r="31" spans="1:26" x14ac:dyDescent="0.25">
      <c r="A31" s="432">
        <f t="shared" si="2"/>
        <v>20</v>
      </c>
      <c r="B31" s="372">
        <f t="shared" si="3"/>
        <v>40</v>
      </c>
      <c r="C31" s="429" t="s">
        <v>33</v>
      </c>
      <c r="D31" s="404" t="s">
        <v>385</v>
      </c>
      <c r="E31" s="412">
        <v>3.07</v>
      </c>
      <c r="F31" s="372" t="s">
        <v>31</v>
      </c>
      <c r="G31" s="51" t="str">
        <f t="shared" si="4"/>
        <v>Kg</v>
      </c>
      <c r="M31">
        <f t="shared" si="1"/>
        <v>20</v>
      </c>
      <c r="N31" s="429" t="s">
        <v>36</v>
      </c>
      <c r="O31" s="404" t="s">
        <v>316</v>
      </c>
      <c r="P31" s="419">
        <v>7.62</v>
      </c>
      <c r="Q31" s="417" t="s">
        <v>361</v>
      </c>
      <c r="R31" s="51" t="s">
        <v>422</v>
      </c>
      <c r="S31" s="1"/>
      <c r="T31" s="1"/>
      <c r="Z31" s="372"/>
    </row>
    <row r="32" spans="1:26" x14ac:dyDescent="0.25">
      <c r="A32" s="432">
        <f t="shared" si="2"/>
        <v>21</v>
      </c>
      <c r="B32" s="372">
        <f t="shared" si="3"/>
        <v>41</v>
      </c>
      <c r="C32" s="429" t="s">
        <v>33</v>
      </c>
      <c r="D32" s="404" t="s">
        <v>408</v>
      </c>
      <c r="E32" s="412">
        <v>5.89</v>
      </c>
      <c r="F32" s="372" t="s">
        <v>31</v>
      </c>
      <c r="G32" s="51" t="str">
        <f t="shared" si="4"/>
        <v>Kg</v>
      </c>
      <c r="M32">
        <f t="shared" si="1"/>
        <v>21</v>
      </c>
      <c r="N32" s="429" t="s">
        <v>36</v>
      </c>
      <c r="O32" s="404" t="s">
        <v>312</v>
      </c>
      <c r="P32" s="372"/>
      <c r="Q32" s="372"/>
      <c r="R32" s="51"/>
      <c r="S32" s="1"/>
      <c r="T32" s="1"/>
      <c r="Z32" s="372"/>
    </row>
    <row r="33" spans="1:26" x14ac:dyDescent="0.25">
      <c r="A33" s="432">
        <f t="shared" si="2"/>
        <v>22</v>
      </c>
      <c r="B33" s="372">
        <f t="shared" si="3"/>
        <v>42</v>
      </c>
      <c r="C33" s="429" t="s">
        <v>33</v>
      </c>
      <c r="D33" s="404" t="s">
        <v>409</v>
      </c>
      <c r="E33" s="412">
        <v>2.44</v>
      </c>
      <c r="F33" s="372" t="s">
        <v>31</v>
      </c>
      <c r="G33" s="51" t="str">
        <f t="shared" si="4"/>
        <v>Kg</v>
      </c>
      <c r="M33">
        <f t="shared" si="1"/>
        <v>22</v>
      </c>
      <c r="N33" s="429" t="s">
        <v>36</v>
      </c>
      <c r="O33" s="404" t="s">
        <v>313</v>
      </c>
      <c r="P33" s="372"/>
      <c r="Q33" s="372"/>
      <c r="R33" s="51"/>
      <c r="S33" s="1"/>
      <c r="T33" s="1"/>
      <c r="Z33" s="372"/>
    </row>
    <row r="34" spans="1:26" x14ac:dyDescent="0.25">
      <c r="A34" s="432">
        <f t="shared" si="2"/>
        <v>23</v>
      </c>
      <c r="B34" s="372">
        <f t="shared" si="3"/>
        <v>43</v>
      </c>
      <c r="C34" s="429" t="s">
        <v>33</v>
      </c>
      <c r="D34" s="404" t="s">
        <v>410</v>
      </c>
      <c r="E34" s="412">
        <v>2.1800000000000002</v>
      </c>
      <c r="F34" s="372" t="s">
        <v>31</v>
      </c>
      <c r="G34" s="51" t="str">
        <f t="shared" si="4"/>
        <v>Kg</v>
      </c>
      <c r="M34">
        <f t="shared" si="1"/>
        <v>23</v>
      </c>
      <c r="N34" s="429" t="s">
        <v>36</v>
      </c>
      <c r="O34" s="404" t="s">
        <v>314</v>
      </c>
      <c r="P34" s="372"/>
      <c r="Q34" s="372"/>
      <c r="R34" s="51"/>
      <c r="S34" s="1"/>
      <c r="T34" s="1"/>
      <c r="Z34" s="372"/>
    </row>
    <row r="35" spans="1:26" ht="25.5" x14ac:dyDescent="0.25">
      <c r="A35" s="432">
        <f t="shared" si="2"/>
        <v>24</v>
      </c>
      <c r="B35" s="372">
        <f t="shared" si="3"/>
        <v>44</v>
      </c>
      <c r="C35" s="429" t="s">
        <v>33</v>
      </c>
      <c r="D35" s="421" t="s">
        <v>402</v>
      </c>
      <c r="E35" s="372">
        <v>1.72</v>
      </c>
      <c r="F35" s="372" t="s">
        <v>31</v>
      </c>
      <c r="G35" s="51" t="str">
        <f t="shared" si="4"/>
        <v>Kg</v>
      </c>
      <c r="M35">
        <f t="shared" si="1"/>
        <v>24</v>
      </c>
      <c r="N35" s="429" t="s">
        <v>36</v>
      </c>
      <c r="O35" s="404" t="s">
        <v>315</v>
      </c>
      <c r="P35" s="372"/>
      <c r="Q35" s="372"/>
      <c r="R35" s="51"/>
      <c r="S35" s="1"/>
      <c r="T35" s="1"/>
      <c r="Z35" s="372"/>
    </row>
    <row r="36" spans="1:26" ht="25.5" x14ac:dyDescent="0.25">
      <c r="A36" s="432">
        <f t="shared" si="2"/>
        <v>25</v>
      </c>
      <c r="B36" s="372">
        <f t="shared" si="3"/>
        <v>45</v>
      </c>
      <c r="C36" s="429" t="s">
        <v>33</v>
      </c>
      <c r="D36" s="421" t="s">
        <v>403</v>
      </c>
      <c r="E36" s="412">
        <v>1.9</v>
      </c>
      <c r="F36" s="372" t="s">
        <v>31</v>
      </c>
      <c r="G36" s="51" t="str">
        <f t="shared" si="4"/>
        <v>Kg</v>
      </c>
      <c r="M36">
        <f t="shared" si="1"/>
        <v>25</v>
      </c>
      <c r="N36" s="429" t="s">
        <v>36</v>
      </c>
      <c r="O36" s="404" t="s">
        <v>317</v>
      </c>
      <c r="P36" s="372"/>
      <c r="Q36" s="372"/>
      <c r="R36" s="51"/>
      <c r="S36" s="1"/>
      <c r="T36" s="1"/>
      <c r="Z36" s="372"/>
    </row>
    <row r="37" spans="1:26" x14ac:dyDescent="0.25">
      <c r="A37" s="432">
        <f t="shared" si="2"/>
        <v>26</v>
      </c>
      <c r="B37" s="372">
        <f t="shared" si="3"/>
        <v>46</v>
      </c>
      <c r="C37" s="429" t="s">
        <v>33</v>
      </c>
      <c r="D37" s="421" t="s">
        <v>404</v>
      </c>
      <c r="E37" s="412">
        <v>2.17</v>
      </c>
      <c r="F37" s="372" t="s">
        <v>31</v>
      </c>
      <c r="G37" s="51" t="str">
        <f t="shared" si="4"/>
        <v>Kg</v>
      </c>
      <c r="M37">
        <f t="shared" si="1"/>
        <v>26</v>
      </c>
      <c r="N37" s="429" t="s">
        <v>36</v>
      </c>
      <c r="O37" s="404" t="s">
        <v>318</v>
      </c>
      <c r="P37" s="372"/>
      <c r="Q37" s="372"/>
      <c r="R37" s="51"/>
      <c r="S37" s="1"/>
      <c r="T37" s="1"/>
      <c r="Z37" s="372"/>
    </row>
    <row r="38" spans="1:26" ht="25.5" x14ac:dyDescent="0.25">
      <c r="A38" s="432">
        <f t="shared" si="2"/>
        <v>27</v>
      </c>
      <c r="B38" s="372">
        <f t="shared" si="3"/>
        <v>47</v>
      </c>
      <c r="C38" s="429" t="s">
        <v>33</v>
      </c>
      <c r="D38" s="421" t="s">
        <v>405</v>
      </c>
      <c r="E38" s="412">
        <v>1.64</v>
      </c>
      <c r="F38" s="372" t="s">
        <v>31</v>
      </c>
      <c r="G38" s="51" t="str">
        <f t="shared" si="4"/>
        <v>Kg</v>
      </c>
      <c r="M38">
        <f t="shared" si="1"/>
        <v>27</v>
      </c>
      <c r="N38" s="429" t="s">
        <v>36</v>
      </c>
      <c r="O38" s="404" t="s">
        <v>319</v>
      </c>
      <c r="P38" s="372"/>
      <c r="Q38" s="372"/>
      <c r="R38" s="51"/>
      <c r="S38" s="1"/>
      <c r="T38" s="1"/>
      <c r="Z38" s="372"/>
    </row>
    <row r="39" spans="1:26" ht="25.5" x14ac:dyDescent="0.25">
      <c r="A39" s="432">
        <f t="shared" si="2"/>
        <v>28</v>
      </c>
      <c r="B39" s="372">
        <f t="shared" si="3"/>
        <v>48</v>
      </c>
      <c r="C39" s="429" t="s">
        <v>33</v>
      </c>
      <c r="D39" s="421" t="s">
        <v>406</v>
      </c>
      <c r="E39" s="412">
        <v>2.35</v>
      </c>
      <c r="F39" s="372" t="s">
        <v>31</v>
      </c>
      <c r="G39" s="51" t="str">
        <f t="shared" si="4"/>
        <v>Kg</v>
      </c>
      <c r="M39">
        <f t="shared" si="1"/>
        <v>28</v>
      </c>
      <c r="N39" s="429" t="s">
        <v>36</v>
      </c>
      <c r="O39" s="404" t="s">
        <v>320</v>
      </c>
      <c r="P39" s="372"/>
      <c r="Q39" s="372"/>
      <c r="R39" s="51"/>
      <c r="S39" s="1"/>
      <c r="T39" s="1"/>
      <c r="Z39" s="372"/>
    </row>
    <row r="40" spans="1:26" ht="25.5" x14ac:dyDescent="0.25">
      <c r="A40" s="432">
        <f t="shared" si="2"/>
        <v>29</v>
      </c>
      <c r="B40" s="372">
        <f t="shared" si="3"/>
        <v>49</v>
      </c>
      <c r="C40" s="429" t="s">
        <v>33</v>
      </c>
      <c r="D40" s="421" t="s">
        <v>401</v>
      </c>
      <c r="E40" s="412">
        <v>1.86</v>
      </c>
      <c r="F40" s="372" t="s">
        <v>31</v>
      </c>
      <c r="G40" s="51" t="str">
        <f t="shared" si="4"/>
        <v>Kg</v>
      </c>
      <c r="M40">
        <f t="shared" si="1"/>
        <v>29</v>
      </c>
      <c r="N40" s="429" t="s">
        <v>33</v>
      </c>
      <c r="O40" s="404" t="s">
        <v>321</v>
      </c>
      <c r="P40" s="419"/>
      <c r="Q40" s="372"/>
      <c r="R40" s="51"/>
      <c r="S40" s="1"/>
      <c r="T40" s="1"/>
      <c r="Z40" s="372"/>
    </row>
    <row r="41" spans="1:26" ht="25.5" x14ac:dyDescent="0.25">
      <c r="A41" s="432">
        <f t="shared" si="2"/>
        <v>30</v>
      </c>
      <c r="B41" s="372">
        <f t="shared" si="3"/>
        <v>50</v>
      </c>
      <c r="C41" s="429" t="s">
        <v>33</v>
      </c>
      <c r="D41" s="421" t="s">
        <v>407</v>
      </c>
      <c r="E41" s="412">
        <v>1.96</v>
      </c>
      <c r="F41" s="372" t="s">
        <v>31</v>
      </c>
      <c r="G41" s="51" t="str">
        <f t="shared" si="4"/>
        <v>Kg</v>
      </c>
      <c r="M41">
        <f t="shared" si="1"/>
        <v>30</v>
      </c>
      <c r="N41" s="429" t="s">
        <v>33</v>
      </c>
      <c r="O41" s="404" t="s">
        <v>336</v>
      </c>
      <c r="P41" s="372"/>
      <c r="Q41" s="372"/>
      <c r="R41" s="51"/>
      <c r="S41" s="1"/>
      <c r="T41" s="1"/>
      <c r="Z41" s="372"/>
    </row>
    <row r="42" spans="1:26" x14ac:dyDescent="0.25">
      <c r="A42" s="432">
        <f t="shared" si="2"/>
        <v>31</v>
      </c>
      <c r="B42" s="372">
        <f t="shared" si="3"/>
        <v>51</v>
      </c>
      <c r="C42" s="429" t="s">
        <v>33</v>
      </c>
      <c r="D42" s="412" t="s">
        <v>415</v>
      </c>
      <c r="E42" s="412">
        <v>2.44</v>
      </c>
      <c r="F42" s="372" t="s">
        <v>31</v>
      </c>
      <c r="G42" s="51" t="str">
        <f t="shared" si="4"/>
        <v>Kg</v>
      </c>
      <c r="M42">
        <f t="shared" si="1"/>
        <v>31</v>
      </c>
      <c r="N42" s="429" t="s">
        <v>33</v>
      </c>
      <c r="O42" s="404" t="s">
        <v>322</v>
      </c>
      <c r="P42" s="372"/>
      <c r="Q42" s="372"/>
      <c r="R42" s="51"/>
      <c r="S42" s="1"/>
      <c r="T42" s="1"/>
      <c r="U42" s="1"/>
      <c r="W42" s="1"/>
      <c r="X42" s="1"/>
      <c r="Y42" s="1"/>
    </row>
    <row r="43" spans="1:26" x14ac:dyDescent="0.25">
      <c r="A43" s="432">
        <f t="shared" si="2"/>
        <v>32</v>
      </c>
      <c r="B43" s="372">
        <f t="shared" si="3"/>
        <v>52</v>
      </c>
      <c r="C43" s="429" t="s">
        <v>33</v>
      </c>
      <c r="D43" s="412" t="s">
        <v>416</v>
      </c>
      <c r="E43" s="412">
        <v>2.08</v>
      </c>
      <c r="F43" s="372" t="s">
        <v>31</v>
      </c>
      <c r="G43" s="51" t="str">
        <f t="shared" si="4"/>
        <v>Kg</v>
      </c>
      <c r="M43">
        <f t="shared" si="1"/>
        <v>32</v>
      </c>
      <c r="N43" s="429" t="s">
        <v>33</v>
      </c>
      <c r="O43" s="404" t="s">
        <v>323</v>
      </c>
      <c r="P43" s="412">
        <v>1.63</v>
      </c>
      <c r="Q43" s="372" t="s">
        <v>31</v>
      </c>
      <c r="R43" s="51" t="s">
        <v>423</v>
      </c>
      <c r="S43" s="1"/>
      <c r="T43" s="1"/>
      <c r="U43" s="1"/>
      <c r="W43" s="1"/>
      <c r="X43" s="1"/>
      <c r="Y43" s="1"/>
    </row>
    <row r="44" spans="1:26" x14ac:dyDescent="0.25">
      <c r="A44" s="432">
        <f t="shared" si="2"/>
        <v>33</v>
      </c>
      <c r="B44" s="372">
        <f t="shared" si="3"/>
        <v>53</v>
      </c>
      <c r="C44" s="429" t="s">
        <v>33</v>
      </c>
      <c r="D44" s="412" t="s">
        <v>417</v>
      </c>
      <c r="E44" s="412">
        <v>1.71</v>
      </c>
      <c r="F44" s="372" t="s">
        <v>31</v>
      </c>
      <c r="G44" s="51" t="str">
        <f t="shared" si="4"/>
        <v>Kg</v>
      </c>
      <c r="M44">
        <f t="shared" si="1"/>
        <v>33</v>
      </c>
      <c r="N44" s="429" t="s">
        <v>33</v>
      </c>
      <c r="O44" s="404" t="s">
        <v>332</v>
      </c>
      <c r="P44" s="372"/>
      <c r="Q44" s="372"/>
      <c r="R44" s="51"/>
      <c r="S44" s="1"/>
      <c r="T44" s="1"/>
      <c r="U44" s="1"/>
      <c r="W44" s="1"/>
      <c r="X44" s="1"/>
      <c r="Y44" s="1"/>
    </row>
    <row r="45" spans="1:26" x14ac:dyDescent="0.25">
      <c r="A45" s="432">
        <f t="shared" si="2"/>
        <v>34</v>
      </c>
      <c r="B45" s="372">
        <f t="shared" si="3"/>
        <v>54</v>
      </c>
      <c r="C45" s="429" t="s">
        <v>33</v>
      </c>
      <c r="D45" s="51" t="s">
        <v>411</v>
      </c>
      <c r="E45" s="412">
        <v>5.35</v>
      </c>
      <c r="F45" s="372" t="s">
        <v>31</v>
      </c>
      <c r="G45" s="51" t="str">
        <f t="shared" si="4"/>
        <v>Kg</v>
      </c>
      <c r="M45">
        <f t="shared" si="1"/>
        <v>34</v>
      </c>
      <c r="N45" s="429" t="s">
        <v>33</v>
      </c>
      <c r="O45" s="404" t="s">
        <v>333</v>
      </c>
      <c r="P45" s="372"/>
      <c r="Q45" s="372"/>
      <c r="R45" s="51"/>
      <c r="S45" s="1"/>
      <c r="T45" s="1"/>
      <c r="U45" s="1"/>
      <c r="W45" s="1"/>
      <c r="X45" s="1"/>
      <c r="Y45" s="1"/>
    </row>
    <row r="46" spans="1:26" x14ac:dyDescent="0.25">
      <c r="A46" s="432">
        <f t="shared" si="2"/>
        <v>35</v>
      </c>
      <c r="B46" s="372">
        <f t="shared" si="3"/>
        <v>55</v>
      </c>
      <c r="C46" s="429" t="s">
        <v>33</v>
      </c>
      <c r="D46" s="404" t="s">
        <v>412</v>
      </c>
      <c r="E46" s="412">
        <v>5.42</v>
      </c>
      <c r="F46" s="372" t="s">
        <v>31</v>
      </c>
      <c r="G46" s="51" t="str">
        <f t="shared" si="4"/>
        <v>Kg</v>
      </c>
      <c r="M46">
        <f t="shared" si="1"/>
        <v>35</v>
      </c>
      <c r="N46" s="429" t="s">
        <v>33</v>
      </c>
      <c r="O46" s="404" t="s">
        <v>376</v>
      </c>
      <c r="P46" s="412">
        <v>1.63</v>
      </c>
      <c r="Q46" s="372" t="s">
        <v>31</v>
      </c>
      <c r="R46" s="51" t="str">
        <f t="shared" ref="R46:R77" si="5">$R$23</f>
        <v>Kg</v>
      </c>
      <c r="S46" s="1"/>
      <c r="T46" s="1"/>
      <c r="U46" s="1"/>
      <c r="W46" s="1"/>
      <c r="X46" s="1"/>
      <c r="Y46" s="1"/>
    </row>
    <row r="47" spans="1:26" x14ac:dyDescent="0.25">
      <c r="A47" s="432">
        <f t="shared" si="2"/>
        <v>36</v>
      </c>
      <c r="B47" s="372">
        <f>M81</f>
        <v>70</v>
      </c>
      <c r="C47" s="429" t="s">
        <v>33</v>
      </c>
      <c r="D47" s="404" t="s">
        <v>339</v>
      </c>
      <c r="E47" s="419">
        <v>2.19</v>
      </c>
      <c r="F47" s="404" t="s">
        <v>360</v>
      </c>
      <c r="G47" s="51" t="str">
        <f t="shared" si="4"/>
        <v>Kg</v>
      </c>
      <c r="M47">
        <f t="shared" si="1"/>
        <v>36</v>
      </c>
      <c r="N47" s="429" t="s">
        <v>33</v>
      </c>
      <c r="O47" s="404" t="s">
        <v>378</v>
      </c>
      <c r="P47" s="412">
        <v>1.38</v>
      </c>
      <c r="Q47" s="372" t="s">
        <v>31</v>
      </c>
      <c r="R47" s="51" t="str">
        <f t="shared" si="5"/>
        <v>Kg</v>
      </c>
      <c r="S47" s="1"/>
      <c r="T47" s="1"/>
      <c r="U47" s="1"/>
      <c r="W47" s="1"/>
      <c r="X47" s="1"/>
      <c r="Y47" s="1"/>
    </row>
    <row r="48" spans="1:26" x14ac:dyDescent="0.25">
      <c r="A48" s="432">
        <f t="shared" si="2"/>
        <v>37</v>
      </c>
      <c r="B48" s="372">
        <f>M94</f>
        <v>83</v>
      </c>
      <c r="C48" s="429" t="s">
        <v>354</v>
      </c>
      <c r="D48" s="417" t="s">
        <v>355</v>
      </c>
      <c r="E48" s="419">
        <v>2.42</v>
      </c>
      <c r="F48" s="404" t="s">
        <v>362</v>
      </c>
      <c r="G48" s="51" t="s">
        <v>424</v>
      </c>
      <c r="M48">
        <f t="shared" si="1"/>
        <v>37</v>
      </c>
      <c r="N48" s="429" t="s">
        <v>33</v>
      </c>
      <c r="O48" s="404" t="s">
        <v>380</v>
      </c>
      <c r="P48" s="412">
        <v>1.42</v>
      </c>
      <c r="Q48" s="372" t="s">
        <v>31</v>
      </c>
      <c r="R48" s="51" t="str">
        <f t="shared" si="5"/>
        <v>Kg</v>
      </c>
      <c r="S48" s="1"/>
      <c r="T48" s="1"/>
      <c r="U48" s="1"/>
      <c r="W48" s="1"/>
      <c r="X48" s="1"/>
      <c r="Y48" s="1"/>
    </row>
    <row r="49" spans="1:25" x14ac:dyDescent="0.25">
      <c r="A49" s="432">
        <f t="shared" si="2"/>
        <v>38</v>
      </c>
      <c r="B49" s="372">
        <f>M95</f>
        <v>84</v>
      </c>
      <c r="C49" s="429" t="s">
        <v>354</v>
      </c>
      <c r="D49" s="417" t="s">
        <v>357</v>
      </c>
      <c r="E49" s="404">
        <v>0.94</v>
      </c>
      <c r="F49" s="404" t="s">
        <v>421</v>
      </c>
      <c r="G49" s="51" t="s">
        <v>424</v>
      </c>
      <c r="M49">
        <f t="shared" si="1"/>
        <v>38</v>
      </c>
      <c r="N49" s="429" t="s">
        <v>33</v>
      </c>
      <c r="O49" s="404" t="s">
        <v>382</v>
      </c>
      <c r="P49" s="412">
        <v>1.1299999999999999</v>
      </c>
      <c r="Q49" s="372" t="s">
        <v>31</v>
      </c>
      <c r="R49" s="51" t="str">
        <f t="shared" si="5"/>
        <v>Kg</v>
      </c>
      <c r="S49" s="1"/>
      <c r="T49" s="1"/>
      <c r="U49" s="1"/>
      <c r="W49" s="1"/>
      <c r="X49" s="1"/>
      <c r="Y49" s="1"/>
    </row>
    <row r="50" spans="1:25" ht="26.25" x14ac:dyDescent="0.25">
      <c r="A50" s="432">
        <f t="shared" si="2"/>
        <v>39</v>
      </c>
      <c r="B50" s="372">
        <f>M96</f>
        <v>85</v>
      </c>
      <c r="C50" s="429" t="s">
        <v>354</v>
      </c>
      <c r="D50" s="417" t="s">
        <v>359</v>
      </c>
      <c r="E50" s="404">
        <v>4.99</v>
      </c>
      <c r="F50" s="404" t="s">
        <v>421</v>
      </c>
      <c r="G50" s="51" t="s">
        <v>424</v>
      </c>
      <c r="M50">
        <f t="shared" si="1"/>
        <v>39</v>
      </c>
      <c r="N50" s="429" t="s">
        <v>33</v>
      </c>
      <c r="O50" s="420" t="s">
        <v>400</v>
      </c>
      <c r="P50" s="412">
        <v>1.1299999999999999</v>
      </c>
      <c r="Q50" s="372" t="s">
        <v>31</v>
      </c>
      <c r="R50" s="51" t="str">
        <f t="shared" si="5"/>
        <v>Kg</v>
      </c>
      <c r="S50" s="1"/>
      <c r="T50" s="1"/>
      <c r="U50" s="1"/>
      <c r="W50" s="1"/>
      <c r="X50" s="1"/>
      <c r="Y50" s="1"/>
    </row>
    <row r="51" spans="1:25" x14ac:dyDescent="0.25">
      <c r="A51" s="506">
        <v>40</v>
      </c>
      <c r="B51" s="372">
        <f t="shared" ref="B51:B52" si="6">M97</f>
        <v>86</v>
      </c>
      <c r="C51" s="429" t="s">
        <v>354</v>
      </c>
      <c r="D51" s="417" t="s">
        <v>453</v>
      </c>
      <c r="E51" s="504">
        <v>11.734545599999999</v>
      </c>
      <c r="F51" s="505" t="s">
        <v>1591</v>
      </c>
      <c r="G51" s="51" t="s">
        <v>424</v>
      </c>
      <c r="M51">
        <f t="shared" si="1"/>
        <v>40</v>
      </c>
      <c r="N51" s="429" t="s">
        <v>33</v>
      </c>
      <c r="O51" s="404" t="s">
        <v>385</v>
      </c>
      <c r="P51" s="412">
        <v>3.07</v>
      </c>
      <c r="Q51" s="372" t="s">
        <v>31</v>
      </c>
      <c r="R51" s="51" t="str">
        <f t="shared" si="5"/>
        <v>Kg</v>
      </c>
      <c r="S51" s="1"/>
      <c r="T51" s="1"/>
      <c r="U51" s="1"/>
      <c r="W51" s="1"/>
      <c r="X51" s="1"/>
      <c r="Y51" s="1"/>
    </row>
    <row r="52" spans="1:25" x14ac:dyDescent="0.25">
      <c r="A52" s="506">
        <v>41</v>
      </c>
      <c r="B52" s="372">
        <f t="shared" si="6"/>
        <v>87</v>
      </c>
      <c r="C52" s="429" t="s">
        <v>354</v>
      </c>
      <c r="D52" s="417" t="s">
        <v>1595</v>
      </c>
      <c r="E52" s="504">
        <v>0.69623481074290983</v>
      </c>
      <c r="F52" s="505" t="s">
        <v>1592</v>
      </c>
      <c r="G52" s="51" t="s">
        <v>424</v>
      </c>
      <c r="M52">
        <f t="shared" si="1"/>
        <v>41</v>
      </c>
      <c r="N52" s="429" t="s">
        <v>33</v>
      </c>
      <c r="O52" s="404" t="s">
        <v>408</v>
      </c>
      <c r="P52" s="412">
        <v>5.89</v>
      </c>
      <c r="Q52" s="372" t="s">
        <v>31</v>
      </c>
      <c r="R52" s="51" t="str">
        <f t="shared" si="5"/>
        <v>Kg</v>
      </c>
      <c r="S52" s="1"/>
      <c r="T52" s="1"/>
      <c r="U52" s="1"/>
      <c r="W52" s="1"/>
      <c r="X52" s="1"/>
      <c r="Y52" s="1"/>
    </row>
    <row r="53" spans="1:25" x14ac:dyDescent="0.25">
      <c r="A53" s="506"/>
      <c r="B53" s="372">
        <v>87</v>
      </c>
      <c r="C53" s="429" t="s">
        <v>354</v>
      </c>
      <c r="D53" s="417" t="s">
        <v>1594</v>
      </c>
      <c r="E53" s="504"/>
      <c r="F53" s="505"/>
      <c r="G53" s="51"/>
      <c r="M53">
        <f t="shared" si="1"/>
        <v>42</v>
      </c>
      <c r="N53" s="429" t="s">
        <v>33</v>
      </c>
      <c r="O53" s="404" t="s">
        <v>409</v>
      </c>
      <c r="P53" s="412">
        <v>2.44</v>
      </c>
      <c r="Q53" s="372" t="s">
        <v>31</v>
      </c>
      <c r="R53" s="51" t="str">
        <f t="shared" si="5"/>
        <v>Kg</v>
      </c>
      <c r="S53" s="1"/>
      <c r="T53" s="1"/>
      <c r="U53" s="1"/>
      <c r="W53" s="1"/>
      <c r="X53" s="1"/>
      <c r="Y53" s="1"/>
    </row>
    <row r="54" spans="1:25" x14ac:dyDescent="0.25">
      <c r="A54" s="506">
        <v>42</v>
      </c>
      <c r="B54" s="372">
        <f>M99</f>
        <v>88</v>
      </c>
      <c r="C54" s="429" t="s">
        <v>354</v>
      </c>
      <c r="D54" s="417" t="s">
        <v>455</v>
      </c>
      <c r="E54" s="504">
        <v>7.8230303999999995</v>
      </c>
      <c r="F54" s="505" t="s">
        <v>1593</v>
      </c>
      <c r="G54" s="51" t="s">
        <v>424</v>
      </c>
      <c r="M54">
        <f t="shared" si="1"/>
        <v>43</v>
      </c>
      <c r="N54" s="429" t="s">
        <v>33</v>
      </c>
      <c r="O54" s="404" t="s">
        <v>410</v>
      </c>
      <c r="P54" s="412">
        <v>2.1800000000000002</v>
      </c>
      <c r="Q54" s="372" t="s">
        <v>31</v>
      </c>
      <c r="R54" s="51" t="str">
        <f t="shared" si="5"/>
        <v>Kg</v>
      </c>
      <c r="S54" s="1"/>
      <c r="T54" s="1"/>
      <c r="U54" s="1"/>
      <c r="V54">
        <v>778.5</v>
      </c>
      <c r="W54" s="1"/>
      <c r="X54" s="1"/>
      <c r="Y54" s="1"/>
    </row>
    <row r="55" spans="1:25" ht="25.5" x14ac:dyDescent="0.25">
      <c r="B55" s="372"/>
      <c r="C55" s="372"/>
      <c r="D55" s="372"/>
      <c r="E55" s="372"/>
      <c r="F55" s="372"/>
      <c r="G55" s="372"/>
      <c r="M55">
        <f t="shared" si="1"/>
        <v>44</v>
      </c>
      <c r="N55" s="429" t="s">
        <v>33</v>
      </c>
      <c r="O55" s="421" t="s">
        <v>402</v>
      </c>
      <c r="P55" s="372">
        <v>1.72</v>
      </c>
      <c r="Q55" s="372" t="s">
        <v>31</v>
      </c>
      <c r="R55" s="51" t="str">
        <f t="shared" si="5"/>
        <v>Kg</v>
      </c>
      <c r="S55" s="1"/>
      <c r="T55" s="1"/>
      <c r="U55" s="1"/>
      <c r="W55" s="1"/>
      <c r="X55" s="1"/>
      <c r="Y55" s="1"/>
    </row>
    <row r="56" spans="1:25" ht="25.5" x14ac:dyDescent="0.25">
      <c r="B56" s="372"/>
      <c r="C56" s="372"/>
      <c r="D56" s="372"/>
      <c r="E56" s="372"/>
      <c r="F56" s="372"/>
      <c r="G56" s="372"/>
      <c r="M56">
        <f t="shared" si="1"/>
        <v>45</v>
      </c>
      <c r="N56" s="429" t="s">
        <v>33</v>
      </c>
      <c r="O56" s="421" t="s">
        <v>403</v>
      </c>
      <c r="P56" s="412">
        <v>1.9</v>
      </c>
      <c r="Q56" s="372" t="s">
        <v>31</v>
      </c>
      <c r="R56" s="51" t="str">
        <f t="shared" si="5"/>
        <v>Kg</v>
      </c>
      <c r="S56" s="1"/>
      <c r="T56" s="1"/>
      <c r="U56" s="1"/>
      <c r="W56" s="1"/>
      <c r="X56" s="1"/>
      <c r="Y56" s="1"/>
    </row>
    <row r="57" spans="1:25" x14ac:dyDescent="0.25">
      <c r="B57" s="372"/>
      <c r="C57" s="372"/>
      <c r="D57" s="372"/>
      <c r="E57" s="372"/>
      <c r="F57" s="372"/>
      <c r="G57" s="372"/>
      <c r="M57">
        <f t="shared" si="1"/>
        <v>46</v>
      </c>
      <c r="N57" s="429" t="s">
        <v>33</v>
      </c>
      <c r="O57" s="421" t="s">
        <v>404</v>
      </c>
      <c r="P57" s="412">
        <v>2.17</v>
      </c>
      <c r="Q57" s="372" t="s">
        <v>31</v>
      </c>
      <c r="R57" s="51" t="str">
        <f t="shared" si="5"/>
        <v>Kg</v>
      </c>
      <c r="S57" s="1"/>
      <c r="T57" s="1"/>
      <c r="U57" s="1"/>
      <c r="W57" s="1"/>
      <c r="X57" s="1"/>
      <c r="Y57" s="1"/>
    </row>
    <row r="58" spans="1:25" ht="25.5" x14ac:dyDescent="0.25">
      <c r="B58" s="372"/>
      <c r="C58" s="372"/>
      <c r="D58" s="372"/>
      <c r="E58" s="372"/>
      <c r="F58" s="372"/>
      <c r="G58" s="372"/>
      <c r="M58">
        <f t="shared" si="1"/>
        <v>47</v>
      </c>
      <c r="N58" s="429" t="s">
        <v>33</v>
      </c>
      <c r="O58" s="421" t="s">
        <v>405</v>
      </c>
      <c r="P58" s="412">
        <v>1.64</v>
      </c>
      <c r="Q58" s="372" t="s">
        <v>31</v>
      </c>
      <c r="R58" s="51" t="str">
        <f t="shared" si="5"/>
        <v>Kg</v>
      </c>
      <c r="S58" s="1"/>
      <c r="T58" s="1"/>
      <c r="U58" s="1"/>
      <c r="W58" s="1"/>
      <c r="X58" s="1"/>
      <c r="Y58" s="1"/>
    </row>
    <row r="59" spans="1:25" ht="25.5" x14ac:dyDescent="0.25">
      <c r="B59" s="372"/>
      <c r="C59" s="372"/>
      <c r="D59" s="372"/>
      <c r="E59" s="372"/>
      <c r="F59" s="372"/>
      <c r="G59" s="372"/>
      <c r="M59">
        <f t="shared" si="1"/>
        <v>48</v>
      </c>
      <c r="N59" s="429" t="s">
        <v>33</v>
      </c>
      <c r="O59" s="421" t="s">
        <v>406</v>
      </c>
      <c r="P59" s="412">
        <v>2.35</v>
      </c>
      <c r="Q59" s="372" t="s">
        <v>31</v>
      </c>
      <c r="R59" s="51" t="str">
        <f t="shared" si="5"/>
        <v>Kg</v>
      </c>
      <c r="S59" s="1"/>
      <c r="T59" s="1"/>
      <c r="U59" s="1"/>
      <c r="W59" s="1"/>
      <c r="X59" s="1"/>
      <c r="Y59" s="1"/>
    </row>
    <row r="60" spans="1:25" ht="25.5" x14ac:dyDescent="0.25">
      <c r="B60" s="372"/>
      <c r="C60" s="372"/>
      <c r="D60" s="372"/>
      <c r="E60" s="372"/>
      <c r="F60" s="372"/>
      <c r="G60" s="372"/>
      <c r="M60">
        <f t="shared" si="1"/>
        <v>49</v>
      </c>
      <c r="N60" s="429" t="s">
        <v>33</v>
      </c>
      <c r="O60" s="421" t="s">
        <v>401</v>
      </c>
      <c r="P60" s="412">
        <v>1.86</v>
      </c>
      <c r="Q60" s="372" t="s">
        <v>31</v>
      </c>
      <c r="R60" s="51" t="str">
        <f t="shared" si="5"/>
        <v>Kg</v>
      </c>
      <c r="S60" s="1"/>
      <c r="T60" s="1"/>
      <c r="U60" s="1"/>
      <c r="W60" s="1"/>
      <c r="X60" s="1"/>
      <c r="Y60" s="1"/>
    </row>
    <row r="61" spans="1:25" ht="25.5" x14ac:dyDescent="0.25">
      <c r="B61" s="372"/>
      <c r="C61" s="372"/>
      <c r="D61" s="372"/>
      <c r="E61" s="372"/>
      <c r="F61" s="372"/>
      <c r="G61" s="372"/>
      <c r="M61">
        <f t="shared" si="1"/>
        <v>50</v>
      </c>
      <c r="N61" s="429" t="s">
        <v>33</v>
      </c>
      <c r="O61" s="421" t="s">
        <v>407</v>
      </c>
      <c r="P61" s="412">
        <v>1.96</v>
      </c>
      <c r="Q61" s="372" t="s">
        <v>31</v>
      </c>
      <c r="R61" s="51" t="str">
        <f t="shared" si="5"/>
        <v>Kg</v>
      </c>
      <c r="S61" s="1"/>
      <c r="T61" s="1"/>
      <c r="U61" s="1"/>
      <c r="W61" s="1"/>
      <c r="X61" s="1"/>
      <c r="Y61" s="1"/>
    </row>
    <row r="62" spans="1:25" x14ac:dyDescent="0.25">
      <c r="M62">
        <f t="shared" si="1"/>
        <v>51</v>
      </c>
      <c r="N62" s="429" t="s">
        <v>33</v>
      </c>
      <c r="O62" s="412" t="s">
        <v>415</v>
      </c>
      <c r="P62" s="412">
        <v>2.44</v>
      </c>
      <c r="Q62" s="372" t="s">
        <v>31</v>
      </c>
      <c r="R62" s="51" t="str">
        <f t="shared" si="5"/>
        <v>Kg</v>
      </c>
      <c r="S62" s="1"/>
      <c r="T62" s="1"/>
      <c r="U62" s="1"/>
      <c r="W62" s="1"/>
      <c r="X62" s="1"/>
      <c r="Y62" s="1"/>
    </row>
    <row r="63" spans="1:25" x14ac:dyDescent="0.25">
      <c r="M63">
        <f t="shared" si="1"/>
        <v>52</v>
      </c>
      <c r="N63" s="429" t="s">
        <v>33</v>
      </c>
      <c r="O63" s="412" t="s">
        <v>416</v>
      </c>
      <c r="P63" s="412">
        <v>2.08</v>
      </c>
      <c r="Q63" s="372" t="s">
        <v>31</v>
      </c>
      <c r="R63" s="51" t="str">
        <f t="shared" si="5"/>
        <v>Kg</v>
      </c>
      <c r="S63" s="1"/>
      <c r="T63" s="1"/>
      <c r="U63" s="1"/>
      <c r="W63" s="1"/>
      <c r="X63" s="1"/>
      <c r="Y63" s="1"/>
    </row>
    <row r="64" spans="1:25" x14ac:dyDescent="0.25">
      <c r="M64">
        <f t="shared" si="1"/>
        <v>53</v>
      </c>
      <c r="N64" s="429" t="s">
        <v>33</v>
      </c>
      <c r="O64" s="412" t="s">
        <v>417</v>
      </c>
      <c r="P64" s="412">
        <v>1.71</v>
      </c>
      <c r="Q64" s="372" t="s">
        <v>31</v>
      </c>
      <c r="R64" s="51" t="str">
        <f t="shared" si="5"/>
        <v>Kg</v>
      </c>
      <c r="S64" s="1"/>
      <c r="T64" s="1"/>
      <c r="U64" s="1"/>
      <c r="W64" s="1"/>
      <c r="X64" s="1"/>
      <c r="Y64" s="1"/>
    </row>
    <row r="65" spans="13:25" x14ac:dyDescent="0.25">
      <c r="M65">
        <f t="shared" si="1"/>
        <v>54</v>
      </c>
      <c r="N65" s="429" t="s">
        <v>33</v>
      </c>
      <c r="O65" s="51" t="s">
        <v>411</v>
      </c>
      <c r="P65" s="412">
        <v>5.35</v>
      </c>
      <c r="Q65" s="372" t="s">
        <v>31</v>
      </c>
      <c r="R65" s="51" t="str">
        <f t="shared" si="5"/>
        <v>Kg</v>
      </c>
      <c r="S65" s="1"/>
      <c r="T65" s="1"/>
      <c r="U65" s="1"/>
      <c r="W65" s="1"/>
      <c r="X65" s="1"/>
      <c r="Y65" s="1"/>
    </row>
    <row r="66" spans="13:25" x14ac:dyDescent="0.25">
      <c r="M66">
        <f t="shared" si="1"/>
        <v>55</v>
      </c>
      <c r="N66" s="429" t="s">
        <v>33</v>
      </c>
      <c r="O66" s="404" t="s">
        <v>412</v>
      </c>
      <c r="P66" s="412">
        <v>5.42</v>
      </c>
      <c r="Q66" s="372" t="s">
        <v>31</v>
      </c>
      <c r="R66" s="51" t="str">
        <f t="shared" si="5"/>
        <v>Kg</v>
      </c>
      <c r="S66" s="1"/>
      <c r="T66" s="1"/>
      <c r="U66" s="1"/>
      <c r="W66" s="1"/>
      <c r="X66" s="1"/>
      <c r="Y66" s="1"/>
    </row>
    <row r="67" spans="13:25" x14ac:dyDescent="0.25">
      <c r="M67">
        <f t="shared" si="1"/>
        <v>56</v>
      </c>
      <c r="N67" s="429" t="s">
        <v>33</v>
      </c>
      <c r="O67" s="404" t="s">
        <v>326</v>
      </c>
      <c r="P67" s="372"/>
      <c r="Q67" s="372"/>
      <c r="R67" s="51" t="str">
        <f t="shared" si="5"/>
        <v>Kg</v>
      </c>
      <c r="S67" s="1"/>
      <c r="T67" s="1"/>
      <c r="U67" s="1"/>
      <c r="W67" s="1"/>
      <c r="X67" s="1"/>
      <c r="Y67" s="1"/>
    </row>
    <row r="68" spans="13:25" x14ac:dyDescent="0.25">
      <c r="M68">
        <f t="shared" si="1"/>
        <v>57</v>
      </c>
      <c r="N68" s="429" t="s">
        <v>33</v>
      </c>
      <c r="O68" s="404" t="s">
        <v>327</v>
      </c>
      <c r="P68" s="372"/>
      <c r="Q68" s="372"/>
      <c r="R68" s="51" t="str">
        <f t="shared" si="5"/>
        <v>Kg</v>
      </c>
      <c r="S68" s="1"/>
      <c r="T68" s="1"/>
      <c r="U68" s="1"/>
      <c r="W68" s="1"/>
      <c r="X68" s="1"/>
      <c r="Y68" s="1"/>
    </row>
    <row r="69" spans="13:25" x14ac:dyDescent="0.25">
      <c r="M69">
        <f t="shared" si="1"/>
        <v>58</v>
      </c>
      <c r="N69" s="429" t="s">
        <v>33</v>
      </c>
      <c r="O69" s="404" t="s">
        <v>335</v>
      </c>
      <c r="P69" s="372"/>
      <c r="Q69" s="372"/>
      <c r="R69" s="51" t="str">
        <f t="shared" si="5"/>
        <v>Kg</v>
      </c>
      <c r="S69" s="1"/>
      <c r="T69" s="1"/>
      <c r="U69" s="1"/>
      <c r="V69" s="1"/>
      <c r="W69" s="1"/>
      <c r="X69" s="1"/>
      <c r="Y69" s="1"/>
    </row>
    <row r="70" spans="13:25" x14ac:dyDescent="0.25">
      <c r="M70">
        <f t="shared" si="1"/>
        <v>59</v>
      </c>
      <c r="N70" s="429" t="s">
        <v>33</v>
      </c>
      <c r="O70" s="404" t="s">
        <v>324</v>
      </c>
      <c r="P70" s="372"/>
      <c r="Q70" s="372"/>
      <c r="R70" s="51" t="str">
        <f t="shared" si="5"/>
        <v>Kg</v>
      </c>
      <c r="S70" s="1"/>
      <c r="T70" s="1"/>
      <c r="U70" s="1"/>
      <c r="V70" s="1"/>
      <c r="W70" s="1"/>
      <c r="X70" s="1"/>
      <c r="Y70" s="1"/>
    </row>
    <row r="71" spans="13:25" x14ac:dyDescent="0.25">
      <c r="M71">
        <f t="shared" si="1"/>
        <v>60</v>
      </c>
      <c r="N71" s="429" t="s">
        <v>33</v>
      </c>
      <c r="O71" s="404" t="s">
        <v>325</v>
      </c>
      <c r="P71" s="372"/>
      <c r="Q71" s="372"/>
      <c r="R71" s="51" t="str">
        <f t="shared" si="5"/>
        <v>Kg</v>
      </c>
      <c r="S71" s="1"/>
      <c r="T71" s="1"/>
      <c r="U71" s="1"/>
      <c r="V71" s="1"/>
      <c r="W71" s="1"/>
      <c r="X71" s="1"/>
      <c r="Y71" s="1"/>
    </row>
    <row r="72" spans="13:25" x14ac:dyDescent="0.25">
      <c r="M72">
        <f t="shared" si="1"/>
        <v>61</v>
      </c>
      <c r="N72" s="429" t="s">
        <v>33</v>
      </c>
      <c r="O72" s="404" t="s">
        <v>328</v>
      </c>
      <c r="P72" s="372"/>
      <c r="Q72" s="372"/>
      <c r="R72" s="51" t="str">
        <f t="shared" si="5"/>
        <v>Kg</v>
      </c>
      <c r="S72" s="1"/>
      <c r="T72" s="1"/>
      <c r="U72" s="1"/>
      <c r="V72" s="1"/>
      <c r="W72" s="1"/>
      <c r="X72" s="1"/>
      <c r="Y72" s="1"/>
    </row>
    <row r="73" spans="13:25" x14ac:dyDescent="0.25">
      <c r="M73">
        <f t="shared" si="1"/>
        <v>62</v>
      </c>
      <c r="N73" s="429" t="s">
        <v>33</v>
      </c>
      <c r="O73" s="404" t="s">
        <v>329</v>
      </c>
      <c r="P73" s="372"/>
      <c r="Q73" s="372"/>
      <c r="R73" s="51" t="str">
        <f t="shared" si="5"/>
        <v>Kg</v>
      </c>
      <c r="S73" s="1"/>
      <c r="T73" s="1"/>
      <c r="U73" s="1"/>
      <c r="V73" s="1"/>
      <c r="W73" s="1"/>
      <c r="X73" s="1"/>
      <c r="Y73" s="1"/>
    </row>
    <row r="74" spans="13:25" x14ac:dyDescent="0.25">
      <c r="M74">
        <f t="shared" si="1"/>
        <v>63</v>
      </c>
      <c r="N74" s="429" t="s">
        <v>33</v>
      </c>
      <c r="O74" s="404" t="s">
        <v>330</v>
      </c>
      <c r="P74" s="372"/>
      <c r="Q74" s="372"/>
      <c r="R74" s="51" t="str">
        <f t="shared" si="5"/>
        <v>Kg</v>
      </c>
      <c r="S74" s="1"/>
      <c r="T74" s="1"/>
      <c r="U74" s="1"/>
      <c r="V74" s="1"/>
      <c r="W74" s="1"/>
      <c r="X74" s="1"/>
      <c r="Y74" s="1"/>
    </row>
    <row r="75" spans="13:25" x14ac:dyDescent="0.25">
      <c r="M75">
        <f t="shared" si="1"/>
        <v>64</v>
      </c>
      <c r="N75" s="429" t="s">
        <v>33</v>
      </c>
      <c r="O75" s="404" t="s">
        <v>331</v>
      </c>
      <c r="P75" s="372"/>
      <c r="Q75" s="372"/>
      <c r="R75" s="51" t="str">
        <f t="shared" si="5"/>
        <v>Kg</v>
      </c>
      <c r="S75" s="1"/>
      <c r="T75" s="1"/>
      <c r="U75" s="1"/>
      <c r="V75" s="1"/>
      <c r="W75" s="1"/>
      <c r="X75" s="1"/>
      <c r="Y75" s="1"/>
    </row>
    <row r="76" spans="13:25" x14ac:dyDescent="0.25">
      <c r="M76">
        <f t="shared" si="1"/>
        <v>65</v>
      </c>
      <c r="N76" s="429" t="s">
        <v>33</v>
      </c>
      <c r="O76" s="404" t="s">
        <v>334</v>
      </c>
      <c r="P76" s="372"/>
      <c r="Q76" s="372"/>
      <c r="R76" s="51" t="str">
        <f t="shared" si="5"/>
        <v>Kg</v>
      </c>
      <c r="S76" s="1"/>
      <c r="T76" s="1"/>
      <c r="U76" s="1"/>
      <c r="V76" s="1"/>
      <c r="W76" s="1"/>
      <c r="X76" s="1"/>
      <c r="Y76" s="1"/>
    </row>
    <row r="77" spans="13:25" x14ac:dyDescent="0.25">
      <c r="M77">
        <f t="shared" ref="M77:M99" si="7">M76+1</f>
        <v>66</v>
      </c>
      <c r="N77" s="429" t="s">
        <v>33</v>
      </c>
      <c r="O77" s="404" t="s">
        <v>331</v>
      </c>
      <c r="P77" s="372"/>
      <c r="Q77" s="372"/>
      <c r="R77" s="51" t="str">
        <f t="shared" si="5"/>
        <v>Kg</v>
      </c>
      <c r="S77" s="1"/>
      <c r="T77" s="1"/>
      <c r="U77" s="1"/>
      <c r="V77" s="1"/>
      <c r="W77" s="1"/>
      <c r="X77" s="1"/>
      <c r="Y77" s="1"/>
    </row>
    <row r="78" spans="13:25" x14ac:dyDescent="0.25">
      <c r="M78">
        <f t="shared" si="7"/>
        <v>67</v>
      </c>
      <c r="N78" s="429" t="s">
        <v>33</v>
      </c>
      <c r="O78" s="404" t="s">
        <v>337</v>
      </c>
      <c r="P78" s="372"/>
      <c r="Q78" s="372"/>
      <c r="R78" s="51" t="str">
        <f t="shared" ref="R78:R94" si="8">$R$23</f>
        <v>Kg</v>
      </c>
      <c r="S78" s="1"/>
      <c r="T78" s="1"/>
      <c r="U78" s="1"/>
      <c r="V78" s="1"/>
      <c r="W78" s="1"/>
      <c r="X78" s="1"/>
      <c r="Y78" s="1"/>
    </row>
    <row r="79" spans="13:25" x14ac:dyDescent="0.25">
      <c r="M79">
        <f t="shared" si="7"/>
        <v>68</v>
      </c>
      <c r="N79" s="429" t="s">
        <v>33</v>
      </c>
      <c r="O79" s="404" t="s">
        <v>338</v>
      </c>
      <c r="P79" s="372"/>
      <c r="Q79" s="372"/>
      <c r="R79" s="51" t="str">
        <f t="shared" si="8"/>
        <v>Kg</v>
      </c>
      <c r="S79" s="1"/>
      <c r="T79" s="1"/>
      <c r="U79" s="1"/>
      <c r="V79" s="1"/>
      <c r="W79" s="1"/>
      <c r="X79" s="1"/>
      <c r="Y79" s="1"/>
    </row>
    <row r="80" spans="13:25" x14ac:dyDescent="0.25">
      <c r="M80">
        <f t="shared" si="7"/>
        <v>69</v>
      </c>
      <c r="N80" s="429" t="s">
        <v>33</v>
      </c>
      <c r="O80" s="404" t="s">
        <v>340</v>
      </c>
      <c r="P80" s="372"/>
      <c r="Q80" s="372"/>
      <c r="R80" s="51" t="str">
        <f t="shared" si="8"/>
        <v>Kg</v>
      </c>
      <c r="S80" s="1"/>
      <c r="T80" s="1"/>
      <c r="U80" s="1"/>
      <c r="V80" s="1"/>
      <c r="W80" s="1"/>
      <c r="X80" s="1"/>
      <c r="Y80" s="1"/>
    </row>
    <row r="81" spans="13:25" x14ac:dyDescent="0.25">
      <c r="M81">
        <f t="shared" si="7"/>
        <v>70</v>
      </c>
      <c r="N81" s="429" t="s">
        <v>33</v>
      </c>
      <c r="O81" s="404" t="s">
        <v>339</v>
      </c>
      <c r="P81" s="419">
        <v>2.19</v>
      </c>
      <c r="Q81" s="404" t="s">
        <v>360</v>
      </c>
      <c r="R81" s="51" t="str">
        <f t="shared" si="8"/>
        <v>Kg</v>
      </c>
      <c r="S81" s="1"/>
      <c r="T81" s="1"/>
      <c r="U81" s="1"/>
      <c r="V81" s="1"/>
      <c r="W81" s="1"/>
      <c r="X81" s="1"/>
      <c r="Y81" s="1"/>
    </row>
    <row r="82" spans="13:25" x14ac:dyDescent="0.25">
      <c r="M82">
        <f t="shared" si="7"/>
        <v>71</v>
      </c>
      <c r="N82" s="429" t="s">
        <v>341</v>
      </c>
      <c r="O82" s="404" t="s">
        <v>342</v>
      </c>
      <c r="P82" s="372"/>
      <c r="Q82" s="372"/>
      <c r="R82" s="51" t="str">
        <f t="shared" si="8"/>
        <v>Kg</v>
      </c>
      <c r="S82" s="1"/>
      <c r="T82" s="1"/>
      <c r="U82" s="1"/>
      <c r="V82" s="1"/>
      <c r="W82" s="1"/>
      <c r="X82" s="1"/>
      <c r="Y82" s="1"/>
    </row>
    <row r="83" spans="13:25" x14ac:dyDescent="0.25">
      <c r="M83">
        <f t="shared" si="7"/>
        <v>72</v>
      </c>
      <c r="N83" s="429" t="s">
        <v>341</v>
      </c>
      <c r="O83" s="404" t="s">
        <v>343</v>
      </c>
      <c r="P83" s="372"/>
      <c r="Q83" s="372"/>
      <c r="R83" s="51" t="str">
        <f t="shared" si="8"/>
        <v>Kg</v>
      </c>
      <c r="S83" s="1"/>
      <c r="T83" s="1"/>
      <c r="U83" s="1"/>
      <c r="V83" s="1"/>
      <c r="W83" s="1"/>
      <c r="X83" s="1"/>
      <c r="Y83" s="1"/>
    </row>
    <row r="84" spans="13:25" x14ac:dyDescent="0.25">
      <c r="M84">
        <f t="shared" si="7"/>
        <v>73</v>
      </c>
      <c r="N84" s="429" t="s">
        <v>341</v>
      </c>
      <c r="O84" s="417" t="s">
        <v>344</v>
      </c>
      <c r="P84" s="372"/>
      <c r="Q84" s="372"/>
      <c r="R84" s="51" t="str">
        <f t="shared" si="8"/>
        <v>Kg</v>
      </c>
      <c r="S84" s="1"/>
      <c r="T84" s="1"/>
      <c r="U84" s="1"/>
      <c r="V84" s="1"/>
      <c r="W84" s="1"/>
      <c r="X84" s="1"/>
      <c r="Y84" s="1"/>
    </row>
    <row r="85" spans="13:25" x14ac:dyDescent="0.25">
      <c r="M85">
        <f t="shared" si="7"/>
        <v>74</v>
      </c>
      <c r="N85" s="429" t="s">
        <v>341</v>
      </c>
      <c r="O85" s="417" t="s">
        <v>345</v>
      </c>
      <c r="P85" s="372"/>
      <c r="Q85" s="372"/>
      <c r="R85" s="51" t="str">
        <f t="shared" si="8"/>
        <v>Kg</v>
      </c>
      <c r="S85" s="1"/>
      <c r="T85" s="1"/>
      <c r="U85" s="1"/>
      <c r="V85" s="1"/>
      <c r="W85" s="1"/>
      <c r="X85" s="1"/>
      <c r="Y85" s="1"/>
    </row>
    <row r="86" spans="13:25" x14ac:dyDescent="0.25">
      <c r="M86">
        <f t="shared" si="7"/>
        <v>75</v>
      </c>
      <c r="N86" s="429" t="s">
        <v>341</v>
      </c>
      <c r="O86" s="404" t="s">
        <v>346</v>
      </c>
      <c r="P86" s="372"/>
      <c r="Q86" s="372"/>
      <c r="R86" s="51" t="str">
        <f t="shared" si="8"/>
        <v>Kg</v>
      </c>
      <c r="S86" s="1"/>
      <c r="T86" s="1"/>
      <c r="U86" s="1"/>
      <c r="V86" s="1"/>
      <c r="W86" s="1"/>
      <c r="X86" s="1"/>
      <c r="Y86" s="1"/>
    </row>
    <row r="87" spans="13:25" x14ac:dyDescent="0.25">
      <c r="M87">
        <f t="shared" si="7"/>
        <v>76</v>
      </c>
      <c r="N87" s="429" t="s">
        <v>341</v>
      </c>
      <c r="O87" s="404" t="s">
        <v>347</v>
      </c>
      <c r="P87" s="372"/>
      <c r="Q87" s="372"/>
      <c r="R87" s="51" t="str">
        <f t="shared" si="8"/>
        <v>Kg</v>
      </c>
      <c r="S87" s="1"/>
      <c r="T87" s="1"/>
      <c r="U87" s="1"/>
      <c r="V87" s="1"/>
      <c r="W87" s="1"/>
      <c r="X87" s="1"/>
      <c r="Y87" s="1"/>
    </row>
    <row r="88" spans="13:25" x14ac:dyDescent="0.25">
      <c r="M88">
        <f t="shared" si="7"/>
        <v>77</v>
      </c>
      <c r="N88" s="429" t="s">
        <v>341</v>
      </c>
      <c r="O88" s="404" t="s">
        <v>348</v>
      </c>
      <c r="P88" s="372"/>
      <c r="Q88" s="372"/>
      <c r="R88" s="51" t="str">
        <f t="shared" si="8"/>
        <v>Kg</v>
      </c>
      <c r="S88" s="1"/>
      <c r="T88" s="1"/>
      <c r="U88" s="1"/>
      <c r="V88" s="1"/>
      <c r="W88" s="1"/>
      <c r="X88" s="1"/>
      <c r="Y88" s="1"/>
    </row>
    <row r="89" spans="13:25" x14ac:dyDescent="0.25">
      <c r="M89">
        <f t="shared" si="7"/>
        <v>78</v>
      </c>
      <c r="N89" s="429" t="s">
        <v>341</v>
      </c>
      <c r="O89" s="404" t="s">
        <v>349</v>
      </c>
      <c r="P89" s="372"/>
      <c r="Q89" s="372"/>
      <c r="R89" s="51" t="str">
        <f t="shared" si="8"/>
        <v>Kg</v>
      </c>
      <c r="S89" s="1"/>
      <c r="T89" s="1"/>
      <c r="U89" s="1"/>
      <c r="V89" s="1"/>
      <c r="W89" s="1"/>
      <c r="X89" s="1"/>
      <c r="Y89" s="1"/>
    </row>
    <row r="90" spans="13:25" x14ac:dyDescent="0.25">
      <c r="M90">
        <f t="shared" si="7"/>
        <v>79</v>
      </c>
      <c r="N90" s="429" t="s">
        <v>341</v>
      </c>
      <c r="O90" s="404" t="s">
        <v>350</v>
      </c>
      <c r="P90" s="372"/>
      <c r="Q90" s="372"/>
      <c r="R90" s="51" t="str">
        <f t="shared" si="8"/>
        <v>Kg</v>
      </c>
      <c r="S90" s="1"/>
      <c r="T90" s="1"/>
      <c r="U90" s="1"/>
      <c r="V90" s="1"/>
      <c r="W90" s="1"/>
      <c r="X90" s="1"/>
      <c r="Y90" s="1"/>
    </row>
    <row r="91" spans="13:25" x14ac:dyDescent="0.25">
      <c r="M91">
        <f t="shared" si="7"/>
        <v>80</v>
      </c>
      <c r="N91" s="429" t="s">
        <v>341</v>
      </c>
      <c r="O91" s="404" t="s">
        <v>351</v>
      </c>
      <c r="P91" s="372"/>
      <c r="Q91" s="372"/>
      <c r="R91" s="51" t="str">
        <f t="shared" si="8"/>
        <v>Kg</v>
      </c>
      <c r="S91" s="1"/>
      <c r="T91" s="1"/>
      <c r="U91" s="1"/>
      <c r="V91" s="1"/>
      <c r="W91" s="1"/>
      <c r="X91" s="1"/>
      <c r="Y91" s="1"/>
    </row>
    <row r="92" spans="13:25" x14ac:dyDescent="0.25">
      <c r="M92">
        <f t="shared" si="7"/>
        <v>81</v>
      </c>
      <c r="N92" s="429" t="s">
        <v>341</v>
      </c>
      <c r="O92" s="404" t="s">
        <v>352</v>
      </c>
      <c r="P92" s="372"/>
      <c r="Q92" s="372"/>
      <c r="R92" s="51" t="str">
        <f t="shared" si="8"/>
        <v>Kg</v>
      </c>
      <c r="S92" s="1"/>
      <c r="T92" s="1"/>
      <c r="U92" s="1"/>
      <c r="W92" s="1"/>
      <c r="X92" s="1"/>
      <c r="Y92" s="1"/>
    </row>
    <row r="93" spans="13:25" x14ac:dyDescent="0.25">
      <c r="M93">
        <f t="shared" si="7"/>
        <v>82</v>
      </c>
      <c r="N93" s="429" t="s">
        <v>341</v>
      </c>
      <c r="O93" s="404" t="s">
        <v>353</v>
      </c>
      <c r="P93" s="372"/>
      <c r="Q93" s="372"/>
      <c r="R93" s="51" t="str">
        <f t="shared" si="8"/>
        <v>Kg</v>
      </c>
      <c r="S93" s="1"/>
      <c r="T93" s="1"/>
      <c r="U93" s="1"/>
      <c r="W93" s="1"/>
      <c r="X93" s="1"/>
      <c r="Y93" s="1"/>
    </row>
    <row r="94" spans="13:25" x14ac:dyDescent="0.25">
      <c r="M94">
        <f t="shared" si="7"/>
        <v>83</v>
      </c>
      <c r="N94" s="429" t="s">
        <v>354</v>
      </c>
      <c r="O94" s="417" t="s">
        <v>355</v>
      </c>
      <c r="P94" s="419">
        <v>2.42</v>
      </c>
      <c r="Q94" s="404" t="s">
        <v>362</v>
      </c>
      <c r="R94" s="51" t="str">
        <f t="shared" si="8"/>
        <v>Kg</v>
      </c>
      <c r="S94" s="1"/>
      <c r="T94" s="1"/>
      <c r="U94" s="1"/>
      <c r="W94" s="1"/>
      <c r="X94" s="1"/>
      <c r="Y94" s="1"/>
    </row>
    <row r="95" spans="13:25" x14ac:dyDescent="0.25">
      <c r="M95">
        <f t="shared" si="7"/>
        <v>84</v>
      </c>
      <c r="N95" s="429" t="s">
        <v>354</v>
      </c>
      <c r="O95" s="417" t="s">
        <v>357</v>
      </c>
      <c r="P95" s="404">
        <v>0.94</v>
      </c>
      <c r="Q95" s="404" t="s">
        <v>421</v>
      </c>
      <c r="R95" s="51" t="s">
        <v>424</v>
      </c>
      <c r="S95" s="1"/>
      <c r="T95" s="1"/>
      <c r="U95" s="1"/>
      <c r="W95" s="1"/>
      <c r="X95" s="1"/>
      <c r="Y95" s="1"/>
    </row>
    <row r="96" spans="13:25" x14ac:dyDescent="0.25">
      <c r="M96">
        <f t="shared" si="7"/>
        <v>85</v>
      </c>
      <c r="N96" s="429" t="s">
        <v>354</v>
      </c>
      <c r="O96" s="417" t="s">
        <v>359</v>
      </c>
      <c r="P96" s="404">
        <v>4.99</v>
      </c>
      <c r="Q96" s="404" t="s">
        <v>421</v>
      </c>
      <c r="R96" s="51" t="s">
        <v>424</v>
      </c>
      <c r="S96" s="1"/>
      <c r="T96" s="1"/>
      <c r="U96" s="1"/>
      <c r="W96" s="1"/>
      <c r="X96" s="1"/>
      <c r="Y96" s="1"/>
    </row>
    <row r="97" spans="13:18" x14ac:dyDescent="0.25">
      <c r="M97">
        <f t="shared" si="7"/>
        <v>86</v>
      </c>
      <c r="N97" s="429" t="s">
        <v>354</v>
      </c>
      <c r="O97" s="417" t="s">
        <v>453</v>
      </c>
      <c r="P97" s="504">
        <v>11.734545599999999</v>
      </c>
      <c r="Q97" s="505">
        <v>40</v>
      </c>
      <c r="R97" s="505" t="s">
        <v>465</v>
      </c>
    </row>
    <row r="98" spans="13:18" x14ac:dyDescent="0.25">
      <c r="M98">
        <f t="shared" si="7"/>
        <v>87</v>
      </c>
      <c r="N98" s="429" t="s">
        <v>354</v>
      </c>
      <c r="O98" s="417" t="s">
        <v>454</v>
      </c>
      <c r="P98" s="504">
        <v>0.69623481074290983</v>
      </c>
      <c r="Q98" s="505">
        <v>12</v>
      </c>
      <c r="R98" s="505" t="s">
        <v>465</v>
      </c>
    </row>
    <row r="99" spans="13:18" x14ac:dyDescent="0.25">
      <c r="M99">
        <f t="shared" si="7"/>
        <v>88</v>
      </c>
      <c r="N99" s="429" t="s">
        <v>354</v>
      </c>
      <c r="O99" s="417" t="s">
        <v>455</v>
      </c>
      <c r="P99" s="504">
        <v>7.8230303999999995</v>
      </c>
      <c r="Q99" s="505">
        <v>34</v>
      </c>
      <c r="R99" s="505" t="s">
        <v>465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4F9F-E6AB-4836-8B4B-7947584CFB43}">
  <dimension ref="A2:AQ112"/>
  <sheetViews>
    <sheetView topLeftCell="A46" zoomScale="118" zoomScaleNormal="118" workbookViewId="0">
      <selection activeCell="P6" sqref="P6"/>
    </sheetView>
  </sheetViews>
  <sheetFormatPr defaultRowHeight="15" x14ac:dyDescent="0.25"/>
  <cols>
    <col min="1" max="1" width="39.28515625" customWidth="1"/>
    <col min="2" max="2" width="11.42578125" customWidth="1"/>
    <col min="3" max="3" width="14.85546875" bestFit="1" customWidth="1"/>
    <col min="4" max="9" width="11.7109375" customWidth="1"/>
  </cols>
  <sheetData>
    <row r="2" spans="1:17" ht="30" x14ac:dyDescent="0.25">
      <c r="A2" s="623"/>
      <c r="B2" s="399"/>
      <c r="C2" s="624" t="s">
        <v>1697</v>
      </c>
      <c r="D2" s="624" t="s">
        <v>1698</v>
      </c>
      <c r="E2" s="624" t="s">
        <v>1699</v>
      </c>
      <c r="F2" s="625" t="s">
        <v>1700</v>
      </c>
      <c r="G2" s="625" t="s">
        <v>1701</v>
      </c>
      <c r="H2" s="625" t="s">
        <v>1702</v>
      </c>
      <c r="I2" s="625" t="s">
        <v>1703</v>
      </c>
      <c r="J2" s="625" t="s">
        <v>1704</v>
      </c>
      <c r="K2" s="625" t="s">
        <v>1705</v>
      </c>
      <c r="L2" s="626" t="s">
        <v>1706</v>
      </c>
      <c r="M2" s="399"/>
      <c r="N2" s="399"/>
      <c r="O2" s="400"/>
    </row>
    <row r="3" spans="1:17" x14ac:dyDescent="0.25">
      <c r="A3" s="627" t="s">
        <v>1636</v>
      </c>
      <c r="B3" t="s">
        <v>1707</v>
      </c>
      <c r="C3" s="617">
        <v>175</v>
      </c>
      <c r="D3" s="617">
        <v>160</v>
      </c>
      <c r="E3" s="617">
        <v>136</v>
      </c>
      <c r="F3" s="615">
        <v>128</v>
      </c>
      <c r="G3" s="615">
        <v>96</v>
      </c>
      <c r="H3" s="615">
        <v>82</v>
      </c>
      <c r="I3" s="615">
        <v>66</v>
      </c>
      <c r="J3" s="615">
        <v>48</v>
      </c>
      <c r="K3" s="615">
        <v>33</v>
      </c>
      <c r="L3" s="616">
        <v>16</v>
      </c>
      <c r="M3" t="s">
        <v>1708</v>
      </c>
      <c r="O3" s="401"/>
    </row>
    <row r="4" spans="1:17" x14ac:dyDescent="0.25">
      <c r="A4" s="627"/>
      <c r="C4" s="619">
        <v>1.5</v>
      </c>
      <c r="D4" s="619">
        <v>1.25</v>
      </c>
      <c r="E4" s="619">
        <f>1+(1/8)</f>
        <v>1.125</v>
      </c>
      <c r="F4" s="620">
        <v>1</v>
      </c>
      <c r="G4" s="620">
        <v>0.75</v>
      </c>
      <c r="H4" s="620">
        <f>5/8</f>
        <v>0.625</v>
      </c>
      <c r="I4" s="620">
        <v>0.5</v>
      </c>
      <c r="J4" s="620">
        <f>3/8</f>
        <v>0.375</v>
      </c>
      <c r="K4" s="620">
        <v>0.25</v>
      </c>
      <c r="L4" s="621"/>
      <c r="O4" s="401" t="s">
        <v>1628</v>
      </c>
    </row>
    <row r="5" spans="1:17" x14ac:dyDescent="0.25">
      <c r="A5" s="627" t="s">
        <v>1719</v>
      </c>
      <c r="B5">
        <f>4*8*25.4*12*25.4*12/1000/1000</f>
        <v>2.9728972799999993</v>
      </c>
      <c r="C5" s="622">
        <f>$B$5*C4*25.4/1000</f>
        <v>0.11326738636799996</v>
      </c>
      <c r="D5" s="622">
        <f>$B$5*D4*25.4/1000</f>
        <v>9.4389488639999977E-2</v>
      </c>
      <c r="E5" s="622">
        <f t="shared" ref="E5:K5" si="0">$B$5*E4*25.4/1000</f>
        <v>8.4950539775999964E-2</v>
      </c>
      <c r="F5" s="622">
        <f t="shared" si="0"/>
        <v>7.5511590911999979E-2</v>
      </c>
      <c r="G5" s="622">
        <f t="shared" si="0"/>
        <v>5.6633693183999981E-2</v>
      </c>
      <c r="H5" s="622">
        <f t="shared" si="0"/>
        <v>4.7194744319999989E-2</v>
      </c>
      <c r="I5" s="622">
        <f t="shared" si="0"/>
        <v>3.7755795455999989E-2</v>
      </c>
      <c r="J5" s="622">
        <f t="shared" si="0"/>
        <v>2.831684659199999E-2</v>
      </c>
      <c r="K5" s="622">
        <f t="shared" si="0"/>
        <v>1.8877897727999995E-2</v>
      </c>
      <c r="L5" s="621"/>
      <c r="N5">
        <f>SUM(C5:K5)</f>
        <v>0.55689798297599979</v>
      </c>
      <c r="O5" s="401"/>
    </row>
    <row r="6" spans="1:17" x14ac:dyDescent="0.25">
      <c r="A6" s="628" t="s">
        <v>1718</v>
      </c>
      <c r="B6" s="402">
        <v>0.453592</v>
      </c>
      <c r="C6" s="629">
        <f>C3*$B$6</f>
        <v>79.378600000000006</v>
      </c>
      <c r="D6" s="629">
        <f t="shared" ref="D6:K6" si="1">D3*$B$6</f>
        <v>72.574719999999999</v>
      </c>
      <c r="E6" s="629">
        <f t="shared" si="1"/>
        <v>61.688512000000003</v>
      </c>
      <c r="F6" s="629">
        <f t="shared" si="1"/>
        <v>58.059775999999999</v>
      </c>
      <c r="G6" s="629">
        <f t="shared" si="1"/>
        <v>43.544832</v>
      </c>
      <c r="H6" s="629">
        <f t="shared" si="1"/>
        <v>37.194544</v>
      </c>
      <c r="I6" s="629">
        <f t="shared" si="1"/>
        <v>29.937072000000001</v>
      </c>
      <c r="J6" s="629">
        <f t="shared" si="1"/>
        <v>21.772416</v>
      </c>
      <c r="K6" s="629">
        <f t="shared" si="1"/>
        <v>14.968536</v>
      </c>
      <c r="L6" s="630"/>
      <c r="M6" s="402"/>
      <c r="N6" s="402">
        <f>SUM(C6:K6)</f>
        <v>419.11900800000001</v>
      </c>
      <c r="O6" s="403">
        <f>N6/N5</f>
        <v>752.59566529631775</v>
      </c>
      <c r="P6">
        <v>753</v>
      </c>
      <c r="Q6">
        <v>769</v>
      </c>
    </row>
    <row r="7" spans="1:17" x14ac:dyDescent="0.25">
      <c r="C7" s="619">
        <f>C6/C5</f>
        <v>700.80720095458889</v>
      </c>
      <c r="D7" s="619">
        <f t="shared" ref="D7:K7" si="2">D6/D5</f>
        <v>768.88561476160589</v>
      </c>
      <c r="E7" s="619">
        <f t="shared" si="2"/>
        <v>726.16974727485024</v>
      </c>
      <c r="F7" s="619">
        <f t="shared" si="2"/>
        <v>768.88561476160589</v>
      </c>
      <c r="G7" s="619">
        <f t="shared" si="2"/>
        <v>768.88561476160601</v>
      </c>
      <c r="H7" s="619">
        <f t="shared" si="2"/>
        <v>788.10775513064607</v>
      </c>
      <c r="I7" s="619">
        <f t="shared" si="2"/>
        <v>792.91329022290608</v>
      </c>
      <c r="J7" s="619">
        <f t="shared" si="2"/>
        <v>768.88561476160601</v>
      </c>
      <c r="K7" s="619">
        <f t="shared" si="2"/>
        <v>792.91329022290608</v>
      </c>
      <c r="L7" s="621"/>
    </row>
    <row r="9" spans="1:17" x14ac:dyDescent="0.25">
      <c r="A9" s="623"/>
      <c r="B9" s="399"/>
      <c r="C9" s="625" t="s">
        <v>1703</v>
      </c>
      <c r="D9" s="625" t="s">
        <v>1701</v>
      </c>
      <c r="E9" s="625" t="s">
        <v>1700</v>
      </c>
      <c r="F9" s="625" t="s">
        <v>1710</v>
      </c>
      <c r="G9" s="625" t="s">
        <v>1711</v>
      </c>
      <c r="H9" s="625" t="s">
        <v>1712</v>
      </c>
      <c r="I9" s="625" t="s">
        <v>1713</v>
      </c>
      <c r="J9" s="399"/>
      <c r="K9" s="399"/>
      <c r="L9" s="399"/>
      <c r="M9" s="399"/>
      <c r="N9" s="399"/>
      <c r="O9" s="400"/>
    </row>
    <row r="10" spans="1:17" ht="15.75" x14ac:dyDescent="0.25">
      <c r="A10" s="631" t="s">
        <v>1709</v>
      </c>
      <c r="B10" t="s">
        <v>1707</v>
      </c>
      <c r="C10" s="618">
        <v>44</v>
      </c>
      <c r="D10" s="618">
        <v>66</v>
      </c>
      <c r="E10" s="618">
        <v>88</v>
      </c>
      <c r="F10" s="618">
        <v>110</v>
      </c>
      <c r="G10" s="618">
        <v>132</v>
      </c>
      <c r="H10" s="618">
        <v>154</v>
      </c>
      <c r="I10" s="618">
        <v>176</v>
      </c>
      <c r="J10" t="s">
        <v>1708</v>
      </c>
      <c r="O10" s="401"/>
    </row>
    <row r="11" spans="1:17" ht="15.75" x14ac:dyDescent="0.25">
      <c r="A11" s="631"/>
      <c r="C11" s="618">
        <f>1/2</f>
        <v>0.5</v>
      </c>
      <c r="D11">
        <f>3/4</f>
        <v>0.75</v>
      </c>
      <c r="E11">
        <v>1</v>
      </c>
      <c r="F11">
        <f>1+(1/4)</f>
        <v>1.25</v>
      </c>
      <c r="G11">
        <v>1.5</v>
      </c>
      <c r="H11">
        <v>1.75</v>
      </c>
      <c r="I11">
        <v>2</v>
      </c>
      <c r="O11" s="401"/>
    </row>
    <row r="12" spans="1:17" ht="15.75" x14ac:dyDescent="0.25">
      <c r="A12" s="631"/>
      <c r="B12">
        <f>4*8*25.4*12*25.4*12/1000/1000</f>
        <v>2.9728972799999993</v>
      </c>
      <c r="C12" s="622">
        <f>$B$5*C11*25.4/1000</f>
        <v>3.7755795455999989E-2</v>
      </c>
      <c r="D12" s="622">
        <f>$B$5*D11*25.4/1000</f>
        <v>5.6633693183999981E-2</v>
      </c>
      <c r="E12" s="622">
        <f t="shared" ref="E12" si="3">$B$5*E11*25.4/1000</f>
        <v>7.5511590911999979E-2</v>
      </c>
      <c r="F12" s="622">
        <f t="shared" ref="F12" si="4">$B$5*F11*25.4/1000</f>
        <v>9.4389488639999977E-2</v>
      </c>
      <c r="G12" s="622">
        <f t="shared" ref="G12" si="5">$B$5*G11*25.4/1000</f>
        <v>0.11326738636799996</v>
      </c>
      <c r="H12" s="622">
        <f t="shared" ref="H12" si="6">$B$5*H11*25.4/1000</f>
        <v>0.13214528409599999</v>
      </c>
      <c r="I12" s="622">
        <f t="shared" ref="I12" si="7">$B$5*I11*25.4/1000</f>
        <v>0.15102318182399996</v>
      </c>
      <c r="N12">
        <f>SUM(C12:I12)</f>
        <v>0.66072642047999985</v>
      </c>
      <c r="O12" s="401"/>
    </row>
    <row r="13" spans="1:17" ht="15.75" x14ac:dyDescent="0.25">
      <c r="A13" s="632"/>
      <c r="B13" s="402"/>
      <c r="C13" s="629">
        <f t="shared" ref="C13:I13" si="8">C10*$B$6</f>
        <v>19.958047999999998</v>
      </c>
      <c r="D13" s="629">
        <f t="shared" si="8"/>
        <v>29.937072000000001</v>
      </c>
      <c r="E13" s="629">
        <f t="shared" si="8"/>
        <v>39.916095999999996</v>
      </c>
      <c r="F13" s="629">
        <f t="shared" si="8"/>
        <v>49.895119999999999</v>
      </c>
      <c r="G13" s="629">
        <f t="shared" si="8"/>
        <v>59.874144000000001</v>
      </c>
      <c r="H13" s="629">
        <f t="shared" si="8"/>
        <v>69.853167999999997</v>
      </c>
      <c r="I13" s="629">
        <f t="shared" si="8"/>
        <v>79.832191999999992</v>
      </c>
      <c r="J13" s="402"/>
      <c r="K13" s="402"/>
      <c r="L13" s="402"/>
      <c r="M13" s="402"/>
      <c r="N13" s="402">
        <f>SUM(C13:I13)</f>
        <v>349.26584000000003</v>
      </c>
      <c r="O13" s="403">
        <f>N13/N12</f>
        <v>528.60886014860409</v>
      </c>
      <c r="P13">
        <v>529</v>
      </c>
    </row>
    <row r="14" spans="1:17" ht="15.75" x14ac:dyDescent="0.25">
      <c r="A14" s="618"/>
      <c r="C14" s="619">
        <f>C13/C12</f>
        <v>528.60886014860398</v>
      </c>
      <c r="D14" s="619">
        <f t="shared" ref="D14:I14" si="9">D13/D12</f>
        <v>528.60886014860409</v>
      </c>
      <c r="E14" s="619">
        <f t="shared" si="9"/>
        <v>528.60886014860398</v>
      </c>
      <c r="F14" s="619">
        <f t="shared" si="9"/>
        <v>528.60886014860409</v>
      </c>
      <c r="G14" s="619">
        <f t="shared" si="9"/>
        <v>528.60886014860409</v>
      </c>
      <c r="H14" s="619">
        <f t="shared" si="9"/>
        <v>528.60886014860398</v>
      </c>
      <c r="I14" s="619">
        <f t="shared" si="9"/>
        <v>528.60886014860398</v>
      </c>
    </row>
    <row r="15" spans="1:17" ht="15.75" x14ac:dyDescent="0.25">
      <c r="A15" s="618"/>
      <c r="C15" s="619"/>
      <c r="D15" s="619"/>
      <c r="E15" s="619"/>
      <c r="F15" s="619"/>
      <c r="G15" s="619"/>
      <c r="H15" s="619"/>
      <c r="I15" s="619"/>
    </row>
    <row r="17" spans="1:16" ht="15.75" x14ac:dyDescent="0.25">
      <c r="A17" s="633" t="s">
        <v>1714</v>
      </c>
      <c r="B17" s="399"/>
      <c r="C17" s="625" t="s">
        <v>1703</v>
      </c>
      <c r="D17" s="625" t="s">
        <v>1702</v>
      </c>
      <c r="E17" s="625" t="s">
        <v>1701</v>
      </c>
      <c r="F17" s="625" t="s">
        <v>1700</v>
      </c>
      <c r="G17" s="625" t="s">
        <v>1710</v>
      </c>
      <c r="H17" s="625" t="s">
        <v>1713</v>
      </c>
      <c r="I17" s="399"/>
      <c r="J17" s="399"/>
      <c r="K17" s="399"/>
      <c r="L17" s="399"/>
      <c r="M17" s="399"/>
      <c r="N17" s="399"/>
      <c r="O17" s="400"/>
    </row>
    <row r="18" spans="1:16" x14ac:dyDescent="0.25">
      <c r="A18" s="627"/>
      <c r="B18" t="s">
        <v>1707</v>
      </c>
      <c r="C18" s="615">
        <v>66</v>
      </c>
      <c r="D18" s="615">
        <v>82</v>
      </c>
      <c r="E18" s="615">
        <v>96</v>
      </c>
      <c r="F18" s="615">
        <v>128</v>
      </c>
      <c r="G18" s="615">
        <v>165</v>
      </c>
      <c r="H18" s="615">
        <v>256</v>
      </c>
      <c r="I18" t="s">
        <v>1708</v>
      </c>
      <c r="O18" s="401"/>
    </row>
    <row r="19" spans="1:16" ht="15.75" x14ac:dyDescent="0.25">
      <c r="A19" s="627"/>
      <c r="C19" s="618">
        <f>1/2</f>
        <v>0.5</v>
      </c>
      <c r="D19" s="620">
        <f>5/8</f>
        <v>0.625</v>
      </c>
      <c r="E19">
        <f>3/4</f>
        <v>0.75</v>
      </c>
      <c r="F19">
        <v>1</v>
      </c>
      <c r="G19">
        <f>1+(1/4)</f>
        <v>1.25</v>
      </c>
      <c r="H19">
        <v>2</v>
      </c>
      <c r="O19" s="401"/>
    </row>
    <row r="20" spans="1:16" x14ac:dyDescent="0.25">
      <c r="A20" s="627"/>
      <c r="C20" s="622">
        <f>$B$5*C19*25.4/1000</f>
        <v>3.7755795455999989E-2</v>
      </c>
      <c r="D20" s="622">
        <f>$B$5*D19*25.4/1000</f>
        <v>4.7194744319999989E-2</v>
      </c>
      <c r="E20" s="622">
        <f t="shared" ref="E20" si="10">$B$5*E19*25.4/1000</f>
        <v>5.6633693183999981E-2</v>
      </c>
      <c r="F20" s="622">
        <f t="shared" ref="F20" si="11">$B$5*F19*25.4/1000</f>
        <v>7.5511590911999979E-2</v>
      </c>
      <c r="G20" s="622">
        <f t="shared" ref="G20" si="12">$B$5*G19*25.4/1000</f>
        <v>9.4389488639999977E-2</v>
      </c>
      <c r="H20" s="622">
        <f t="shared" ref="H20" si="13">$B$5*H19*25.4/1000</f>
        <v>0.15102318182399996</v>
      </c>
      <c r="N20">
        <f>SUM(C20:H20)</f>
        <v>0.46250849433599983</v>
      </c>
      <c r="O20" s="401"/>
    </row>
    <row r="21" spans="1:16" x14ac:dyDescent="0.25">
      <c r="A21" s="628"/>
      <c r="B21" s="402"/>
      <c r="C21" s="629">
        <f t="shared" ref="C21:H21" si="14">C18*$B$6</f>
        <v>29.937072000000001</v>
      </c>
      <c r="D21" s="629">
        <f t="shared" si="14"/>
        <v>37.194544</v>
      </c>
      <c r="E21" s="629">
        <f t="shared" si="14"/>
        <v>43.544832</v>
      </c>
      <c r="F21" s="629">
        <f t="shared" si="14"/>
        <v>58.059775999999999</v>
      </c>
      <c r="G21" s="629">
        <f t="shared" si="14"/>
        <v>74.842680000000001</v>
      </c>
      <c r="H21" s="629">
        <f t="shared" si="14"/>
        <v>116.119552</v>
      </c>
      <c r="I21" s="402"/>
      <c r="J21" s="402"/>
      <c r="K21" s="402"/>
      <c r="L21" s="402"/>
      <c r="M21" s="402"/>
      <c r="N21" s="402">
        <f>SUM(C21:H21)</f>
        <v>359.69845599999996</v>
      </c>
      <c r="O21" s="403">
        <f>N21/N20</f>
        <v>777.71210778820603</v>
      </c>
      <c r="P21">
        <v>778</v>
      </c>
    </row>
    <row r="22" spans="1:16" x14ac:dyDescent="0.25">
      <c r="C22">
        <f>C21/C20</f>
        <v>792.91329022290608</v>
      </c>
      <c r="D22">
        <f t="shared" ref="D22:H22" si="15">D21/D20</f>
        <v>788.10775513064607</v>
      </c>
      <c r="E22">
        <f t="shared" si="15"/>
        <v>768.88561476160601</v>
      </c>
      <c r="F22">
        <f t="shared" si="15"/>
        <v>768.88561476160589</v>
      </c>
      <c r="G22">
        <f t="shared" si="15"/>
        <v>792.91329022290608</v>
      </c>
      <c r="H22">
        <f t="shared" si="15"/>
        <v>768.88561476160589</v>
      </c>
    </row>
    <row r="25" spans="1:16" ht="15.75" x14ac:dyDescent="0.25">
      <c r="A25" s="633" t="s">
        <v>1715</v>
      </c>
      <c r="B25" s="399" t="s">
        <v>1707</v>
      </c>
      <c r="C25" s="625" t="s">
        <v>1705</v>
      </c>
      <c r="D25" s="625" t="s">
        <v>1704</v>
      </c>
      <c r="E25" s="625" t="s">
        <v>1703</v>
      </c>
      <c r="F25" s="625" t="s">
        <v>1702</v>
      </c>
      <c r="G25" s="625" t="s">
        <v>1701</v>
      </c>
      <c r="H25" s="625" t="s">
        <v>1716</v>
      </c>
      <c r="I25" s="625" t="s">
        <v>1700</v>
      </c>
      <c r="J25" s="399"/>
      <c r="K25" s="399"/>
      <c r="L25" s="399"/>
      <c r="M25" s="399"/>
      <c r="N25" s="399"/>
      <c r="O25" s="400"/>
    </row>
    <row r="26" spans="1:16" ht="15.75" x14ac:dyDescent="0.25">
      <c r="A26" s="627"/>
      <c r="C26" s="618">
        <v>33</v>
      </c>
      <c r="D26">
        <v>48</v>
      </c>
      <c r="E26">
        <v>66</v>
      </c>
      <c r="F26">
        <v>82</v>
      </c>
      <c r="G26">
        <v>96</v>
      </c>
      <c r="H26">
        <v>114</v>
      </c>
      <c r="I26">
        <v>128</v>
      </c>
      <c r="J26" t="s">
        <v>1708</v>
      </c>
      <c r="O26" s="401"/>
    </row>
    <row r="27" spans="1:16" ht="15.75" x14ac:dyDescent="0.25">
      <c r="A27" s="627"/>
      <c r="C27" s="620">
        <v>0.25</v>
      </c>
      <c r="D27" s="620">
        <f>3/8</f>
        <v>0.375</v>
      </c>
      <c r="E27" s="618">
        <f>1/2</f>
        <v>0.5</v>
      </c>
      <c r="F27" s="620">
        <f>5/8</f>
        <v>0.625</v>
      </c>
      <c r="G27">
        <f>3/4</f>
        <v>0.75</v>
      </c>
      <c r="H27">
        <f>7/8</f>
        <v>0.875</v>
      </c>
      <c r="I27">
        <v>1</v>
      </c>
      <c r="O27" s="401"/>
    </row>
    <row r="28" spans="1:16" x14ac:dyDescent="0.25">
      <c r="A28" s="627"/>
      <c r="C28" s="622">
        <f>$B$5*C27*25.4/1000</f>
        <v>1.8877897727999995E-2</v>
      </c>
      <c r="D28" s="622">
        <f>$B$5*D27*25.4/1000</f>
        <v>2.831684659199999E-2</v>
      </c>
      <c r="E28" s="622">
        <f t="shared" ref="E28" si="16">$B$5*E27*25.4/1000</f>
        <v>3.7755795455999989E-2</v>
      </c>
      <c r="F28" s="622">
        <f t="shared" ref="F28" si="17">$B$5*F27*25.4/1000</f>
        <v>4.7194744319999989E-2</v>
      </c>
      <c r="G28" s="622">
        <f t="shared" ref="G28" si="18">$B$5*G27*25.4/1000</f>
        <v>5.6633693183999981E-2</v>
      </c>
      <c r="H28" s="622">
        <f t="shared" ref="H28:I28" si="19">$B$5*H27*25.4/1000</f>
        <v>6.6072642047999994E-2</v>
      </c>
      <c r="I28" s="622">
        <f t="shared" si="19"/>
        <v>7.5511590911999979E-2</v>
      </c>
      <c r="N28">
        <f>SUM(C28:I28)</f>
        <v>0.33036321023999993</v>
      </c>
      <c r="O28" s="401"/>
    </row>
    <row r="29" spans="1:16" x14ac:dyDescent="0.25">
      <c r="A29" s="628"/>
      <c r="B29" s="402"/>
      <c r="C29" s="629">
        <f t="shared" ref="C29:I29" si="20">C26*$B$6</f>
        <v>14.968536</v>
      </c>
      <c r="D29" s="629">
        <f t="shared" si="20"/>
        <v>21.772416</v>
      </c>
      <c r="E29" s="629">
        <f t="shared" si="20"/>
        <v>29.937072000000001</v>
      </c>
      <c r="F29" s="629">
        <f t="shared" si="20"/>
        <v>37.194544</v>
      </c>
      <c r="G29" s="629">
        <f t="shared" si="20"/>
        <v>43.544832</v>
      </c>
      <c r="H29" s="629">
        <f t="shared" si="20"/>
        <v>51.709488</v>
      </c>
      <c r="I29" s="629">
        <f t="shared" si="20"/>
        <v>58.059775999999999</v>
      </c>
      <c r="J29" s="402"/>
      <c r="K29" s="402"/>
      <c r="L29" s="402"/>
      <c r="M29" s="402"/>
      <c r="N29" s="402">
        <f>SUM(C29:I29)</f>
        <v>257.18666399999995</v>
      </c>
      <c r="O29" s="403">
        <f>N29/N28</f>
        <v>778.49668494612581</v>
      </c>
      <c r="P29">
        <v>778.5</v>
      </c>
    </row>
    <row r="35" spans="1:16" ht="15.75" x14ac:dyDescent="0.25">
      <c r="A35" s="633" t="s">
        <v>1717</v>
      </c>
      <c r="B35" s="399"/>
      <c r="C35" s="625" t="s">
        <v>1701</v>
      </c>
      <c r="D35" s="625" t="s">
        <v>1703</v>
      </c>
      <c r="E35" s="625" t="s">
        <v>1705</v>
      </c>
      <c r="F35" s="399"/>
      <c r="G35" s="399"/>
      <c r="H35" s="399"/>
      <c r="I35" s="399"/>
      <c r="J35" s="399"/>
      <c r="K35" s="399"/>
      <c r="L35" s="399"/>
      <c r="M35" s="399"/>
      <c r="N35" s="399"/>
      <c r="O35" s="400"/>
    </row>
    <row r="36" spans="1:16" x14ac:dyDescent="0.25">
      <c r="A36" s="627"/>
      <c r="B36" t="s">
        <v>1707</v>
      </c>
      <c r="C36" s="615">
        <v>95</v>
      </c>
      <c r="D36" s="615">
        <v>65</v>
      </c>
      <c r="E36" s="615">
        <v>35</v>
      </c>
      <c r="F36" t="s">
        <v>1708</v>
      </c>
      <c r="O36" s="401"/>
    </row>
    <row r="37" spans="1:16" ht="15.75" x14ac:dyDescent="0.25">
      <c r="A37" s="627"/>
      <c r="C37">
        <f>3/4</f>
        <v>0.75</v>
      </c>
      <c r="D37" s="618">
        <f>1/2</f>
        <v>0.5</v>
      </c>
      <c r="E37" s="620">
        <v>0.25</v>
      </c>
      <c r="O37" s="401"/>
    </row>
    <row r="38" spans="1:16" x14ac:dyDescent="0.25">
      <c r="A38" s="627"/>
      <c r="B38" t="s">
        <v>1800</v>
      </c>
      <c r="C38" s="622">
        <f>$B$5*C37*25.4/1000</f>
        <v>5.6633693183999981E-2</v>
      </c>
      <c r="D38" s="622">
        <f>$B$5*D37*25.4/1000</f>
        <v>3.7755795455999989E-2</v>
      </c>
      <c r="E38" s="622">
        <f t="shared" ref="E38" si="21">$B$5*E37*25.4/1000</f>
        <v>1.8877897727999995E-2</v>
      </c>
      <c r="N38">
        <f>SUM(C38:E38)</f>
        <v>0.11326738636799996</v>
      </c>
      <c r="O38" s="401"/>
    </row>
    <row r="39" spans="1:16" x14ac:dyDescent="0.25">
      <c r="A39" s="628"/>
      <c r="B39" s="402" t="s">
        <v>1695</v>
      </c>
      <c r="C39" s="629">
        <f t="shared" ref="C39:E39" si="22">C36*$B$6</f>
        <v>43.091239999999999</v>
      </c>
      <c r="D39" s="629">
        <f t="shared" si="22"/>
        <v>29.48348</v>
      </c>
      <c r="E39" s="629">
        <f t="shared" si="22"/>
        <v>15.875719999999999</v>
      </c>
      <c r="F39" s="402"/>
      <c r="G39" s="402"/>
      <c r="H39" s="402"/>
      <c r="I39" s="402"/>
      <c r="J39" s="402"/>
      <c r="K39" s="402"/>
      <c r="L39" s="402"/>
      <c r="M39" s="402"/>
      <c r="N39" s="402">
        <f>SUM(C39:E39)</f>
        <v>88.45044</v>
      </c>
      <c r="O39" s="403">
        <f>N39/N38</f>
        <v>780.89945249225605</v>
      </c>
      <c r="P39">
        <v>781</v>
      </c>
    </row>
    <row r="43" spans="1:16" x14ac:dyDescent="0.25">
      <c r="A43" t="s">
        <v>1724</v>
      </c>
      <c r="P43">
        <v>620</v>
      </c>
    </row>
    <row r="46" spans="1:16" ht="15.75" thickBot="1" x14ac:dyDescent="0.3"/>
    <row r="47" spans="1:16" ht="19.5" thickBot="1" x14ac:dyDescent="0.4">
      <c r="A47" s="475"/>
      <c r="B47" s="612" t="s">
        <v>1643</v>
      </c>
      <c r="C47" s="612" t="s">
        <v>1644</v>
      </c>
      <c r="D47" s="612" t="s">
        <v>1645</v>
      </c>
      <c r="E47" s="612" t="s">
        <v>1646</v>
      </c>
      <c r="F47" s="612" t="s">
        <v>1647</v>
      </c>
      <c r="G47" s="612" t="s">
        <v>1648</v>
      </c>
    </row>
    <row r="48" spans="1:16" ht="19.5" thickBot="1" x14ac:dyDescent="0.4">
      <c r="A48" s="475"/>
      <c r="B48" s="612">
        <v>6</v>
      </c>
      <c r="C48" s="612">
        <v>9.5</v>
      </c>
      <c r="D48" s="612">
        <v>12.5</v>
      </c>
      <c r="E48" s="612">
        <v>15.5</v>
      </c>
      <c r="F48" s="612">
        <v>18.5</v>
      </c>
      <c r="G48" s="612">
        <v>28.5</v>
      </c>
    </row>
    <row r="49" spans="1:8" ht="38.25" thickBot="1" x14ac:dyDescent="0.3">
      <c r="A49" s="609" t="s">
        <v>1629</v>
      </c>
      <c r="B49" s="609" t="s">
        <v>1630</v>
      </c>
      <c r="C49" s="609" t="s">
        <v>1631</v>
      </c>
      <c r="D49" s="609" t="s">
        <v>1632</v>
      </c>
      <c r="E49" s="609" t="s">
        <v>1633</v>
      </c>
      <c r="F49" s="609" t="s">
        <v>1634</v>
      </c>
      <c r="G49" s="609" t="s">
        <v>1635</v>
      </c>
    </row>
    <row r="50" spans="1:8" ht="38.25" thickBot="1" x14ac:dyDescent="0.3">
      <c r="A50" s="610" t="s">
        <v>1636</v>
      </c>
      <c r="B50" s="610" t="s">
        <v>1637</v>
      </c>
      <c r="C50" s="610" t="s">
        <v>1638</v>
      </c>
      <c r="D50" s="610" t="s">
        <v>1639</v>
      </c>
      <c r="E50" s="610" t="s">
        <v>1640</v>
      </c>
      <c r="F50" s="610" t="s">
        <v>1641</v>
      </c>
      <c r="G50" s="610" t="s">
        <v>1642</v>
      </c>
    </row>
    <row r="51" spans="1:8" ht="18.75" x14ac:dyDescent="0.35">
      <c r="A51" s="397" t="s">
        <v>443</v>
      </c>
      <c r="B51" s="613" t="s">
        <v>1649</v>
      </c>
      <c r="C51" s="397"/>
      <c r="D51" s="397"/>
      <c r="E51" s="397"/>
    </row>
    <row r="52" spans="1:8" x14ac:dyDescent="0.25">
      <c r="A52" s="397" t="s">
        <v>1650</v>
      </c>
      <c r="B52">
        <f t="shared" ref="B52:G52" si="23">1220*2440/1000/1000</f>
        <v>2.9768000000000003</v>
      </c>
      <c r="C52">
        <f t="shared" si="23"/>
        <v>2.9768000000000003</v>
      </c>
      <c r="D52">
        <f t="shared" si="23"/>
        <v>2.9768000000000003</v>
      </c>
      <c r="E52">
        <f t="shared" si="23"/>
        <v>2.9768000000000003</v>
      </c>
      <c r="F52">
        <f t="shared" si="23"/>
        <v>2.9768000000000003</v>
      </c>
      <c r="G52">
        <f t="shared" si="23"/>
        <v>2.9768000000000003</v>
      </c>
    </row>
    <row r="53" spans="1:8" x14ac:dyDescent="0.25">
      <c r="A53" s="397" t="s">
        <v>1651</v>
      </c>
      <c r="B53" s="397">
        <f t="shared" ref="B53:G53" si="24">B48*B52/1000</f>
        <v>1.78608E-2</v>
      </c>
      <c r="C53" s="397">
        <f t="shared" si="24"/>
        <v>2.8279600000000002E-2</v>
      </c>
      <c r="D53" s="397">
        <f t="shared" si="24"/>
        <v>3.721E-2</v>
      </c>
      <c r="E53" s="397">
        <f t="shared" si="24"/>
        <v>4.6140400000000005E-2</v>
      </c>
      <c r="F53" s="397">
        <f t="shared" si="24"/>
        <v>5.5070800000000003E-2</v>
      </c>
      <c r="G53" s="397">
        <f t="shared" si="24"/>
        <v>8.4838800000000006E-2</v>
      </c>
    </row>
    <row r="54" spans="1:8" ht="15.75" thickBot="1" x14ac:dyDescent="0.3">
      <c r="A54" s="397"/>
      <c r="B54" s="397"/>
      <c r="C54" s="397"/>
      <c r="D54" s="397"/>
      <c r="E54" s="397"/>
    </row>
    <row r="55" spans="1:8" ht="19.5" thickBot="1" x14ac:dyDescent="0.3">
      <c r="A55" s="609" t="s">
        <v>1629</v>
      </c>
      <c r="B55" s="609">
        <v>14.97</v>
      </c>
      <c r="C55" s="609">
        <v>19.5</v>
      </c>
      <c r="D55" s="609">
        <v>27.67</v>
      </c>
      <c r="E55" s="609">
        <v>32.659999999999997</v>
      </c>
      <c r="F55" s="609">
        <v>41.28</v>
      </c>
      <c r="G55" s="609">
        <v>57.61</v>
      </c>
      <c r="H55" t="s">
        <v>423</v>
      </c>
    </row>
    <row r="56" spans="1:8" ht="19.5" thickBot="1" x14ac:dyDescent="0.3">
      <c r="A56" s="610" t="s">
        <v>1636</v>
      </c>
      <c r="B56" s="610">
        <v>16.329999999999998</v>
      </c>
      <c r="C56" s="610">
        <v>21.09</v>
      </c>
      <c r="D56" s="610">
        <v>30.25</v>
      </c>
      <c r="E56" s="610">
        <v>35.61</v>
      </c>
      <c r="F56" s="610">
        <v>45.13</v>
      </c>
      <c r="G56" s="610">
        <v>62.82</v>
      </c>
      <c r="H56" t="s">
        <v>423</v>
      </c>
    </row>
    <row r="57" spans="1:8" ht="15.75" thickBot="1" x14ac:dyDescent="0.3">
      <c r="A57" s="397"/>
      <c r="B57" s="397"/>
      <c r="C57" s="397"/>
      <c r="D57" s="397"/>
      <c r="E57" s="397"/>
      <c r="H57" t="s">
        <v>1652</v>
      </c>
    </row>
    <row r="58" spans="1:8" ht="19.5" thickBot="1" x14ac:dyDescent="0.3">
      <c r="A58" s="609" t="s">
        <v>1629</v>
      </c>
      <c r="B58" s="397">
        <f t="shared" ref="B58:G58" si="25">B55/B53</f>
        <v>838.14834721848968</v>
      </c>
      <c r="C58" s="397">
        <f t="shared" si="25"/>
        <v>689.54299212152921</v>
      </c>
      <c r="D58" s="397">
        <f t="shared" si="25"/>
        <v>743.61730717549051</v>
      </c>
      <c r="E58" s="397">
        <f t="shared" si="25"/>
        <v>707.83955058907145</v>
      </c>
      <c r="F58" s="397">
        <f t="shared" si="25"/>
        <v>749.58053995947034</v>
      </c>
      <c r="G58" s="397">
        <f t="shared" si="25"/>
        <v>679.05250899352654</v>
      </c>
      <c r="H58" s="397">
        <f>AVERAGE(B58:G58)</f>
        <v>734.63020767626278</v>
      </c>
    </row>
    <row r="59" spans="1:8" ht="19.5" thickBot="1" x14ac:dyDescent="0.3">
      <c r="A59" s="610" t="s">
        <v>1636</v>
      </c>
      <c r="B59" s="397">
        <f t="shared" ref="B59:G59" si="26">B56/B53</f>
        <v>914.29275284421738</v>
      </c>
      <c r="C59" s="397">
        <f t="shared" si="26"/>
        <v>745.76726686374627</v>
      </c>
      <c r="D59" s="397">
        <f t="shared" si="26"/>
        <v>812.9535071217415</v>
      </c>
      <c r="E59" s="397">
        <f t="shared" si="26"/>
        <v>771.77484373780885</v>
      </c>
      <c r="F59" s="397">
        <f t="shared" si="26"/>
        <v>819.49054671441127</v>
      </c>
      <c r="G59" s="397">
        <f t="shared" si="26"/>
        <v>740.46309000127292</v>
      </c>
      <c r="H59" s="397">
        <f>AVERAGE(B59:G59)</f>
        <v>800.79033454719968</v>
      </c>
    </row>
    <row r="60" spans="1:8" ht="15.75" thickBot="1" x14ac:dyDescent="0.3">
      <c r="A60" s="397" t="s">
        <v>1693</v>
      </c>
      <c r="B60" s="397" t="s">
        <v>1693</v>
      </c>
      <c r="C60" s="397"/>
      <c r="D60" s="397"/>
      <c r="E60" s="397"/>
    </row>
    <row r="61" spans="1:8" ht="19.5" thickBot="1" x14ac:dyDescent="0.3">
      <c r="A61" s="609" t="s">
        <v>1629</v>
      </c>
      <c r="B61" s="397">
        <v>838</v>
      </c>
      <c r="C61" s="397">
        <v>680</v>
      </c>
      <c r="D61" s="397"/>
      <c r="E61" s="397"/>
    </row>
    <row r="62" spans="1:8" ht="19.5" thickBot="1" x14ac:dyDescent="0.3">
      <c r="A62" s="610" t="s">
        <v>1636</v>
      </c>
      <c r="B62" s="397"/>
      <c r="C62" s="397"/>
      <c r="D62" s="397"/>
      <c r="E62" s="397"/>
    </row>
    <row r="63" spans="1:8" ht="15.75" thickBot="1" x14ac:dyDescent="0.3">
      <c r="A63" s="397" t="s">
        <v>1692</v>
      </c>
      <c r="B63" s="397"/>
      <c r="C63" s="397"/>
      <c r="D63" s="397"/>
      <c r="E63" s="397"/>
    </row>
    <row r="64" spans="1:8" ht="19.5" thickBot="1" x14ac:dyDescent="0.4">
      <c r="A64" s="1038" t="s">
        <v>1653</v>
      </c>
      <c r="B64" s="1040" t="s">
        <v>1654</v>
      </c>
      <c r="C64" s="1041"/>
      <c r="D64" s="1041"/>
      <c r="E64" s="1041"/>
      <c r="F64" s="1041"/>
      <c r="G64" s="1042"/>
    </row>
    <row r="65" spans="1:13" ht="20.25" thickTop="1" thickBot="1" x14ac:dyDescent="0.4">
      <c r="A65" s="1039"/>
      <c r="B65" s="611" t="s">
        <v>1643</v>
      </c>
      <c r="C65" s="611" t="s">
        <v>1644</v>
      </c>
      <c r="D65" s="611" t="s">
        <v>1645</v>
      </c>
      <c r="E65" s="611" t="s">
        <v>1646</v>
      </c>
      <c r="F65" s="611" t="s">
        <v>1647</v>
      </c>
      <c r="G65" s="611" t="s">
        <v>1648</v>
      </c>
      <c r="I65" t="s">
        <v>1694</v>
      </c>
    </row>
    <row r="66" spans="1:13" ht="20.25" thickTop="1" thickBot="1" x14ac:dyDescent="0.3">
      <c r="A66" s="609" t="s">
        <v>1655</v>
      </c>
      <c r="B66" s="609" t="s">
        <v>1656</v>
      </c>
      <c r="C66" s="609" t="s">
        <v>1657</v>
      </c>
      <c r="D66" s="609" t="s">
        <v>1658</v>
      </c>
      <c r="E66" s="609" t="s">
        <v>1659</v>
      </c>
      <c r="F66" s="609" t="s">
        <v>1632</v>
      </c>
      <c r="G66" s="609" t="s">
        <v>1660</v>
      </c>
    </row>
    <row r="67" spans="1:13" ht="19.5" thickBot="1" x14ac:dyDescent="0.3">
      <c r="A67" s="610" t="s">
        <v>1661</v>
      </c>
      <c r="B67" s="610" t="s">
        <v>1662</v>
      </c>
      <c r="C67" s="610" t="s">
        <v>1663</v>
      </c>
      <c r="D67" s="610" t="s">
        <v>1664</v>
      </c>
      <c r="E67" s="610" t="s">
        <v>1665</v>
      </c>
      <c r="F67" s="610" t="s">
        <v>1666</v>
      </c>
      <c r="G67" s="610" t="s">
        <v>1667</v>
      </c>
    </row>
    <row r="68" spans="1:13" ht="19.5" thickBot="1" x14ac:dyDescent="0.3">
      <c r="A68" s="609" t="s">
        <v>1668</v>
      </c>
      <c r="B68" s="609" t="s">
        <v>1669</v>
      </c>
      <c r="C68" s="609" t="s">
        <v>1670</v>
      </c>
      <c r="D68" s="609" t="s">
        <v>1671</v>
      </c>
      <c r="E68" s="609" t="s">
        <v>1672</v>
      </c>
      <c r="F68" s="609" t="s">
        <v>1673</v>
      </c>
      <c r="G68" s="609" t="s">
        <v>1674</v>
      </c>
    </row>
    <row r="69" spans="1:13" ht="19.5" thickBot="1" x14ac:dyDescent="0.3">
      <c r="A69" s="610" t="s">
        <v>1675</v>
      </c>
      <c r="B69" s="610" t="s">
        <v>1676</v>
      </c>
      <c r="C69" s="610" t="s">
        <v>1677</v>
      </c>
      <c r="D69" s="610" t="s">
        <v>1659</v>
      </c>
      <c r="E69" s="610" t="s">
        <v>1678</v>
      </c>
      <c r="F69" s="610" t="s">
        <v>1679</v>
      </c>
      <c r="G69" s="610" t="s">
        <v>1641</v>
      </c>
    </row>
    <row r="70" spans="1:13" ht="19.5" thickBot="1" x14ac:dyDescent="0.3">
      <c r="A70" s="609" t="s">
        <v>1629</v>
      </c>
      <c r="B70" s="609" t="s">
        <v>1630</v>
      </c>
      <c r="C70" s="609" t="s">
        <v>1631</v>
      </c>
      <c r="D70" s="609" t="s">
        <v>1632</v>
      </c>
      <c r="E70" s="609" t="s">
        <v>1633</v>
      </c>
      <c r="F70" s="609" t="s">
        <v>1634</v>
      </c>
      <c r="G70" s="609" t="s">
        <v>1635</v>
      </c>
    </row>
    <row r="71" spans="1:13" ht="19.5" thickBot="1" x14ac:dyDescent="0.3">
      <c r="A71" s="610" t="s">
        <v>1636</v>
      </c>
      <c r="B71" s="610" t="s">
        <v>1637</v>
      </c>
      <c r="C71" s="610" t="s">
        <v>1638</v>
      </c>
      <c r="D71" s="610" t="s">
        <v>1639</v>
      </c>
      <c r="E71" s="610" t="s">
        <v>1640</v>
      </c>
      <c r="F71" s="610" t="s">
        <v>1641</v>
      </c>
      <c r="G71" s="610" t="s">
        <v>1642</v>
      </c>
    </row>
    <row r="72" spans="1:13" ht="19.5" thickBot="1" x14ac:dyDescent="0.3">
      <c r="A72" s="609" t="s">
        <v>1680</v>
      </c>
      <c r="B72" s="609" t="s">
        <v>1681</v>
      </c>
      <c r="C72" s="609" t="s">
        <v>1676</v>
      </c>
      <c r="D72" s="609" t="s">
        <v>1682</v>
      </c>
      <c r="E72" s="609" t="s">
        <v>1683</v>
      </c>
      <c r="F72" s="609" t="s">
        <v>1684</v>
      </c>
      <c r="G72" s="609" t="s">
        <v>1685</v>
      </c>
    </row>
    <row r="73" spans="1:13" ht="19.5" thickBot="1" x14ac:dyDescent="0.3">
      <c r="A73" s="610" t="s">
        <v>1686</v>
      </c>
      <c r="B73" s="610" t="s">
        <v>1687</v>
      </c>
      <c r="C73" s="610" t="s">
        <v>1630</v>
      </c>
      <c r="D73" s="610" t="s">
        <v>1688</v>
      </c>
      <c r="E73" s="610" t="s">
        <v>1689</v>
      </c>
      <c r="F73" s="610" t="s">
        <v>1690</v>
      </c>
      <c r="G73" s="610" t="s">
        <v>1691</v>
      </c>
    </row>
    <row r="74" spans="1:13" x14ac:dyDescent="0.25">
      <c r="A74" s="397"/>
      <c r="B74" s="397"/>
      <c r="C74" s="397"/>
      <c r="D74" s="397"/>
      <c r="E74" s="397"/>
    </row>
    <row r="75" spans="1:13" ht="15.75" thickBot="1" x14ac:dyDescent="0.3">
      <c r="A75" s="397" t="s">
        <v>1695</v>
      </c>
      <c r="H75" s="397" t="s">
        <v>1695</v>
      </c>
      <c r="I75" t="s">
        <v>437</v>
      </c>
      <c r="J75" s="397" t="s">
        <v>1696</v>
      </c>
      <c r="K75" s="397" t="s">
        <v>436</v>
      </c>
      <c r="L75" s="397" t="s">
        <v>422</v>
      </c>
      <c r="M75" s="397" t="s">
        <v>1628</v>
      </c>
    </row>
    <row r="76" spans="1:13" ht="18.75" x14ac:dyDescent="0.35">
      <c r="A76" s="397" t="s">
        <v>1722</v>
      </c>
      <c r="B76" s="614" t="s">
        <v>1643</v>
      </c>
      <c r="C76" s="614" t="s">
        <v>1644</v>
      </c>
      <c r="D76" s="614" t="s">
        <v>1645</v>
      </c>
      <c r="E76" s="614" t="s">
        <v>1646</v>
      </c>
      <c r="F76" s="614" t="s">
        <v>1647</v>
      </c>
      <c r="G76" s="614" t="s">
        <v>1648</v>
      </c>
      <c r="H76" s="397"/>
      <c r="J76" s="397"/>
      <c r="K76" s="397"/>
      <c r="L76" s="397"/>
      <c r="M76" s="397"/>
    </row>
    <row r="77" spans="1:13" x14ac:dyDescent="0.25">
      <c r="A77" s="417">
        <f>1220*2440/1000/1000</f>
        <v>2.9768000000000003</v>
      </c>
      <c r="B77" s="417">
        <v>6</v>
      </c>
      <c r="C77" s="417">
        <v>9.5</v>
      </c>
      <c r="D77" s="417">
        <v>12.5</v>
      </c>
      <c r="E77" s="417">
        <v>15.5</v>
      </c>
      <c r="F77" s="417">
        <v>18.5</v>
      </c>
      <c r="G77" s="417">
        <v>28.5</v>
      </c>
      <c r="H77" s="397"/>
      <c r="J77" s="397"/>
      <c r="K77" s="397"/>
      <c r="L77" s="397"/>
      <c r="M77" s="397"/>
    </row>
    <row r="78" spans="1:13" x14ac:dyDescent="0.25">
      <c r="A78" s="417" t="s">
        <v>1721</v>
      </c>
      <c r="B78" s="417">
        <f t="shared" ref="B78:G78" si="27">B77/1000*$A$77</f>
        <v>1.7860800000000003E-2</v>
      </c>
      <c r="C78" s="417">
        <f t="shared" si="27"/>
        <v>2.8279600000000002E-2</v>
      </c>
      <c r="D78" s="417">
        <f t="shared" si="27"/>
        <v>3.7210000000000007E-2</v>
      </c>
      <c r="E78" s="417">
        <f t="shared" si="27"/>
        <v>4.6140400000000005E-2</v>
      </c>
      <c r="F78" s="417">
        <f t="shared" si="27"/>
        <v>5.5070800000000003E-2</v>
      </c>
      <c r="G78" s="417">
        <f t="shared" si="27"/>
        <v>8.4838800000000006E-2</v>
      </c>
      <c r="H78" s="397"/>
      <c r="J78" s="397"/>
      <c r="K78" s="397"/>
      <c r="L78" s="397"/>
      <c r="M78" s="397"/>
    </row>
    <row r="79" spans="1:13" x14ac:dyDescent="0.25">
      <c r="A79" s="417" t="s">
        <v>1655</v>
      </c>
      <c r="B79" s="417">
        <v>9.98</v>
      </c>
      <c r="C79" s="417">
        <v>12.93</v>
      </c>
      <c r="D79" s="417">
        <v>18.37</v>
      </c>
      <c r="E79" s="417">
        <v>21.77</v>
      </c>
      <c r="F79" s="417">
        <v>27.67</v>
      </c>
      <c r="G79" s="417">
        <v>38.33</v>
      </c>
      <c r="H79" s="397"/>
      <c r="I79" s="397"/>
      <c r="J79" s="397"/>
      <c r="K79" s="397"/>
    </row>
    <row r="80" spans="1:13" x14ac:dyDescent="0.25">
      <c r="A80" s="417" t="s">
        <v>1661</v>
      </c>
      <c r="B80" s="417">
        <v>11.11</v>
      </c>
      <c r="C80" s="417">
        <v>14.29</v>
      </c>
      <c r="D80" s="417">
        <v>20.41</v>
      </c>
      <c r="E80" s="417">
        <v>24.04</v>
      </c>
      <c r="F80" s="417">
        <v>30.62</v>
      </c>
      <c r="G80" s="417">
        <v>42.64</v>
      </c>
    </row>
    <row r="81" spans="1:11" x14ac:dyDescent="0.25">
      <c r="A81" s="417" t="s">
        <v>1668</v>
      </c>
      <c r="B81" s="417">
        <v>12.25</v>
      </c>
      <c r="C81" s="417">
        <v>15.88</v>
      </c>
      <c r="D81" s="417">
        <v>22.68</v>
      </c>
      <c r="E81" s="417">
        <v>26.76</v>
      </c>
      <c r="F81" s="417">
        <v>34.020000000000003</v>
      </c>
      <c r="G81" s="417">
        <v>47.17</v>
      </c>
      <c r="K81" cm="1">
        <f t="array" aca="1" ref="K81" ca="1">H78:M90</f>
        <v>0</v>
      </c>
    </row>
    <row r="82" spans="1:11" x14ac:dyDescent="0.25">
      <c r="A82" s="417" t="s">
        <v>1675</v>
      </c>
      <c r="B82" s="417">
        <v>11.79</v>
      </c>
      <c r="C82" s="417">
        <v>15.2</v>
      </c>
      <c r="D82" s="417">
        <v>21.77</v>
      </c>
      <c r="E82" s="417">
        <v>25.63</v>
      </c>
      <c r="F82" s="417">
        <v>32.43</v>
      </c>
      <c r="G82" s="417">
        <v>45.13</v>
      </c>
    </row>
    <row r="83" spans="1:11" x14ac:dyDescent="0.25">
      <c r="A83" s="417" t="s">
        <v>1629</v>
      </c>
      <c r="B83" s="417">
        <v>14.97</v>
      </c>
      <c r="C83" s="417">
        <v>19.5</v>
      </c>
      <c r="D83" s="417">
        <v>27.67</v>
      </c>
      <c r="E83" s="417">
        <v>32.659999999999997</v>
      </c>
      <c r="F83" s="417">
        <v>41.28</v>
      </c>
      <c r="G83" s="417">
        <v>57.61</v>
      </c>
    </row>
    <row r="84" spans="1:11" x14ac:dyDescent="0.25">
      <c r="A84" s="417" t="s">
        <v>1636</v>
      </c>
      <c r="B84" s="417">
        <v>16.329999999999998</v>
      </c>
      <c r="C84" s="417">
        <v>21.09</v>
      </c>
      <c r="D84" s="417">
        <v>30.25</v>
      </c>
      <c r="E84" s="417">
        <v>35.61</v>
      </c>
      <c r="F84" s="417">
        <v>45.13</v>
      </c>
      <c r="G84" s="417">
        <v>62.82</v>
      </c>
    </row>
    <row r="85" spans="1:11" x14ac:dyDescent="0.25">
      <c r="A85" s="417" t="s">
        <v>1680</v>
      </c>
      <c r="B85" s="417">
        <v>9.07</v>
      </c>
      <c r="C85" s="417">
        <v>11.79</v>
      </c>
      <c r="D85" s="417">
        <v>17.010000000000002</v>
      </c>
      <c r="E85" s="417">
        <v>19.96</v>
      </c>
      <c r="F85" s="417">
        <v>25.4</v>
      </c>
      <c r="G85" s="417">
        <v>35.15</v>
      </c>
    </row>
    <row r="86" spans="1:11" x14ac:dyDescent="0.25">
      <c r="A86" s="417" t="s">
        <v>1686</v>
      </c>
      <c r="B86" s="417">
        <v>11.57</v>
      </c>
      <c r="C86" s="417">
        <v>14.97</v>
      </c>
      <c r="D86" s="417">
        <v>21.32</v>
      </c>
      <c r="E86" s="417">
        <v>25.17</v>
      </c>
      <c r="F86" s="417">
        <v>31.98</v>
      </c>
      <c r="G86" s="417">
        <v>44.45</v>
      </c>
    </row>
    <row r="87" spans="1:11" x14ac:dyDescent="0.25">
      <c r="A87" s="397"/>
      <c r="B87" s="397"/>
      <c r="C87" s="397"/>
      <c r="D87" s="397"/>
      <c r="E87" s="397"/>
      <c r="F87" s="397"/>
      <c r="G87" s="397"/>
    </row>
    <row r="88" spans="1:11" x14ac:dyDescent="0.25">
      <c r="A88" s="417"/>
      <c r="B88" s="1043" t="s">
        <v>1723</v>
      </c>
      <c r="C88" s="1043"/>
      <c r="D88" s="1043"/>
      <c r="E88" s="1043"/>
      <c r="F88" s="1043"/>
      <c r="G88" s="1043"/>
      <c r="H88" t="s">
        <v>1652</v>
      </c>
    </row>
    <row r="89" spans="1:11" x14ac:dyDescent="0.25">
      <c r="A89" s="634" t="s">
        <v>1655</v>
      </c>
      <c r="B89" s="417">
        <f t="shared" ref="B89:G96" si="28">B79/$B$78</f>
        <v>558.76556481232637</v>
      </c>
      <c r="C89" s="417">
        <f t="shared" si="28"/>
        <v>723.93173877989773</v>
      </c>
      <c r="D89" s="417">
        <f t="shared" si="28"/>
        <v>1028.5093612828091</v>
      </c>
      <c r="E89" s="417">
        <f t="shared" si="28"/>
        <v>1218.8703753471286</v>
      </c>
      <c r="F89" s="417">
        <f t="shared" si="28"/>
        <v>1549.2027232822716</v>
      </c>
      <c r="G89" s="417">
        <f t="shared" si="28"/>
        <v>2146.0404909074618</v>
      </c>
      <c r="H89" s="417">
        <f t="shared" ref="H89:H96" si="29">AVERAGE(B89:G89)</f>
        <v>1204.2200424019827</v>
      </c>
    </row>
    <row r="90" spans="1:11" x14ac:dyDescent="0.25">
      <c r="A90" s="417" t="s">
        <v>1661</v>
      </c>
      <c r="B90" s="417">
        <f t="shared" si="28"/>
        <v>622.03260772193846</v>
      </c>
      <c r="C90" s="417">
        <f t="shared" si="28"/>
        <v>800.07614440562554</v>
      </c>
      <c r="D90" s="417">
        <f t="shared" si="28"/>
        <v>1142.7259697214008</v>
      </c>
      <c r="E90" s="417">
        <f t="shared" si="28"/>
        <v>1345.9643465018362</v>
      </c>
      <c r="F90" s="417">
        <f t="shared" si="28"/>
        <v>1714.368897249843</v>
      </c>
      <c r="G90" s="417">
        <f t="shared" si="28"/>
        <v>2387.3510705007611</v>
      </c>
      <c r="H90" s="417">
        <f t="shared" si="29"/>
        <v>1335.419839350234</v>
      </c>
    </row>
    <row r="91" spans="1:11" x14ac:dyDescent="0.25">
      <c r="A91" s="417" t="s">
        <v>1668</v>
      </c>
      <c r="B91" s="417">
        <f t="shared" si="28"/>
        <v>685.85953596703382</v>
      </c>
      <c r="C91" s="417">
        <f t="shared" si="28"/>
        <v>889.09791274746919</v>
      </c>
      <c r="D91" s="417">
        <f t="shared" si="28"/>
        <v>1269.8199408761084</v>
      </c>
      <c r="E91" s="417">
        <f t="shared" si="28"/>
        <v>1498.253157753292</v>
      </c>
      <c r="F91" s="417">
        <f t="shared" si="28"/>
        <v>1904.7299113141628</v>
      </c>
      <c r="G91" s="417">
        <f t="shared" si="28"/>
        <v>2640.9791274746926</v>
      </c>
      <c r="H91" s="417">
        <f t="shared" si="29"/>
        <v>1481.4565976887932</v>
      </c>
    </row>
    <row r="92" spans="1:11" x14ac:dyDescent="0.25">
      <c r="A92" s="417" t="s">
        <v>1675</v>
      </c>
      <c r="B92" s="417">
        <f t="shared" si="28"/>
        <v>660.10481053480237</v>
      </c>
      <c r="C92" s="417">
        <f t="shared" si="28"/>
        <v>851.02570993460517</v>
      </c>
      <c r="D92" s="417">
        <f t="shared" si="28"/>
        <v>1218.8703753471286</v>
      </c>
      <c r="E92" s="417">
        <f t="shared" si="28"/>
        <v>1434.9861148436796</v>
      </c>
      <c r="F92" s="417">
        <f t="shared" si="28"/>
        <v>1815.7081429723189</v>
      </c>
      <c r="G92" s="417">
        <f t="shared" si="28"/>
        <v>2526.7625190361009</v>
      </c>
      <c r="H92" s="417">
        <f t="shared" si="29"/>
        <v>1417.9096121114392</v>
      </c>
    </row>
    <row r="93" spans="1:11" x14ac:dyDescent="0.25">
      <c r="A93" s="417" t="s">
        <v>1629</v>
      </c>
      <c r="B93" s="417">
        <f t="shared" si="28"/>
        <v>838.14834721848956</v>
      </c>
      <c r="C93" s="417">
        <f t="shared" si="28"/>
        <v>1091.7764041924213</v>
      </c>
      <c r="D93" s="417">
        <f t="shared" si="28"/>
        <v>1549.2027232822716</v>
      </c>
      <c r="E93" s="417">
        <f t="shared" si="28"/>
        <v>1828.5855056884345</v>
      </c>
      <c r="F93" s="417">
        <f t="shared" si="28"/>
        <v>2311.2066648750333</v>
      </c>
      <c r="G93" s="417">
        <f t="shared" si="28"/>
        <v>3225.4994177192507</v>
      </c>
      <c r="H93" s="417">
        <f t="shared" si="29"/>
        <v>1807.4031771626503</v>
      </c>
    </row>
    <row r="94" spans="1:11" x14ac:dyDescent="0.25">
      <c r="A94" s="417" t="s">
        <v>1636</v>
      </c>
      <c r="B94" s="417">
        <f t="shared" si="28"/>
        <v>914.29275284421726</v>
      </c>
      <c r="C94" s="417">
        <f t="shared" si="28"/>
        <v>1180.7981725342647</v>
      </c>
      <c r="D94" s="417">
        <f t="shared" si="28"/>
        <v>1693.6531398369611</v>
      </c>
      <c r="E94" s="417">
        <f t="shared" si="28"/>
        <v>1993.751679656006</v>
      </c>
      <c r="F94" s="417">
        <f t="shared" si="28"/>
        <v>2526.7625190361009</v>
      </c>
      <c r="G94" s="417">
        <f t="shared" si="28"/>
        <v>3517.1996775060461</v>
      </c>
      <c r="H94" s="417">
        <f t="shared" si="29"/>
        <v>1971.0763235689326</v>
      </c>
    </row>
    <row r="95" spans="1:11" x14ac:dyDescent="0.25">
      <c r="A95" s="417" t="s">
        <v>1680</v>
      </c>
      <c r="B95" s="417">
        <f t="shared" si="28"/>
        <v>507.81599928334668</v>
      </c>
      <c r="C95" s="417">
        <f t="shared" si="28"/>
        <v>660.10481053480237</v>
      </c>
      <c r="D95" s="417">
        <f t="shared" si="28"/>
        <v>952.3649556570814</v>
      </c>
      <c r="E95" s="417">
        <f t="shared" si="28"/>
        <v>1117.5311296246527</v>
      </c>
      <c r="F95" s="417">
        <f t="shared" si="28"/>
        <v>1422.108752127564</v>
      </c>
      <c r="G95" s="417">
        <f t="shared" si="28"/>
        <v>1967.9969542237745</v>
      </c>
      <c r="H95" s="417">
        <f t="shared" si="29"/>
        <v>1104.6537669085371</v>
      </c>
    </row>
    <row r="96" spans="1:11" x14ac:dyDescent="0.25">
      <c r="A96" s="417" t="s">
        <v>1686</v>
      </c>
      <c r="B96" s="417">
        <f t="shared" si="28"/>
        <v>647.78733315416991</v>
      </c>
      <c r="C96" s="417">
        <f t="shared" si="28"/>
        <v>838.14834721848956</v>
      </c>
      <c r="D96" s="417">
        <f t="shared" si="28"/>
        <v>1193.6755352503806</v>
      </c>
      <c r="E96" s="417">
        <f t="shared" si="28"/>
        <v>1409.2313894114484</v>
      </c>
      <c r="F96" s="417">
        <f t="shared" si="28"/>
        <v>1790.5133028755708</v>
      </c>
      <c r="G96" s="417">
        <f t="shared" si="28"/>
        <v>2488.690316223237</v>
      </c>
      <c r="H96" s="417">
        <f t="shared" si="29"/>
        <v>1394.6743706888828</v>
      </c>
    </row>
    <row r="97" spans="1:43" x14ac:dyDescent="0.25">
      <c r="A97" s="397"/>
      <c r="B97" s="397"/>
      <c r="C97" s="397"/>
      <c r="D97" s="397"/>
      <c r="E97" s="397"/>
    </row>
    <row r="98" spans="1:43" ht="15.75" thickBot="1" x14ac:dyDescent="0.3"/>
    <row r="99" spans="1:43" ht="16.5" x14ac:dyDescent="0.25">
      <c r="A99" s="638" t="s">
        <v>1763</v>
      </c>
      <c r="B99" s="638" t="s">
        <v>1725</v>
      </c>
      <c r="C99" s="638" t="s">
        <v>1725</v>
      </c>
      <c r="D99" s="641" t="s">
        <v>1726</v>
      </c>
      <c r="E99" s="636" t="s">
        <v>1727</v>
      </c>
      <c r="F99" s="639"/>
      <c r="G99" s="639"/>
      <c r="H99" s="639"/>
      <c r="I99" s="639"/>
      <c r="J99" s="639"/>
      <c r="K99" s="639"/>
      <c r="L99" s="639"/>
      <c r="M99" s="639"/>
      <c r="N99" s="639"/>
      <c r="O99" s="639"/>
      <c r="P99" s="639"/>
      <c r="Q99" s="639"/>
      <c r="R99" s="639"/>
      <c r="S99" s="639"/>
      <c r="T99" s="639"/>
      <c r="U99" s="639"/>
      <c r="V99" s="639"/>
      <c r="W99" s="639"/>
      <c r="X99" s="639"/>
      <c r="Y99" s="639"/>
      <c r="Z99" s="639"/>
      <c r="AA99" s="639"/>
      <c r="AB99" s="639"/>
      <c r="AC99" s="639"/>
      <c r="AD99" s="639"/>
      <c r="AE99" s="639"/>
      <c r="AF99" s="639"/>
      <c r="AG99" s="639"/>
      <c r="AH99" s="639"/>
      <c r="AI99" s="639"/>
      <c r="AJ99" s="639"/>
      <c r="AK99" s="639"/>
      <c r="AL99" s="639"/>
      <c r="AM99" s="639"/>
      <c r="AN99" s="639"/>
      <c r="AO99" s="639"/>
      <c r="AP99" s="640"/>
    </row>
    <row r="100" spans="1:43" ht="33.75" customHeight="1" thickBot="1" x14ac:dyDescent="0.3">
      <c r="A100" s="635" t="s">
        <v>1728</v>
      </c>
      <c r="B100" s="635">
        <f>AVERAGE(641,689)</f>
        <v>665</v>
      </c>
      <c r="C100" s="635" t="s">
        <v>1729</v>
      </c>
      <c r="D100" s="635" t="s">
        <v>1730</v>
      </c>
      <c r="E100" s="635" t="s">
        <v>1731</v>
      </c>
      <c r="F100" s="1044" t="s">
        <v>1732</v>
      </c>
      <c r="G100" s="1045"/>
      <c r="H100" s="1045"/>
      <c r="I100" s="1045"/>
      <c r="J100" s="1045"/>
      <c r="K100" s="1045"/>
      <c r="L100" s="1045"/>
      <c r="M100" s="1045"/>
      <c r="N100" s="1045"/>
      <c r="O100" s="1045"/>
      <c r="P100" s="1045"/>
      <c r="Q100" s="1045"/>
      <c r="R100" s="1045"/>
      <c r="S100" s="1045"/>
      <c r="T100" s="1045"/>
      <c r="U100" s="1045"/>
      <c r="V100" s="1045"/>
      <c r="W100" s="1045"/>
      <c r="X100" s="1045"/>
      <c r="Y100" s="1045"/>
      <c r="Z100" s="1045"/>
      <c r="AA100" s="1045"/>
      <c r="AB100" s="1045"/>
      <c r="AC100" s="1045"/>
      <c r="AD100" s="1045"/>
      <c r="AE100" s="1045"/>
      <c r="AF100" s="1045"/>
      <c r="AG100" s="1045"/>
      <c r="AH100" s="1045"/>
      <c r="AI100" s="1045"/>
      <c r="AJ100" s="1045"/>
      <c r="AK100" s="1045"/>
      <c r="AL100" s="1045"/>
      <c r="AM100" s="1045"/>
      <c r="AN100" s="1045"/>
      <c r="AO100" s="1045"/>
      <c r="AP100" s="1045"/>
      <c r="AQ100" s="1046"/>
    </row>
    <row r="101" spans="1:43" ht="33.75" customHeight="1" thickBot="1" x14ac:dyDescent="0.3">
      <c r="A101" s="635" t="s">
        <v>1733</v>
      </c>
      <c r="B101" s="635">
        <f>AVERAGE(497,849)</f>
        <v>673</v>
      </c>
      <c r="C101" s="635" t="s">
        <v>1734</v>
      </c>
      <c r="D101" s="635" t="s">
        <v>1735</v>
      </c>
      <c r="E101" s="635" t="s">
        <v>1736</v>
      </c>
      <c r="F101" s="1044" t="s">
        <v>1737</v>
      </c>
      <c r="G101" s="1045"/>
      <c r="H101" s="1045"/>
      <c r="I101" s="1045"/>
      <c r="J101" s="1045"/>
      <c r="K101" s="1045"/>
      <c r="L101" s="1045"/>
      <c r="M101" s="1045"/>
      <c r="N101" s="1045"/>
      <c r="O101" s="1045"/>
      <c r="P101" s="1045"/>
      <c r="Q101" s="1045"/>
      <c r="R101" s="1045"/>
      <c r="S101" s="1045"/>
      <c r="T101" s="1045"/>
      <c r="U101" s="1045"/>
      <c r="V101" s="1045"/>
      <c r="W101" s="1045"/>
      <c r="X101" s="1045"/>
      <c r="Y101" s="1045"/>
      <c r="Z101" s="1045"/>
      <c r="AA101" s="1045"/>
      <c r="AB101" s="1045"/>
      <c r="AC101" s="1045"/>
      <c r="AD101" s="1045"/>
      <c r="AE101" s="1045"/>
      <c r="AF101" s="1045"/>
      <c r="AG101" s="1045"/>
      <c r="AH101" s="1045"/>
      <c r="AI101" s="1045"/>
      <c r="AJ101" s="1045"/>
      <c r="AK101" s="1045"/>
      <c r="AL101" s="1045"/>
      <c r="AM101" s="1045"/>
      <c r="AN101" s="1045"/>
      <c r="AO101" s="1045"/>
      <c r="AP101" s="1045"/>
      <c r="AQ101" s="1046"/>
    </row>
    <row r="102" spans="1:43" ht="33.75" customHeight="1" thickBot="1" x14ac:dyDescent="0.3">
      <c r="A102" s="635" t="s">
        <v>1738</v>
      </c>
      <c r="B102" s="635">
        <f>AVERAGE(625,753)</f>
        <v>689</v>
      </c>
      <c r="C102" s="635" t="s">
        <v>1739</v>
      </c>
      <c r="D102" s="635" t="s">
        <v>1740</v>
      </c>
      <c r="E102" s="635" t="s">
        <v>1741</v>
      </c>
      <c r="F102" s="1044" t="s">
        <v>1742</v>
      </c>
      <c r="G102" s="1045"/>
      <c r="H102" s="1045"/>
      <c r="I102" s="1045"/>
      <c r="J102" s="1045"/>
      <c r="K102" s="1045"/>
      <c r="L102" s="1045"/>
      <c r="M102" s="1045"/>
      <c r="N102" s="1045"/>
      <c r="O102" s="1045"/>
      <c r="P102" s="1045"/>
      <c r="Q102" s="1045"/>
      <c r="R102" s="1045"/>
      <c r="S102" s="1045"/>
      <c r="T102" s="1045"/>
      <c r="U102" s="1045"/>
      <c r="V102" s="1045"/>
      <c r="W102" s="1045"/>
      <c r="X102" s="1045"/>
      <c r="Y102" s="1045"/>
      <c r="Z102" s="1045"/>
      <c r="AA102" s="1045"/>
      <c r="AB102" s="1045"/>
      <c r="AC102" s="1045"/>
      <c r="AD102" s="1045"/>
      <c r="AE102" s="1045"/>
      <c r="AF102" s="1045"/>
      <c r="AG102" s="1045"/>
      <c r="AH102" s="1045"/>
      <c r="AI102" s="1045"/>
      <c r="AJ102" s="1045"/>
      <c r="AK102" s="1045"/>
      <c r="AL102" s="1045"/>
      <c r="AM102" s="1045"/>
      <c r="AN102" s="1045"/>
      <c r="AO102" s="1045"/>
      <c r="AP102" s="1045"/>
      <c r="AQ102" s="1046"/>
    </row>
    <row r="103" spans="1:43" ht="33.75" customHeight="1" thickBot="1" x14ac:dyDescent="0.3">
      <c r="A103" s="635" t="s">
        <v>1743</v>
      </c>
      <c r="B103" s="635">
        <f>AVERAGE(593,897)</f>
        <v>745</v>
      </c>
      <c r="C103" s="635" t="s">
        <v>1744</v>
      </c>
      <c r="D103" s="635" t="s">
        <v>1745</v>
      </c>
      <c r="E103" s="635" t="s">
        <v>1746</v>
      </c>
      <c r="F103" s="1044" t="s">
        <v>1747</v>
      </c>
      <c r="G103" s="1045"/>
      <c r="H103" s="1045"/>
      <c r="I103" s="1045"/>
      <c r="J103" s="1045"/>
      <c r="K103" s="1045"/>
      <c r="L103" s="1045"/>
      <c r="M103" s="1045"/>
      <c r="N103" s="1045"/>
      <c r="O103" s="1045"/>
      <c r="P103" s="1045"/>
      <c r="Q103" s="1045"/>
      <c r="R103" s="1045"/>
      <c r="S103" s="1045"/>
      <c r="T103" s="1045"/>
      <c r="U103" s="1045"/>
      <c r="V103" s="1045"/>
      <c r="W103" s="1045"/>
      <c r="X103" s="1045"/>
      <c r="Y103" s="1045"/>
      <c r="Z103" s="1045"/>
      <c r="AA103" s="1045"/>
      <c r="AB103" s="1045"/>
      <c r="AC103" s="1045"/>
      <c r="AD103" s="1045"/>
      <c r="AE103" s="1045"/>
      <c r="AF103" s="1045"/>
      <c r="AG103" s="1045"/>
      <c r="AH103" s="1045"/>
      <c r="AI103" s="1045"/>
      <c r="AJ103" s="1045"/>
      <c r="AK103" s="1045"/>
      <c r="AL103" s="1045"/>
      <c r="AM103" s="1045"/>
      <c r="AN103" s="1045"/>
      <c r="AO103" s="1045"/>
      <c r="AP103" s="1045"/>
      <c r="AQ103" s="1046"/>
    </row>
    <row r="104" spans="1:43" ht="33.75" customHeight="1" thickBot="1" x14ac:dyDescent="0.3">
      <c r="A104" s="635" t="s">
        <v>1748</v>
      </c>
      <c r="B104" s="635">
        <f>AVERAGE(800,880)</f>
        <v>840</v>
      </c>
      <c r="C104" s="635" t="s">
        <v>1749</v>
      </c>
      <c r="D104" s="635" t="s">
        <v>1750</v>
      </c>
      <c r="E104" s="635" t="s">
        <v>1751</v>
      </c>
      <c r="F104" s="1044" t="s">
        <v>1752</v>
      </c>
      <c r="G104" s="1045"/>
      <c r="H104" s="1045"/>
      <c r="I104" s="1045"/>
      <c r="J104" s="1045"/>
      <c r="K104" s="1045"/>
      <c r="L104" s="1045"/>
      <c r="M104" s="1045"/>
      <c r="N104" s="1045"/>
      <c r="O104" s="1045"/>
      <c r="P104" s="1045"/>
      <c r="Q104" s="1045"/>
      <c r="R104" s="1045"/>
      <c r="S104" s="1045"/>
      <c r="T104" s="1045"/>
      <c r="U104" s="1045"/>
      <c r="V104" s="1045"/>
      <c r="W104" s="1045"/>
      <c r="X104" s="1045"/>
      <c r="Y104" s="1045"/>
      <c r="Z104" s="1045"/>
      <c r="AA104" s="1045"/>
      <c r="AB104" s="1045"/>
      <c r="AC104" s="1045"/>
      <c r="AD104" s="1045"/>
      <c r="AE104" s="1045"/>
      <c r="AF104" s="1045"/>
      <c r="AG104" s="1045"/>
      <c r="AH104" s="1045"/>
      <c r="AI104" s="1045"/>
      <c r="AJ104" s="1045"/>
      <c r="AK104" s="1045"/>
      <c r="AL104" s="1045"/>
      <c r="AM104" s="1045"/>
      <c r="AN104" s="1045"/>
      <c r="AO104" s="1045"/>
      <c r="AP104" s="1045"/>
      <c r="AQ104" s="1046"/>
    </row>
    <row r="105" spans="1:43" ht="33.75" thickBot="1" x14ac:dyDescent="0.3">
      <c r="A105" s="635" t="s">
        <v>1753</v>
      </c>
      <c r="B105" s="635">
        <f>AVERAGE(689,897)</f>
        <v>793</v>
      </c>
      <c r="C105" s="635" t="s">
        <v>1754</v>
      </c>
      <c r="D105" s="635" t="s">
        <v>1755</v>
      </c>
      <c r="E105" s="635" t="s">
        <v>1756</v>
      </c>
      <c r="F105" s="1047" t="s">
        <v>1757</v>
      </c>
      <c r="G105" s="1047"/>
      <c r="H105" s="1047"/>
      <c r="I105" s="1047"/>
      <c r="J105" s="1047"/>
      <c r="K105" s="1047"/>
      <c r="L105" s="1047"/>
      <c r="M105" s="1047"/>
      <c r="N105" s="1047"/>
      <c r="O105" s="1047"/>
      <c r="P105" s="1047"/>
      <c r="Q105" s="1047"/>
      <c r="R105" s="1047"/>
      <c r="S105" s="1047"/>
      <c r="T105" s="1047"/>
      <c r="U105" s="1047"/>
      <c r="V105" s="1047"/>
      <c r="W105" s="1047"/>
      <c r="X105" s="1047"/>
      <c r="Y105" s="1047"/>
      <c r="Z105" s="1047"/>
      <c r="AA105" s="1047"/>
      <c r="AB105" s="1047"/>
      <c r="AC105" s="1047"/>
      <c r="AD105" s="1047"/>
      <c r="AE105" s="1047"/>
      <c r="AF105" s="1047"/>
      <c r="AG105" s="1047"/>
      <c r="AH105" s="1047"/>
      <c r="AI105" s="1047"/>
      <c r="AJ105" s="1047"/>
      <c r="AK105" s="1047"/>
      <c r="AL105" s="1047"/>
      <c r="AM105" s="1047"/>
      <c r="AN105" s="1047"/>
      <c r="AO105" s="1047"/>
      <c r="AP105" s="1047"/>
      <c r="AQ105" s="1047"/>
    </row>
    <row r="106" spans="1:43" ht="33.75" customHeight="1" thickBot="1" x14ac:dyDescent="0.3">
      <c r="A106" s="635" t="s">
        <v>1758</v>
      </c>
      <c r="B106" s="635">
        <f>AVERAGE(112,144)</f>
        <v>128</v>
      </c>
      <c r="C106" s="635" t="s">
        <v>1759</v>
      </c>
      <c r="D106" s="635" t="s">
        <v>1760</v>
      </c>
      <c r="E106" s="635" t="s">
        <v>1761</v>
      </c>
      <c r="F106" s="1044" t="s">
        <v>1762</v>
      </c>
      <c r="G106" s="1045"/>
      <c r="H106" s="1045"/>
      <c r="I106" s="1045"/>
      <c r="J106" s="1045"/>
      <c r="K106" s="1045"/>
      <c r="L106" s="1045"/>
      <c r="M106" s="1045"/>
      <c r="N106" s="1045"/>
      <c r="O106" s="1045"/>
      <c r="P106" s="1045"/>
      <c r="Q106" s="1045"/>
      <c r="R106" s="1045"/>
      <c r="S106" s="1045"/>
      <c r="T106" s="1045"/>
      <c r="U106" s="1045"/>
      <c r="V106" s="1045"/>
      <c r="W106" s="1045"/>
      <c r="X106" s="1045"/>
      <c r="Y106" s="1045"/>
      <c r="Z106" s="1045"/>
      <c r="AA106" s="1045"/>
      <c r="AB106" s="1045"/>
      <c r="AC106" s="1045"/>
      <c r="AD106" s="1045"/>
      <c r="AE106" s="1045"/>
      <c r="AF106" s="1045"/>
      <c r="AG106" s="1045"/>
      <c r="AH106" s="1045"/>
      <c r="AI106" s="1045"/>
      <c r="AJ106" s="1045"/>
      <c r="AK106" s="1045"/>
      <c r="AL106" s="1045"/>
      <c r="AM106" s="1045"/>
      <c r="AN106" s="1045"/>
      <c r="AO106" s="1045"/>
      <c r="AP106" s="1045"/>
      <c r="AQ106" s="1046"/>
    </row>
    <row r="107" spans="1:43" ht="33.75" customHeight="1" thickBot="1" x14ac:dyDescent="0.3">
      <c r="A107" s="637" t="s">
        <v>1788</v>
      </c>
      <c r="B107" s="637">
        <f>AVERAGE(368,577)</f>
        <v>472.5</v>
      </c>
      <c r="C107" s="637" t="s">
        <v>1764</v>
      </c>
      <c r="D107" s="637" t="s">
        <v>1765</v>
      </c>
      <c r="E107" s="637" t="s">
        <v>1766</v>
      </c>
      <c r="F107" s="1044" t="s">
        <v>1767</v>
      </c>
      <c r="G107" s="1045"/>
      <c r="H107" s="1045"/>
      <c r="I107" s="1045"/>
      <c r="J107" s="1045"/>
      <c r="K107" s="1045"/>
      <c r="L107" s="1045"/>
      <c r="M107" s="1045"/>
      <c r="N107" s="1045"/>
      <c r="O107" s="1045"/>
      <c r="P107" s="1045"/>
      <c r="Q107" s="1045"/>
      <c r="R107" s="1045"/>
      <c r="S107" s="1045"/>
      <c r="T107" s="1045"/>
      <c r="U107" s="1045"/>
      <c r="V107" s="1045"/>
      <c r="W107" s="1045"/>
      <c r="X107" s="1045"/>
      <c r="Y107" s="1045"/>
      <c r="Z107" s="1045"/>
      <c r="AA107" s="1045"/>
      <c r="AB107" s="1045"/>
      <c r="AC107" s="1045"/>
      <c r="AD107" s="1045"/>
      <c r="AE107" s="1045"/>
      <c r="AF107" s="1045"/>
      <c r="AG107" s="1045"/>
      <c r="AH107" s="1045"/>
      <c r="AI107" s="1045"/>
      <c r="AJ107" s="1045"/>
      <c r="AK107" s="1045"/>
      <c r="AL107" s="1045"/>
      <c r="AM107" s="1045"/>
      <c r="AN107" s="1045"/>
      <c r="AO107" s="1045"/>
      <c r="AP107" s="1045"/>
      <c r="AQ107" s="1046"/>
    </row>
    <row r="108" spans="1:43" ht="33.75" customHeight="1" thickBot="1" x14ac:dyDescent="0.3">
      <c r="A108" s="635" t="s">
        <v>1768</v>
      </c>
      <c r="B108" s="635">
        <f>AVERAGE(352,849)</f>
        <v>600.5</v>
      </c>
      <c r="C108" s="635" t="s">
        <v>1769</v>
      </c>
      <c r="D108" s="635" t="s">
        <v>1770</v>
      </c>
      <c r="E108" s="635" t="s">
        <v>1771</v>
      </c>
      <c r="F108" s="1044" t="s">
        <v>1772</v>
      </c>
      <c r="G108" s="1045"/>
      <c r="H108" s="1045"/>
      <c r="I108" s="1045"/>
      <c r="J108" s="1045"/>
      <c r="K108" s="1045"/>
      <c r="L108" s="1045"/>
      <c r="M108" s="1045"/>
      <c r="N108" s="1045"/>
      <c r="O108" s="1045"/>
      <c r="P108" s="1045"/>
      <c r="Q108" s="1045"/>
      <c r="R108" s="1045"/>
      <c r="S108" s="1045"/>
      <c r="T108" s="1045"/>
      <c r="U108" s="1045"/>
      <c r="V108" s="1045"/>
      <c r="W108" s="1045"/>
      <c r="X108" s="1045"/>
      <c r="Y108" s="1045"/>
      <c r="Z108" s="1045"/>
      <c r="AA108" s="1045"/>
      <c r="AB108" s="1045"/>
      <c r="AC108" s="1045"/>
      <c r="AD108" s="1045"/>
      <c r="AE108" s="1045"/>
      <c r="AF108" s="1045"/>
      <c r="AG108" s="1045"/>
      <c r="AH108" s="1045"/>
      <c r="AI108" s="1045"/>
      <c r="AJ108" s="1045"/>
      <c r="AK108" s="1045"/>
      <c r="AL108" s="1045"/>
      <c r="AM108" s="1045"/>
      <c r="AN108" s="1045"/>
      <c r="AO108" s="1045"/>
      <c r="AP108" s="1045"/>
      <c r="AQ108" s="1046"/>
    </row>
    <row r="109" spans="1:43" ht="33.75" customHeight="1" thickBot="1" x14ac:dyDescent="0.3">
      <c r="A109" s="635" t="s">
        <v>1773</v>
      </c>
      <c r="B109" s="635">
        <f>AVERAGE(529,737)</f>
        <v>633</v>
      </c>
      <c r="C109" s="635" t="s">
        <v>1774</v>
      </c>
      <c r="D109" s="635" t="s">
        <v>1775</v>
      </c>
      <c r="E109" s="635" t="s">
        <v>1776</v>
      </c>
      <c r="F109" s="1044" t="s">
        <v>1777</v>
      </c>
      <c r="G109" s="1045"/>
      <c r="H109" s="1045"/>
      <c r="I109" s="1045"/>
      <c r="J109" s="1045"/>
      <c r="K109" s="1045"/>
      <c r="L109" s="1045"/>
      <c r="M109" s="1045"/>
      <c r="N109" s="1045"/>
      <c r="O109" s="1045"/>
      <c r="P109" s="1045"/>
      <c r="Q109" s="1045"/>
      <c r="R109" s="1045"/>
      <c r="S109" s="1045"/>
      <c r="T109" s="1045"/>
      <c r="U109" s="1045"/>
      <c r="V109" s="1045"/>
      <c r="W109" s="1045"/>
      <c r="X109" s="1045"/>
      <c r="Y109" s="1045"/>
      <c r="Z109" s="1045"/>
      <c r="AA109" s="1045"/>
      <c r="AB109" s="1045"/>
      <c r="AC109" s="1045"/>
      <c r="AD109" s="1045"/>
      <c r="AE109" s="1045"/>
      <c r="AF109" s="1045"/>
      <c r="AG109" s="1045"/>
      <c r="AH109" s="1045"/>
      <c r="AI109" s="1045"/>
      <c r="AJ109" s="1045"/>
      <c r="AK109" s="1045"/>
      <c r="AL109" s="1045"/>
      <c r="AM109" s="1045"/>
      <c r="AN109" s="1045"/>
      <c r="AO109" s="1045"/>
      <c r="AP109" s="1045"/>
      <c r="AQ109" s="1046"/>
    </row>
    <row r="110" spans="1:43" ht="33.75" customHeight="1" thickBot="1" x14ac:dyDescent="0.3">
      <c r="A110" s="635" t="s">
        <v>1778</v>
      </c>
      <c r="B110" s="635">
        <f>AVERAGE(657,800)</f>
        <v>728.5</v>
      </c>
      <c r="C110" s="635" t="s">
        <v>1779</v>
      </c>
      <c r="D110" s="635" t="s">
        <v>1780</v>
      </c>
      <c r="E110" s="635" t="s">
        <v>1781</v>
      </c>
      <c r="F110" s="1044" t="s">
        <v>1782</v>
      </c>
      <c r="G110" s="1045"/>
      <c r="H110" s="1045"/>
      <c r="I110" s="1045"/>
      <c r="J110" s="1045"/>
      <c r="K110" s="1045"/>
      <c r="L110" s="1045"/>
      <c r="M110" s="1045"/>
      <c r="N110" s="1045"/>
      <c r="O110" s="1045"/>
      <c r="P110" s="1045"/>
      <c r="Q110" s="1045"/>
      <c r="R110" s="1045"/>
      <c r="S110" s="1045"/>
      <c r="T110" s="1045"/>
      <c r="U110" s="1045"/>
      <c r="V110" s="1045"/>
      <c r="W110" s="1045"/>
      <c r="X110" s="1045"/>
      <c r="Y110" s="1045"/>
      <c r="Z110" s="1045"/>
      <c r="AA110" s="1045"/>
      <c r="AB110" s="1045"/>
      <c r="AC110" s="1045"/>
      <c r="AD110" s="1045"/>
      <c r="AE110" s="1045"/>
      <c r="AF110" s="1045"/>
      <c r="AG110" s="1045"/>
      <c r="AH110" s="1045"/>
      <c r="AI110" s="1045"/>
      <c r="AJ110" s="1045"/>
      <c r="AK110" s="1045"/>
      <c r="AL110" s="1045"/>
      <c r="AM110" s="1045"/>
      <c r="AN110" s="1045"/>
      <c r="AO110" s="1045"/>
      <c r="AP110" s="1045"/>
      <c r="AQ110" s="1046"/>
    </row>
    <row r="111" spans="1:43" ht="33.75" customHeight="1" thickBot="1" x14ac:dyDescent="0.3">
      <c r="A111" s="635" t="s">
        <v>1783</v>
      </c>
      <c r="B111" s="635">
        <f>AVERAGE(400,705)</f>
        <v>552.5</v>
      </c>
      <c r="C111" s="635" t="s">
        <v>1784</v>
      </c>
      <c r="D111" s="635" t="s">
        <v>1785</v>
      </c>
      <c r="E111" s="635" t="s">
        <v>1786</v>
      </c>
      <c r="F111" s="1044" t="s">
        <v>1787</v>
      </c>
      <c r="G111" s="1045"/>
      <c r="H111" s="1045"/>
      <c r="I111" s="1045"/>
      <c r="J111" s="1045"/>
      <c r="K111" s="1045"/>
      <c r="L111" s="1045"/>
      <c r="M111" s="1045"/>
      <c r="N111" s="1045"/>
      <c r="O111" s="1045"/>
      <c r="P111" s="1045"/>
      <c r="Q111" s="1045"/>
      <c r="R111" s="1045"/>
      <c r="S111" s="1045"/>
      <c r="T111" s="1045"/>
      <c r="U111" s="1045"/>
      <c r="V111" s="1045"/>
      <c r="W111" s="1045"/>
      <c r="X111" s="1045"/>
      <c r="Y111" s="1045"/>
      <c r="Z111" s="1045"/>
      <c r="AA111" s="1045"/>
      <c r="AB111" s="1045"/>
      <c r="AC111" s="1045"/>
      <c r="AD111" s="1045"/>
      <c r="AE111" s="1045"/>
      <c r="AF111" s="1045"/>
      <c r="AG111" s="1045"/>
      <c r="AH111" s="1045"/>
      <c r="AI111" s="1045"/>
      <c r="AJ111" s="1045"/>
      <c r="AK111" s="1045"/>
      <c r="AL111" s="1045"/>
      <c r="AM111" s="1045"/>
      <c r="AN111" s="1045"/>
      <c r="AO111" s="1045"/>
      <c r="AP111" s="1045"/>
      <c r="AQ111" s="1046"/>
    </row>
    <row r="112" spans="1:43" x14ac:dyDescent="0.25">
      <c r="E112" s="372"/>
      <c r="F112" s="372"/>
      <c r="G112" s="372"/>
      <c r="H112" s="372"/>
      <c r="I112" s="372"/>
      <c r="J112" s="372"/>
      <c r="K112" s="372"/>
      <c r="L112" s="372"/>
      <c r="M112" s="372"/>
      <c r="N112" s="372"/>
      <c r="O112" s="372"/>
      <c r="P112" s="372"/>
      <c r="Q112" s="372"/>
      <c r="R112" s="372"/>
      <c r="S112" s="372"/>
      <c r="T112" s="372"/>
      <c r="U112" s="372"/>
      <c r="V112" s="372"/>
      <c r="W112" s="372"/>
      <c r="X112" s="372"/>
      <c r="Y112" s="372"/>
      <c r="Z112" s="372"/>
      <c r="AA112" s="372"/>
      <c r="AB112" s="372"/>
      <c r="AC112" s="372"/>
      <c r="AD112" s="372"/>
      <c r="AE112" s="372"/>
      <c r="AF112" s="372"/>
      <c r="AG112" s="372"/>
      <c r="AH112" s="372"/>
      <c r="AI112" s="372"/>
      <c r="AJ112" s="372"/>
      <c r="AK112" s="372"/>
      <c r="AL112" s="372"/>
      <c r="AM112" s="372"/>
      <c r="AN112" s="372"/>
      <c r="AO112" s="372"/>
      <c r="AP112" s="372"/>
    </row>
  </sheetData>
  <sheetProtection algorithmName="SHA-512" hashValue="9dea0u4o2X1HTVNqnNkhr3wTWwmxJNqsCOcRXhHn7TdwY9QxH+3OLfxmwhW7vqiijU7Budj79L+ZNYCdIVcHnw==" saltValue="4UGfeA2XyR44xcdKPYu/xA==" spinCount="100000" sheet="1" objects="1" scenarios="1"/>
  <mergeCells count="15">
    <mergeCell ref="F111:AQ111"/>
    <mergeCell ref="F102:AQ102"/>
    <mergeCell ref="F103:AQ103"/>
    <mergeCell ref="F104:AQ104"/>
    <mergeCell ref="F106:AQ106"/>
    <mergeCell ref="F107:AQ107"/>
    <mergeCell ref="F108:AQ108"/>
    <mergeCell ref="F105:AQ105"/>
    <mergeCell ref="F109:AQ109"/>
    <mergeCell ref="F110:AQ110"/>
    <mergeCell ref="A64:A65"/>
    <mergeCell ref="B64:G64"/>
    <mergeCell ref="B88:G88"/>
    <mergeCell ref="F100:AQ100"/>
    <mergeCell ref="F101:AQ101"/>
  </mergeCells>
  <hyperlinks>
    <hyperlink ref="A35" r:id="rId1" display="https://www.boulterplywood.com/melamine.htm" xr:uid="{A4D6154E-7695-435A-9929-52A0E8969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Cover Page</vt:lpstr>
      <vt:lpstr>Emission Summary -2021</vt:lpstr>
      <vt:lpstr>Project Emission Distribution</vt:lpstr>
      <vt:lpstr>Project Details Entry</vt:lpstr>
      <vt:lpstr>Electrical Energy Consumption</vt:lpstr>
      <vt:lpstr>Water Consumption</vt:lpstr>
      <vt:lpstr>Vehicles Emission</vt:lpstr>
      <vt:lpstr>Employee Commute</vt:lpstr>
      <vt:lpstr>Waste Generation</vt:lpstr>
      <vt:lpstr>Air travel</vt:lpstr>
      <vt:lpstr>Material Consumption</vt:lpstr>
      <vt:lpstr>Frieght</vt:lpstr>
      <vt:lpstr>Wood &amp; Plywood </vt:lpstr>
      <vt:lpstr>Metals &amp; Acrylic</vt:lpstr>
      <vt:lpstr>Paint Consumption</vt:lpstr>
      <vt:lpstr>Packing material</vt:lpstr>
      <vt:lpstr>Material - Search sheet</vt:lpstr>
      <vt:lpstr>GWP &amp; Emission Factors </vt:lpstr>
      <vt:lpstr>Product Emissions</vt:lpstr>
      <vt:lpstr>Table for material consumption</vt:lpstr>
      <vt:lpstr>Density</vt:lpstr>
      <vt:lpstr>AN01_</vt:lpstr>
    </vt:vector>
  </TitlesOfParts>
  <Manager/>
  <Company>Ernst &amp; Young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Agile Advisor</dc:creator>
  <cp:keywords/>
  <dc:description/>
  <cp:lastModifiedBy>Karthikeyan K</cp:lastModifiedBy>
  <cp:revision/>
  <dcterms:created xsi:type="dcterms:W3CDTF">2016-01-13T13:24:29Z</dcterms:created>
  <dcterms:modified xsi:type="dcterms:W3CDTF">2023-10-06T09:51:59Z</dcterms:modified>
  <cp:category/>
  <cp:contentStatus/>
</cp:coreProperties>
</file>