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Projects/Water Oak Project/Engineering/Well Design/Cost Estimates/"/>
    </mc:Choice>
  </mc:AlternateContent>
  <xr:revisionPtr revIDLastSave="273" documentId="8_{9DE29CDF-B128-4DF2-8649-AAD4954980DD}" xr6:coauthVersionLast="47" xr6:coauthVersionMax="47" xr10:uidLastSave="{AD760CA9-B94D-459A-96EF-D6B45092A19A}"/>
  <bookViews>
    <workbookView xWindow="28680" yWindow="-120" windowWidth="29040" windowHeight="15720" firstSheet="1" activeTab="4" xr2:uid="{C4D11F33-926A-447A-B518-450C4AC52F9E}"/>
  </bookViews>
  <sheets>
    <sheet name="PDE" sheetId="4" state="hidden" r:id="rId1"/>
    <sheet name="Summary" sheetId="9" r:id="rId2"/>
    <sheet name="Drilling" sheetId="1" r:id="rId3"/>
    <sheet name="Completion" sheetId="10" r:id="rId4"/>
    <sheet name="Equip" sheetId="11" r:id="rId5"/>
    <sheet name="DRL Worksheet" sheetId="7" r:id="rId6"/>
    <sheet name="CMP Worksheet" sheetId="6" r:id="rId7"/>
  </sheets>
  <definedNames>
    <definedName name="_xlnm.Print_Area" localSheetId="3">Completion!$B$2:$K$89</definedName>
    <definedName name="_xlnm.Print_Area" localSheetId="2">Drilling!$B$2:$K$90</definedName>
    <definedName name="_xlnm.Print_Area" localSheetId="4">Equip!$B$2:$K$81</definedName>
    <definedName name="_xlnm.Print_Area" localSheetId="1">Summary!$B$2:$K$28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B4" i="10"/>
  <c r="B4" i="1"/>
  <c r="I46" i="10" l="1"/>
  <c r="E4" i="11"/>
  <c r="E4" i="10"/>
  <c r="E4" i="1"/>
  <c r="G82" i="10"/>
  <c r="I81" i="10"/>
  <c r="G33" i="10"/>
  <c r="I33" i="10" s="1"/>
  <c r="I28" i="10"/>
  <c r="I81" i="1"/>
  <c r="G31" i="1"/>
  <c r="G28" i="1"/>
  <c r="J8" i="1"/>
  <c r="J8" i="10"/>
  <c r="J8" i="11"/>
  <c r="K8" i="11"/>
  <c r="K8" i="10"/>
  <c r="K8" i="1"/>
  <c r="B6" i="11"/>
  <c r="B6" i="10"/>
  <c r="B6" i="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B64" i="11"/>
  <c r="I63" i="11"/>
  <c r="I62" i="11"/>
  <c r="I61" i="11"/>
  <c r="I60" i="11"/>
  <c r="I59" i="11"/>
  <c r="I18" i="11"/>
  <c r="B18" i="11"/>
  <c r="I81" i="11"/>
  <c r="I80" i="11"/>
  <c r="K79" i="11"/>
  <c r="B79" i="11"/>
  <c r="B81" i="11" s="1"/>
  <c r="I78" i="11"/>
  <c r="I58" i="11"/>
  <c r="K57" i="11"/>
  <c r="B57" i="11"/>
  <c r="B77" i="11" s="1"/>
  <c r="I54" i="11"/>
  <c r="I53" i="11"/>
  <c r="K52" i="11"/>
  <c r="B52" i="11"/>
  <c r="B53" i="11" s="1"/>
  <c r="I51" i="11"/>
  <c r="I50" i="11"/>
  <c r="I49" i="11"/>
  <c r="I48" i="11"/>
  <c r="I47" i="11"/>
  <c r="K46" i="11"/>
  <c r="B46" i="11"/>
  <c r="B48" i="11" s="1"/>
  <c r="I45" i="11"/>
  <c r="I44" i="11"/>
  <c r="I43" i="11"/>
  <c r="I42" i="11"/>
  <c r="K41" i="11"/>
  <c r="B41" i="11"/>
  <c r="B44" i="11" s="1"/>
  <c r="I40" i="11"/>
  <c r="I39" i="11"/>
  <c r="I38" i="11"/>
  <c r="I37" i="11"/>
  <c r="I36" i="11"/>
  <c r="I35" i="11"/>
  <c r="I34" i="11"/>
  <c r="K33" i="11"/>
  <c r="B33" i="11"/>
  <c r="B37" i="11" s="1"/>
  <c r="I32" i="11"/>
  <c r="I31" i="11"/>
  <c r="I29" i="11"/>
  <c r="I28" i="11"/>
  <c r="K27" i="11"/>
  <c r="B27" i="11"/>
  <c r="B28" i="11" s="1"/>
  <c r="I26" i="11"/>
  <c r="I25" i="11"/>
  <c r="I24" i="11"/>
  <c r="I23" i="11"/>
  <c r="I22" i="11"/>
  <c r="K21" i="11"/>
  <c r="B21" i="11"/>
  <c r="I20" i="11"/>
  <c r="B20" i="11"/>
  <c r="I19" i="11"/>
  <c r="B19" i="11"/>
  <c r="I17" i="11"/>
  <c r="B17" i="11"/>
  <c r="I16" i="11"/>
  <c r="B16" i="11"/>
  <c r="K15" i="11"/>
  <c r="I82" i="10"/>
  <c r="I53" i="10"/>
  <c r="I29" i="10"/>
  <c r="I78" i="10"/>
  <c r="B87" i="10"/>
  <c r="B88" i="10" s="1"/>
  <c r="I89" i="10"/>
  <c r="I88" i="10"/>
  <c r="K87" i="10"/>
  <c r="K88" i="1"/>
  <c r="I90" i="1"/>
  <c r="I89" i="1"/>
  <c r="I57" i="10"/>
  <c r="I27" i="10"/>
  <c r="C24" i="10"/>
  <c r="F24" i="10"/>
  <c r="F23" i="10"/>
  <c r="C23" i="10"/>
  <c r="C22" i="10"/>
  <c r="F22" i="10"/>
  <c r="I24" i="10"/>
  <c r="I23" i="10"/>
  <c r="B77" i="10"/>
  <c r="B80" i="10" s="1"/>
  <c r="B72" i="10"/>
  <c r="B74" i="10" s="1"/>
  <c r="B64" i="10"/>
  <c r="B67" i="10" s="1"/>
  <c r="B59" i="10"/>
  <c r="B62" i="10" s="1"/>
  <c r="B49" i="10"/>
  <c r="B57" i="10" s="1"/>
  <c r="B42" i="10"/>
  <c r="B44" i="10" s="1"/>
  <c r="B38" i="10"/>
  <c r="B41" i="10" s="1"/>
  <c r="B32" i="10"/>
  <c r="B35" i="10" s="1"/>
  <c r="B25" i="10"/>
  <c r="B29" i="10" s="1"/>
  <c r="B20" i="10"/>
  <c r="B22" i="10" s="1"/>
  <c r="B18" i="10"/>
  <c r="B19" i="10"/>
  <c r="B17" i="10"/>
  <c r="B16" i="10"/>
  <c r="I86" i="10"/>
  <c r="I85" i="10"/>
  <c r="I84" i="10"/>
  <c r="I83" i="10"/>
  <c r="I80" i="10"/>
  <c r="I79" i="10"/>
  <c r="K77" i="10"/>
  <c r="I74" i="10"/>
  <c r="I73" i="10"/>
  <c r="K72" i="10"/>
  <c r="I71" i="10"/>
  <c r="I70" i="10"/>
  <c r="I69" i="10"/>
  <c r="I68" i="10"/>
  <c r="I67" i="10"/>
  <c r="I66" i="10"/>
  <c r="I65" i="10"/>
  <c r="K64" i="10"/>
  <c r="I63" i="10"/>
  <c r="I62" i="10"/>
  <c r="I61" i="10"/>
  <c r="I60" i="10"/>
  <c r="K59" i="10"/>
  <c r="I58" i="10"/>
  <c r="I56" i="10"/>
  <c r="I55" i="10"/>
  <c r="I54" i="10"/>
  <c r="I52" i="10"/>
  <c r="I51" i="10"/>
  <c r="I50" i="10"/>
  <c r="K49" i="10"/>
  <c r="I48" i="10"/>
  <c r="I47" i="10"/>
  <c r="I45" i="10"/>
  <c r="I44" i="10"/>
  <c r="I43" i="10"/>
  <c r="K42" i="10"/>
  <c r="I41" i="10"/>
  <c r="I40" i="10"/>
  <c r="I39" i="10"/>
  <c r="K38" i="10"/>
  <c r="I37" i="10"/>
  <c r="I36" i="10"/>
  <c r="I35" i="10"/>
  <c r="I34" i="10"/>
  <c r="K32" i="10"/>
  <c r="I31" i="10"/>
  <c r="I30" i="10"/>
  <c r="I26" i="10"/>
  <c r="K25" i="10"/>
  <c r="I22" i="10"/>
  <c r="I21" i="10"/>
  <c r="K20" i="10"/>
  <c r="I19" i="10"/>
  <c r="I18" i="10"/>
  <c r="I17" i="10"/>
  <c r="I16" i="10"/>
  <c r="K15" i="10"/>
  <c r="I56" i="1"/>
  <c r="I46" i="1"/>
  <c r="B72" i="1"/>
  <c r="B71" i="1"/>
  <c r="K75" i="1"/>
  <c r="K70" i="1"/>
  <c r="K62" i="1"/>
  <c r="K57" i="1"/>
  <c r="K48" i="1"/>
  <c r="K40" i="1"/>
  <c r="K36" i="1"/>
  <c r="K30" i="1"/>
  <c r="K25" i="1"/>
  <c r="K22" i="1"/>
  <c r="K15" i="1"/>
  <c r="I77" i="1"/>
  <c r="B46" i="10" l="1"/>
  <c r="G12" i="1"/>
  <c r="G15" i="9" s="1"/>
  <c r="I88" i="1"/>
  <c r="I52" i="11"/>
  <c r="B71" i="11"/>
  <c r="B65" i="11"/>
  <c r="B78" i="11"/>
  <c r="I87" i="10"/>
  <c r="B81" i="10"/>
  <c r="B89" i="10"/>
  <c r="B53" i="10"/>
  <c r="G12" i="10"/>
  <c r="G16" i="9" s="1"/>
  <c r="B73" i="11"/>
  <c r="B59" i="11"/>
  <c r="B67" i="11"/>
  <c r="B74" i="11"/>
  <c r="B61" i="11"/>
  <c r="B68" i="11"/>
  <c r="B76" i="11"/>
  <c r="B62" i="11"/>
  <c r="B70" i="11"/>
  <c r="B60" i="11"/>
  <c r="B66" i="11"/>
  <c r="B72" i="11"/>
  <c r="B63" i="11"/>
  <c r="B69" i="11"/>
  <c r="B75" i="11"/>
  <c r="G12" i="11"/>
  <c r="G17" i="9" s="1"/>
  <c r="I41" i="11"/>
  <c r="I79" i="11"/>
  <c r="B45" i="11"/>
  <c r="I21" i="11"/>
  <c r="I46" i="11"/>
  <c r="I27" i="11"/>
  <c r="B32" i="11"/>
  <c r="I15" i="11"/>
  <c r="I57" i="11"/>
  <c r="I33" i="11"/>
  <c r="B80" i="11"/>
  <c r="B40" i="11"/>
  <c r="B54" i="11"/>
  <c r="B29" i="11"/>
  <c r="B36" i="11"/>
  <c r="B42" i="11"/>
  <c r="B30" i="11"/>
  <c r="B43" i="11"/>
  <c r="B58" i="11"/>
  <c r="B31" i="11"/>
  <c r="B47" i="11"/>
  <c r="B34" i="11"/>
  <c r="B38" i="11"/>
  <c r="B49" i="11"/>
  <c r="B23" i="11"/>
  <c r="B35" i="11"/>
  <c r="B39" i="11"/>
  <c r="B50" i="11"/>
  <c r="B26" i="11"/>
  <c r="B24" i="11"/>
  <c r="B51" i="11"/>
  <c r="B25" i="11"/>
  <c r="B22" i="11"/>
  <c r="I77" i="10"/>
  <c r="B24" i="10"/>
  <c r="B27" i="10"/>
  <c r="B28" i="10"/>
  <c r="B23" i="10"/>
  <c r="B61" i="10"/>
  <c r="B63" i="10"/>
  <c r="B71" i="10"/>
  <c r="B78" i="10"/>
  <c r="B30" i="10"/>
  <c r="I72" i="10"/>
  <c r="I49" i="10"/>
  <c r="B31" i="10"/>
  <c r="B33" i="10"/>
  <c r="B60" i="10"/>
  <c r="B52" i="10"/>
  <c r="I20" i="10"/>
  <c r="B79" i="10"/>
  <c r="B34" i="10"/>
  <c r="B47" i="10"/>
  <c r="B37" i="10"/>
  <c r="B45" i="10"/>
  <c r="B48" i="10"/>
  <c r="B36" i="10"/>
  <c r="B50" i="10"/>
  <c r="B65" i="10"/>
  <c r="B86" i="10"/>
  <c r="B51" i="10"/>
  <c r="B66" i="10"/>
  <c r="B85" i="10"/>
  <c r="B39" i="10"/>
  <c r="B58" i="10"/>
  <c r="B84" i="10"/>
  <c r="B21" i="10"/>
  <c r="B40" i="10"/>
  <c r="B56" i="10"/>
  <c r="B70" i="10"/>
  <c r="B83" i="10"/>
  <c r="B55" i="10"/>
  <c r="B69" i="10"/>
  <c r="B82" i="10"/>
  <c r="B26" i="10"/>
  <c r="B43" i="10"/>
  <c r="B54" i="10"/>
  <c r="B68" i="10"/>
  <c r="B73" i="10"/>
  <c r="I32" i="10"/>
  <c r="I59" i="10"/>
  <c r="I15" i="10"/>
  <c r="I38" i="10"/>
  <c r="I25" i="10"/>
  <c r="I64" i="10"/>
  <c r="I42" i="10"/>
  <c r="G12" i="9" l="1"/>
  <c r="I10" i="11"/>
  <c r="I10" i="10"/>
  <c r="I85" i="1"/>
  <c r="I86" i="1"/>
  <c r="I76" i="1"/>
  <c r="I78" i="1"/>
  <c r="I55" i="1"/>
  <c r="I87" i="1"/>
  <c r="I84" i="1"/>
  <c r="I83" i="1"/>
  <c r="I82" i="1"/>
  <c r="I80" i="1"/>
  <c r="I79" i="1"/>
  <c r="I12" i="11" l="1"/>
  <c r="E17" i="9"/>
  <c r="I17" i="9" s="1"/>
  <c r="I12" i="10"/>
  <c r="E16" i="9"/>
  <c r="I16" i="9" s="1"/>
  <c r="I75" i="1"/>
  <c r="I58" i="1"/>
  <c r="I59" i="1"/>
  <c r="I60" i="1"/>
  <c r="I61" i="1"/>
  <c r="I63" i="1"/>
  <c r="I64" i="1"/>
  <c r="I65" i="1"/>
  <c r="I66" i="1"/>
  <c r="I67" i="1"/>
  <c r="I68" i="1"/>
  <c r="I69" i="1"/>
  <c r="I71" i="1"/>
  <c r="I72" i="1"/>
  <c r="I37" i="1"/>
  <c r="I38" i="1"/>
  <c r="I39" i="1"/>
  <c r="I41" i="1"/>
  <c r="I42" i="1"/>
  <c r="I43" i="1"/>
  <c r="I44" i="1"/>
  <c r="I45" i="1"/>
  <c r="I47" i="1"/>
  <c r="I49" i="1"/>
  <c r="I50" i="1"/>
  <c r="I51" i="1"/>
  <c r="I52" i="1"/>
  <c r="I53" i="1"/>
  <c r="I54" i="1"/>
  <c r="I35" i="1"/>
  <c r="I34" i="1"/>
  <c r="I33" i="1"/>
  <c r="I32" i="1"/>
  <c r="I31" i="1"/>
  <c r="I29" i="1"/>
  <c r="I28" i="1"/>
  <c r="I27" i="1"/>
  <c r="I26" i="1"/>
  <c r="I17" i="1"/>
  <c r="I18" i="1"/>
  <c r="I19" i="1"/>
  <c r="I20" i="1"/>
  <c r="I21" i="1"/>
  <c r="I23" i="1"/>
  <c r="I24" i="1"/>
  <c r="I16" i="1"/>
  <c r="C24" i="1"/>
  <c r="F24" i="1"/>
  <c r="S4" i="7"/>
  <c r="S5" i="7"/>
  <c r="S6" i="7"/>
  <c r="S7" i="7"/>
  <c r="S8" i="7"/>
  <c r="S3" i="7"/>
  <c r="S2" i="7"/>
  <c r="T8" i="7"/>
  <c r="I70" i="1" l="1"/>
  <c r="I48" i="1"/>
  <c r="I57" i="1"/>
  <c r="I62" i="1"/>
  <c r="I36" i="1"/>
  <c r="I40" i="1"/>
  <c r="I25" i="1"/>
  <c r="I30" i="1"/>
  <c r="I22" i="1"/>
  <c r="I15" i="1"/>
  <c r="S11" i="7"/>
  <c r="Z3" i="7"/>
  <c r="Z4" i="7"/>
  <c r="Z5" i="7"/>
  <c r="Z6" i="7"/>
  <c r="Z2" i="7"/>
  <c r="Y6" i="7"/>
  <c r="Y5" i="7"/>
  <c r="Y4" i="7"/>
  <c r="Y3" i="7"/>
  <c r="Y2" i="7"/>
  <c r="I10" i="1" l="1"/>
  <c r="E15" i="9" s="1"/>
  <c r="I15" i="9" s="1"/>
  <c r="U6" i="7"/>
  <c r="AC7" i="7"/>
  <c r="AC8" i="7"/>
  <c r="AC9" i="7"/>
  <c r="AC10" i="7"/>
  <c r="AC5" i="7"/>
  <c r="T5" i="7"/>
  <c r="T6" i="7"/>
  <c r="Q3" i="7"/>
  <c r="AC3" i="7" s="1"/>
  <c r="T4" i="7"/>
  <c r="U5" i="7"/>
  <c r="AC6" i="7"/>
  <c r="Q2" i="7"/>
  <c r="T2" i="7" s="1"/>
  <c r="I12" i="1" l="1"/>
  <c r="I10" i="9"/>
  <c r="I12" i="9" s="1"/>
  <c r="T7" i="7"/>
  <c r="AC4" i="7"/>
  <c r="AC11" i="7" s="1"/>
  <c r="U4" i="7"/>
  <c r="U2" i="7"/>
  <c r="U3" i="7"/>
  <c r="AC2" i="7"/>
  <c r="T3" i="7"/>
  <c r="G11" i="6" l="1"/>
  <c r="E22" i="6"/>
  <c r="E21" i="6"/>
  <c r="E20" i="6"/>
  <c r="E19" i="6"/>
  <c r="K21" i="6"/>
  <c r="G21" i="6"/>
  <c r="G19" i="6"/>
  <c r="P27" i="6"/>
  <c r="I19" i="6"/>
  <c r="M12" i="6"/>
  <c r="P13" i="6"/>
  <c r="I5" i="6"/>
  <c r="G10" i="6"/>
  <c r="G9" i="6"/>
  <c r="G8" i="6"/>
  <c r="G7" i="6"/>
  <c r="G6" i="6"/>
</calcChain>
</file>

<file path=xl/sharedStrings.xml><?xml version="1.0" encoding="utf-8"?>
<sst xmlns="http://schemas.openxmlformats.org/spreadsheetml/2006/main" count="551" uniqueCount="321">
  <si>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</si>
  <si>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</si>
  <si>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</si>
  <si>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</si>
  <si>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</si>
  <si>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</si>
  <si>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</si>
  <si>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</si>
  <si>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</si>
  <si>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</si>
  <si>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</si>
  <si>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</si>
  <si>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</si>
  <si>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</si>
  <si>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</si>
  <si>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</si>
  <si>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</si>
  <si>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</si>
  <si>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</si>
  <si>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</si>
  <si>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</si>
  <si>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</si>
  <si>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</si>
  <si>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</si>
  <si>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</si>
  <si>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</si>
  <si>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</si>
  <si>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</si>
  <si>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</si>
  <si>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</si>
  <si>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</si>
  <si>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</si>
  <si>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</si>
  <si>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</si>
  <si>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</si>
  <si>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</si>
  <si>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</si>
  <si>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Drilling</t>
  </si>
  <si>
    <t>Comments</t>
  </si>
  <si>
    <t>Mouse/Rathole/Conductor</t>
  </si>
  <si>
    <t>Mob/Demob</t>
  </si>
  <si>
    <t>Rig Contract</t>
  </si>
  <si>
    <t>- 4 days coring; 2 days logging</t>
  </si>
  <si>
    <t>Cementing Services</t>
  </si>
  <si>
    <t>Mud Logging</t>
  </si>
  <si>
    <t>Well Control Insurance &amp; Services</t>
  </si>
  <si>
    <t>LIH Fees</t>
  </si>
  <si>
    <t>Insurance - GenLiab &amp; Umbrella</t>
  </si>
  <si>
    <t>G&amp;A Overhead</t>
  </si>
  <si>
    <t>Payroll Labor</t>
  </si>
  <si>
    <t>Surface Casing</t>
  </si>
  <si>
    <t>Intermediate Casing</t>
  </si>
  <si>
    <t>Drilling Liner</t>
  </si>
  <si>
    <t>Hanger Systems</t>
  </si>
  <si>
    <t>Subsurface Equipment</t>
  </si>
  <si>
    <t>Stimulation</t>
  </si>
  <si>
    <t>Plugs</t>
  </si>
  <si>
    <t>Flowback</t>
  </si>
  <si>
    <t>Production Tubing</t>
  </si>
  <si>
    <t>Engines &amp; Motors</t>
  </si>
  <si>
    <t>Tanks</t>
  </si>
  <si>
    <t>Cathodic Protection</t>
  </si>
  <si>
    <t>Buildings</t>
  </si>
  <si>
    <t>Telemetry Processing Equipment</t>
  </si>
  <si>
    <t>Switchgear &amp; Control Panels</t>
  </si>
  <si>
    <t>Civil Installation</t>
  </si>
  <si>
    <t>Insulation &amp; Painting</t>
  </si>
  <si>
    <t>Dehydrators</t>
  </si>
  <si>
    <t>Days on Location</t>
  </si>
  <si>
    <t>Wellsite Prep</t>
  </si>
  <si>
    <t>Well Prep</t>
  </si>
  <si>
    <t>Drillout</t>
  </si>
  <si>
    <t>Tube Up</t>
  </si>
  <si>
    <t>Scrape</t>
  </si>
  <si>
    <t>NU Wellhead</t>
  </si>
  <si>
    <t>Stages</t>
  </si>
  <si>
    <t>Packer</t>
  </si>
  <si>
    <t>Clean-Up</t>
  </si>
  <si>
    <t>Cellar</t>
  </si>
  <si>
    <t>Toe Sleeve</t>
  </si>
  <si>
    <t>Hrs/Stg</t>
  </si>
  <si>
    <t>CTDO</t>
  </si>
  <si>
    <t>WOR</t>
  </si>
  <si>
    <t>Well Test</t>
  </si>
  <si>
    <t>Wet Shoe</t>
  </si>
  <si>
    <t>Single Well</t>
  </si>
  <si>
    <t>TCP</t>
  </si>
  <si>
    <t>Zipper 2 well</t>
  </si>
  <si>
    <t>Casing Test</t>
  </si>
  <si>
    <t>Zipper 3+</t>
  </si>
  <si>
    <t>Twin</t>
  </si>
  <si>
    <t>Simulfrac</t>
  </si>
  <si>
    <t>CT Sleeves</t>
  </si>
  <si>
    <t>Stand-By</t>
  </si>
  <si>
    <t>Total Days</t>
  </si>
  <si>
    <t>Water Requirements</t>
  </si>
  <si>
    <t>Wellbore Vol</t>
  </si>
  <si>
    <t>Stage Vol</t>
  </si>
  <si>
    <t>Packer Depth</t>
  </si>
  <si>
    <t>Total Stim Vol</t>
  </si>
  <si>
    <t>CTDO Vol</t>
  </si>
  <si>
    <t>Tubing OD</t>
  </si>
  <si>
    <t>Est PD Vol</t>
  </si>
  <si>
    <t>Casing ID</t>
  </si>
  <si>
    <t>Total PD Vol</t>
  </si>
  <si>
    <t>Total Water</t>
  </si>
  <si>
    <t>Conductor</t>
  </si>
  <si>
    <t>Surface</t>
  </si>
  <si>
    <t>Intermediate</t>
  </si>
  <si>
    <t>Production Liner</t>
  </si>
  <si>
    <t>Tieback</t>
  </si>
  <si>
    <t>Top</t>
  </si>
  <si>
    <t>Bottom</t>
  </si>
  <si>
    <t>Footage</t>
  </si>
  <si>
    <t>Hole</t>
  </si>
  <si>
    <t>Connection</t>
  </si>
  <si>
    <t>Cost/Ft</t>
  </si>
  <si>
    <t>Est. Cost</t>
  </si>
  <si>
    <t>Weight/Ft</t>
  </si>
  <si>
    <t>Casing OD</t>
  </si>
  <si>
    <t>Grade</t>
  </si>
  <si>
    <t>X56</t>
  </si>
  <si>
    <t>BTC</t>
  </si>
  <si>
    <t>String Weight</t>
  </si>
  <si>
    <t>A</t>
  </si>
  <si>
    <t>B</t>
  </si>
  <si>
    <t>C</t>
  </si>
  <si>
    <t>D</t>
  </si>
  <si>
    <t>E</t>
  </si>
  <si>
    <t>P-110</t>
  </si>
  <si>
    <t>Mud Weight</t>
  </si>
  <si>
    <t>Coring</t>
  </si>
  <si>
    <t>Logging</t>
  </si>
  <si>
    <t>Ft/Hr</t>
  </si>
  <si>
    <t>Days Drilling</t>
  </si>
  <si>
    <t>Running Pipe</t>
  </si>
  <si>
    <t>Flat</t>
  </si>
  <si>
    <t>Cement Volume [sks]</t>
  </si>
  <si>
    <t>Drilled Footage</t>
  </si>
  <si>
    <t>Rig Days</t>
  </si>
  <si>
    <t>P-110 HP</t>
  </si>
  <si>
    <t>mod BTC</t>
  </si>
  <si>
    <t>SLIJ-II</t>
  </si>
  <si>
    <t>Edge SF</t>
  </si>
  <si>
    <t>VAM21/Edge SF</t>
  </si>
  <si>
    <t>L-80 HC</t>
  </si>
  <si>
    <t>Legal, Land, Damages &amp; Title</t>
  </si>
  <si>
    <t>Permitting, Regulatory</t>
  </si>
  <si>
    <t>Road, Locations, Pits</t>
  </si>
  <si>
    <t>Cleanup</t>
  </si>
  <si>
    <t>Water Well Drill &amp; Plug</t>
  </si>
  <si>
    <t>Location Preparation</t>
  </si>
  <si>
    <t>Major</t>
  </si>
  <si>
    <t>Minor</t>
  </si>
  <si>
    <t>Drilling Operations</t>
  </si>
  <si>
    <t>Daywork</t>
  </si>
  <si>
    <t>Type</t>
  </si>
  <si>
    <t>Unit Cost</t>
  </si>
  <si>
    <t>Units</t>
  </si>
  <si>
    <t>Qty</t>
  </si>
  <si>
    <t>Total Cost</t>
  </si>
  <si>
    <t>Description</t>
  </si>
  <si>
    <t>Drilling Fluids</t>
  </si>
  <si>
    <t>Fuel, Lube</t>
  </si>
  <si>
    <t>Rental Equipment</t>
  </si>
  <si>
    <t>Rentals - Surface</t>
  </si>
  <si>
    <t>BOP Stack &amp; Pressure Control</t>
  </si>
  <si>
    <t>Rotary Tools &amp; Acc (TD, PS, RH)</t>
  </si>
  <si>
    <t>Mud Related Equipment</t>
  </si>
  <si>
    <t>Rentals - Subsurface (pipe, BHA)</t>
  </si>
  <si>
    <t>OCTG</t>
  </si>
  <si>
    <t>Squeeze</t>
  </si>
  <si>
    <t>Wireline, Logging and Testing</t>
  </si>
  <si>
    <t>MWD / LWD</t>
  </si>
  <si>
    <t>Open Hole Logging</t>
  </si>
  <si>
    <t>Drill Stem Testing</t>
  </si>
  <si>
    <t>Coring - operational services</t>
  </si>
  <si>
    <t>Coring - SCAL, analysis</t>
  </si>
  <si>
    <t>Specialized Services</t>
  </si>
  <si>
    <t>Torque &amp; Test</t>
  </si>
  <si>
    <t>HSE Equipment &amp; Services</t>
  </si>
  <si>
    <t>Welding &amp; Fabrication</t>
  </si>
  <si>
    <t>Directional Drilling, DH Surveys</t>
  </si>
  <si>
    <t>Casing Running Services</t>
  </si>
  <si>
    <t>Tubular Inspection</t>
  </si>
  <si>
    <t>Fishing &amp; Pipe Recovery</t>
  </si>
  <si>
    <t>Transportation</t>
  </si>
  <si>
    <t>Trucking</t>
  </si>
  <si>
    <t>Hot Shot</t>
  </si>
  <si>
    <t>Air</t>
  </si>
  <si>
    <t>Marine</t>
  </si>
  <si>
    <t>Contract Supervision, Onsite &amp; Office</t>
  </si>
  <si>
    <t>Contract Labor - roustabout, etc</t>
  </si>
  <si>
    <t>Miscellaneous Costs - Intangible</t>
  </si>
  <si>
    <t>Contingencies</t>
  </si>
  <si>
    <t>Accrual</t>
  </si>
  <si>
    <t>Supplement Cost</t>
  </si>
  <si>
    <t>Mud, Chemicals &amp; Fluids</t>
  </si>
  <si>
    <t>Water &amp; Trucking Costs</t>
  </si>
  <si>
    <t>Fluid Disposal</t>
  </si>
  <si>
    <t>CAPITALIZED INTANGIBLE COSTS</t>
  </si>
  <si>
    <t>CAPITALIZED TANGIBLE COSTS</t>
  </si>
  <si>
    <t>Tangible Equipment</t>
  </si>
  <si>
    <t>Drive Pipe</t>
  </si>
  <si>
    <t>Conductor Pipe</t>
  </si>
  <si>
    <t>Contingency Liner</t>
  </si>
  <si>
    <t>Contingency Tie-Back</t>
  </si>
  <si>
    <t xml:space="preserve">Wellhead &amp; Fittings </t>
  </si>
  <si>
    <t>Lost in Hole</t>
  </si>
  <si>
    <t>Definition</t>
  </si>
  <si>
    <t>Miscellaneous Services</t>
  </si>
  <si>
    <t>Well Name</t>
  </si>
  <si>
    <t>County</t>
  </si>
  <si>
    <t>Brazoria</t>
  </si>
  <si>
    <t>Primary Job Description</t>
  </si>
  <si>
    <t>Well Type</t>
  </si>
  <si>
    <t>Pleasant Bayou (Frio Geothermal)</t>
  </si>
  <si>
    <t>Texas</t>
  </si>
  <si>
    <t>Total Depth, ft MD</t>
  </si>
  <si>
    <t>Formation</t>
  </si>
  <si>
    <t>Development Drilling</t>
  </si>
  <si>
    <t>Supplement AFE Date</t>
  </si>
  <si>
    <t>Consumables - Bits, Mills, FE, etc</t>
  </si>
  <si>
    <t>Admin, Insurance &amp; Labor</t>
  </si>
  <si>
    <t>Wireline - Other</t>
  </si>
  <si>
    <t>Road, Location</t>
  </si>
  <si>
    <t>Frac Pond, Impoundment</t>
  </si>
  <si>
    <t>Completion Unit</t>
  </si>
  <si>
    <t>Completion Rig Contract</t>
  </si>
  <si>
    <t>Coiled Tubing Unit &amp; Support Eqpmt</t>
  </si>
  <si>
    <t>Snubbing Unit &amp; Support Eqpmt</t>
  </si>
  <si>
    <t>Completion Fluids</t>
  </si>
  <si>
    <t>Kill Fluids, Labor &amp; Equipment</t>
  </si>
  <si>
    <t>Packer Fluid</t>
  </si>
  <si>
    <t>Filtration</t>
  </si>
  <si>
    <t>Fluid Related Equipment (transfer, etc)</t>
  </si>
  <si>
    <t>Rentals - Subsurface (pipe, BHA, etc)</t>
  </si>
  <si>
    <t>Production Casing</t>
  </si>
  <si>
    <t>Cased Hole Logging</t>
  </si>
  <si>
    <t>Transient Pressure Analysis</t>
  </si>
  <si>
    <t>Tracer Surveys</t>
  </si>
  <si>
    <t>Perforating</t>
  </si>
  <si>
    <t>Slickline &amp; Braided Line</t>
  </si>
  <si>
    <t>Flowtesting</t>
  </si>
  <si>
    <t>Tubular Services</t>
  </si>
  <si>
    <t>Stimulation &amp; Sand Control</t>
  </si>
  <si>
    <t>Consumables - Bits, Mills, FE, Plugs</t>
  </si>
  <si>
    <t>Wellhead, Tree &amp; Fittings</t>
  </si>
  <si>
    <t>Packer, Liner Hanger</t>
  </si>
  <si>
    <t>Artificial Lift Systems</t>
  </si>
  <si>
    <t>Subsurface Equipment - Other</t>
  </si>
  <si>
    <t>Miscellaneous Costs - Tangible</t>
  </si>
  <si>
    <t>Total DRL AFE, USD</t>
  </si>
  <si>
    <t>Supplement DRL AFE, USD</t>
  </si>
  <si>
    <t>Total CMP AFE, USD</t>
  </si>
  <si>
    <t>Supplement CMP AFE, USD</t>
  </si>
  <si>
    <t>Total DRL AFE + Supplement DRL AFE, USD</t>
  </si>
  <si>
    <t>Total CMP AFE + Supplement CMP AFE, USD</t>
  </si>
  <si>
    <t>$/bbl</t>
  </si>
  <si>
    <t>Road, Location, Pad Site, Foundations</t>
  </si>
  <si>
    <t>Containment</t>
  </si>
  <si>
    <t>Fire Pond, etc</t>
  </si>
  <si>
    <t>Fluids</t>
  </si>
  <si>
    <t>Other</t>
  </si>
  <si>
    <t>Crane</t>
  </si>
  <si>
    <t>Tools</t>
  </si>
  <si>
    <t>Measurement</t>
  </si>
  <si>
    <t>Testing &amp; Certification</t>
  </si>
  <si>
    <t>Contract Design &amp; Engineering</t>
  </si>
  <si>
    <t>Contract Labor - site supervision, etc</t>
  </si>
  <si>
    <t>Electrical Instrumentation &amp; Eqpmt</t>
  </si>
  <si>
    <t>Emission Controls</t>
  </si>
  <si>
    <t>Measurement Equipment &amp; Devices</t>
  </si>
  <si>
    <t>Mechanical Installation</t>
  </si>
  <si>
    <t>Pipe, Valves &amp; Fittings</t>
  </si>
  <si>
    <t>Processing Equipment &amp; Skids</t>
  </si>
  <si>
    <t>Pumps</t>
  </si>
  <si>
    <t>Three Phase Separators</t>
  </si>
  <si>
    <t>Knockouts</t>
  </si>
  <si>
    <t>Turbomachinery</t>
  </si>
  <si>
    <t>Supplement AFE Total, USD</t>
  </si>
  <si>
    <t>Total AFE, USD</t>
  </si>
  <si>
    <t>Total AFE + Supplement AFE, USD</t>
  </si>
  <si>
    <t>AFE SUMMARY</t>
  </si>
  <si>
    <t>Operations Category</t>
  </si>
  <si>
    <t>AFE Amount, USD</t>
  </si>
  <si>
    <t>Supplement AFE, USD</t>
  </si>
  <si>
    <t>Total DCE AFE + Supplement AFE, USD</t>
  </si>
  <si>
    <t>Completion</t>
  </si>
  <si>
    <t>Equip</t>
  </si>
  <si>
    <t>AUTHORIZATION FOR EXPENDITURES</t>
  </si>
  <si>
    <t>Danny Rehg, co-founder &amp; CEO</t>
  </si>
  <si>
    <t>Sean Marshall, co-founder &amp; CFO</t>
  </si>
  <si>
    <t>Jeff Toedter, VP of Engineering</t>
  </si>
  <si>
    <t>Denise Knight, VP of Geology &amp; Geophysics</t>
  </si>
  <si>
    <t>Partner Approval</t>
  </si>
  <si>
    <t>Drill, complete &amp; equip vertical geothermal SWD</t>
  </si>
  <si>
    <t>GT SWD</t>
  </si>
  <si>
    <t>Drill vertical geothermal SWD</t>
  </si>
  <si>
    <t>Complete vertical geothermal SWD</t>
  </si>
  <si>
    <t>Equip vertical geothermal SWD</t>
  </si>
  <si>
    <t>bits 40k, gen 20, FE 100k</t>
  </si>
  <si>
    <t>18-5/8" 85.2# X-56</t>
  </si>
  <si>
    <t>13-3/8" 54.5# J-55 STC</t>
  </si>
  <si>
    <t>SLB A-Section $40k, 5ksi 13-3/8"</t>
  </si>
  <si>
    <t>gen $2k, plugs $1.5k</t>
  </si>
  <si>
    <t>9-5/8" 47# L-80 BTC</t>
  </si>
  <si>
    <t>7" 29# L-80 BTC</t>
  </si>
  <si>
    <t>Production Tie-Back</t>
  </si>
  <si>
    <t>SLB B-section 22k$, tree $252k</t>
  </si>
  <si>
    <t>Environmental Control &amp; Safety</t>
  </si>
  <si>
    <t>Water Oak Renewables, LLC</t>
  </si>
  <si>
    <t>Operator:</t>
  </si>
  <si>
    <t>Project Name</t>
  </si>
  <si>
    <t>Water Oak Z031D Drill, Complete &amp; Equip</t>
  </si>
  <si>
    <t>Water Oak Z031D</t>
  </si>
  <si>
    <t>Microseismic</t>
  </si>
  <si>
    <t>Civil Design &amp; Implementation</t>
  </si>
  <si>
    <t>Electrical Construction &amp; Fab</t>
  </si>
  <si>
    <t>Mechanical Construction &amp; Fab</t>
  </si>
  <si>
    <t>Criterion Operating,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</si>
</sst>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"/>
    <numFmt numFmtId="166" formatCode="&quot;$&quot;#,##0.00"/>
    <numFmt numFmtId="167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otham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9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ck">
        <color theme="1"/>
      </right>
      <top/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thick">
        <color theme="1"/>
      </right>
      <top style="thin">
        <color theme="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/>
      <right/>
      <top style="thin">
        <color theme="2"/>
      </top>
      <bottom/>
      <diagonal/>
    </border>
    <border>
      <left style="medium">
        <color theme="1"/>
      </left>
      <right/>
      <top style="thin">
        <color theme="2"/>
      </top>
      <bottom/>
      <diagonal/>
    </border>
    <border>
      <left style="thick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thick">
        <color theme="1"/>
      </right>
      <top style="medium">
        <color auto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/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 style="thick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/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/>
      <diagonal/>
    </border>
    <border>
      <left style="medium">
        <color auto="1"/>
      </left>
      <right/>
      <top style="hair">
        <color theme="2" tint="-0.499984740745262"/>
      </top>
      <bottom/>
      <diagonal/>
    </border>
    <border>
      <left/>
      <right style="thick">
        <color auto="1"/>
      </right>
      <top style="hair">
        <color theme="2" tint="-0.49998474074526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5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1" xfId="0" applyBorder="1"/>
    <xf numFmtId="0" fontId="0" fillId="0" borderId="32" xfId="0" applyBorder="1"/>
    <xf numFmtId="0" fontId="0" fillId="3" borderId="32" xfId="0" applyFill="1" applyBorder="1" applyAlignment="1">
      <alignment horizontal="center"/>
    </xf>
    <xf numFmtId="0" fontId="0" fillId="0" borderId="33" xfId="0" applyBorder="1"/>
    <xf numFmtId="0" fontId="0" fillId="0" borderId="35" xfId="0" applyBorder="1" applyAlignment="1">
      <alignment horizontal="center"/>
    </xf>
    <xf numFmtId="0" fontId="0" fillId="3" borderId="35" xfId="0" applyFill="1" applyBorder="1" applyAlignment="1">
      <alignment horizontal="center"/>
    </xf>
    <xf numFmtId="2" fontId="0" fillId="0" borderId="35" xfId="0" applyNumberFormat="1" applyBorder="1"/>
    <xf numFmtId="2" fontId="0" fillId="0" borderId="35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/>
    <xf numFmtId="165" fontId="1" fillId="2" borderId="6" xfId="0" applyNumberFormat="1" applyFont="1" applyFill="1" applyBorder="1"/>
    <xf numFmtId="2" fontId="0" fillId="0" borderId="39" xfId="0" applyNumberFormat="1" applyBorder="1"/>
    <xf numFmtId="0" fontId="0" fillId="3" borderId="32" xfId="0" applyFill="1" applyBorder="1"/>
    <xf numFmtId="0" fontId="0" fillId="3" borderId="35" xfId="0" applyFill="1" applyBorder="1"/>
    <xf numFmtId="0" fontId="1" fillId="2" borderId="6" xfId="0" applyFont="1" applyFill="1" applyBorder="1"/>
    <xf numFmtId="1" fontId="0" fillId="0" borderId="35" xfId="0" applyNumberFormat="1" applyBorder="1"/>
    <xf numFmtId="1" fontId="0" fillId="3" borderId="35" xfId="0" applyNumberFormat="1" applyFill="1" applyBorder="1"/>
    <xf numFmtId="0" fontId="0" fillId="0" borderId="52" xfId="0" applyBorder="1"/>
    <xf numFmtId="0" fontId="0" fillId="0" borderId="53" xfId="0" applyBorder="1"/>
    <xf numFmtId="166" fontId="0" fillId="0" borderId="0" xfId="0" applyNumberFormat="1"/>
    <xf numFmtId="2" fontId="0" fillId="0" borderId="0" xfId="0" applyNumberFormat="1"/>
    <xf numFmtId="0" fontId="0" fillId="0" borderId="54" xfId="0" applyBorder="1"/>
    <xf numFmtId="0" fontId="0" fillId="0" borderId="55" xfId="0" applyBorder="1" applyAlignment="1">
      <alignment horizontal="center"/>
    </xf>
    <xf numFmtId="166" fontId="0" fillId="4" borderId="55" xfId="0" applyNumberFormat="1" applyFill="1" applyBorder="1" applyAlignment="1">
      <alignment horizontal="center"/>
    </xf>
    <xf numFmtId="166" fontId="0" fillId="0" borderId="55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/>
    <xf numFmtId="0" fontId="0" fillId="0" borderId="58" xfId="0" applyBorder="1" applyAlignment="1">
      <alignment horizontal="center"/>
    </xf>
    <xf numFmtId="166" fontId="0" fillId="3" borderId="58" xfId="0" applyNumberFormat="1" applyFill="1" applyBorder="1" applyAlignment="1">
      <alignment horizontal="center"/>
    </xf>
    <xf numFmtId="166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/>
    <xf numFmtId="0" fontId="0" fillId="0" borderId="60" xfId="0" applyBorder="1"/>
    <xf numFmtId="0" fontId="0" fillId="0" borderId="61" xfId="0" applyBorder="1" applyAlignment="1">
      <alignment horizontal="center"/>
    </xf>
    <xf numFmtId="0" fontId="0" fillId="0" borderId="61" xfId="0" applyBorder="1"/>
    <xf numFmtId="0" fontId="1" fillId="5" borderId="63" xfId="0" applyFont="1" applyFill="1" applyBorder="1" applyAlignment="1">
      <alignment horizontal="center"/>
    </xf>
    <xf numFmtId="0" fontId="1" fillId="5" borderId="64" xfId="0" applyFont="1" applyFill="1" applyBorder="1" applyAlignment="1">
      <alignment horizontal="center"/>
    </xf>
    <xf numFmtId="0" fontId="1" fillId="5" borderId="65" xfId="0" applyFont="1" applyFill="1" applyBorder="1" applyAlignment="1">
      <alignment horizontal="center"/>
    </xf>
    <xf numFmtId="0" fontId="0" fillId="0" borderId="66" xfId="0" applyBorder="1"/>
    <xf numFmtId="2" fontId="0" fillId="0" borderId="58" xfId="0" applyNumberFormat="1" applyBorder="1"/>
    <xf numFmtId="2" fontId="0" fillId="0" borderId="55" xfId="0" applyNumberFormat="1" applyBorder="1"/>
    <xf numFmtId="0" fontId="0" fillId="0" borderId="55" xfId="0" applyBorder="1"/>
    <xf numFmtId="2" fontId="0" fillId="0" borderId="56" xfId="0" applyNumberFormat="1" applyBorder="1"/>
    <xf numFmtId="2" fontId="0" fillId="0" borderId="59" xfId="0" applyNumberFormat="1" applyBorder="1"/>
    <xf numFmtId="2" fontId="0" fillId="0" borderId="61" xfId="0" applyNumberFormat="1" applyBorder="1"/>
    <xf numFmtId="2" fontId="0" fillId="0" borderId="62" xfId="0" applyNumberFormat="1" applyBorder="1"/>
    <xf numFmtId="0" fontId="1" fillId="5" borderId="67" xfId="0" applyFont="1" applyFill="1" applyBorder="1" applyAlignment="1">
      <alignment horizontal="center"/>
    </xf>
    <xf numFmtId="0" fontId="0" fillId="0" borderId="68" xfId="0" applyBorder="1"/>
    <xf numFmtId="0" fontId="0" fillId="0" borderId="69" xfId="0" applyBorder="1"/>
    <xf numFmtId="0" fontId="0" fillId="0" borderId="58" xfId="0" applyBorder="1" applyAlignment="1">
      <alignment horizontal="center" shrinkToFit="1"/>
    </xf>
    <xf numFmtId="166" fontId="0" fillId="4" borderId="58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70" xfId="0" applyNumberForma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4" fillId="0" borderId="75" xfId="0" applyFont="1" applyBorder="1"/>
    <xf numFmtId="0" fontId="4" fillId="0" borderId="76" xfId="0" applyFont="1" applyBorder="1"/>
    <xf numFmtId="0" fontId="5" fillId="0" borderId="75" xfId="0" applyFont="1" applyBorder="1" applyAlignment="1">
      <alignment horizontal="center"/>
    </xf>
    <xf numFmtId="164" fontId="4" fillId="0" borderId="75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78" xfId="0" applyFont="1" applyBorder="1"/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1" xfId="0" applyBorder="1"/>
    <xf numFmtId="5" fontId="0" fillId="0" borderId="71" xfId="0" applyNumberFormat="1" applyBorder="1" applyAlignment="1">
      <alignment horizontal="center"/>
    </xf>
    <xf numFmtId="5" fontId="5" fillId="0" borderId="75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5" fontId="0" fillId="0" borderId="0" xfId="0" applyNumberFormat="1" applyAlignment="1">
      <alignment horizontal="center"/>
    </xf>
    <xf numFmtId="0" fontId="0" fillId="0" borderId="72" xfId="0" applyBorder="1" applyAlignment="1">
      <alignment horizontal="left" indent="2"/>
    </xf>
    <xf numFmtId="0" fontId="0" fillId="0" borderId="0" xfId="0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5" fontId="5" fillId="0" borderId="83" xfId="0" applyNumberFormat="1" applyFont="1" applyBorder="1" applyAlignment="1">
      <alignment horizontal="center"/>
    </xf>
    <xf numFmtId="0" fontId="5" fillId="0" borderId="27" xfId="0" applyFont="1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85" xfId="0" applyBorder="1" applyAlignment="1">
      <alignment vertical="center"/>
    </xf>
    <xf numFmtId="0" fontId="0" fillId="0" borderId="87" xfId="0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3" fontId="0" fillId="0" borderId="85" xfId="1" applyNumberFormat="1" applyFont="1" applyBorder="1" applyAlignment="1">
      <alignment horizontal="left" vertical="center"/>
    </xf>
    <xf numFmtId="0" fontId="0" fillId="0" borderId="91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left" indent="2"/>
    </xf>
    <xf numFmtId="0" fontId="0" fillId="0" borderId="93" xfId="0" applyBorder="1" applyAlignment="1">
      <alignment horizontal="left"/>
    </xf>
    <xf numFmtId="5" fontId="0" fillId="0" borderId="94" xfId="0" applyNumberFormat="1" applyBorder="1" applyAlignment="1">
      <alignment horizontal="center"/>
    </xf>
    <xf numFmtId="164" fontId="0" fillId="0" borderId="92" xfId="0" applyNumberFormat="1" applyBorder="1" applyAlignment="1">
      <alignment horizontal="center"/>
    </xf>
    <xf numFmtId="0" fontId="0" fillId="0" borderId="92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left" indent="2"/>
    </xf>
    <xf numFmtId="0" fontId="0" fillId="0" borderId="98" xfId="0" applyBorder="1" applyAlignment="1">
      <alignment horizontal="left"/>
    </xf>
    <xf numFmtId="5" fontId="0" fillId="0" borderId="99" xfId="0" applyNumberFormat="1" applyBorder="1" applyAlignment="1">
      <alignment horizontal="center"/>
    </xf>
    <xf numFmtId="164" fontId="0" fillId="0" borderId="97" xfId="0" applyNumberFormat="1" applyBorder="1" applyAlignment="1">
      <alignment horizontal="center"/>
    </xf>
    <xf numFmtId="0" fontId="0" fillId="0" borderId="97" xfId="0" applyBorder="1"/>
    <xf numFmtId="5" fontId="0" fillId="0" borderId="97" xfId="0" applyNumberFormat="1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left" indent="2"/>
    </xf>
    <xf numFmtId="0" fontId="0" fillId="0" borderId="102" xfId="0" applyBorder="1" applyAlignment="1">
      <alignment horizontal="left"/>
    </xf>
    <xf numFmtId="5" fontId="0" fillId="0" borderId="102" xfId="0" applyNumberFormat="1" applyBorder="1" applyAlignment="1">
      <alignment horizontal="center"/>
    </xf>
    <xf numFmtId="164" fontId="0" fillId="0" borderId="102" xfId="0" applyNumberFormat="1" applyBorder="1" applyAlignment="1">
      <alignment horizontal="center"/>
    </xf>
    <xf numFmtId="0" fontId="0" fillId="0" borderId="102" xfId="0" applyBorder="1"/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left" indent="2"/>
    </xf>
    <xf numFmtId="0" fontId="0" fillId="0" borderId="106" xfId="0" applyBorder="1"/>
    <xf numFmtId="5" fontId="0" fillId="0" borderId="106" xfId="0" applyNumberFormat="1" applyBorder="1" applyAlignment="1">
      <alignment horizontal="center"/>
    </xf>
    <xf numFmtId="164" fontId="0" fillId="0" borderId="106" xfId="0" applyNumberFormat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left" indent="2"/>
    </xf>
    <xf numFmtId="0" fontId="0" fillId="0" borderId="110" xfId="0" applyBorder="1"/>
    <xf numFmtId="5" fontId="0" fillId="0" borderId="110" xfId="0" applyNumberFormat="1" applyBorder="1" applyAlignment="1">
      <alignment horizontal="center"/>
    </xf>
    <xf numFmtId="164" fontId="0" fillId="0" borderId="110" xfId="0" applyNumberFormat="1" applyBorder="1" applyAlignment="1">
      <alignment horizontal="center"/>
    </xf>
    <xf numFmtId="0" fontId="0" fillId="0" borderId="99" xfId="0" applyBorder="1"/>
    <xf numFmtId="0" fontId="0" fillId="0" borderId="113" xfId="0" applyBorder="1"/>
    <xf numFmtId="0" fontId="0" fillId="0" borderId="114" xfId="0" applyBorder="1"/>
    <xf numFmtId="5" fontId="0" fillId="0" borderId="92" xfId="0" applyNumberFormat="1" applyBorder="1" applyAlignment="1">
      <alignment horizontal="center"/>
    </xf>
    <xf numFmtId="3" fontId="0" fillId="0" borderId="92" xfId="0" applyNumberFormat="1" applyBorder="1" applyAlignment="1">
      <alignment horizontal="center"/>
    </xf>
    <xf numFmtId="0" fontId="0" fillId="0" borderId="116" xfId="0" applyBorder="1"/>
    <xf numFmtId="5" fontId="0" fillId="0" borderId="98" xfId="0" applyNumberFormat="1" applyBorder="1" applyAlignment="1">
      <alignment horizontal="center"/>
    </xf>
    <xf numFmtId="3" fontId="0" fillId="0" borderId="97" xfId="0" applyNumberFormat="1" applyBorder="1" applyAlignment="1">
      <alignment horizontal="center"/>
    </xf>
    <xf numFmtId="7" fontId="0" fillId="0" borderId="97" xfId="0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20" xfId="0" applyBorder="1"/>
    <xf numFmtId="5" fontId="0" fillId="0" borderId="119" xfId="0" applyNumberFormat="1" applyBorder="1" applyAlignment="1">
      <alignment horizontal="center"/>
    </xf>
    <xf numFmtId="5" fontId="0" fillId="0" borderId="118" xfId="0" applyNumberFormat="1" applyBorder="1" applyAlignment="1">
      <alignment horizontal="center"/>
    </xf>
    <xf numFmtId="164" fontId="0" fillId="0" borderId="118" xfId="0" applyNumberFormat="1" applyBorder="1" applyAlignment="1">
      <alignment horizontal="center"/>
    </xf>
    <xf numFmtId="0" fontId="0" fillId="0" borderId="119" xfId="0" applyBorder="1" applyAlignment="1">
      <alignment horizontal="left" indent="2"/>
    </xf>
    <xf numFmtId="164" fontId="4" fillId="0" borderId="74" xfId="0" applyNumberFormat="1" applyFont="1" applyBorder="1" applyAlignment="1">
      <alignment horizontal="center" vertical="center"/>
    </xf>
    <xf numFmtId="164" fontId="0" fillId="0" borderId="95" xfId="0" applyNumberFormat="1" applyBorder="1" applyAlignment="1">
      <alignment horizontal="center" vertical="center"/>
    </xf>
    <xf numFmtId="164" fontId="0" fillId="0" borderId="100" xfId="0" applyNumberFormat="1" applyBorder="1" applyAlignment="1">
      <alignment horizontal="center" vertical="center"/>
    </xf>
    <xf numFmtId="164" fontId="0" fillId="0" borderId="104" xfId="0" applyNumberFormat="1" applyBorder="1" applyAlignment="1">
      <alignment horizontal="center" vertical="center"/>
    </xf>
    <xf numFmtId="164" fontId="0" fillId="0" borderId="108" xfId="0" applyNumberFormat="1" applyBorder="1" applyAlignment="1">
      <alignment horizontal="center" vertical="center"/>
    </xf>
    <xf numFmtId="164" fontId="0" fillId="0" borderId="73" xfId="0" applyNumberFormat="1" applyBorder="1" applyAlignment="1">
      <alignment horizontal="center" vertical="center"/>
    </xf>
    <xf numFmtId="164" fontId="0" fillId="0" borderId="112" xfId="0" applyNumberFormat="1" applyBorder="1" applyAlignment="1">
      <alignment horizontal="center" vertical="center"/>
    </xf>
    <xf numFmtId="5" fontId="4" fillId="0" borderId="74" xfId="0" applyNumberFormat="1" applyFont="1" applyBorder="1" applyAlignment="1">
      <alignment horizontal="center" vertical="center"/>
    </xf>
    <xf numFmtId="5" fontId="0" fillId="0" borderId="95" xfId="0" applyNumberFormat="1" applyBorder="1" applyAlignment="1">
      <alignment horizontal="center" vertical="center"/>
    </xf>
    <xf numFmtId="5" fontId="0" fillId="0" borderId="100" xfId="0" applyNumberFormat="1" applyBorder="1" applyAlignment="1">
      <alignment horizontal="center" vertical="center"/>
    </xf>
    <xf numFmtId="5" fontId="0" fillId="0" borderId="121" xfId="0" applyNumberFormat="1" applyBorder="1" applyAlignment="1">
      <alignment horizontal="center" vertic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left" indent="2"/>
    </xf>
    <xf numFmtId="0" fontId="0" fillId="0" borderId="123" xfId="0" applyBorder="1"/>
    <xf numFmtId="5" fontId="0" fillId="0" borderId="123" xfId="0" applyNumberFormat="1" applyBorder="1" applyAlignment="1">
      <alignment horizontal="center"/>
    </xf>
    <xf numFmtId="164" fontId="0" fillId="0" borderId="123" xfId="0" applyNumberFormat="1" applyBorder="1" applyAlignment="1">
      <alignment horizontal="center"/>
    </xf>
    <xf numFmtId="164" fontId="0" fillId="0" borderId="125" xfId="0" applyNumberFormat="1" applyBorder="1" applyAlignment="1">
      <alignment horizontal="center" vertic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5" fontId="1" fillId="7" borderId="29" xfId="0" applyNumberFormat="1" applyFont="1" applyFill="1" applyBorder="1" applyAlignment="1">
      <alignment horizontal="center"/>
    </xf>
    <xf numFmtId="0" fontId="1" fillId="7" borderId="29" xfId="0" applyFont="1" applyFill="1" applyBorder="1"/>
    <xf numFmtId="0" fontId="1" fillId="7" borderId="30" xfId="0" applyFont="1" applyFill="1" applyBorder="1" applyAlignment="1">
      <alignment horizontal="center"/>
    </xf>
    <xf numFmtId="0" fontId="8" fillId="0" borderId="129" xfId="0" applyFont="1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8" fillId="0" borderId="133" xfId="0" applyFont="1" applyBorder="1" applyAlignment="1">
      <alignment horizontal="left" vertical="center"/>
    </xf>
    <xf numFmtId="0" fontId="0" fillId="0" borderId="135" xfId="0" applyBorder="1" applyAlignment="1">
      <alignment vertical="center"/>
    </xf>
    <xf numFmtId="0" fontId="0" fillId="0" borderId="143" xfId="0" applyBorder="1"/>
    <xf numFmtId="0" fontId="2" fillId="0" borderId="116" xfId="0" applyFont="1" applyBorder="1"/>
    <xf numFmtId="0" fontId="2" fillId="0" borderId="115" xfId="0" applyFont="1" applyBorder="1"/>
    <xf numFmtId="0" fontId="1" fillId="0" borderId="0" xfId="0" applyFont="1"/>
    <xf numFmtId="0" fontId="9" fillId="0" borderId="0" xfId="0" applyFont="1"/>
    <xf numFmtId="3" fontId="0" fillId="0" borderId="118" xfId="0" applyNumberFormat="1" applyBorder="1" applyAlignment="1">
      <alignment horizontal="center"/>
    </xf>
    <xf numFmtId="0" fontId="2" fillId="0" borderId="144" xfId="0" applyFont="1" applyBorder="1"/>
    <xf numFmtId="3" fontId="0" fillId="0" borderId="123" xfId="0" applyNumberFormat="1" applyBorder="1" applyAlignment="1">
      <alignment horizontal="center"/>
    </xf>
    <xf numFmtId="5" fontId="0" fillId="0" borderId="125" xfId="0" applyNumberForma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7" fontId="0" fillId="0" borderId="106" xfId="0" applyNumberFormat="1" applyBorder="1" applyAlignment="1">
      <alignment horizontal="center"/>
    </xf>
    <xf numFmtId="3" fontId="0" fillId="0" borderId="106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7" borderId="29" xfId="0" applyNumberFormat="1" applyFont="1" applyFill="1" applyBorder="1" applyAlignment="1">
      <alignment horizontal="center" vertical="center"/>
    </xf>
    <xf numFmtId="5" fontId="5" fillId="0" borderId="75" xfId="0" applyNumberFormat="1" applyFont="1" applyBorder="1" applyAlignment="1">
      <alignment horizontal="center" vertical="center"/>
    </xf>
    <xf numFmtId="5" fontId="0" fillId="0" borderId="94" xfId="0" applyNumberFormat="1" applyBorder="1" applyAlignment="1">
      <alignment horizontal="center" vertical="center"/>
    </xf>
    <xf numFmtId="5" fontId="0" fillId="0" borderId="99" xfId="0" applyNumberFormat="1" applyBorder="1" applyAlignment="1">
      <alignment horizontal="center" vertical="center"/>
    </xf>
    <xf numFmtId="5" fontId="0" fillId="0" borderId="106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102" xfId="0" applyNumberFormat="1" applyBorder="1" applyAlignment="1">
      <alignment horizontal="center" vertical="center"/>
    </xf>
    <xf numFmtId="5" fontId="5" fillId="0" borderId="83" xfId="0" applyNumberFormat="1" applyFont="1" applyBorder="1" applyAlignment="1">
      <alignment horizontal="center" vertical="center"/>
    </xf>
    <xf numFmtId="5" fontId="0" fillId="0" borderId="93" xfId="0" applyNumberFormat="1" applyBorder="1" applyAlignment="1">
      <alignment horizontal="center" vertical="center"/>
    </xf>
    <xf numFmtId="5" fontId="0" fillId="0" borderId="98" xfId="0" applyNumberFormat="1" applyBorder="1" applyAlignment="1">
      <alignment horizontal="center" vertical="center"/>
    </xf>
    <xf numFmtId="5" fontId="0" fillId="0" borderId="119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7" borderId="29" xfId="0" applyNumberFormat="1" applyFont="1" applyFill="1" applyBorder="1" applyAlignment="1">
      <alignment horizontal="center"/>
    </xf>
    <xf numFmtId="3" fontId="5" fillId="0" borderId="75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102" xfId="0" applyNumberFormat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110" xfId="0" applyNumberFormat="1" applyBorder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5" fontId="2" fillId="0" borderId="98" xfId="0" applyNumberFormat="1" applyFont="1" applyBorder="1" applyAlignment="1">
      <alignment horizontal="center" vertical="center"/>
    </xf>
    <xf numFmtId="5" fontId="2" fillId="0" borderId="124" xfId="0" applyNumberFormat="1" applyFont="1" applyBorder="1" applyAlignment="1">
      <alignment horizontal="center" vertical="center"/>
    </xf>
    <xf numFmtId="0" fontId="10" fillId="0" borderId="155" xfId="0" applyFont="1" applyBorder="1" applyAlignment="1">
      <alignment horizontal="center" vertical="center"/>
    </xf>
    <xf numFmtId="0" fontId="10" fillId="0" borderId="155" xfId="0" applyFont="1" applyBorder="1" applyAlignment="1">
      <alignment horizontal="left" vertical="center"/>
    </xf>
    <xf numFmtId="5" fontId="10" fillId="0" borderId="15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0" fillId="0" borderId="155" xfId="0" applyBorder="1" applyAlignment="1">
      <alignment horizontal="center"/>
    </xf>
    <xf numFmtId="0" fontId="0" fillId="0" borderId="155" xfId="0" applyBorder="1"/>
    <xf numFmtId="5" fontId="0" fillId="0" borderId="155" xfId="0" applyNumberFormat="1" applyBorder="1" applyAlignment="1">
      <alignment horizontal="center"/>
    </xf>
    <xf numFmtId="0" fontId="5" fillId="0" borderId="149" xfId="0" applyFont="1" applyBorder="1" applyAlignment="1">
      <alignment horizontal="center" vertical="center"/>
    </xf>
    <xf numFmtId="0" fontId="5" fillId="0" borderId="152" xfId="0" applyFont="1" applyBorder="1" applyAlignment="1">
      <alignment horizontal="center" vertical="center"/>
    </xf>
    <xf numFmtId="0" fontId="5" fillId="0" borderId="177" xfId="0" applyFont="1" applyBorder="1" applyAlignment="1">
      <alignment horizontal="center" vertical="center"/>
    </xf>
    <xf numFmtId="5" fontId="2" fillId="0" borderId="93" xfId="0" applyNumberFormat="1" applyFont="1" applyBorder="1" applyAlignment="1">
      <alignment horizontal="center"/>
    </xf>
    <xf numFmtId="5" fontId="2" fillId="0" borderId="98" xfId="0" applyNumberFormat="1" applyFont="1" applyBorder="1" applyAlignment="1">
      <alignment horizontal="center"/>
    </xf>
    <xf numFmtId="0" fontId="8" fillId="0" borderId="187" xfId="0" applyFont="1" applyBorder="1" applyAlignment="1">
      <alignment horizontal="left" vertical="center"/>
    </xf>
    <xf numFmtId="0" fontId="8" fillId="0" borderId="188" xfId="0" applyFont="1" applyBorder="1" applyAlignment="1">
      <alignment horizontal="left" vertical="center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183" xfId="0" applyFont="1" applyBorder="1" applyAlignment="1">
      <alignment horizontal="left" vertical="center"/>
    </xf>
    <xf numFmtId="0" fontId="8" fillId="0" borderId="168" xfId="0" applyFont="1" applyBorder="1" applyAlignment="1">
      <alignment horizontal="left" vertical="center"/>
    </xf>
    <xf numFmtId="0" fontId="8" fillId="0" borderId="184" xfId="0" applyFont="1" applyBorder="1" applyAlignment="1">
      <alignment horizontal="left" vertical="center"/>
    </xf>
    <xf numFmtId="0" fontId="8" fillId="0" borderId="182" xfId="0" applyFont="1" applyBorder="1" applyAlignment="1">
      <alignment horizontal="left" vertical="center"/>
    </xf>
    <xf numFmtId="0" fontId="8" fillId="0" borderId="167" xfId="0" applyFont="1" applyBorder="1" applyAlignment="1">
      <alignment horizontal="left" vertical="center"/>
    </xf>
    <xf numFmtId="0" fontId="0" fillId="0" borderId="128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73" xfId="0" applyBorder="1" applyAlignment="1">
      <alignment horizontal="center"/>
    </xf>
    <xf numFmtId="0" fontId="0" fillId="0" borderId="174" xfId="0" applyBorder="1" applyAlignment="1">
      <alignment horizontal="center"/>
    </xf>
    <xf numFmtId="0" fontId="0" fillId="0" borderId="175" xfId="0" applyBorder="1" applyAlignment="1">
      <alignment horizontal="center"/>
    </xf>
    <xf numFmtId="0" fontId="0" fillId="0" borderId="176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158" xfId="0" applyBorder="1" applyAlignment="1">
      <alignment horizontal="center"/>
    </xf>
    <xf numFmtId="0" fontId="0" fillId="0" borderId="159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0" xfId="0" applyBorder="1" applyAlignment="1">
      <alignment horizontal="center"/>
    </xf>
    <xf numFmtId="0" fontId="0" fillId="0" borderId="169" xfId="0" applyBorder="1" applyAlignment="1">
      <alignment horizontal="center"/>
    </xf>
    <xf numFmtId="0" fontId="0" fillId="0" borderId="170" xfId="0" applyBorder="1" applyAlignment="1">
      <alignment horizontal="center"/>
    </xf>
    <xf numFmtId="0" fontId="0" fillId="0" borderId="171" xfId="0" applyBorder="1" applyAlignment="1">
      <alignment horizontal="center"/>
    </xf>
    <xf numFmtId="0" fontId="0" fillId="0" borderId="162" xfId="0" applyBorder="1" applyAlignment="1">
      <alignment horizontal="center"/>
    </xf>
    <xf numFmtId="0" fontId="0" fillId="0" borderId="161" xfId="0" applyBorder="1" applyAlignment="1">
      <alignment horizontal="center"/>
    </xf>
    <xf numFmtId="0" fontId="0" fillId="0" borderId="172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80" xfId="0" applyBorder="1" applyAlignment="1">
      <alignment horizontal="center"/>
    </xf>
    <xf numFmtId="0" fontId="8" fillId="6" borderId="163" xfId="0" applyFont="1" applyFill="1" applyBorder="1" applyAlignment="1">
      <alignment horizontal="left"/>
    </xf>
    <xf numFmtId="0" fontId="8" fillId="6" borderId="164" xfId="0" applyFont="1" applyFill="1" applyBorder="1" applyAlignment="1">
      <alignment horizontal="left"/>
    </xf>
    <xf numFmtId="0" fontId="8" fillId="6" borderId="181" xfId="0" applyFont="1" applyFill="1" applyBorder="1" applyAlignment="1">
      <alignment horizontal="left"/>
    </xf>
    <xf numFmtId="0" fontId="8" fillId="0" borderId="166" xfId="0" applyFont="1" applyBorder="1" applyAlignment="1">
      <alignment horizontal="left"/>
    </xf>
    <xf numFmtId="0" fontId="8" fillId="0" borderId="164" xfId="0" applyFont="1" applyBorder="1" applyAlignment="1">
      <alignment horizontal="left"/>
    </xf>
    <xf numFmtId="0" fontId="8" fillId="0" borderId="165" xfId="0" applyFont="1" applyBorder="1" applyAlignment="1">
      <alignment horizontal="left"/>
    </xf>
    <xf numFmtId="0" fontId="8" fillId="6" borderId="165" xfId="0" applyFont="1" applyFill="1" applyBorder="1" applyAlignment="1">
      <alignment horizontal="left"/>
    </xf>
    <xf numFmtId="0" fontId="1" fillId="0" borderId="78" xfId="0" applyFont="1" applyBorder="1" applyAlignment="1">
      <alignment horizontal="center"/>
    </xf>
    <xf numFmtId="0" fontId="1" fillId="0" borderId="148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5" fillId="0" borderId="150" xfId="0" applyFont="1" applyBorder="1" applyAlignment="1">
      <alignment horizontal="left" vertical="center"/>
    </xf>
    <xf numFmtId="5" fontId="5" fillId="0" borderId="150" xfId="0" applyNumberFormat="1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5" fontId="5" fillId="0" borderId="178" xfId="0" applyNumberFormat="1" applyFont="1" applyBorder="1" applyAlignment="1">
      <alignment horizontal="center" vertical="center"/>
    </xf>
    <xf numFmtId="0" fontId="5" fillId="0" borderId="178" xfId="0" applyFont="1" applyBorder="1" applyAlignment="1">
      <alignment horizontal="center" vertical="center"/>
    </xf>
    <xf numFmtId="0" fontId="5" fillId="0" borderId="151" xfId="0" applyFont="1" applyBorder="1" applyAlignment="1">
      <alignment horizontal="center" vertical="center"/>
    </xf>
    <xf numFmtId="5" fontId="5" fillId="0" borderId="153" xfId="0" applyNumberFormat="1" applyFont="1" applyBorder="1" applyAlignment="1">
      <alignment horizontal="center" vertical="center"/>
    </xf>
    <xf numFmtId="0" fontId="5" fillId="0" borderId="153" xfId="0" applyFont="1" applyBorder="1" applyAlignment="1">
      <alignment horizontal="center" vertical="center"/>
    </xf>
    <xf numFmtId="0" fontId="5" fillId="0" borderId="154" xfId="0" applyFont="1" applyBorder="1" applyAlignment="1">
      <alignment horizontal="center" vertical="center"/>
    </xf>
    <xf numFmtId="0" fontId="5" fillId="0" borderId="179" xfId="0" applyFont="1" applyBorder="1" applyAlignment="1">
      <alignment horizontal="center" vertical="center"/>
    </xf>
    <xf numFmtId="0" fontId="5" fillId="0" borderId="153" xfId="0" applyFont="1" applyBorder="1" applyAlignment="1">
      <alignment horizontal="left" vertical="center"/>
    </xf>
    <xf numFmtId="0" fontId="5" fillId="0" borderId="178" xfId="0" applyFont="1" applyBorder="1" applyAlignment="1">
      <alignment horizontal="left" vertical="center"/>
    </xf>
    <xf numFmtId="0" fontId="4" fillId="9" borderId="49" xfId="0" applyFont="1" applyFill="1" applyBorder="1" applyAlignment="1">
      <alignment horizontal="center"/>
    </xf>
    <xf numFmtId="0" fontId="4" fillId="9" borderId="50" xfId="0" applyFont="1" applyFill="1" applyBorder="1" applyAlignment="1">
      <alignment horizontal="center"/>
    </xf>
    <xf numFmtId="0" fontId="4" fillId="9" borderId="51" xfId="0" applyFont="1" applyFill="1" applyBorder="1" applyAlignment="1">
      <alignment horizontal="center"/>
    </xf>
    <xf numFmtId="0" fontId="8" fillId="0" borderId="89" xfId="0" applyFont="1" applyBorder="1" applyAlignment="1">
      <alignment horizontal="left" vertical="center"/>
    </xf>
    <xf numFmtId="0" fontId="8" fillId="0" borderId="137" xfId="0" applyFont="1" applyBorder="1" applyAlignment="1">
      <alignment horizontal="left" vertical="center"/>
    </xf>
    <xf numFmtId="0" fontId="0" fillId="0" borderId="138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167" fontId="0" fillId="0" borderId="90" xfId="0" applyNumberFormat="1" applyBorder="1" applyAlignment="1">
      <alignment horizontal="left" vertical="center"/>
    </xf>
    <xf numFmtId="5" fontId="11" fillId="0" borderId="90" xfId="0" applyNumberFormat="1" applyFont="1" applyBorder="1" applyAlignment="1">
      <alignment horizontal="center" vertical="center"/>
    </xf>
    <xf numFmtId="5" fontId="11" fillId="0" borderId="139" xfId="0" applyNumberFormat="1" applyFont="1" applyBorder="1" applyAlignment="1">
      <alignment horizontal="center" vertical="center"/>
    </xf>
    <xf numFmtId="0" fontId="8" fillId="0" borderId="136" xfId="0" applyFont="1" applyBorder="1" applyAlignment="1">
      <alignment horizontal="left" vertical="center"/>
    </xf>
    <xf numFmtId="167" fontId="8" fillId="0" borderId="89" xfId="0" applyNumberFormat="1" applyFont="1" applyBorder="1" applyAlignment="1">
      <alignment horizontal="left" vertical="center"/>
    </xf>
    <xf numFmtId="167" fontId="0" fillId="0" borderId="90" xfId="0" applyNumberFormat="1" applyBorder="1" applyAlignment="1">
      <alignment horizontal="center" vertical="center"/>
    </xf>
    <xf numFmtId="5" fontId="4" fillId="0" borderId="90" xfId="0" applyNumberFormat="1" applyFont="1" applyBorder="1" applyAlignment="1">
      <alignment horizontal="center" vertical="center"/>
    </xf>
    <xf numFmtId="5" fontId="4" fillId="0" borderId="139" xfId="0" applyNumberFormat="1" applyFont="1" applyBorder="1" applyAlignment="1">
      <alignment horizontal="center" vertical="center"/>
    </xf>
    <xf numFmtId="0" fontId="4" fillId="9" borderId="145" xfId="0" applyFont="1" applyFill="1" applyBorder="1" applyAlignment="1">
      <alignment horizontal="center" vertical="center"/>
    </xf>
    <xf numFmtId="0" fontId="4" fillId="9" borderId="146" xfId="0" applyFont="1" applyFill="1" applyBorder="1" applyAlignment="1">
      <alignment horizontal="center" vertical="center"/>
    </xf>
    <xf numFmtId="0" fontId="4" fillId="9" borderId="147" xfId="0" applyFont="1" applyFill="1" applyBorder="1" applyAlignment="1">
      <alignment horizontal="center" vertical="center"/>
    </xf>
    <xf numFmtId="0" fontId="8" fillId="0" borderId="132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0" fontId="0" fillId="0" borderId="13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8" fillId="0" borderId="128" xfId="0" applyFont="1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0" fillId="0" borderId="130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8" fillId="0" borderId="185" xfId="0" applyFont="1" applyBorder="1" applyAlignment="1">
      <alignment horizontal="left" vertical="center"/>
    </xf>
    <xf numFmtId="0" fontId="8" fillId="0" borderId="186" xfId="0" applyFont="1" applyBorder="1" applyAlignment="1">
      <alignment horizontal="left" vertical="center"/>
    </xf>
    <xf numFmtId="0" fontId="1" fillId="8" borderId="189" xfId="0" applyFont="1" applyFill="1" applyBorder="1" applyAlignment="1">
      <alignment horizontal="center" vertical="center"/>
    </xf>
    <xf numFmtId="0" fontId="1" fillId="8" borderId="190" xfId="0" applyFont="1" applyFill="1" applyBorder="1" applyAlignment="1">
      <alignment horizontal="center" vertical="center"/>
    </xf>
    <xf numFmtId="0" fontId="1" fillId="8" borderId="191" xfId="0" applyFont="1" applyFill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0" fontId="1" fillId="4" borderId="126" xfId="0" applyFont="1" applyFill="1" applyBorder="1" applyAlignment="1">
      <alignment horizontal="center"/>
    </xf>
    <xf numFmtId="0" fontId="1" fillId="4" borderId="127" xfId="0" applyFont="1" applyFill="1" applyBorder="1" applyAlignment="1">
      <alignment horizontal="center"/>
    </xf>
    <xf numFmtId="0" fontId="0" fillId="8" borderId="85" xfId="0" applyFill="1" applyBorder="1" applyAlignment="1">
      <alignment horizontal="left" vertical="center"/>
    </xf>
    <xf numFmtId="0" fontId="0" fillId="0" borderId="43" xfId="0" quotePrefix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7" borderId="140" xfId="0" applyFont="1" applyFill="1" applyBorder="1" applyAlignment="1">
      <alignment horizontal="center" vertical="center"/>
    </xf>
    <xf numFmtId="0" fontId="4" fillId="7" borderId="141" xfId="0" applyFont="1" applyFill="1" applyBorder="1" applyAlignment="1">
      <alignment horizontal="center" vertical="center"/>
    </xf>
    <xf numFmtId="0" fontId="4" fillId="7" borderId="142" xfId="0" applyFont="1" applyFill="1" applyBorder="1" applyAlignment="1">
      <alignment horizontal="center" vertical="center"/>
    </xf>
    <xf numFmtId="5" fontId="12" fillId="0" borderId="90" xfId="0" applyNumberFormat="1" applyFont="1" applyBorder="1" applyAlignment="1">
      <alignment horizontal="center" vertical="center"/>
    </xf>
    <xf numFmtId="5" fontId="12" fillId="0" borderId="139" xfId="0" applyNumberFormat="1" applyFont="1" applyBorder="1" applyAlignment="1">
      <alignment horizontal="center" vertical="center"/>
    </xf>
    <xf numFmtId="0" fontId="0" fillId="10" borderId="85" xfId="0" applyFill="1" applyBorder="1" applyAlignment="1">
      <alignment horizontal="left" vertical="center"/>
    </xf>
    <xf numFmtId="0" fontId="0" fillId="4" borderId="85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/>
  <cols>
    <col min="2" max="2" width="27.6640625" bestFit="1" customWidth="1"/>
    <col min="3" max="3" width="19.6640625" bestFit="1" customWidth="1"/>
    <col min="4" max="4" width="18.5546875" bestFit="1" customWidth="1"/>
    <col min="5" max="5" width="22.33203125" bestFit="1" customWidth="1"/>
    <col min="6" max="6" width="15" bestFit="1" customWidth="1"/>
    <col min="7" max="7" width="23" bestFit="1" customWidth="1"/>
  </cols>
  <sheetData>
    <row r="1" spans="1:8" ht="16.2" thickBot="1">
      <c r="B1" s="3" t="s">
        <v>0</v>
      </c>
      <c r="C1" s="281"/>
      <c r="D1" s="281"/>
    </row>
    <row r="2" spans="1:8" ht="15" thickTop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>
      <c r="B3" s="1"/>
      <c r="C3" s="1"/>
      <c r="D3" s="1"/>
      <c r="E3" s="1"/>
      <c r="F3" s="1"/>
      <c r="G3" s="1"/>
    </row>
    <row r="4" spans="1:8" ht="15" thickTop="1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>
      <c r="B5" s="1"/>
      <c r="C5" s="1"/>
      <c r="D5" s="1"/>
      <c r="E5" s="1"/>
      <c r="F5" s="1"/>
      <c r="G5" s="1"/>
    </row>
    <row r="6" spans="1:8" ht="15.6" thickTop="1" thickBot="1">
      <c r="A6" s="7"/>
      <c r="B6" s="8"/>
      <c r="C6" s="8"/>
      <c r="D6" s="8"/>
      <c r="E6" s="8"/>
      <c r="F6" s="8"/>
      <c r="G6" s="8"/>
      <c r="H6" s="9"/>
    </row>
    <row r="7" spans="1:8" ht="15.6" thickTop="1" thickBot="1">
      <c r="B7" s="276" t="s">
        <v>13</v>
      </c>
      <c r="C7" s="282"/>
      <c r="D7" s="282"/>
      <c r="E7" s="282"/>
      <c r="F7" s="282"/>
      <c r="G7" s="283"/>
    </row>
    <row r="8" spans="1:8" ht="15.6" thickTop="1" thickBot="1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>
      <c r="B9" s="5"/>
      <c r="C9" s="5"/>
      <c r="D9" s="5"/>
      <c r="E9" s="5"/>
      <c r="F9" s="5"/>
      <c r="G9" s="5"/>
    </row>
    <row r="10" spans="1:8" ht="15.6" thickTop="1" thickBot="1">
      <c r="B10" s="284" t="s">
        <v>19</v>
      </c>
      <c r="C10" s="284"/>
      <c r="D10" s="284"/>
      <c r="E10" s="284" t="s">
        <v>20</v>
      </c>
      <c r="F10" s="284"/>
      <c r="G10" s="284"/>
    </row>
    <row r="11" spans="1:8" ht="15.6" thickTop="1" thickBot="1">
      <c r="B11" s="285"/>
      <c r="C11" s="285"/>
      <c r="D11" s="285"/>
      <c r="E11" s="285"/>
      <c r="F11" s="285"/>
      <c r="G11" s="285"/>
    </row>
    <row r="12" spans="1:8" ht="15.6" thickTop="1" thickBot="1">
      <c r="B12" s="270" t="s">
        <v>21</v>
      </c>
      <c r="C12" s="271"/>
      <c r="D12" s="271"/>
      <c r="E12" s="271"/>
      <c r="F12" s="271"/>
      <c r="G12" s="272"/>
    </row>
    <row r="13" spans="1:8" ht="15.6" thickTop="1" thickBot="1">
      <c r="B13" s="273"/>
      <c r="C13" s="274"/>
      <c r="D13" s="274"/>
      <c r="E13" s="274"/>
      <c r="F13" s="274"/>
      <c r="G13" s="275"/>
    </row>
    <row r="14" spans="1:8" ht="15.6" thickTop="1" thickBot="1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>
      <c r="B15" s="276" t="s">
        <v>22</v>
      </c>
      <c r="C15" s="277"/>
      <c r="D15" s="277"/>
      <c r="E15" s="277"/>
      <c r="F15" s="277"/>
      <c r="G15" s="278"/>
    </row>
    <row r="16" spans="1:8" ht="15" thickTop="1">
      <c r="B16" s="11" t="s">
        <v>23</v>
      </c>
      <c r="C16" s="11" t="s">
        <v>24</v>
      </c>
      <c r="D16" s="11" t="s">
        <v>25</v>
      </c>
      <c r="E16" s="279" t="s">
        <v>26</v>
      </c>
      <c r="F16" s="279"/>
      <c r="G16" s="279"/>
    </row>
    <row r="17" spans="1:8" ht="15" thickBot="1">
      <c r="B17" s="12"/>
      <c r="C17" s="12"/>
      <c r="D17" s="12"/>
      <c r="E17" s="280"/>
      <c r="F17" s="280"/>
      <c r="G17" s="280"/>
    </row>
    <row r="18" spans="1:8" ht="15" thickTop="1">
      <c r="B18" s="11" t="s">
        <v>27</v>
      </c>
      <c r="C18" s="279" t="s">
        <v>28</v>
      </c>
      <c r="D18" s="279"/>
      <c r="E18" s="279" t="s">
        <v>29</v>
      </c>
      <c r="F18" s="279"/>
      <c r="G18" s="13" t="s">
        <v>30</v>
      </c>
    </row>
    <row r="19" spans="1:8" ht="15" thickBot="1">
      <c r="B19" s="19"/>
      <c r="C19" s="266"/>
      <c r="D19" s="266"/>
      <c r="E19" s="266"/>
      <c r="F19" s="266"/>
      <c r="G19" s="14"/>
    </row>
    <row r="20" spans="1:8" ht="15.6" thickTop="1" thickBot="1">
      <c r="A20" s="7"/>
      <c r="B20" s="8"/>
      <c r="C20" s="8"/>
      <c r="D20" s="8"/>
      <c r="E20" s="8"/>
      <c r="F20" s="8"/>
      <c r="G20" s="8"/>
      <c r="H20" s="9"/>
    </row>
    <row r="21" spans="1:8" ht="15.6" thickTop="1" thickBot="1">
      <c r="B21" s="267" t="s">
        <v>31</v>
      </c>
      <c r="C21" s="268"/>
      <c r="D21" s="268"/>
      <c r="E21" s="268"/>
      <c r="F21" s="268"/>
      <c r="G21" s="269"/>
    </row>
    <row r="22" spans="1:8" ht="15.6" thickTop="1" thickBot="1">
      <c r="B22" s="15"/>
      <c r="C22" s="17" t="s">
        <v>32</v>
      </c>
      <c r="D22" s="17" t="s">
        <v>33</v>
      </c>
      <c r="E22" s="17" t="s">
        <v>34</v>
      </c>
      <c r="F22" s="17" t="s">
        <v>35</v>
      </c>
      <c r="G22" s="18" t="s">
        <v>36</v>
      </c>
    </row>
  </sheetData>
  <mergeCells count="16">
    <mergeCell ref="C1:D1"/>
    <mergeCell ref="B7:G7"/>
    <mergeCell ref="B10:D10"/>
    <mergeCell ref="E10:G10"/>
    <mergeCell ref="B11:D11"/>
    <mergeCell ref="E11:G11"/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497A-D4FB-4844-9C00-0C118C9350C0}">
  <sheetPr>
    <pageSetUpPr fitToPage="1"/>
  </sheetPr>
  <dimension ref="A1:S28"/>
  <sheetViews>
    <sheetView zoomScaleNormal="100" workbookViewId="0">
      <selection activeCell="U13" sqref="U13"/>
    </sheetView>
  </sheetViews>
  <sheetFormatPr defaultRowHeight="14.4"/>
  <cols>
    <col min="1" max="1" width="2.44140625" customWidth="1"/>
    <col min="2" max="2" width="6.109375" style="20" bestFit="1" customWidth="1"/>
    <col min="3" max="3" width="9.1093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392" t="s">
        <v>311</v>
      </c>
      <c r="C2" s="393"/>
      <c r="D2" s="393"/>
      <c r="E2" s="393"/>
      <c r="F2" s="393"/>
      <c r="G2" s="393"/>
      <c r="H2" s="393"/>
      <c r="I2" s="393"/>
      <c r="J2" s="393"/>
      <c r="K2" s="394"/>
    </row>
    <row r="3" spans="1:19">
      <c r="A3" s="122"/>
      <c r="B3" s="358" t="s">
        <v>312</v>
      </c>
      <c r="C3" s="359"/>
      <c r="D3" s="359"/>
      <c r="E3" s="362" t="s">
        <v>313</v>
      </c>
      <c r="F3" s="362"/>
      <c r="G3" s="362"/>
      <c r="H3" s="363"/>
      <c r="I3" s="264"/>
      <c r="J3" s="264"/>
      <c r="K3" s="265"/>
    </row>
    <row r="4" spans="1:19" ht="15" thickBot="1">
      <c r="B4" s="360" t="s">
        <v>320</v>
      </c>
      <c r="C4" s="361"/>
      <c r="D4" s="361"/>
      <c r="E4" s="364" t="s">
        <v>314</v>
      </c>
      <c r="F4" s="365"/>
      <c r="G4" s="365"/>
      <c r="H4" s="365"/>
      <c r="I4" s="365"/>
      <c r="J4" s="365"/>
      <c r="K4" s="366"/>
    </row>
    <row r="5" spans="1:19">
      <c r="A5" s="122"/>
      <c r="B5" s="358" t="s">
        <v>211</v>
      </c>
      <c r="C5" s="359"/>
      <c r="D5" s="359"/>
      <c r="E5" s="359" t="s">
        <v>3</v>
      </c>
      <c r="F5" s="359"/>
      <c r="G5" s="359"/>
      <c r="H5" s="359"/>
      <c r="I5" s="125" t="s">
        <v>212</v>
      </c>
      <c r="J5" s="125" t="s">
        <v>5</v>
      </c>
      <c r="K5" s="205" t="s">
        <v>1</v>
      </c>
    </row>
    <row r="6" spans="1:19" ht="15" thickBot="1">
      <c r="B6" s="360" t="s">
        <v>315</v>
      </c>
      <c r="C6" s="361"/>
      <c r="D6" s="361"/>
      <c r="E6" s="361" t="s">
        <v>216</v>
      </c>
      <c r="F6" s="361"/>
      <c r="G6" s="361"/>
      <c r="H6" s="361"/>
      <c r="I6" s="124" t="s">
        <v>213</v>
      </c>
      <c r="J6" s="124" t="s">
        <v>217</v>
      </c>
      <c r="K6" s="206"/>
    </row>
    <row r="7" spans="1:19">
      <c r="B7" s="354" t="s">
        <v>14</v>
      </c>
      <c r="C7" s="355"/>
      <c r="D7" s="355"/>
      <c r="E7" s="355" t="s">
        <v>214</v>
      </c>
      <c r="F7" s="355"/>
      <c r="G7" s="355"/>
      <c r="H7" s="355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19" ht="15" thickBot="1">
      <c r="B8" s="356" t="s">
        <v>220</v>
      </c>
      <c r="C8" s="357"/>
      <c r="D8" s="357"/>
      <c r="E8" s="357" t="s">
        <v>296</v>
      </c>
      <c r="F8" s="357"/>
      <c r="G8" s="357"/>
      <c r="H8" s="357"/>
      <c r="I8" s="123"/>
      <c r="J8" s="127">
        <v>7700</v>
      </c>
      <c r="K8" s="208" t="s">
        <v>297</v>
      </c>
      <c r="P8" s="119"/>
      <c r="Q8" s="120"/>
      <c r="R8" s="20"/>
      <c r="S8" s="121"/>
    </row>
    <row r="9" spans="1:19">
      <c r="B9" s="346" t="s">
        <v>23</v>
      </c>
      <c r="C9" s="339"/>
      <c r="D9" s="339"/>
      <c r="E9" s="339" t="s">
        <v>24</v>
      </c>
      <c r="F9" s="339"/>
      <c r="G9" s="339" t="s">
        <v>25</v>
      </c>
      <c r="H9" s="339"/>
      <c r="I9" s="339" t="s">
        <v>281</v>
      </c>
      <c r="J9" s="339"/>
      <c r="K9" s="340"/>
      <c r="P9" s="118"/>
      <c r="Q9" s="20"/>
      <c r="R9" s="20"/>
    </row>
    <row r="10" spans="1:19" ht="26.4" thickBot="1">
      <c r="B10" s="341"/>
      <c r="C10" s="342"/>
      <c r="D10" s="342"/>
      <c r="E10" s="343">
        <v>44953</v>
      </c>
      <c r="F10" s="343"/>
      <c r="G10" s="342"/>
      <c r="H10" s="342"/>
      <c r="I10" s="344">
        <f>SUM(E15:F17)</f>
        <v>4553764</v>
      </c>
      <c r="J10" s="344"/>
      <c r="K10" s="345"/>
      <c r="P10" s="118"/>
      <c r="Q10" s="20"/>
      <c r="R10" s="20"/>
    </row>
    <row r="11" spans="1:19">
      <c r="B11" s="346" t="s">
        <v>26</v>
      </c>
      <c r="C11" s="339"/>
      <c r="D11" s="339"/>
      <c r="E11" s="347" t="s">
        <v>221</v>
      </c>
      <c r="F11" s="347"/>
      <c r="G11" s="339" t="s">
        <v>280</v>
      </c>
      <c r="H11" s="339"/>
      <c r="I11" s="339" t="s">
        <v>282</v>
      </c>
      <c r="J11" s="339"/>
      <c r="K11" s="340"/>
      <c r="P11" s="118"/>
      <c r="Q11" s="20"/>
      <c r="R11" s="20"/>
    </row>
    <row r="12" spans="1:19" ht="18.600000000000001" thickBot="1">
      <c r="B12" s="341"/>
      <c r="C12" s="342"/>
      <c r="D12" s="342"/>
      <c r="E12" s="348"/>
      <c r="F12" s="348"/>
      <c r="G12" s="349">
        <f>SUM(G15:H17)</f>
        <v>0</v>
      </c>
      <c r="H12" s="349"/>
      <c r="I12" s="349">
        <f>I10+G12</f>
        <v>4553764</v>
      </c>
      <c r="J12" s="349"/>
      <c r="K12" s="350"/>
      <c r="P12" s="118"/>
      <c r="Q12" s="20"/>
      <c r="R12" s="20"/>
    </row>
    <row r="13" spans="1:19" s="112" customFormat="1" ht="18.600000000000001" thickBot="1">
      <c r="B13" s="351" t="s">
        <v>283</v>
      </c>
      <c r="C13" s="352"/>
      <c r="D13" s="352"/>
      <c r="E13" s="352"/>
      <c r="F13" s="352"/>
      <c r="G13" s="352"/>
      <c r="H13" s="352"/>
      <c r="I13" s="352"/>
      <c r="J13" s="352"/>
      <c r="K13" s="353"/>
      <c r="M13" s="113"/>
      <c r="N13" s="114"/>
      <c r="O13" s="114"/>
      <c r="P13" s="114"/>
      <c r="Q13" s="114"/>
      <c r="R13" s="114"/>
      <c r="S13" s="115"/>
    </row>
    <row r="14" spans="1:19" ht="15" thickBot="1">
      <c r="B14" s="255" t="s">
        <v>152</v>
      </c>
      <c r="C14" s="320" t="s">
        <v>284</v>
      </c>
      <c r="D14" s="321"/>
      <c r="E14" s="320" t="s">
        <v>285</v>
      </c>
      <c r="F14" s="321"/>
      <c r="G14" s="320" t="s">
        <v>286</v>
      </c>
      <c r="H14" s="321"/>
      <c r="I14" s="320" t="s">
        <v>287</v>
      </c>
      <c r="J14" s="322"/>
      <c r="K14" s="323"/>
    </row>
    <row r="15" spans="1:19" s="112" customFormat="1" ht="18">
      <c r="B15" s="259">
        <v>2</v>
      </c>
      <c r="C15" s="324" t="s">
        <v>37</v>
      </c>
      <c r="D15" s="324"/>
      <c r="E15" s="325">
        <f>Drilling!I10</f>
        <v>2285230</v>
      </c>
      <c r="F15" s="326"/>
      <c r="G15" s="325">
        <f>Drilling!G12</f>
        <v>0</v>
      </c>
      <c r="H15" s="326"/>
      <c r="I15" s="325">
        <f>E15+G15</f>
        <v>2285230</v>
      </c>
      <c r="J15" s="326"/>
      <c r="K15" s="329"/>
    </row>
    <row r="16" spans="1:19" s="112" customFormat="1" ht="18">
      <c r="B16" s="260">
        <v>3</v>
      </c>
      <c r="C16" s="334" t="s">
        <v>288</v>
      </c>
      <c r="D16" s="334"/>
      <c r="E16" s="330">
        <f>Completion!I10</f>
        <v>2095534</v>
      </c>
      <c r="F16" s="331"/>
      <c r="G16" s="330">
        <f>Completion!G12</f>
        <v>0</v>
      </c>
      <c r="H16" s="331"/>
      <c r="I16" s="330">
        <f t="shared" ref="I16:I17" si="0">E16+G16</f>
        <v>2095534</v>
      </c>
      <c r="J16" s="331"/>
      <c r="K16" s="332"/>
    </row>
    <row r="17" spans="2:12" s="112" customFormat="1" ht="18.600000000000001" thickBot="1">
      <c r="B17" s="261">
        <v>5</v>
      </c>
      <c r="C17" s="335" t="s">
        <v>289</v>
      </c>
      <c r="D17" s="335"/>
      <c r="E17" s="327">
        <f>Equip!I10</f>
        <v>173000</v>
      </c>
      <c r="F17" s="328"/>
      <c r="G17" s="327">
        <f>Equip!G12</f>
        <v>0</v>
      </c>
      <c r="H17" s="328"/>
      <c r="I17" s="327">
        <f t="shared" si="0"/>
        <v>173000</v>
      </c>
      <c r="J17" s="328"/>
      <c r="K17" s="333"/>
    </row>
    <row r="18" spans="2:12" s="112" customFormat="1" ht="16.8" thickTop="1" thickBot="1">
      <c r="B18" s="252"/>
      <c r="C18" s="253"/>
      <c r="D18" s="253"/>
      <c r="E18" s="254"/>
      <c r="F18" s="252"/>
      <c r="G18" s="254"/>
      <c r="H18" s="252"/>
      <c r="I18" s="254"/>
      <c r="J18" s="252"/>
      <c r="K18" s="252"/>
    </row>
    <row r="19" spans="2:12" ht="19.2" thickTop="1" thickBot="1">
      <c r="B19" s="336" t="s">
        <v>290</v>
      </c>
      <c r="C19" s="337"/>
      <c r="D19" s="337"/>
      <c r="E19" s="337"/>
      <c r="F19" s="337"/>
      <c r="G19" s="337"/>
      <c r="H19" s="337"/>
      <c r="I19" s="337"/>
      <c r="J19" s="337"/>
      <c r="K19" s="338"/>
    </row>
    <row r="20" spans="2:12" ht="15" thickBot="1">
      <c r="B20" s="297"/>
      <c r="C20" s="298"/>
      <c r="D20" s="299"/>
      <c r="E20" s="306"/>
      <c r="F20" s="298"/>
      <c r="G20" s="298"/>
      <c r="H20" s="299"/>
      <c r="I20" s="309"/>
      <c r="J20" s="310"/>
      <c r="K20" s="311"/>
    </row>
    <row r="21" spans="2:12" ht="15" thickBot="1">
      <c r="B21" s="300"/>
      <c r="C21" s="301"/>
      <c r="D21" s="302"/>
      <c r="E21" s="307"/>
      <c r="F21" s="301"/>
      <c r="G21" s="301"/>
      <c r="H21" s="302"/>
      <c r="I21" s="309"/>
      <c r="J21" s="310"/>
      <c r="K21" s="311"/>
    </row>
    <row r="22" spans="2:12">
      <c r="B22" s="303"/>
      <c r="C22" s="304"/>
      <c r="D22" s="305"/>
      <c r="E22" s="308"/>
      <c r="F22" s="304"/>
      <c r="G22" s="304"/>
      <c r="H22" s="305"/>
      <c r="I22" s="306"/>
      <c r="J22" s="298"/>
      <c r="K22" s="312"/>
    </row>
    <row r="23" spans="2:12" ht="15" thickBot="1">
      <c r="B23" s="316" t="s">
        <v>291</v>
      </c>
      <c r="C23" s="317"/>
      <c r="D23" s="318"/>
      <c r="E23" s="313" t="s">
        <v>292</v>
      </c>
      <c r="F23" s="314"/>
      <c r="G23" s="314"/>
      <c r="H23" s="319"/>
      <c r="I23" s="313" t="s">
        <v>295</v>
      </c>
      <c r="J23" s="314"/>
      <c r="K23" s="315"/>
    </row>
    <row r="24" spans="2:12" ht="15" thickBot="1">
      <c r="B24" s="291"/>
      <c r="C24" s="292"/>
      <c r="D24" s="292"/>
      <c r="E24" s="292"/>
      <c r="F24" s="292"/>
      <c r="G24" s="292"/>
      <c r="H24" s="292"/>
      <c r="I24" s="309"/>
      <c r="J24" s="310"/>
      <c r="K24" s="311"/>
    </row>
    <row r="25" spans="2:12" ht="15" thickBot="1">
      <c r="B25" s="293"/>
      <c r="C25" s="294"/>
      <c r="D25" s="294"/>
      <c r="E25" s="294"/>
      <c r="F25" s="294"/>
      <c r="G25" s="294"/>
      <c r="H25" s="294"/>
      <c r="I25" s="309"/>
      <c r="J25" s="310"/>
      <c r="K25" s="311"/>
    </row>
    <row r="26" spans="2:12">
      <c r="B26" s="295"/>
      <c r="C26" s="296"/>
      <c r="D26" s="296"/>
      <c r="E26" s="296"/>
      <c r="F26" s="296"/>
      <c r="G26" s="296"/>
      <c r="H26" s="296"/>
      <c r="I26" s="306"/>
      <c r="J26" s="298"/>
      <c r="K26" s="312"/>
    </row>
    <row r="27" spans="2:12" ht="15.6" thickTop="1" thickBot="1">
      <c r="B27" s="290" t="s">
        <v>293</v>
      </c>
      <c r="C27" s="287"/>
      <c r="D27" s="289"/>
      <c r="E27" s="286" t="s">
        <v>294</v>
      </c>
      <c r="F27" s="287"/>
      <c r="G27" s="287"/>
      <c r="H27" s="289"/>
      <c r="I27" s="286" t="s">
        <v>295</v>
      </c>
      <c r="J27" s="287"/>
      <c r="K27" s="288"/>
      <c r="L27" s="20"/>
    </row>
    <row r="28" spans="2:12" ht="15" thickTop="1">
      <c r="B28" s="256"/>
      <c r="C28" s="256"/>
      <c r="D28" s="257"/>
      <c r="E28" s="257"/>
      <c r="F28" s="258"/>
      <c r="G28" s="257"/>
      <c r="H28" s="256"/>
      <c r="I28" s="256"/>
      <c r="J28" s="257"/>
      <c r="K28" s="257"/>
    </row>
  </sheetData>
  <mergeCells count="59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B19:K19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G16:H16"/>
    <mergeCell ref="G17:H17"/>
    <mergeCell ref="I15:K15"/>
    <mergeCell ref="I16:K16"/>
    <mergeCell ref="I17:K17"/>
    <mergeCell ref="C16:D16"/>
    <mergeCell ref="C17:D17"/>
    <mergeCell ref="E15:F15"/>
    <mergeCell ref="E16:F16"/>
    <mergeCell ref="E17:F17"/>
    <mergeCell ref="C14:D14"/>
    <mergeCell ref="E14:F14"/>
    <mergeCell ref="G14:H14"/>
    <mergeCell ref="I14:K14"/>
    <mergeCell ref="C15:D15"/>
    <mergeCell ref="G15:H15"/>
    <mergeCell ref="I27:K27"/>
    <mergeCell ref="E27:H27"/>
    <mergeCell ref="B27:D27"/>
    <mergeCell ref="B24:D26"/>
    <mergeCell ref="B20:D22"/>
    <mergeCell ref="E20:H22"/>
    <mergeCell ref="E24:H26"/>
    <mergeCell ref="I20:K22"/>
    <mergeCell ref="I23:K23"/>
    <mergeCell ref="I24:K26"/>
    <mergeCell ref="B23:D23"/>
    <mergeCell ref="E23:H23"/>
  </mergeCells>
  <conditionalFormatting sqref="G12">
    <cfRule type="expression" dxfId="10" priority="2">
      <formula>G12=0</formula>
    </cfRule>
  </conditionalFormatting>
  <conditionalFormatting sqref="I12:K12">
    <cfRule type="expression" dxfId="9" priority="1">
      <formula>$G$12=0</formula>
    </cfRule>
  </conditionalFormatting>
  <printOptions horizontalCentered="1"/>
  <pageMargins left="0.25" right="0.25" top="0.25" bottom="0.25" header="0" footer="0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A34F-F7D8-4B96-9A58-A5D94EF3DD37}">
  <sheetPr codeName="Sheet3">
    <pageSetUpPr fitToPage="1"/>
  </sheetPr>
  <dimension ref="A1:S91"/>
  <sheetViews>
    <sheetView zoomScaleNormal="100" workbookViewId="0">
      <pane ySplit="14" topLeftCell="A15" activePane="bottomLeft" state="frozen"/>
      <selection activeCell="U13" sqref="U13"/>
      <selection pane="bottomLeft" activeCell="U13" sqref="U13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392" t="s">
        <v>311</v>
      </c>
      <c r="C2" s="393"/>
      <c r="D2" s="393"/>
      <c r="E2" s="393"/>
      <c r="F2" s="393"/>
      <c r="G2" s="393"/>
      <c r="H2" s="393"/>
      <c r="I2" s="393"/>
      <c r="J2" s="393"/>
      <c r="K2" s="394"/>
    </row>
    <row r="3" spans="1:19">
      <c r="A3" s="122"/>
      <c r="B3" s="358" t="s">
        <v>312</v>
      </c>
      <c r="C3" s="359"/>
      <c r="D3" s="359"/>
      <c r="E3" s="362" t="s">
        <v>313</v>
      </c>
      <c r="F3" s="362"/>
      <c r="G3" s="362"/>
      <c r="H3" s="363"/>
      <c r="I3" s="264"/>
      <c r="J3" s="264"/>
      <c r="K3" s="265"/>
    </row>
    <row r="4" spans="1:19" ht="15" thickBot="1">
      <c r="B4" s="360" t="str">
        <f>Summary!B4</f>
        <v>Criterion Operating, LLC</v>
      </c>
      <c r="C4" s="361"/>
      <c r="D4" s="361"/>
      <c r="E4" s="364" t="str">
        <f>Summary!E4</f>
        <v>Water Oak Z031D Drill, Complete &amp; Equip</v>
      </c>
      <c r="F4" s="365"/>
      <c r="G4" s="365"/>
      <c r="H4" s="365"/>
      <c r="I4" s="365"/>
      <c r="J4" s="365"/>
      <c r="K4" s="366"/>
    </row>
    <row r="5" spans="1:19">
      <c r="A5" s="122"/>
      <c r="B5" s="358" t="s">
        <v>211</v>
      </c>
      <c r="C5" s="359"/>
      <c r="D5" s="359"/>
      <c r="E5" s="359" t="s">
        <v>3</v>
      </c>
      <c r="F5" s="359"/>
      <c r="G5" s="359"/>
      <c r="H5" s="359"/>
      <c r="I5" s="125" t="s">
        <v>212</v>
      </c>
      <c r="J5" s="125" t="s">
        <v>5</v>
      </c>
      <c r="K5" s="205" t="s">
        <v>1</v>
      </c>
    </row>
    <row r="6" spans="1:19" ht="15" thickBot="1">
      <c r="B6" s="360" t="str">
        <f>Summary!B6</f>
        <v>Water Oak Z031D</v>
      </c>
      <c r="C6" s="361"/>
      <c r="D6" s="361"/>
      <c r="E6" s="361" t="s">
        <v>216</v>
      </c>
      <c r="F6" s="361"/>
      <c r="G6" s="361"/>
      <c r="H6" s="361"/>
      <c r="I6" s="124" t="s">
        <v>213</v>
      </c>
      <c r="J6" s="124" t="s">
        <v>217</v>
      </c>
      <c r="K6" s="206"/>
    </row>
    <row r="7" spans="1:19">
      <c r="B7" s="354" t="s">
        <v>14</v>
      </c>
      <c r="C7" s="355"/>
      <c r="D7" s="355"/>
      <c r="E7" s="355" t="s">
        <v>214</v>
      </c>
      <c r="F7" s="355"/>
      <c r="G7" s="355"/>
      <c r="H7" s="355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19" ht="15" thickBot="1">
      <c r="B8" s="356" t="s">
        <v>220</v>
      </c>
      <c r="C8" s="357"/>
      <c r="D8" s="357"/>
      <c r="E8" s="372" t="s">
        <v>298</v>
      </c>
      <c r="F8" s="372"/>
      <c r="G8" s="372"/>
      <c r="H8" s="372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19">
      <c r="B9" s="346" t="s">
        <v>23</v>
      </c>
      <c r="C9" s="339"/>
      <c r="D9" s="339"/>
      <c r="E9" s="339" t="s">
        <v>24</v>
      </c>
      <c r="F9" s="339"/>
      <c r="G9" s="339" t="s">
        <v>25</v>
      </c>
      <c r="H9" s="339"/>
      <c r="I9" s="339" t="s">
        <v>252</v>
      </c>
      <c r="J9" s="339"/>
      <c r="K9" s="340"/>
      <c r="P9" s="118"/>
      <c r="Q9" s="20"/>
      <c r="R9" s="20"/>
    </row>
    <row r="10" spans="1:19" ht="24" thickBot="1">
      <c r="B10" s="341"/>
      <c r="C10" s="342"/>
      <c r="D10" s="342"/>
      <c r="E10" s="343">
        <v>44953</v>
      </c>
      <c r="F10" s="343"/>
      <c r="G10" s="342"/>
      <c r="H10" s="342"/>
      <c r="I10" s="381">
        <f>I15+I22+I25+I30+I36+I40+I48+I57+I62+I70+I75+I88</f>
        <v>2285230</v>
      </c>
      <c r="J10" s="381"/>
      <c r="K10" s="382"/>
      <c r="P10" s="118"/>
      <c r="Q10" s="20"/>
      <c r="R10" s="20"/>
    </row>
    <row r="11" spans="1:19">
      <c r="B11" s="346" t="s">
        <v>26</v>
      </c>
      <c r="C11" s="339"/>
      <c r="D11" s="339"/>
      <c r="E11" s="347" t="s">
        <v>221</v>
      </c>
      <c r="F11" s="347"/>
      <c r="G11" s="339" t="s">
        <v>253</v>
      </c>
      <c r="H11" s="339"/>
      <c r="I11" s="339" t="s">
        <v>256</v>
      </c>
      <c r="J11" s="339"/>
      <c r="K11" s="340"/>
      <c r="P11" s="118"/>
      <c r="Q11" s="20"/>
      <c r="R11" s="20"/>
    </row>
    <row r="12" spans="1:19" ht="18.600000000000001" thickBot="1">
      <c r="B12" s="341"/>
      <c r="C12" s="342"/>
      <c r="D12" s="342"/>
      <c r="E12" s="348"/>
      <c r="F12" s="348"/>
      <c r="G12" s="349">
        <f>K15+K22+K25+K30+K36+K40+K48+K57+K62+K70+K75+K88</f>
        <v>0</v>
      </c>
      <c r="H12" s="349"/>
      <c r="I12" s="349">
        <f>G12+I10</f>
        <v>2285230</v>
      </c>
      <c r="J12" s="349"/>
      <c r="K12" s="350"/>
      <c r="P12" s="118"/>
      <c r="Q12" s="20"/>
      <c r="R12" s="20"/>
    </row>
    <row r="13" spans="1:19" s="112" customFormat="1" ht="18.600000000000001" thickBot="1">
      <c r="B13" s="378" t="s">
        <v>200</v>
      </c>
      <c r="C13" s="379"/>
      <c r="D13" s="379"/>
      <c r="E13" s="379"/>
      <c r="F13" s="379"/>
      <c r="G13" s="379"/>
      <c r="H13" s="379"/>
      <c r="I13" s="379"/>
      <c r="J13" s="379"/>
      <c r="K13" s="380"/>
      <c r="M13" s="113"/>
      <c r="N13" s="114"/>
      <c r="O13" s="114"/>
      <c r="P13" s="114"/>
      <c r="Q13" s="114"/>
      <c r="R13" s="114"/>
      <c r="S13" s="115"/>
    </row>
    <row r="14" spans="1:19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02" t="s">
        <v>158</v>
      </c>
      <c r="G14" s="201" t="s">
        <v>157</v>
      </c>
      <c r="H14" s="201" t="s">
        <v>159</v>
      </c>
      <c r="I14" s="201" t="s">
        <v>160</v>
      </c>
      <c r="J14" s="203" t="s">
        <v>35</v>
      </c>
      <c r="K14" s="204" t="s">
        <v>196</v>
      </c>
      <c r="M14" s="375" t="s">
        <v>38</v>
      </c>
      <c r="N14" s="376"/>
      <c r="O14" s="376"/>
      <c r="P14" s="376"/>
      <c r="Q14" s="376"/>
      <c r="R14" s="376"/>
      <c r="S14" s="377"/>
    </row>
    <row r="15" spans="1:19" ht="18.600000000000001" thickBot="1">
      <c r="B15" s="89">
        <v>2</v>
      </c>
      <c r="C15" s="90">
        <v>10</v>
      </c>
      <c r="D15" s="91" t="s">
        <v>151</v>
      </c>
      <c r="E15" s="92"/>
      <c r="F15" s="108"/>
      <c r="G15" s="93"/>
      <c r="H15" s="93"/>
      <c r="I15" s="94">
        <f>SUM(I16:I21)</f>
        <v>420000</v>
      </c>
      <c r="J15" s="93"/>
      <c r="K15" s="178">
        <f>SUM(K16:K21)</f>
        <v>0</v>
      </c>
      <c r="M15" s="82"/>
      <c r="N15" s="83"/>
      <c r="O15" s="83"/>
      <c r="P15" s="83"/>
      <c r="Q15" s="83"/>
      <c r="R15" s="83"/>
      <c r="S15" s="84"/>
    </row>
    <row r="16" spans="1:19" ht="15" thickBot="1">
      <c r="B16" s="128">
        <v>2</v>
      </c>
      <c r="C16" s="129">
        <v>11</v>
      </c>
      <c r="D16" s="130" t="s">
        <v>146</v>
      </c>
      <c r="E16" s="131"/>
      <c r="F16" s="132"/>
      <c r="G16" s="133">
        <v>80000</v>
      </c>
      <c r="H16" s="129"/>
      <c r="I16" s="133">
        <f t="shared" ref="I16:I21" si="0">IF(AND(G16&lt;&gt;0,H16=""),G16,IF(AND(G16&lt;&gt;0,H16&gt;0),G16*H16,""))</f>
        <v>80000</v>
      </c>
      <c r="J16" s="134"/>
      <c r="K16" s="179"/>
      <c r="M16" s="374"/>
      <c r="N16" s="310"/>
      <c r="O16" s="310"/>
      <c r="P16" s="310"/>
      <c r="Q16" s="310"/>
      <c r="R16" s="310"/>
      <c r="S16" s="311"/>
    </row>
    <row r="17" spans="2:19" ht="15" thickBot="1">
      <c r="B17" s="135">
        <v>2</v>
      </c>
      <c r="C17" s="136">
        <v>12</v>
      </c>
      <c r="D17" s="137" t="s">
        <v>147</v>
      </c>
      <c r="E17" s="138"/>
      <c r="F17" s="139"/>
      <c r="G17" s="140">
        <v>10000</v>
      </c>
      <c r="H17" s="136"/>
      <c r="I17" s="140">
        <f t="shared" si="0"/>
        <v>10000</v>
      </c>
      <c r="J17" s="141"/>
      <c r="K17" s="180"/>
      <c r="M17" s="374"/>
      <c r="N17" s="310"/>
      <c r="O17" s="310"/>
      <c r="P17" s="310"/>
      <c r="Q17" s="310"/>
      <c r="R17" s="310"/>
      <c r="S17" s="311"/>
    </row>
    <row r="18" spans="2:19" ht="15" thickBot="1">
      <c r="B18" s="135">
        <v>2</v>
      </c>
      <c r="C18" s="136">
        <v>14</v>
      </c>
      <c r="D18" s="137" t="s">
        <v>148</v>
      </c>
      <c r="E18" s="138"/>
      <c r="F18" s="139"/>
      <c r="G18" s="140">
        <v>300000</v>
      </c>
      <c r="H18" s="136"/>
      <c r="I18" s="140">
        <f t="shared" si="0"/>
        <v>300000</v>
      </c>
      <c r="J18" s="141"/>
      <c r="K18" s="180"/>
      <c r="M18" s="374"/>
      <c r="N18" s="310"/>
      <c r="O18" s="310"/>
      <c r="P18" s="310"/>
      <c r="Q18" s="310"/>
      <c r="R18" s="310"/>
      <c r="S18" s="311"/>
    </row>
    <row r="19" spans="2:19" ht="15" thickBot="1">
      <c r="B19" s="135">
        <v>2</v>
      </c>
      <c r="C19" s="136">
        <v>15</v>
      </c>
      <c r="D19" s="137" t="s">
        <v>39</v>
      </c>
      <c r="E19" s="138"/>
      <c r="F19" s="139"/>
      <c r="G19" s="140">
        <v>30000</v>
      </c>
      <c r="H19" s="136"/>
      <c r="I19" s="140">
        <f t="shared" si="0"/>
        <v>30000</v>
      </c>
      <c r="J19" s="141"/>
      <c r="K19" s="180"/>
      <c r="M19" s="374"/>
      <c r="N19" s="310"/>
      <c r="O19" s="310"/>
      <c r="P19" s="310"/>
      <c r="Q19" s="310"/>
      <c r="R19" s="310"/>
      <c r="S19" s="311"/>
    </row>
    <row r="20" spans="2:19" ht="15" thickBot="1">
      <c r="B20" s="135">
        <v>2</v>
      </c>
      <c r="C20" s="136">
        <v>16</v>
      </c>
      <c r="D20" s="137" t="s">
        <v>149</v>
      </c>
      <c r="E20" s="138"/>
      <c r="F20" s="139"/>
      <c r="G20" s="142"/>
      <c r="H20" s="136"/>
      <c r="I20" s="140" t="str">
        <f t="shared" si="0"/>
        <v/>
      </c>
      <c r="J20" s="141"/>
      <c r="K20" s="180"/>
      <c r="M20" s="374"/>
      <c r="N20" s="310"/>
      <c r="O20" s="310"/>
      <c r="P20" s="310"/>
      <c r="Q20" s="310"/>
      <c r="R20" s="310"/>
      <c r="S20" s="311"/>
    </row>
    <row r="21" spans="2:19" ht="15" thickBot="1">
      <c r="B21" s="143">
        <v>2</v>
      </c>
      <c r="C21" s="144">
        <v>17</v>
      </c>
      <c r="D21" s="145" t="s">
        <v>150</v>
      </c>
      <c r="E21" s="146"/>
      <c r="F21" s="147"/>
      <c r="G21" s="147"/>
      <c r="H21" s="144"/>
      <c r="I21" s="148" t="str">
        <f t="shared" si="0"/>
        <v/>
      </c>
      <c r="J21" s="149"/>
      <c r="K21" s="181"/>
      <c r="M21" s="374"/>
      <c r="N21" s="310"/>
      <c r="O21" s="310"/>
      <c r="P21" s="310"/>
      <c r="Q21" s="310"/>
      <c r="R21" s="310"/>
      <c r="S21" s="311"/>
    </row>
    <row r="22" spans="2:19" s="95" customFormat="1" ht="18.600000000000001" thickBot="1">
      <c r="B22" s="96">
        <v>2</v>
      </c>
      <c r="C22" s="97">
        <v>20</v>
      </c>
      <c r="D22" s="98" t="s">
        <v>154</v>
      </c>
      <c r="E22" s="99"/>
      <c r="F22" s="117"/>
      <c r="G22" s="109"/>
      <c r="H22" s="97"/>
      <c r="I22" s="100">
        <f>SUM(I23:I24)</f>
        <v>596000</v>
      </c>
      <c r="J22" s="99"/>
      <c r="K22" s="178">
        <f>SUM(K23:K24)</f>
        <v>0</v>
      </c>
      <c r="M22" s="101"/>
      <c r="N22" s="102"/>
      <c r="O22" s="102"/>
      <c r="P22" s="102"/>
      <c r="Q22" s="102"/>
      <c r="R22" s="102"/>
      <c r="S22" s="103"/>
    </row>
    <row r="23" spans="2:19" ht="15" thickBot="1">
      <c r="B23" s="150">
        <v>2</v>
      </c>
      <c r="C23" s="151">
        <v>21</v>
      </c>
      <c r="D23" s="152" t="s">
        <v>40</v>
      </c>
      <c r="E23" s="153"/>
      <c r="F23" s="154"/>
      <c r="G23" s="154">
        <v>200000</v>
      </c>
      <c r="H23" s="151"/>
      <c r="I23" s="155">
        <f>IF(AND(G23&lt;&gt;0,H23=""),G23,IF(AND(G23&lt;&gt;0,H23&gt;0),G23*H23,""))</f>
        <v>200000</v>
      </c>
      <c r="J23" s="153"/>
      <c r="K23" s="182"/>
      <c r="M23" s="374"/>
      <c r="N23" s="310"/>
      <c r="O23" s="310"/>
      <c r="P23" s="310"/>
      <c r="Q23" s="310"/>
      <c r="R23" s="310"/>
      <c r="S23" s="311"/>
    </row>
    <row r="24" spans="2:19" ht="15" thickBot="1">
      <c r="B24" s="143">
        <v>2</v>
      </c>
      <c r="C24" s="144">
        <f>IF(E24="Daywork",22,IF(E24="Turnkey",23,IF(E24="Footage",24,22)))</f>
        <v>22</v>
      </c>
      <c r="D24" s="145" t="s">
        <v>41</v>
      </c>
      <c r="E24" s="144" t="s">
        <v>155</v>
      </c>
      <c r="F24" s="144" t="str">
        <f>IF(E24="Daywork","$/day",IF(E24="Footage","$/foot","Contract"))</f>
        <v>$/day</v>
      </c>
      <c r="G24" s="147">
        <v>33000</v>
      </c>
      <c r="H24" s="144">
        <v>12</v>
      </c>
      <c r="I24" s="148">
        <f>IF(AND(G24&lt;&gt;0,H24=""),G24,IF(AND(G24&lt;&gt;0,H24&gt;0),G24*H24,""))</f>
        <v>396000</v>
      </c>
      <c r="J24" s="149"/>
      <c r="K24" s="181"/>
      <c r="M24" s="373" t="s">
        <v>42</v>
      </c>
      <c r="N24" s="310"/>
      <c r="O24" s="310"/>
      <c r="P24" s="310"/>
      <c r="Q24" s="310"/>
      <c r="R24" s="310"/>
      <c r="S24" s="311"/>
    </row>
    <row r="25" spans="2:19" s="95" customFormat="1" ht="18.600000000000001" thickBot="1">
      <c r="B25" s="96">
        <v>2</v>
      </c>
      <c r="C25" s="97">
        <v>30</v>
      </c>
      <c r="D25" s="99" t="s">
        <v>162</v>
      </c>
      <c r="E25" s="99"/>
      <c r="F25" s="117"/>
      <c r="G25" s="109"/>
      <c r="H25" s="97"/>
      <c r="I25" s="100">
        <f>SUM(I26:I29)</f>
        <v>227500</v>
      </c>
      <c r="J25" s="99"/>
      <c r="K25" s="178">
        <f>SUM(K26:K29)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v>2</v>
      </c>
      <c r="C26" s="151">
        <v>31</v>
      </c>
      <c r="D26" s="152" t="s">
        <v>163</v>
      </c>
      <c r="E26" s="153"/>
      <c r="F26" s="153"/>
      <c r="G26" s="154">
        <v>35000</v>
      </c>
      <c r="H26" s="151"/>
      <c r="I26" s="155">
        <f>IF(AND(G26&lt;&gt;0,H26=""),G26,IF(AND(G26&lt;&gt;0,H26&gt;0),G26*H26,""))</f>
        <v>35000</v>
      </c>
      <c r="J26" s="153"/>
      <c r="K26" s="182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v>2</v>
      </c>
      <c r="C27" s="136">
        <v>32</v>
      </c>
      <c r="D27" s="137" t="s">
        <v>197</v>
      </c>
      <c r="E27" s="141"/>
      <c r="F27" s="141"/>
      <c r="G27" s="142">
        <v>105000</v>
      </c>
      <c r="H27" s="136"/>
      <c r="I27" s="140">
        <f>IF(AND(G27&lt;&gt;0,H27=""),G27,IF(AND(G27&lt;&gt;0,H27&gt;0),G27*H27,""))</f>
        <v>105000</v>
      </c>
      <c r="J27" s="141"/>
      <c r="K27" s="180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v>2</v>
      </c>
      <c r="C28" s="136">
        <v>33</v>
      </c>
      <c r="D28" s="137" t="s">
        <v>198</v>
      </c>
      <c r="E28" s="141"/>
      <c r="F28" s="141"/>
      <c r="G28" s="142">
        <f>45000+25000</f>
        <v>70000</v>
      </c>
      <c r="H28" s="136"/>
      <c r="I28" s="140">
        <f>IF(AND(G28&lt;&gt;0,H28=""),G28,IF(AND(G28&lt;&gt;0,H28&gt;0),G28*H28,""))</f>
        <v>70000</v>
      </c>
      <c r="J28" s="141"/>
      <c r="K28" s="180"/>
      <c r="M28" s="85"/>
      <c r="N28" s="86"/>
      <c r="O28" s="86"/>
      <c r="P28" s="86"/>
      <c r="Q28" s="86"/>
      <c r="R28" s="86"/>
      <c r="S28" s="87"/>
    </row>
    <row r="29" spans="2:19" ht="15" thickBot="1">
      <c r="B29" s="143">
        <v>2</v>
      </c>
      <c r="C29" s="144">
        <v>34</v>
      </c>
      <c r="D29" s="145" t="s">
        <v>199</v>
      </c>
      <c r="E29" s="149"/>
      <c r="F29" s="149"/>
      <c r="G29" s="147">
        <v>17500</v>
      </c>
      <c r="H29" s="144"/>
      <c r="I29" s="148">
        <f>IF(AND(G29&lt;&gt;0,H29=""),G29,IF(AND(G29&lt;&gt;0,H29&gt;0),G29*H29,""))</f>
        <v>17500</v>
      </c>
      <c r="J29" s="149"/>
      <c r="K29" s="181"/>
      <c r="M29" s="85"/>
      <c r="N29" s="86"/>
      <c r="O29" s="86"/>
      <c r="P29" s="86"/>
      <c r="Q29" s="86"/>
      <c r="R29" s="86"/>
      <c r="S29" s="87"/>
    </row>
    <row r="30" spans="2:19" s="95" customFormat="1" ht="18.600000000000001" thickBot="1">
      <c r="B30" s="96">
        <v>2</v>
      </c>
      <c r="C30" s="97">
        <v>40</v>
      </c>
      <c r="D30" s="99" t="s">
        <v>164</v>
      </c>
      <c r="E30" s="99"/>
      <c r="F30" s="117"/>
      <c r="G30" s="109"/>
      <c r="H30" s="97"/>
      <c r="I30" s="100">
        <f>SUM(I31:I35)</f>
        <v>175500</v>
      </c>
      <c r="J30" s="99"/>
      <c r="K30" s="178">
        <f>SUM(K31:K35)</f>
        <v>0</v>
      </c>
      <c r="M30" s="101"/>
      <c r="N30" s="102"/>
      <c r="O30" s="102"/>
      <c r="P30" s="102"/>
      <c r="Q30" s="102"/>
      <c r="R30" s="102"/>
      <c r="S30" s="103"/>
    </row>
    <row r="31" spans="2:19" ht="15" thickBot="1">
      <c r="B31" s="150">
        <v>2</v>
      </c>
      <c r="C31" s="151">
        <v>41</v>
      </c>
      <c r="D31" s="152" t="s">
        <v>165</v>
      </c>
      <c r="E31" s="153"/>
      <c r="F31" s="153"/>
      <c r="G31" s="154">
        <f>82500+13000</f>
        <v>95500</v>
      </c>
      <c r="H31" s="151"/>
      <c r="I31" s="155">
        <f>IF(AND(G31&lt;&gt;0,H31=""),G31,IF(AND(G31&lt;&gt;0,H31&gt;0),G31*H31,""))</f>
        <v>95500</v>
      </c>
      <c r="J31" s="153"/>
      <c r="K31" s="182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v>2</v>
      </c>
      <c r="C32" s="136">
        <v>42</v>
      </c>
      <c r="D32" s="137" t="s">
        <v>166</v>
      </c>
      <c r="E32" s="141"/>
      <c r="F32" s="141"/>
      <c r="G32" s="142">
        <v>50000</v>
      </c>
      <c r="H32" s="136"/>
      <c r="I32" s="140">
        <f>IF(AND(G32&lt;&gt;0,H32=""),G32,IF(AND(G32&lt;&gt;0,H32&gt;0),G32*H32,""))</f>
        <v>50000</v>
      </c>
      <c r="J32" s="141"/>
      <c r="K32" s="180"/>
      <c r="M32" s="85"/>
      <c r="N32" s="86"/>
      <c r="O32" s="86"/>
      <c r="P32" s="86"/>
      <c r="Q32" s="86"/>
      <c r="R32" s="86"/>
      <c r="S32" s="87"/>
    </row>
    <row r="33" spans="2:19" ht="15" thickBot="1">
      <c r="B33" s="135">
        <v>2</v>
      </c>
      <c r="C33" s="136">
        <v>43</v>
      </c>
      <c r="D33" s="137" t="s">
        <v>167</v>
      </c>
      <c r="E33" s="141"/>
      <c r="F33" s="141"/>
      <c r="G33" s="142"/>
      <c r="H33" s="136"/>
      <c r="I33" s="140" t="str">
        <f>IF(AND(G33&lt;&gt;0,H33=""),G33,IF(AND(G33&lt;&gt;0,H33&gt;0),G33*H33,""))</f>
        <v/>
      </c>
      <c r="J33" s="141"/>
      <c r="K33" s="180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v>2</v>
      </c>
      <c r="C34" s="136">
        <v>44</v>
      </c>
      <c r="D34" s="137" t="s">
        <v>168</v>
      </c>
      <c r="E34" s="141"/>
      <c r="F34" s="141"/>
      <c r="G34" s="142">
        <v>15000</v>
      </c>
      <c r="H34" s="136"/>
      <c r="I34" s="140">
        <f>IF(AND(G34&lt;&gt;0,H34=""),G34,IF(AND(G34&lt;&gt;0,H34&gt;0),G34*H34,""))</f>
        <v>15000</v>
      </c>
      <c r="J34" s="141"/>
      <c r="K34" s="180"/>
      <c r="M34" s="85"/>
      <c r="N34" s="86"/>
      <c r="O34" s="86"/>
      <c r="P34" s="86"/>
      <c r="Q34" s="86"/>
      <c r="R34" s="86"/>
      <c r="S34" s="87"/>
    </row>
    <row r="35" spans="2:19" ht="15" thickBot="1">
      <c r="B35" s="143">
        <v>2</v>
      </c>
      <c r="C35" s="144">
        <v>45</v>
      </c>
      <c r="D35" s="145" t="s">
        <v>169</v>
      </c>
      <c r="E35" s="149"/>
      <c r="F35" s="149"/>
      <c r="G35" s="147">
        <v>15000</v>
      </c>
      <c r="H35" s="144"/>
      <c r="I35" s="148">
        <f>IF(AND(G35&lt;&gt;0,H35=""),G35,IF(AND(G35&lt;&gt;0,H35&gt;0),G35*H35,""))</f>
        <v>15000</v>
      </c>
      <c r="J35" s="149"/>
      <c r="K35" s="181"/>
      <c r="M35" s="85"/>
      <c r="N35" s="86"/>
      <c r="O35" s="86"/>
      <c r="P35" s="86"/>
      <c r="Q35" s="86"/>
      <c r="R35" s="86"/>
      <c r="S35" s="87"/>
    </row>
    <row r="36" spans="2:19" s="95" customFormat="1" ht="18.600000000000001" thickBot="1">
      <c r="B36" s="96">
        <v>2</v>
      </c>
      <c r="C36" s="97">
        <v>50</v>
      </c>
      <c r="D36" s="99" t="s">
        <v>43</v>
      </c>
      <c r="E36" s="99"/>
      <c r="F36" s="117"/>
      <c r="G36" s="109"/>
      <c r="H36" s="97"/>
      <c r="I36" s="100">
        <f>SUM(I37:I39)</f>
        <v>150000</v>
      </c>
      <c r="J36" s="99"/>
      <c r="K36" s="178">
        <f>SUM(K37:K39)</f>
        <v>0</v>
      </c>
      <c r="M36" s="101"/>
      <c r="N36" s="102"/>
      <c r="O36" s="102"/>
      <c r="P36" s="102"/>
      <c r="Q36" s="102"/>
      <c r="R36" s="102"/>
      <c r="S36" s="103"/>
    </row>
    <row r="37" spans="2:19" ht="15" thickBot="1">
      <c r="B37" s="104">
        <v>2</v>
      </c>
      <c r="C37" s="105">
        <v>51</v>
      </c>
      <c r="D37" s="111" t="s">
        <v>170</v>
      </c>
      <c r="E37" s="106"/>
      <c r="F37" s="106"/>
      <c r="G37" s="107">
        <v>150000</v>
      </c>
      <c r="H37" s="105"/>
      <c r="I37" s="88">
        <f>IF(AND(G37&lt;&gt;0,H37=""),G37,IF(AND(G37&lt;&gt;0,H37&gt;0),G37*H37,""))</f>
        <v>150000</v>
      </c>
      <c r="J37" s="106"/>
      <c r="K37" s="183"/>
      <c r="M37" s="85"/>
      <c r="N37" s="86"/>
      <c r="O37" s="86"/>
      <c r="P37" s="86"/>
      <c r="Q37" s="86"/>
      <c r="R37" s="86"/>
      <c r="S37" s="87"/>
    </row>
    <row r="38" spans="2:19" ht="15" thickBot="1">
      <c r="B38" s="156">
        <v>2</v>
      </c>
      <c r="C38" s="157">
        <v>52</v>
      </c>
      <c r="D38" s="158" t="s">
        <v>171</v>
      </c>
      <c r="E38" s="159"/>
      <c r="F38" s="159"/>
      <c r="G38" s="160"/>
      <c r="H38" s="157"/>
      <c r="I38" s="161" t="str">
        <f>IF(AND(G38&lt;&gt;0,H38=""),G38,IF(AND(G38&lt;&gt;0,H38&gt;0),G38*H38,""))</f>
        <v/>
      </c>
      <c r="J38" s="159"/>
      <c r="K38" s="184"/>
      <c r="M38" s="85"/>
      <c r="N38" s="86"/>
      <c r="O38" s="86"/>
      <c r="P38" s="86"/>
      <c r="Q38" s="86"/>
      <c r="R38" s="86"/>
      <c r="S38" s="87"/>
    </row>
    <row r="39" spans="2:19" ht="15" thickBot="1">
      <c r="B39" s="143">
        <v>2</v>
      </c>
      <c r="C39" s="144">
        <v>53</v>
      </c>
      <c r="D39" s="145" t="s">
        <v>56</v>
      </c>
      <c r="E39" s="149"/>
      <c r="F39" s="149"/>
      <c r="G39" s="147"/>
      <c r="H39" s="144"/>
      <c r="I39" s="148" t="str">
        <f>IF(AND(G39&lt;&gt;0,H39=""),G39,IF(AND(G39&lt;&gt;0,H39&gt;0),G39*H39,""))</f>
        <v/>
      </c>
      <c r="J39" s="149"/>
      <c r="K39" s="181"/>
      <c r="M39" s="85"/>
      <c r="N39" s="86"/>
      <c r="O39" s="86"/>
      <c r="P39" s="86"/>
      <c r="Q39" s="86"/>
      <c r="R39" s="86"/>
      <c r="S39" s="87"/>
    </row>
    <row r="40" spans="2:19" ht="18.600000000000001" thickBot="1">
      <c r="B40" s="96">
        <v>2</v>
      </c>
      <c r="C40" s="97">
        <v>60</v>
      </c>
      <c r="D40" s="99" t="s">
        <v>172</v>
      </c>
      <c r="E40" s="99"/>
      <c r="F40" s="16"/>
      <c r="G40" s="109"/>
      <c r="H40" s="97"/>
      <c r="I40" s="100">
        <f>SUM(I41:I47)</f>
        <v>97378</v>
      </c>
      <c r="J40" s="99"/>
      <c r="K40" s="178">
        <f>SUM(K41:K47)</f>
        <v>0</v>
      </c>
      <c r="M40" s="85"/>
      <c r="N40" s="86"/>
      <c r="O40" s="86"/>
      <c r="P40" s="86"/>
      <c r="Q40" s="86"/>
      <c r="R40" s="86"/>
      <c r="S40" s="87"/>
    </row>
    <row r="41" spans="2:19" ht="15" thickBot="1">
      <c r="B41" s="150">
        <v>2</v>
      </c>
      <c r="C41" s="151">
        <v>61</v>
      </c>
      <c r="D41" s="152" t="s">
        <v>44</v>
      </c>
      <c r="E41" s="153"/>
      <c r="F41" s="153"/>
      <c r="G41" s="154">
        <v>15000</v>
      </c>
      <c r="H41" s="151"/>
      <c r="I41" s="155">
        <f t="shared" ref="I41:I47" si="1">IF(AND(G41&lt;&gt;0,H41=""),G41,IF(AND(G41&lt;&gt;0,H41&gt;0),G41*H41,""))</f>
        <v>15000</v>
      </c>
      <c r="J41" s="153"/>
      <c r="K41" s="182"/>
      <c r="M41" s="85"/>
      <c r="N41" s="86"/>
      <c r="O41" s="86"/>
      <c r="P41" s="86"/>
      <c r="Q41" s="86"/>
      <c r="R41" s="86"/>
      <c r="S41" s="87"/>
    </row>
    <row r="42" spans="2:19" ht="15" thickBot="1">
      <c r="B42" s="135">
        <v>2</v>
      </c>
      <c r="C42" s="136">
        <v>62</v>
      </c>
      <c r="D42" s="137" t="s">
        <v>173</v>
      </c>
      <c r="E42" s="141"/>
      <c r="F42" s="141"/>
      <c r="G42" s="142"/>
      <c r="H42" s="136"/>
      <c r="I42" s="140" t="str">
        <f t="shared" si="1"/>
        <v/>
      </c>
      <c r="J42" s="141"/>
      <c r="K42" s="180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v>2</v>
      </c>
      <c r="C43" s="136">
        <v>63</v>
      </c>
      <c r="D43" s="137" t="s">
        <v>174</v>
      </c>
      <c r="E43" s="141"/>
      <c r="F43" s="141"/>
      <c r="G43" s="142">
        <v>62378</v>
      </c>
      <c r="H43" s="136"/>
      <c r="I43" s="140">
        <f t="shared" si="1"/>
        <v>62378</v>
      </c>
      <c r="J43" s="141"/>
      <c r="K43" s="180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v>2</v>
      </c>
      <c r="C44" s="136">
        <v>64</v>
      </c>
      <c r="D44" s="137" t="s">
        <v>175</v>
      </c>
      <c r="E44" s="141"/>
      <c r="F44" s="141"/>
      <c r="G44" s="142"/>
      <c r="H44" s="136"/>
      <c r="I44" s="140" t="str">
        <f t="shared" si="1"/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v>2</v>
      </c>
      <c r="C45" s="136">
        <v>65</v>
      </c>
      <c r="D45" s="137" t="s">
        <v>176</v>
      </c>
      <c r="E45" s="141"/>
      <c r="F45" s="162"/>
      <c r="G45" s="142"/>
      <c r="H45" s="136"/>
      <c r="I45" s="140" t="str">
        <f t="shared" si="1"/>
        <v/>
      </c>
      <c r="J45" s="141"/>
      <c r="K45" s="180"/>
      <c r="M45" s="85"/>
      <c r="N45" s="86"/>
      <c r="O45" s="86"/>
      <c r="P45" s="86"/>
      <c r="Q45" s="86"/>
      <c r="R45" s="86"/>
      <c r="S45" s="87"/>
    </row>
    <row r="46" spans="2:19" ht="15" thickBot="1">
      <c r="B46" s="189">
        <v>2</v>
      </c>
      <c r="C46" s="190">
        <v>66</v>
      </c>
      <c r="D46" s="191" t="s">
        <v>177</v>
      </c>
      <c r="E46" s="192"/>
      <c r="F46" s="209"/>
      <c r="G46" s="193"/>
      <c r="H46" s="190"/>
      <c r="I46" s="194" t="str">
        <f t="shared" ref="I46" si="2">IF(AND(G46&lt;&gt;0,H46=""),G46,IF(AND(G46&lt;&gt;0,H46&gt;0),G46*H46,""))</f>
        <v/>
      </c>
      <c r="J46" s="192"/>
      <c r="K46" s="195"/>
      <c r="M46" s="85"/>
      <c r="N46" s="86"/>
      <c r="O46" s="86"/>
      <c r="P46" s="86"/>
      <c r="Q46" s="86"/>
      <c r="R46" s="86"/>
      <c r="S46" s="87"/>
    </row>
    <row r="47" spans="2:19" ht="15" thickBot="1">
      <c r="B47" s="143">
        <v>2</v>
      </c>
      <c r="C47" s="144">
        <v>67</v>
      </c>
      <c r="D47" s="145" t="s">
        <v>224</v>
      </c>
      <c r="E47" s="149"/>
      <c r="F47" s="163"/>
      <c r="G47" s="147">
        <v>20000</v>
      </c>
      <c r="H47" s="144"/>
      <c r="I47" s="148">
        <f t="shared" si="1"/>
        <v>20000</v>
      </c>
      <c r="J47" s="149"/>
      <c r="K47" s="181"/>
      <c r="M47" s="85"/>
      <c r="N47" s="86"/>
      <c r="O47" s="86"/>
      <c r="P47" s="86"/>
      <c r="Q47" s="86"/>
      <c r="R47" s="86"/>
      <c r="S47" s="87"/>
    </row>
    <row r="48" spans="2:19" ht="18.600000000000001" thickBot="1">
      <c r="B48" s="96">
        <v>2</v>
      </c>
      <c r="C48" s="97">
        <v>70</v>
      </c>
      <c r="D48" s="99" t="s">
        <v>178</v>
      </c>
      <c r="E48" s="99"/>
      <c r="F48" s="16"/>
      <c r="G48" s="109"/>
      <c r="H48" s="97"/>
      <c r="I48" s="100">
        <f>SUM(I49:I56)</f>
        <v>101000</v>
      </c>
      <c r="J48" s="99"/>
      <c r="K48" s="178">
        <f>SUM(K49:K56)</f>
        <v>0</v>
      </c>
      <c r="M48" s="85"/>
      <c r="N48" s="86"/>
      <c r="O48" s="86"/>
      <c r="P48" s="86"/>
      <c r="Q48" s="86"/>
      <c r="R48" s="86"/>
      <c r="S48" s="87"/>
    </row>
    <row r="49" spans="2:19" ht="15" thickBot="1">
      <c r="B49" s="150">
        <v>2</v>
      </c>
      <c r="C49" s="151">
        <v>71</v>
      </c>
      <c r="D49" s="152" t="s">
        <v>180</v>
      </c>
      <c r="E49" s="153"/>
      <c r="F49" s="164"/>
      <c r="G49" s="154"/>
      <c r="H49" s="151"/>
      <c r="I49" s="155" t="str">
        <f t="shared" ref="I49:I56" si="3">IF(AND(G49&lt;&gt;0,H49=""),G49,IF(AND(G49&lt;&gt;0,H49&gt;0),G49*H49,""))</f>
        <v/>
      </c>
      <c r="J49" s="153"/>
      <c r="K49" s="182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v>2</v>
      </c>
      <c r="C50" s="136">
        <v>72</v>
      </c>
      <c r="D50" s="137" t="s">
        <v>181</v>
      </c>
      <c r="E50" s="141"/>
      <c r="F50" s="162"/>
      <c r="G50" s="142">
        <v>8000</v>
      </c>
      <c r="H50" s="136"/>
      <c r="I50" s="140">
        <f t="shared" si="3"/>
        <v>8000</v>
      </c>
      <c r="J50" s="141"/>
      <c r="K50" s="180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v>2</v>
      </c>
      <c r="C51" s="136">
        <v>73</v>
      </c>
      <c r="D51" s="137" t="s">
        <v>179</v>
      </c>
      <c r="E51" s="141"/>
      <c r="F51" s="162"/>
      <c r="G51" s="142"/>
      <c r="H51" s="136"/>
      <c r="I51" s="140" t="str">
        <f t="shared" si="3"/>
        <v/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v>2</v>
      </c>
      <c r="C52" s="136">
        <v>74</v>
      </c>
      <c r="D52" s="137" t="s">
        <v>182</v>
      </c>
      <c r="E52" s="141"/>
      <c r="F52" s="162"/>
      <c r="G52" s="142">
        <v>25000</v>
      </c>
      <c r="H52" s="136"/>
      <c r="I52" s="140">
        <f t="shared" si="3"/>
        <v>25000</v>
      </c>
      <c r="J52" s="141"/>
      <c r="K52" s="180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v>2</v>
      </c>
      <c r="C53" s="136">
        <v>75</v>
      </c>
      <c r="D53" s="137" t="s">
        <v>183</v>
      </c>
      <c r="E53" s="141"/>
      <c r="F53" s="162"/>
      <c r="G53" s="142">
        <v>28000</v>
      </c>
      <c r="H53" s="136"/>
      <c r="I53" s="140">
        <f t="shared" si="3"/>
        <v>28000</v>
      </c>
      <c r="J53" s="141"/>
      <c r="K53" s="180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v>2</v>
      </c>
      <c r="C54" s="136">
        <v>76</v>
      </c>
      <c r="D54" s="137" t="s">
        <v>184</v>
      </c>
      <c r="E54" s="141"/>
      <c r="F54" s="162"/>
      <c r="G54" s="142"/>
      <c r="H54" s="136"/>
      <c r="I54" s="140" t="str">
        <f t="shared" si="3"/>
        <v/>
      </c>
      <c r="J54" s="141"/>
      <c r="K54" s="180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v>2</v>
      </c>
      <c r="C55" s="136">
        <v>77</v>
      </c>
      <c r="D55" s="137" t="s">
        <v>185</v>
      </c>
      <c r="E55" s="141"/>
      <c r="F55" s="162"/>
      <c r="G55" s="142"/>
      <c r="H55" s="136"/>
      <c r="I55" s="140" t="str">
        <f t="shared" si="3"/>
        <v/>
      </c>
      <c r="J55" s="141"/>
      <c r="K55" s="180"/>
      <c r="M55" s="85"/>
      <c r="N55" s="86"/>
      <c r="O55" s="86"/>
      <c r="P55" s="86"/>
      <c r="Q55" s="86"/>
      <c r="R55" s="86"/>
      <c r="S55" s="87"/>
    </row>
    <row r="56" spans="2:19" ht="15" thickBot="1">
      <c r="B56" s="143">
        <v>2</v>
      </c>
      <c r="C56" s="144">
        <v>78</v>
      </c>
      <c r="D56" s="145" t="s">
        <v>210</v>
      </c>
      <c r="E56" s="149"/>
      <c r="F56" s="163"/>
      <c r="G56" s="147">
        <v>40000</v>
      </c>
      <c r="H56" s="144"/>
      <c r="I56" s="140">
        <f t="shared" si="3"/>
        <v>40000</v>
      </c>
      <c r="J56" s="149"/>
      <c r="K56" s="181"/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v>2</v>
      </c>
      <c r="C57" s="97">
        <v>80</v>
      </c>
      <c r="D57" s="99" t="s">
        <v>186</v>
      </c>
      <c r="E57" s="99"/>
      <c r="F57" s="16"/>
      <c r="G57" s="109"/>
      <c r="H57" s="97"/>
      <c r="I57" s="100">
        <f>SUM(I58:I61)</f>
        <v>70000</v>
      </c>
      <c r="J57" s="99"/>
      <c r="K57" s="178">
        <f>SUM(K58:K61)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50">
        <v>2</v>
      </c>
      <c r="C58" s="151">
        <v>81</v>
      </c>
      <c r="D58" s="152" t="s">
        <v>187</v>
      </c>
      <c r="E58" s="153"/>
      <c r="F58" s="164"/>
      <c r="G58" s="154">
        <v>70000</v>
      </c>
      <c r="H58" s="151"/>
      <c r="I58" s="155">
        <f>IF(AND(G58&lt;&gt;0,H58=""),G58,IF(AND(G58&lt;&gt;0,H58&gt;0),G58*H58,""))</f>
        <v>70000</v>
      </c>
      <c r="J58" s="153"/>
      <c r="K58" s="182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v>2</v>
      </c>
      <c r="C59" s="136">
        <v>82</v>
      </c>
      <c r="D59" s="137" t="s">
        <v>188</v>
      </c>
      <c r="E59" s="141"/>
      <c r="F59" s="162"/>
      <c r="G59" s="142"/>
      <c r="H59" s="136"/>
      <c r="I59" s="140" t="str">
        <f>IF(AND(G59&lt;&gt;0,H59=""),G59,IF(AND(G59&lt;&gt;0,H59&gt;0),G59*H59,""))</f>
        <v/>
      </c>
      <c r="J59" s="141"/>
      <c r="K59" s="180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v>2</v>
      </c>
      <c r="C60" s="136">
        <v>83</v>
      </c>
      <c r="D60" s="137" t="s">
        <v>189</v>
      </c>
      <c r="E60" s="141"/>
      <c r="F60" s="162"/>
      <c r="G60" s="142"/>
      <c r="H60" s="136"/>
      <c r="I60" s="140" t="str">
        <f>IF(AND(G60&lt;&gt;0,H60=""),G60,IF(AND(G60&lt;&gt;0,H60&gt;0),G60*H60,""))</f>
        <v/>
      </c>
      <c r="J60" s="141"/>
      <c r="K60" s="180"/>
      <c r="M60" s="85"/>
      <c r="N60" s="86"/>
      <c r="O60" s="86"/>
      <c r="P60" s="86"/>
      <c r="Q60" s="86"/>
      <c r="R60" s="86"/>
      <c r="S60" s="87"/>
    </row>
    <row r="61" spans="2:19" ht="15" thickBot="1">
      <c r="B61" s="143">
        <v>2</v>
      </c>
      <c r="C61" s="144">
        <v>84</v>
      </c>
      <c r="D61" s="145" t="s">
        <v>190</v>
      </c>
      <c r="E61" s="149"/>
      <c r="F61" s="163"/>
      <c r="G61" s="147"/>
      <c r="H61" s="144"/>
      <c r="I61" s="148" t="str">
        <f>IF(AND(G61&lt;&gt;0,H61=""),G61,IF(AND(G61&lt;&gt;0,H61&gt;0),G61*H61,""))</f>
        <v/>
      </c>
      <c r="J61" s="149"/>
      <c r="K61" s="181"/>
      <c r="M61" s="85"/>
      <c r="N61" s="86"/>
      <c r="O61" s="86"/>
      <c r="P61" s="86"/>
      <c r="Q61" s="86"/>
      <c r="R61" s="86"/>
      <c r="S61" s="87"/>
    </row>
    <row r="62" spans="2:19" ht="18.600000000000001" thickBot="1">
      <c r="B62" s="96">
        <v>2</v>
      </c>
      <c r="C62" s="97">
        <v>110</v>
      </c>
      <c r="D62" s="99" t="s">
        <v>223</v>
      </c>
      <c r="E62" s="99"/>
      <c r="F62" s="16"/>
      <c r="G62" s="109"/>
      <c r="H62" s="97"/>
      <c r="I62" s="100">
        <f>SUM(I63:I69)</f>
        <v>71000</v>
      </c>
      <c r="J62" s="99"/>
      <c r="K62" s="178">
        <f>SUM(K63:K69)</f>
        <v>0</v>
      </c>
      <c r="M62" s="85"/>
      <c r="N62" s="86"/>
      <c r="O62" s="86"/>
      <c r="P62" s="86"/>
      <c r="Q62" s="86"/>
      <c r="R62" s="86"/>
      <c r="S62" s="87"/>
    </row>
    <row r="63" spans="2:19" ht="15" thickBot="1">
      <c r="B63" s="150">
        <v>2</v>
      </c>
      <c r="C63" s="151">
        <v>111</v>
      </c>
      <c r="D63" s="152" t="s">
        <v>191</v>
      </c>
      <c r="E63" s="153"/>
      <c r="F63" s="164"/>
      <c r="G63" s="154">
        <v>39000</v>
      </c>
      <c r="H63" s="151"/>
      <c r="I63" s="155">
        <f t="shared" ref="I63:I69" si="4">IF(AND(G63&lt;&gt;0,H63=""),G63,IF(AND(G63&lt;&gt;0,H63&gt;0),G63*H63,""))</f>
        <v>39000</v>
      </c>
      <c r="J63" s="153"/>
      <c r="K63" s="182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v>2</v>
      </c>
      <c r="C64" s="136">
        <v>112</v>
      </c>
      <c r="D64" s="137" t="s">
        <v>192</v>
      </c>
      <c r="E64" s="141"/>
      <c r="F64" s="162"/>
      <c r="G64" s="142">
        <v>7500</v>
      </c>
      <c r="H64" s="136"/>
      <c r="I64" s="140">
        <f t="shared" si="4"/>
        <v>7500</v>
      </c>
      <c r="J64" s="141"/>
      <c r="K64" s="180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v>2</v>
      </c>
      <c r="C65" s="136">
        <v>114</v>
      </c>
      <c r="D65" s="137" t="s">
        <v>48</v>
      </c>
      <c r="E65" s="141"/>
      <c r="F65" s="162"/>
      <c r="G65" s="142">
        <v>9500</v>
      </c>
      <c r="H65" s="136"/>
      <c r="I65" s="140">
        <f t="shared" si="4"/>
        <v>9500</v>
      </c>
      <c r="J65" s="141"/>
      <c r="K65" s="180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v>2</v>
      </c>
      <c r="C66" s="136">
        <v>115</v>
      </c>
      <c r="D66" s="137" t="s">
        <v>49</v>
      </c>
      <c r="E66" s="141"/>
      <c r="F66" s="162"/>
      <c r="G66" s="142"/>
      <c r="H66" s="136"/>
      <c r="I66" s="140" t="str">
        <f t="shared" si="4"/>
        <v/>
      </c>
      <c r="J66" s="141"/>
      <c r="K66" s="180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v>2</v>
      </c>
      <c r="C67" s="136">
        <v>116</v>
      </c>
      <c r="D67" s="137" t="s">
        <v>45</v>
      </c>
      <c r="E67" s="141"/>
      <c r="F67" s="162"/>
      <c r="G67" s="142">
        <v>10000</v>
      </c>
      <c r="H67" s="136"/>
      <c r="I67" s="140">
        <f t="shared" si="4"/>
        <v>10000</v>
      </c>
      <c r="J67" s="141"/>
      <c r="K67" s="180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v>2</v>
      </c>
      <c r="C68" s="136">
        <v>117</v>
      </c>
      <c r="D68" s="137" t="s">
        <v>47</v>
      </c>
      <c r="E68" s="141"/>
      <c r="F68" s="162"/>
      <c r="G68" s="142">
        <v>5000</v>
      </c>
      <c r="H68" s="136"/>
      <c r="I68" s="140">
        <f t="shared" si="4"/>
        <v>5000</v>
      </c>
      <c r="J68" s="141"/>
      <c r="K68" s="180"/>
      <c r="M68" s="85"/>
      <c r="N68" s="86"/>
      <c r="O68" s="86"/>
      <c r="P68" s="86"/>
      <c r="Q68" s="86"/>
      <c r="R68" s="86"/>
      <c r="S68" s="87"/>
    </row>
    <row r="69" spans="2:19" ht="15" thickBot="1">
      <c r="B69" s="143">
        <v>2</v>
      </c>
      <c r="C69" s="144">
        <v>118</v>
      </c>
      <c r="D69" s="145" t="s">
        <v>46</v>
      </c>
      <c r="E69" s="149"/>
      <c r="F69" s="163"/>
      <c r="G69" s="147"/>
      <c r="H69" s="144"/>
      <c r="I69" s="148" t="str">
        <f t="shared" si="4"/>
        <v/>
      </c>
      <c r="J69" s="149"/>
      <c r="K69" s="181"/>
      <c r="M69" s="85"/>
      <c r="N69" s="86"/>
      <c r="O69" s="86"/>
      <c r="P69" s="86"/>
      <c r="Q69" s="86"/>
      <c r="R69" s="86"/>
      <c r="S69" s="87"/>
    </row>
    <row r="70" spans="2:19" ht="18.600000000000001" thickBot="1">
      <c r="B70" s="96">
        <v>2</v>
      </c>
      <c r="C70" s="97">
        <v>500</v>
      </c>
      <c r="D70" s="99" t="s">
        <v>193</v>
      </c>
      <c r="E70" s="99"/>
      <c r="F70" s="109"/>
      <c r="G70" s="99"/>
      <c r="H70" s="97"/>
      <c r="I70" s="100">
        <f>SUM(I71:I72)</f>
        <v>0</v>
      </c>
      <c r="J70" s="99"/>
      <c r="K70" s="178">
        <f>SUM(K71:K72)</f>
        <v>0</v>
      </c>
      <c r="M70" s="85"/>
      <c r="N70" s="86"/>
      <c r="O70" s="86"/>
      <c r="P70" s="86"/>
      <c r="Q70" s="86"/>
      <c r="R70" s="86"/>
      <c r="S70" s="87"/>
    </row>
    <row r="71" spans="2:19" ht="15" thickBot="1">
      <c r="B71" s="150">
        <f>$B$70</f>
        <v>2</v>
      </c>
      <c r="C71" s="151">
        <v>510</v>
      </c>
      <c r="D71" s="152" t="s">
        <v>194</v>
      </c>
      <c r="E71" s="153"/>
      <c r="F71" s="154"/>
      <c r="G71" s="153"/>
      <c r="H71" s="151"/>
      <c r="I71" s="155" t="str">
        <f t="shared" ref="I71:I72" si="5">IF(AND(F71&lt;&gt;0,H71=""),F71,IF(AND(F71&lt;&gt;0,H71&gt;0),F71*H71,""))</f>
        <v/>
      </c>
      <c r="J71" s="153"/>
      <c r="K71" s="182"/>
      <c r="M71" s="85"/>
      <c r="N71" s="86"/>
      <c r="O71" s="86"/>
      <c r="P71" s="86"/>
      <c r="Q71" s="86"/>
      <c r="R71" s="86"/>
      <c r="S71" s="87"/>
    </row>
    <row r="72" spans="2:19" ht="15" thickBot="1">
      <c r="B72" s="143">
        <f>$B$70</f>
        <v>2</v>
      </c>
      <c r="C72" s="144">
        <v>520</v>
      </c>
      <c r="D72" s="145" t="s">
        <v>195</v>
      </c>
      <c r="E72" s="149"/>
      <c r="F72" s="147"/>
      <c r="G72" s="149"/>
      <c r="H72" s="144"/>
      <c r="I72" s="148" t="str">
        <f t="shared" si="5"/>
        <v/>
      </c>
      <c r="J72" s="149"/>
      <c r="K72" s="181"/>
      <c r="M72" s="85"/>
      <c r="N72" s="86"/>
      <c r="O72" s="86"/>
      <c r="P72" s="86"/>
      <c r="Q72" s="86"/>
      <c r="R72" s="86"/>
      <c r="S72" s="87"/>
    </row>
    <row r="73" spans="2:19" ht="18.600000000000001" thickBot="1">
      <c r="B73" s="367" t="s">
        <v>201</v>
      </c>
      <c r="C73" s="368"/>
      <c r="D73" s="368"/>
      <c r="E73" s="368"/>
      <c r="F73" s="368"/>
      <c r="G73" s="368"/>
      <c r="H73" s="368"/>
      <c r="I73" s="368"/>
      <c r="J73" s="368"/>
      <c r="K73" s="369"/>
      <c r="M73" s="85"/>
      <c r="N73" s="86"/>
      <c r="O73" s="86"/>
      <c r="P73" s="86"/>
      <c r="Q73" s="86"/>
      <c r="R73" s="86"/>
      <c r="S73" s="87"/>
    </row>
    <row r="74" spans="2:19" ht="15" thickBot="1">
      <c r="B74" s="196" t="s">
        <v>152</v>
      </c>
      <c r="C74" s="197" t="s">
        <v>153</v>
      </c>
      <c r="D74" s="197" t="s">
        <v>209</v>
      </c>
      <c r="E74" s="370" t="s">
        <v>161</v>
      </c>
      <c r="F74" s="371"/>
      <c r="G74" s="197" t="s">
        <v>157</v>
      </c>
      <c r="H74" s="197" t="s">
        <v>159</v>
      </c>
      <c r="I74" s="197" t="s">
        <v>160</v>
      </c>
      <c r="J74" s="198" t="s">
        <v>35</v>
      </c>
      <c r="K74" s="199" t="s">
        <v>196</v>
      </c>
      <c r="M74" s="85"/>
      <c r="N74" s="86"/>
      <c r="O74" s="86"/>
      <c r="P74" s="86"/>
      <c r="Q74" s="86"/>
      <c r="R74" s="86"/>
      <c r="S74" s="87"/>
    </row>
    <row r="75" spans="2:19" ht="18.600000000000001" thickBot="1">
      <c r="B75" s="89">
        <v>2</v>
      </c>
      <c r="C75" s="90">
        <v>1000</v>
      </c>
      <c r="D75" s="91" t="s">
        <v>202</v>
      </c>
      <c r="E75" s="92"/>
      <c r="F75" s="116"/>
      <c r="G75" s="108"/>
      <c r="H75" s="93"/>
      <c r="I75" s="94">
        <f>SUM(I76:I87)</f>
        <v>376852</v>
      </c>
      <c r="J75" s="93"/>
      <c r="K75" s="185">
        <f>SUM(K76:K87)</f>
        <v>0</v>
      </c>
      <c r="M75" s="85"/>
      <c r="N75" s="86"/>
      <c r="O75" s="86"/>
      <c r="P75" s="86"/>
      <c r="Q75" s="86"/>
      <c r="R75" s="86"/>
      <c r="S75" s="87"/>
    </row>
    <row r="76" spans="2:19" ht="15" thickBot="1">
      <c r="B76" s="128">
        <v>2</v>
      </c>
      <c r="C76" s="129">
        <v>1005</v>
      </c>
      <c r="D76" s="130" t="s">
        <v>222</v>
      </c>
      <c r="E76" s="211" t="s">
        <v>301</v>
      </c>
      <c r="F76" s="262"/>
      <c r="G76" s="165">
        <v>160000</v>
      </c>
      <c r="H76" s="166"/>
      <c r="I76" s="133">
        <f t="shared" ref="I76:I87" si="6">IF(AND(G76&lt;&gt;0,H76=""),G76,IF(AND(G76&lt;&gt;0,H76&gt;0),G76*H76,""))</f>
        <v>160000</v>
      </c>
      <c r="J76" s="129"/>
      <c r="K76" s="186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v>2</v>
      </c>
      <c r="C77" s="136">
        <v>1010</v>
      </c>
      <c r="D77" s="137" t="s">
        <v>203</v>
      </c>
      <c r="E77" s="210"/>
      <c r="F77" s="263"/>
      <c r="G77" s="142"/>
      <c r="H77" s="169"/>
      <c r="I77" s="140" t="str">
        <f t="shared" si="6"/>
        <v/>
      </c>
      <c r="J77" s="136"/>
      <c r="K77" s="187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v>2</v>
      </c>
      <c r="C78" s="136">
        <v>1015</v>
      </c>
      <c r="D78" s="137" t="s">
        <v>204</v>
      </c>
      <c r="E78" s="210" t="s">
        <v>302</v>
      </c>
      <c r="F78" s="263"/>
      <c r="G78" s="170">
        <v>120</v>
      </c>
      <c r="H78" s="169">
        <v>100</v>
      </c>
      <c r="I78" s="140">
        <f t="shared" si="6"/>
        <v>12000</v>
      </c>
      <c r="J78" s="136"/>
      <c r="K78" s="187"/>
      <c r="M78" s="85"/>
      <c r="N78" s="86"/>
      <c r="O78" s="86"/>
      <c r="P78" s="86"/>
      <c r="Q78" s="86"/>
      <c r="R78" s="86"/>
      <c r="S78" s="87"/>
    </row>
    <row r="79" spans="2:19" ht="15" thickBot="1">
      <c r="B79" s="135">
        <v>2</v>
      </c>
      <c r="C79" s="136">
        <v>1020</v>
      </c>
      <c r="D79" s="137" t="s">
        <v>50</v>
      </c>
      <c r="E79" s="210" t="s">
        <v>303</v>
      </c>
      <c r="F79" s="263"/>
      <c r="G79" s="170">
        <v>72.66</v>
      </c>
      <c r="H79" s="169">
        <v>2200</v>
      </c>
      <c r="I79" s="140">
        <f t="shared" si="6"/>
        <v>159852</v>
      </c>
      <c r="J79" s="136"/>
      <c r="K79" s="187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v>2</v>
      </c>
      <c r="C80" s="136">
        <v>1025</v>
      </c>
      <c r="D80" s="137" t="s">
        <v>51</v>
      </c>
      <c r="E80" s="210"/>
      <c r="F80" s="263"/>
      <c r="G80" s="170"/>
      <c r="H80" s="169"/>
      <c r="I80" s="140" t="str">
        <f t="shared" si="6"/>
        <v/>
      </c>
      <c r="J80" s="136"/>
      <c r="K80" s="187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v>2</v>
      </c>
      <c r="C81" s="136">
        <v>1030</v>
      </c>
      <c r="D81" s="137" t="s">
        <v>52</v>
      </c>
      <c r="E81" s="210"/>
      <c r="F81" s="263"/>
      <c r="G81" s="170"/>
      <c r="H81" s="169"/>
      <c r="I81" s="140" t="str">
        <f t="shared" si="6"/>
        <v/>
      </c>
      <c r="J81" s="136"/>
      <c r="K81" s="187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v>2</v>
      </c>
      <c r="C82" s="136">
        <v>1035</v>
      </c>
      <c r="D82" s="137" t="s">
        <v>205</v>
      </c>
      <c r="E82" s="210"/>
      <c r="F82" s="263"/>
      <c r="G82" s="142"/>
      <c r="H82" s="169"/>
      <c r="I82" s="140" t="str">
        <f t="shared" si="6"/>
        <v/>
      </c>
      <c r="J82" s="136"/>
      <c r="K82" s="187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v>2</v>
      </c>
      <c r="C83" s="136">
        <v>1040</v>
      </c>
      <c r="D83" s="137" t="s">
        <v>206</v>
      </c>
      <c r="E83" s="210"/>
      <c r="F83" s="263"/>
      <c r="G83" s="142"/>
      <c r="H83" s="169"/>
      <c r="I83" s="140" t="str">
        <f t="shared" si="6"/>
        <v/>
      </c>
      <c r="J83" s="136"/>
      <c r="K83" s="187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v>2</v>
      </c>
      <c r="C84" s="136">
        <v>1060</v>
      </c>
      <c r="D84" s="137" t="s">
        <v>207</v>
      </c>
      <c r="E84" s="210" t="s">
        <v>304</v>
      </c>
      <c r="F84" s="263"/>
      <c r="G84" s="142">
        <v>45000</v>
      </c>
      <c r="H84" s="169">
        <v>1</v>
      </c>
      <c r="I84" s="140">
        <f t="shared" si="6"/>
        <v>45000</v>
      </c>
      <c r="J84" s="136"/>
      <c r="K84" s="187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v>2</v>
      </c>
      <c r="C85" s="136">
        <v>1070</v>
      </c>
      <c r="D85" s="137" t="s">
        <v>54</v>
      </c>
      <c r="E85" s="210"/>
      <c r="F85" s="263"/>
      <c r="G85" s="142"/>
      <c r="H85" s="169"/>
      <c r="I85" s="140" t="str">
        <f t="shared" si="6"/>
        <v/>
      </c>
      <c r="J85" s="136"/>
      <c r="K85" s="187"/>
      <c r="M85" s="85"/>
      <c r="N85" s="86"/>
      <c r="O85" s="86"/>
      <c r="P85" s="86"/>
      <c r="Q85" s="86"/>
      <c r="R85" s="86"/>
      <c r="S85" s="87"/>
    </row>
    <row r="86" spans="2:19" ht="15" thickBot="1">
      <c r="B86" s="135">
        <v>2</v>
      </c>
      <c r="C86" s="136">
        <v>1070</v>
      </c>
      <c r="D86" s="137" t="s">
        <v>53</v>
      </c>
      <c r="E86" s="210"/>
      <c r="F86" s="263"/>
      <c r="G86" s="142"/>
      <c r="H86" s="169"/>
      <c r="I86" s="140" t="str">
        <f t="shared" ref="I86" si="7">IF(AND(G86&lt;&gt;0,H86=""),G86,IF(AND(G86&lt;&gt;0,H86&gt;0),G86*H86,""))</f>
        <v/>
      </c>
      <c r="J86" s="136"/>
      <c r="K86" s="187"/>
      <c r="M86" s="85"/>
      <c r="N86" s="86"/>
      <c r="O86" s="86"/>
      <c r="P86" s="86"/>
      <c r="Q86" s="86"/>
      <c r="R86" s="86"/>
      <c r="S86" s="87"/>
    </row>
    <row r="87" spans="2:19" ht="15" thickBot="1">
      <c r="B87" s="135">
        <v>2</v>
      </c>
      <c r="C87" s="136">
        <v>1095</v>
      </c>
      <c r="D87" s="137" t="s">
        <v>208</v>
      </c>
      <c r="E87" s="210"/>
      <c r="F87" s="263"/>
      <c r="G87" s="142"/>
      <c r="H87" s="136"/>
      <c r="I87" s="140" t="str">
        <f t="shared" si="6"/>
        <v/>
      </c>
      <c r="J87" s="136"/>
      <c r="K87" s="187"/>
      <c r="M87" s="85"/>
      <c r="N87" s="86"/>
      <c r="O87" s="86"/>
      <c r="P87" s="86"/>
      <c r="Q87" s="86"/>
      <c r="R87" s="86"/>
      <c r="S87" s="87"/>
    </row>
    <row r="88" spans="2:19" ht="18.600000000000001" thickBot="1">
      <c r="B88" s="89">
        <v>2</v>
      </c>
      <c r="C88" s="90">
        <v>1500</v>
      </c>
      <c r="D88" s="91" t="s">
        <v>251</v>
      </c>
      <c r="E88" s="92"/>
      <c r="F88" s="116"/>
      <c r="G88" s="108"/>
      <c r="H88" s="93"/>
      <c r="I88" s="94">
        <f>SUM(I89:I90)</f>
        <v>0</v>
      </c>
      <c r="J88" s="93"/>
      <c r="K88" s="185">
        <f>SUM(K89:K90)</f>
        <v>0</v>
      </c>
      <c r="M88" s="85"/>
      <c r="N88" s="86"/>
      <c r="O88" s="86"/>
      <c r="P88" s="86"/>
      <c r="Q88" s="86"/>
      <c r="R88" s="86"/>
      <c r="S88" s="87"/>
    </row>
    <row r="89" spans="2:19" ht="15" thickBot="1">
      <c r="B89" s="135">
        <v>2</v>
      </c>
      <c r="C89" s="136">
        <v>1510</v>
      </c>
      <c r="D89" s="137" t="s">
        <v>194</v>
      </c>
      <c r="E89" s="167"/>
      <c r="F89" s="168"/>
      <c r="G89" s="142"/>
      <c r="H89" s="136"/>
      <c r="I89" s="140" t="str">
        <f t="shared" ref="I89:I90" si="8">IF(AND(G89&lt;&gt;0,H89=""),G89,IF(AND(G89&lt;&gt;0,H89&gt;0),G89*H89,""))</f>
        <v/>
      </c>
      <c r="J89" s="136"/>
      <c r="K89" s="187"/>
      <c r="M89" s="85"/>
      <c r="N89" s="86"/>
      <c r="O89" s="86"/>
      <c r="P89" s="86"/>
      <c r="Q89" s="86"/>
      <c r="R89" s="86"/>
      <c r="S89" s="87"/>
    </row>
    <row r="90" spans="2:19" ht="15" thickBot="1">
      <c r="B90" s="171">
        <v>2</v>
      </c>
      <c r="C90" s="172">
        <v>1520</v>
      </c>
      <c r="D90" s="177" t="s">
        <v>195</v>
      </c>
      <c r="E90" s="173"/>
      <c r="F90" s="174"/>
      <c r="G90" s="175"/>
      <c r="H90" s="172"/>
      <c r="I90" s="176" t="str">
        <f t="shared" si="8"/>
        <v/>
      </c>
      <c r="J90" s="172"/>
      <c r="K90" s="188"/>
      <c r="M90" s="85"/>
      <c r="N90" s="86"/>
      <c r="O90" s="86"/>
      <c r="P90" s="86"/>
      <c r="Q90" s="86"/>
      <c r="R90" s="86"/>
      <c r="S90" s="87"/>
    </row>
    <row r="91" spans="2:19" ht="15" thickTop="1"/>
  </sheetData>
  <mergeCells count="41">
    <mergeCell ref="B3:D3"/>
    <mergeCell ref="E3:H3"/>
    <mergeCell ref="B4:D4"/>
    <mergeCell ref="E4:K4"/>
    <mergeCell ref="M23:S23"/>
    <mergeCell ref="B13:K13"/>
    <mergeCell ref="G12:H12"/>
    <mergeCell ref="I12:K12"/>
    <mergeCell ref="I9:K9"/>
    <mergeCell ref="B10:D10"/>
    <mergeCell ref="G10:H10"/>
    <mergeCell ref="I10:K10"/>
    <mergeCell ref="B11:D11"/>
    <mergeCell ref="E11:F11"/>
    <mergeCell ref="G11:H11"/>
    <mergeCell ref="I11:K11"/>
    <mergeCell ref="B12:D12"/>
    <mergeCell ref="M24:S24"/>
    <mergeCell ref="M20:S20"/>
    <mergeCell ref="M21:S21"/>
    <mergeCell ref="M14:S14"/>
    <mergeCell ref="M16:S16"/>
    <mergeCell ref="M17:S17"/>
    <mergeCell ref="M18:S18"/>
    <mergeCell ref="M19:S19"/>
    <mergeCell ref="E12:F12"/>
    <mergeCell ref="B2:K2"/>
    <mergeCell ref="B73:K73"/>
    <mergeCell ref="E74:F74"/>
    <mergeCell ref="E9:F9"/>
    <mergeCell ref="E10:F10"/>
    <mergeCell ref="B5:D5"/>
    <mergeCell ref="B6:D6"/>
    <mergeCell ref="E5:H5"/>
    <mergeCell ref="E6:H6"/>
    <mergeCell ref="B7:D7"/>
    <mergeCell ref="B8:D8"/>
    <mergeCell ref="E7:H7"/>
    <mergeCell ref="E8:H8"/>
    <mergeCell ref="B9:D9"/>
    <mergeCell ref="G9:H9"/>
  </mergeCells>
  <conditionalFormatting sqref="K15 K22 K25 K30 K36 K40 K48 K57 K62 K70 K75 G12">
    <cfRule type="expression" dxfId="8" priority="3">
      <formula>G12=0</formula>
    </cfRule>
  </conditionalFormatting>
  <conditionalFormatting sqref="I12:K12">
    <cfRule type="expression" dxfId="7" priority="2">
      <formula>$G$12=0</formula>
    </cfRule>
  </conditionalFormatting>
  <conditionalFormatting sqref="K88">
    <cfRule type="expression" dxfId="6" priority="1">
      <formula>K88=0</formula>
    </cfRule>
  </conditionalFormatting>
  <dataValidations disablePrompts="1" count="1">
    <dataValidation type="list" allowBlank="1" showInputMessage="1" showErrorMessage="1" sqref="E24" xr:uid="{0774FCAC-FA6D-4B16-9BF1-9FC5594B5DA5}">
      <formula1>"Daywork, Turnkey, Footage"</formula1>
    </dataValidation>
  </dataValidations>
  <printOptions horizontalCentered="1" verticalCentered="1"/>
  <pageMargins left="0" right="0" top="0" bottom="0" header="0" footer="0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F231-932A-48D3-BBB1-57DC316B9156}">
  <sheetPr>
    <pageSetUpPr fitToPage="1"/>
  </sheetPr>
  <dimension ref="A1:V90"/>
  <sheetViews>
    <sheetView zoomScaleNormal="100" workbookViewId="0">
      <pane ySplit="14" topLeftCell="A15" activePane="bottomLeft" state="frozen"/>
      <selection activeCell="U13" sqref="U13"/>
      <selection pane="bottomLeft" activeCell="U13" sqref="U13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1" customWidth="1"/>
    <col min="7" max="7" width="11.88671875" customWidth="1"/>
    <col min="8" max="8" width="9.6640625" style="242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392" t="s">
        <v>311</v>
      </c>
      <c r="C2" s="393"/>
      <c r="D2" s="393"/>
      <c r="E2" s="393"/>
      <c r="F2" s="393"/>
      <c r="G2" s="393"/>
      <c r="H2" s="393"/>
      <c r="I2" s="393"/>
      <c r="J2" s="393"/>
      <c r="K2" s="394"/>
    </row>
    <row r="3" spans="1:22">
      <c r="A3" s="122"/>
      <c r="B3" s="358" t="s">
        <v>312</v>
      </c>
      <c r="C3" s="359"/>
      <c r="D3" s="359"/>
      <c r="E3" s="362" t="s">
        <v>313</v>
      </c>
      <c r="F3" s="362"/>
      <c r="G3" s="362"/>
      <c r="H3" s="363"/>
      <c r="I3" s="264"/>
      <c r="J3" s="264"/>
      <c r="K3" s="265"/>
    </row>
    <row r="4" spans="1:22" ht="15" thickBot="1">
      <c r="B4" s="360" t="str">
        <f>Summary!B4</f>
        <v>Criterion Operating, LLC</v>
      </c>
      <c r="C4" s="361"/>
      <c r="D4" s="361"/>
      <c r="E4" s="364" t="str">
        <f>Summary!E4</f>
        <v>Water Oak Z031D Drill, Complete &amp; Equip</v>
      </c>
      <c r="F4" s="365"/>
      <c r="G4" s="365"/>
      <c r="H4" s="365"/>
      <c r="I4" s="365"/>
      <c r="J4" s="365"/>
      <c r="K4" s="366"/>
    </row>
    <row r="5" spans="1:22">
      <c r="A5" s="122"/>
      <c r="B5" s="358" t="s">
        <v>211</v>
      </c>
      <c r="C5" s="359"/>
      <c r="D5" s="359"/>
      <c r="E5" s="359" t="s">
        <v>3</v>
      </c>
      <c r="F5" s="359"/>
      <c r="G5" s="359"/>
      <c r="H5" s="359"/>
      <c r="I5" s="125" t="s">
        <v>212</v>
      </c>
      <c r="J5" s="125" t="s">
        <v>5</v>
      </c>
      <c r="K5" s="205" t="s">
        <v>1</v>
      </c>
      <c r="V5" s="213"/>
    </row>
    <row r="6" spans="1:22" ht="15" thickBot="1">
      <c r="B6" s="360" t="str">
        <f>Summary!B6</f>
        <v>Water Oak Z031D</v>
      </c>
      <c r="C6" s="361"/>
      <c r="D6" s="361"/>
      <c r="E6" s="361" t="s">
        <v>216</v>
      </c>
      <c r="F6" s="361"/>
      <c r="G6" s="361"/>
      <c r="H6" s="361"/>
      <c r="I6" s="124" t="s">
        <v>213</v>
      </c>
      <c r="J6" s="124" t="s">
        <v>217</v>
      </c>
      <c r="K6" s="206"/>
    </row>
    <row r="7" spans="1:22">
      <c r="B7" s="354" t="s">
        <v>14</v>
      </c>
      <c r="C7" s="355"/>
      <c r="D7" s="355"/>
      <c r="E7" s="355" t="s">
        <v>214</v>
      </c>
      <c r="F7" s="355"/>
      <c r="G7" s="355"/>
      <c r="H7" s="355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22" ht="15" thickBot="1">
      <c r="B8" s="356" t="s">
        <v>220</v>
      </c>
      <c r="C8" s="357"/>
      <c r="D8" s="357"/>
      <c r="E8" s="383" t="s">
        <v>299</v>
      </c>
      <c r="F8" s="383"/>
      <c r="G8" s="383"/>
      <c r="H8" s="383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22">
      <c r="B9" s="346" t="s">
        <v>23</v>
      </c>
      <c r="C9" s="339"/>
      <c r="D9" s="339"/>
      <c r="E9" s="339" t="s">
        <v>24</v>
      </c>
      <c r="F9" s="339"/>
      <c r="G9" s="339" t="s">
        <v>25</v>
      </c>
      <c r="H9" s="339"/>
      <c r="I9" s="339" t="s">
        <v>254</v>
      </c>
      <c r="J9" s="339"/>
      <c r="K9" s="340"/>
      <c r="P9" s="118"/>
      <c r="Q9" s="20"/>
      <c r="R9" s="20"/>
    </row>
    <row r="10" spans="1:22" ht="24" thickBot="1">
      <c r="B10" s="341"/>
      <c r="C10" s="342"/>
      <c r="D10" s="342"/>
      <c r="E10" s="343">
        <v>44953</v>
      </c>
      <c r="F10" s="343"/>
      <c r="G10" s="342"/>
      <c r="H10" s="342"/>
      <c r="I10" s="381">
        <f>I15+I20+I25+I32+I38+I42+I49+I59+I64+I72+I77+I87</f>
        <v>2095534</v>
      </c>
      <c r="J10" s="381"/>
      <c r="K10" s="382"/>
      <c r="P10" s="118"/>
      <c r="Q10" s="20"/>
      <c r="R10" s="20"/>
    </row>
    <row r="11" spans="1:22">
      <c r="B11" s="346" t="s">
        <v>26</v>
      </c>
      <c r="C11" s="339"/>
      <c r="D11" s="339"/>
      <c r="E11" s="347" t="s">
        <v>221</v>
      </c>
      <c r="F11" s="347"/>
      <c r="G11" s="339" t="s">
        <v>255</v>
      </c>
      <c r="H11" s="339"/>
      <c r="I11" s="339" t="s">
        <v>257</v>
      </c>
      <c r="J11" s="339"/>
      <c r="K11" s="340"/>
      <c r="P11" s="118"/>
      <c r="Q11" s="20"/>
      <c r="R11" s="20"/>
    </row>
    <row r="12" spans="1:22" ht="18.600000000000001" thickBot="1">
      <c r="B12" s="341"/>
      <c r="C12" s="342"/>
      <c r="D12" s="342"/>
      <c r="E12" s="348"/>
      <c r="F12" s="348"/>
      <c r="G12" s="349">
        <f>K15+K20+K25+K32+K38+K42+K49+K59+K64+K72+K77+K87</f>
        <v>0</v>
      </c>
      <c r="H12" s="349"/>
      <c r="I12" s="349">
        <f>G12+I10</f>
        <v>2095534</v>
      </c>
      <c r="J12" s="349"/>
      <c r="K12" s="350"/>
      <c r="P12" s="118"/>
      <c r="Q12" s="20"/>
      <c r="R12" s="20"/>
      <c r="U12" s="212"/>
    </row>
    <row r="13" spans="1:22" s="112" customFormat="1" ht="18.600000000000001" thickBot="1">
      <c r="B13" s="378" t="s">
        <v>200</v>
      </c>
      <c r="C13" s="379"/>
      <c r="D13" s="379"/>
      <c r="E13" s="379"/>
      <c r="F13" s="379"/>
      <c r="G13" s="379"/>
      <c r="H13" s="379"/>
      <c r="I13" s="379"/>
      <c r="J13" s="379"/>
      <c r="K13" s="380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22" t="s">
        <v>158</v>
      </c>
      <c r="G14" s="201" t="s">
        <v>157</v>
      </c>
      <c r="H14" s="243" t="s">
        <v>159</v>
      </c>
      <c r="I14" s="201" t="s">
        <v>160</v>
      </c>
      <c r="J14" s="203" t="s">
        <v>35</v>
      </c>
      <c r="K14" s="204" t="s">
        <v>196</v>
      </c>
      <c r="M14" s="375" t="s">
        <v>38</v>
      </c>
      <c r="N14" s="376"/>
      <c r="O14" s="376"/>
      <c r="P14" s="376"/>
      <c r="Q14" s="376"/>
      <c r="R14" s="376"/>
      <c r="S14" s="377"/>
    </row>
    <row r="15" spans="1:22" ht="18.600000000000001" thickBot="1">
      <c r="B15" s="89">
        <v>3</v>
      </c>
      <c r="C15" s="90">
        <v>10</v>
      </c>
      <c r="D15" s="91" t="s">
        <v>151</v>
      </c>
      <c r="E15" s="92"/>
      <c r="F15" s="223"/>
      <c r="G15" s="93"/>
      <c r="H15" s="244"/>
      <c r="I15" s="94">
        <f>SUM(I16:I19)</f>
        <v>13500</v>
      </c>
      <c r="J15" s="93"/>
      <c r="K15" s="178">
        <f>SUM(K16:K19)</f>
        <v>0</v>
      </c>
      <c r="M15" s="82"/>
      <c r="N15" s="83"/>
      <c r="O15" s="83"/>
      <c r="P15" s="83"/>
      <c r="Q15" s="83"/>
      <c r="R15" s="83"/>
      <c r="S15" s="84"/>
    </row>
    <row r="16" spans="1:22" ht="15" thickBot="1">
      <c r="B16" s="128">
        <f>$B$15</f>
        <v>3</v>
      </c>
      <c r="C16" s="129">
        <v>12</v>
      </c>
      <c r="D16" s="130" t="s">
        <v>147</v>
      </c>
      <c r="E16" s="131"/>
      <c r="F16" s="224"/>
      <c r="G16" s="133">
        <v>1000</v>
      </c>
      <c r="H16" s="166"/>
      <c r="I16" s="133">
        <f t="shared" ref="I16:I19" si="0">IF(AND(G16&lt;&gt;0,H16=""),G16,IF(AND(G16&lt;&gt;0,H16&gt;0),G16*H16,""))</f>
        <v>1000</v>
      </c>
      <c r="J16" s="134"/>
      <c r="K16" s="179"/>
      <c r="M16" s="374"/>
      <c r="N16" s="310"/>
      <c r="O16" s="310"/>
      <c r="P16" s="310"/>
      <c r="Q16" s="310"/>
      <c r="R16" s="310"/>
      <c r="S16" s="311"/>
    </row>
    <row r="17" spans="2:19" ht="15" thickBot="1">
      <c r="B17" s="135">
        <f>$B$15</f>
        <v>3</v>
      </c>
      <c r="C17" s="136">
        <v>14</v>
      </c>
      <c r="D17" s="137" t="s">
        <v>225</v>
      </c>
      <c r="E17" s="138"/>
      <c r="F17" s="225"/>
      <c r="G17" s="140">
        <v>12500</v>
      </c>
      <c r="H17" s="169"/>
      <c r="I17" s="140">
        <f t="shared" si="0"/>
        <v>12500</v>
      </c>
      <c r="J17" s="141"/>
      <c r="K17" s="180"/>
      <c r="M17" s="374"/>
      <c r="N17" s="310"/>
      <c r="O17" s="310"/>
      <c r="P17" s="310"/>
      <c r="Q17" s="310"/>
      <c r="R17" s="310"/>
      <c r="S17" s="311"/>
    </row>
    <row r="18" spans="2:19" ht="15" thickBot="1">
      <c r="B18" s="135">
        <f t="shared" ref="B18:B19" si="1">$B$15</f>
        <v>3</v>
      </c>
      <c r="C18" s="136">
        <v>16</v>
      </c>
      <c r="D18" s="137" t="s">
        <v>149</v>
      </c>
      <c r="E18" s="138"/>
      <c r="F18" s="225"/>
      <c r="G18" s="140"/>
      <c r="H18" s="169"/>
      <c r="I18" s="140" t="str">
        <f t="shared" si="0"/>
        <v/>
      </c>
      <c r="J18" s="141"/>
      <c r="K18" s="180"/>
      <c r="M18" s="374"/>
      <c r="N18" s="310"/>
      <c r="O18" s="310"/>
      <c r="P18" s="310"/>
      <c r="Q18" s="310"/>
      <c r="R18" s="310"/>
      <c r="S18" s="311"/>
    </row>
    <row r="19" spans="2:19" ht="15" thickBot="1">
      <c r="B19" s="135">
        <f t="shared" si="1"/>
        <v>3</v>
      </c>
      <c r="C19" s="136">
        <v>18</v>
      </c>
      <c r="D19" s="137" t="s">
        <v>226</v>
      </c>
      <c r="E19" s="138"/>
      <c r="F19" s="225"/>
      <c r="G19" s="140"/>
      <c r="H19" s="169"/>
      <c r="I19" s="140" t="str">
        <f t="shared" si="0"/>
        <v/>
      </c>
      <c r="J19" s="141"/>
      <c r="K19" s="180"/>
      <c r="M19" s="374"/>
      <c r="N19" s="310"/>
      <c r="O19" s="310"/>
      <c r="P19" s="310"/>
      <c r="Q19" s="310"/>
      <c r="R19" s="310"/>
      <c r="S19" s="311"/>
    </row>
    <row r="20" spans="2:19" s="95" customFormat="1" ht="18.600000000000001" thickBot="1">
      <c r="B20" s="96">
        <f>$B$15</f>
        <v>3</v>
      </c>
      <c r="C20" s="97">
        <v>20</v>
      </c>
      <c r="D20" s="98" t="s">
        <v>227</v>
      </c>
      <c r="E20" s="99"/>
      <c r="F20" s="234"/>
      <c r="G20" s="109"/>
      <c r="H20" s="245"/>
      <c r="I20" s="100">
        <f>SUM(I21:I22)</f>
        <v>0</v>
      </c>
      <c r="J20" s="99"/>
      <c r="K20" s="178">
        <f>SUM(K21:K22)</f>
        <v>0</v>
      </c>
      <c r="M20" s="101"/>
      <c r="N20" s="102"/>
      <c r="O20" s="102"/>
      <c r="P20" s="102"/>
      <c r="Q20" s="102"/>
      <c r="R20" s="102"/>
      <c r="S20" s="103"/>
    </row>
    <row r="21" spans="2:19" ht="15" thickBot="1">
      <c r="B21" s="150">
        <f>$B$20</f>
        <v>3</v>
      </c>
      <c r="C21" s="151">
        <v>21</v>
      </c>
      <c r="D21" s="152" t="s">
        <v>40</v>
      </c>
      <c r="E21" s="153"/>
      <c r="F21" s="226"/>
      <c r="G21" s="154"/>
      <c r="H21" s="220"/>
      <c r="I21" s="155" t="str">
        <f>IF(AND(G21&lt;&gt;0,H21=""),G21,IF(AND(G21&lt;&gt;0,H21&gt;0),G21*H21,""))</f>
        <v/>
      </c>
      <c r="J21" s="153"/>
      <c r="K21" s="182"/>
      <c r="M21" s="374"/>
      <c r="N21" s="310"/>
      <c r="O21" s="310"/>
      <c r="P21" s="310"/>
      <c r="Q21" s="310"/>
      <c r="R21" s="310"/>
      <c r="S21" s="311"/>
    </row>
    <row r="22" spans="2:19" ht="15" thickBot="1">
      <c r="B22" s="135">
        <f>$B$20</f>
        <v>3</v>
      </c>
      <c r="C22" s="136">
        <f>IF(E22="Daywork",22,IF(E22="Turnkey",23,22))</f>
        <v>22</v>
      </c>
      <c r="D22" s="137" t="s">
        <v>228</v>
      </c>
      <c r="E22" s="136" t="s">
        <v>155</v>
      </c>
      <c r="F22" s="227" t="str">
        <f>IF(E22="Daywork","$/day",IF(E22="Turnkey","Contract","$/day"))</f>
        <v>$/day</v>
      </c>
      <c r="G22" s="142"/>
      <c r="H22" s="169"/>
      <c r="I22" s="140" t="str">
        <f>IF(AND(G22&lt;&gt;0,H22=""),G22,IF(AND(G22&lt;&gt;0,H22&gt;0),G22*H22,""))</f>
        <v/>
      </c>
      <c r="J22" s="141"/>
      <c r="K22" s="180"/>
      <c r="M22" s="373" t="s">
        <v>42</v>
      </c>
      <c r="N22" s="310"/>
      <c r="O22" s="310"/>
      <c r="P22" s="310"/>
      <c r="Q22" s="310"/>
      <c r="R22" s="310"/>
      <c r="S22" s="311"/>
    </row>
    <row r="23" spans="2:19" ht="15" thickBot="1">
      <c r="B23" s="135">
        <f t="shared" ref="B23:B24" si="2">$B$20</f>
        <v>3</v>
      </c>
      <c r="C23" s="136">
        <f>IF(E23="Daywork",25,IF(E23="Turnkey",26,25))</f>
        <v>25</v>
      </c>
      <c r="D23" s="137" t="s">
        <v>229</v>
      </c>
      <c r="E23" s="136" t="s">
        <v>155</v>
      </c>
      <c r="F23" s="227" t="str">
        <f>IF(E23="Daywork","$/day",IF(E23="Turnkey","Contract","$/day"))</f>
        <v>$/day</v>
      </c>
      <c r="G23" s="142"/>
      <c r="H23" s="169"/>
      <c r="I23" s="140" t="str">
        <f t="shared" ref="I23:I24" si="3">IF(AND(G23&lt;&gt;0,H23=""),G23,IF(AND(G23&lt;&gt;0,H23&gt;0),G23*H23,""))</f>
        <v/>
      </c>
      <c r="J23" s="141"/>
      <c r="K23" s="180"/>
      <c r="M23" s="373" t="s">
        <v>42</v>
      </c>
      <c r="N23" s="310"/>
      <c r="O23" s="310"/>
      <c r="P23" s="310"/>
      <c r="Q23" s="310"/>
      <c r="R23" s="310"/>
      <c r="S23" s="311"/>
    </row>
    <row r="24" spans="2:19" ht="15" thickBot="1">
      <c r="B24" s="143">
        <f t="shared" si="2"/>
        <v>3</v>
      </c>
      <c r="C24" s="144">
        <f>IF(E24="Daywork",27,IF(E24="Turnkey",28,27))</f>
        <v>27</v>
      </c>
      <c r="D24" s="145" t="s">
        <v>230</v>
      </c>
      <c r="E24" s="136" t="s">
        <v>155</v>
      </c>
      <c r="F24" s="227" t="str">
        <f>IF(E24="Daywork","$/day",IF(E24="Turnkey","Contract","$/day"))</f>
        <v>$/day</v>
      </c>
      <c r="G24" s="147"/>
      <c r="H24" s="246"/>
      <c r="I24" s="148" t="str">
        <f t="shared" si="3"/>
        <v/>
      </c>
      <c r="J24" s="149"/>
      <c r="K24" s="181"/>
      <c r="M24" s="373" t="s">
        <v>42</v>
      </c>
      <c r="N24" s="310"/>
      <c r="O24" s="310"/>
      <c r="P24" s="310"/>
      <c r="Q24" s="310"/>
      <c r="R24" s="310"/>
      <c r="S24" s="311"/>
    </row>
    <row r="25" spans="2:19" s="95" customFormat="1" ht="18.600000000000001" thickBot="1">
      <c r="B25" s="96">
        <f>$B$15</f>
        <v>3</v>
      </c>
      <c r="C25" s="97">
        <v>30</v>
      </c>
      <c r="D25" s="99" t="s">
        <v>231</v>
      </c>
      <c r="E25" s="99"/>
      <c r="F25" s="234"/>
      <c r="G25" s="109"/>
      <c r="H25" s="245"/>
      <c r="I25" s="100">
        <f>SUM(I26:I31)</f>
        <v>35000</v>
      </c>
      <c r="J25" s="99"/>
      <c r="K25" s="178">
        <f>SUM(K26:K31)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f>$B$25</f>
        <v>3</v>
      </c>
      <c r="C26" s="151">
        <v>31</v>
      </c>
      <c r="D26" s="152" t="s">
        <v>163</v>
      </c>
      <c r="E26" s="153"/>
      <c r="F26" s="218"/>
      <c r="G26" s="154">
        <v>12500</v>
      </c>
      <c r="H26" s="220"/>
      <c r="I26" s="155">
        <f>IF(AND(G26&lt;&gt;0,H26=""),G26,IF(AND(G26&lt;&gt;0,H26&gt;0),G26*H26,""))</f>
        <v>12500</v>
      </c>
      <c r="J26" s="153"/>
      <c r="K26" s="182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f t="shared" ref="B27:B28" si="4">$B$25</f>
        <v>3</v>
      </c>
      <c r="C27" s="136">
        <v>32</v>
      </c>
      <c r="D27" s="137" t="s">
        <v>232</v>
      </c>
      <c r="E27" s="141"/>
      <c r="F27" s="227"/>
      <c r="G27" s="142"/>
      <c r="H27" s="169"/>
      <c r="I27" s="140" t="str">
        <f t="shared" ref="I27:I28" si="5">IF(AND(G27&lt;&gt;0,H27=""),G27,IF(AND(G27&lt;&gt;0,H27&gt;0),G27*H27,""))</f>
        <v/>
      </c>
      <c r="J27" s="141"/>
      <c r="K27" s="180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f t="shared" si="4"/>
        <v>3</v>
      </c>
      <c r="C28" s="136">
        <v>32</v>
      </c>
      <c r="D28" s="137" t="s">
        <v>198</v>
      </c>
      <c r="E28" s="141"/>
      <c r="F28" s="227" t="s">
        <v>258</v>
      </c>
      <c r="G28" s="170">
        <v>0.5</v>
      </c>
      <c r="H28" s="169">
        <v>10000</v>
      </c>
      <c r="I28" s="140">
        <f t="shared" si="5"/>
        <v>5000</v>
      </c>
      <c r="J28" s="141"/>
      <c r="K28" s="180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$B$25</f>
        <v>3</v>
      </c>
      <c r="C29" s="136">
        <v>34</v>
      </c>
      <c r="D29" s="137" t="s">
        <v>199</v>
      </c>
      <c r="E29" s="141"/>
      <c r="F29" s="227"/>
      <c r="G29" s="142">
        <v>17500</v>
      </c>
      <c r="H29" s="169"/>
      <c r="I29" s="140">
        <f>IF(AND(G29&lt;&gt;0,H29=""),G29,IF(AND(G29&lt;&gt;0,H29&gt;0),G29*H29,""))</f>
        <v>17500</v>
      </c>
      <c r="J29" s="141"/>
      <c r="K29" s="180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1" si="6">$B$25</f>
        <v>3</v>
      </c>
      <c r="C30" s="136">
        <v>35</v>
      </c>
      <c r="D30" s="137" t="s">
        <v>233</v>
      </c>
      <c r="E30" s="141"/>
      <c r="F30" s="227"/>
      <c r="G30" s="142"/>
      <c r="H30" s="169"/>
      <c r="I30" s="140" t="str">
        <f>IF(AND(G30&lt;&gt;0,H30=""),G30,IF(AND(G30&lt;&gt;0,H30&gt;0),G30*H30,""))</f>
        <v/>
      </c>
      <c r="J30" s="141"/>
      <c r="K30" s="180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3</v>
      </c>
      <c r="C31" s="144">
        <v>36</v>
      </c>
      <c r="D31" s="145" t="s">
        <v>234</v>
      </c>
      <c r="E31" s="149"/>
      <c r="F31" s="235"/>
      <c r="G31" s="147"/>
      <c r="H31" s="246"/>
      <c r="I31" s="148" t="str">
        <f>IF(AND(G31&lt;&gt;0,H31=""),G31,IF(AND(G31&lt;&gt;0,H31&gt;0),G31*H31,""))</f>
        <v/>
      </c>
      <c r="J31" s="149"/>
      <c r="K31" s="181"/>
      <c r="M31" s="85"/>
      <c r="N31" s="86"/>
      <c r="O31" s="86"/>
      <c r="P31" s="86"/>
      <c r="Q31" s="86"/>
      <c r="R31" s="86"/>
      <c r="S31" s="87"/>
    </row>
    <row r="32" spans="2:19" s="95" customFormat="1" ht="18.600000000000001" thickBot="1">
      <c r="B32" s="96">
        <f>$B$15</f>
        <v>3</v>
      </c>
      <c r="C32" s="97">
        <v>40</v>
      </c>
      <c r="D32" s="99" t="s">
        <v>164</v>
      </c>
      <c r="E32" s="99"/>
      <c r="F32" s="234"/>
      <c r="G32" s="109"/>
      <c r="H32" s="245"/>
      <c r="I32" s="100">
        <f>SUM(I33:I37)</f>
        <v>39500</v>
      </c>
      <c r="J32" s="99"/>
      <c r="K32" s="178">
        <f>SUM(K33:K37)</f>
        <v>0</v>
      </c>
      <c r="M32" s="101"/>
      <c r="N32" s="102"/>
      <c r="O32" s="102"/>
      <c r="P32" s="102"/>
      <c r="Q32" s="102"/>
      <c r="R32" s="102"/>
      <c r="S32" s="103"/>
    </row>
    <row r="33" spans="2:19" ht="15" thickBot="1">
      <c r="B33" s="150">
        <f>$B$32</f>
        <v>3</v>
      </c>
      <c r="C33" s="151">
        <v>41</v>
      </c>
      <c r="D33" s="152" t="s">
        <v>165</v>
      </c>
      <c r="E33" s="153"/>
      <c r="F33" s="218"/>
      <c r="G33" s="154">
        <f>30000+4500</f>
        <v>34500</v>
      </c>
      <c r="H33" s="220"/>
      <c r="I33" s="155">
        <f>IF(AND(G33&lt;&gt;0,H33=""),G33,IF(AND(G33&lt;&gt;0,H33&gt;0),G33*H33,""))</f>
        <v>34500</v>
      </c>
      <c r="J33" s="153"/>
      <c r="K33" s="182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f>$B$32</f>
        <v>3</v>
      </c>
      <c r="C34" s="136">
        <v>42</v>
      </c>
      <c r="D34" s="137" t="s">
        <v>166</v>
      </c>
      <c r="E34" s="141"/>
      <c r="F34" s="227"/>
      <c r="G34" s="142"/>
      <c r="H34" s="169"/>
      <c r="I34" s="140" t="str">
        <f>IF(AND(G34&lt;&gt;0,H34=""),G34,IF(AND(G34&lt;&gt;0,H34&gt;0),G34*H34,""))</f>
        <v/>
      </c>
      <c r="J34" s="141"/>
      <c r="K34" s="180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 t="shared" ref="B35:B37" si="7">$B$32</f>
        <v>3</v>
      </c>
      <c r="C35" s="136">
        <v>43</v>
      </c>
      <c r="D35" s="137" t="s">
        <v>167</v>
      </c>
      <c r="E35" s="141"/>
      <c r="F35" s="227"/>
      <c r="G35" s="142"/>
      <c r="H35" s="169"/>
      <c r="I35" s="140" t="str">
        <f>IF(AND(G35&lt;&gt;0,H35=""),G35,IF(AND(G35&lt;&gt;0,H35&gt;0),G35*H35,""))</f>
        <v/>
      </c>
      <c r="J35" s="141"/>
      <c r="K35" s="180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si="7"/>
        <v>3</v>
      </c>
      <c r="C36" s="136">
        <v>44</v>
      </c>
      <c r="D36" s="137" t="s">
        <v>235</v>
      </c>
      <c r="E36" s="141"/>
      <c r="F36" s="227"/>
      <c r="G36" s="142"/>
      <c r="H36" s="169"/>
      <c r="I36" s="140" t="str">
        <f>IF(AND(G36&lt;&gt;0,H36=""),G36,IF(AND(G36&lt;&gt;0,H36&gt;0),G36*H36,""))</f>
        <v/>
      </c>
      <c r="J36" s="141"/>
      <c r="K36" s="180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7"/>
        <v>3</v>
      </c>
      <c r="C37" s="144">
        <v>45</v>
      </c>
      <c r="D37" s="145" t="s">
        <v>236</v>
      </c>
      <c r="E37" s="149"/>
      <c r="F37" s="235"/>
      <c r="G37" s="147">
        <v>5000</v>
      </c>
      <c r="H37" s="246"/>
      <c r="I37" s="148">
        <f>IF(AND(G37&lt;&gt;0,H37=""),G37,IF(AND(G37&lt;&gt;0,H37&gt;0),G37*H37,""))</f>
        <v>5000</v>
      </c>
      <c r="J37" s="149"/>
      <c r="K37" s="181"/>
      <c r="M37" s="85"/>
      <c r="N37" s="86"/>
      <c r="O37" s="86"/>
      <c r="P37" s="86"/>
      <c r="Q37" s="86"/>
      <c r="R37" s="86"/>
      <c r="S37" s="87"/>
    </row>
    <row r="38" spans="2:19" s="95" customFormat="1" ht="18.600000000000001" thickBot="1">
      <c r="B38" s="96">
        <f>$B$15</f>
        <v>3</v>
      </c>
      <c r="C38" s="97">
        <v>50</v>
      </c>
      <c r="D38" s="99" t="s">
        <v>43</v>
      </c>
      <c r="E38" s="99"/>
      <c r="F38" s="234"/>
      <c r="G38" s="109"/>
      <c r="H38" s="245"/>
      <c r="I38" s="100">
        <f>SUM(I39:I41)</f>
        <v>60000</v>
      </c>
      <c r="J38" s="99"/>
      <c r="K38" s="178">
        <f>SUM(K39:K41)</f>
        <v>0</v>
      </c>
      <c r="M38" s="101"/>
      <c r="N38" s="102"/>
      <c r="O38" s="102"/>
      <c r="P38" s="102"/>
      <c r="Q38" s="102"/>
      <c r="R38" s="102"/>
      <c r="S38" s="103"/>
    </row>
    <row r="39" spans="2:19" ht="15" thickBot="1">
      <c r="B39" s="104">
        <f>$B$38</f>
        <v>3</v>
      </c>
      <c r="C39" s="105">
        <v>51</v>
      </c>
      <c r="D39" s="111" t="s">
        <v>237</v>
      </c>
      <c r="E39" s="106"/>
      <c r="F39" s="236"/>
      <c r="G39" s="107">
        <v>60000</v>
      </c>
      <c r="H39" s="247"/>
      <c r="I39" s="88">
        <f>IF(AND(G39&lt;&gt;0,H39=""),G39,IF(AND(G39&lt;&gt;0,H39&gt;0),G39*H39,""))</f>
        <v>60000</v>
      </c>
      <c r="J39" s="106"/>
      <c r="K39" s="183"/>
      <c r="M39" s="85"/>
      <c r="N39" s="86"/>
      <c r="O39" s="86"/>
      <c r="P39" s="86"/>
      <c r="Q39" s="86"/>
      <c r="R39" s="86"/>
      <c r="S39" s="87"/>
    </row>
    <row r="40" spans="2:19" ht="15" thickBot="1">
      <c r="B40" s="156">
        <f>$B$38</f>
        <v>3</v>
      </c>
      <c r="C40" s="157">
        <v>52</v>
      </c>
      <c r="D40" s="158" t="s">
        <v>171</v>
      </c>
      <c r="E40" s="159"/>
      <c r="F40" s="237"/>
      <c r="G40" s="160"/>
      <c r="H40" s="248"/>
      <c r="I40" s="161" t="str">
        <f>IF(AND(G40&lt;&gt;0,H40=""),G40,IF(AND(G40&lt;&gt;0,H40&gt;0),G40*H40,""))</f>
        <v/>
      </c>
      <c r="J40" s="159"/>
      <c r="K40" s="184"/>
      <c r="M40" s="85"/>
      <c r="N40" s="86"/>
      <c r="O40" s="86"/>
      <c r="P40" s="86"/>
      <c r="Q40" s="86"/>
      <c r="R40" s="86"/>
      <c r="S40" s="87"/>
    </row>
    <row r="41" spans="2:19" ht="15" thickBot="1">
      <c r="B41" s="156">
        <f>$B$38</f>
        <v>3</v>
      </c>
      <c r="C41" s="144">
        <v>53</v>
      </c>
      <c r="D41" s="145" t="s">
        <v>56</v>
      </c>
      <c r="E41" s="149"/>
      <c r="F41" s="235"/>
      <c r="G41" s="147"/>
      <c r="H41" s="246"/>
      <c r="I41" s="148" t="str">
        <f>IF(AND(G41&lt;&gt;0,H41=""),G41,IF(AND(G41&lt;&gt;0,H41&gt;0),G41*H41,""))</f>
        <v/>
      </c>
      <c r="J41" s="149"/>
      <c r="K41" s="181"/>
      <c r="M41" s="85"/>
      <c r="N41" s="86"/>
      <c r="O41" s="86"/>
      <c r="P41" s="86"/>
      <c r="Q41" s="86"/>
      <c r="R41" s="86"/>
      <c r="S41" s="87"/>
    </row>
    <row r="42" spans="2:19" ht="18.600000000000001" thickBot="1">
      <c r="B42" s="96">
        <f>$B$15</f>
        <v>3</v>
      </c>
      <c r="C42" s="97">
        <v>60</v>
      </c>
      <c r="D42" s="99" t="s">
        <v>172</v>
      </c>
      <c r="E42" s="99"/>
      <c r="F42" s="238"/>
      <c r="G42" s="109"/>
      <c r="H42" s="245"/>
      <c r="I42" s="100">
        <f>SUM(I43:I48)</f>
        <v>237000</v>
      </c>
      <c r="J42" s="99"/>
      <c r="K42" s="178">
        <f>SUM(K43:K48)</f>
        <v>0</v>
      </c>
      <c r="M42" s="85"/>
      <c r="N42" s="86"/>
      <c r="O42" s="86"/>
      <c r="P42" s="86"/>
      <c r="Q42" s="86"/>
      <c r="R42" s="86"/>
      <c r="S42" s="87"/>
    </row>
    <row r="43" spans="2:19" ht="15" thickBot="1">
      <c r="B43" s="150">
        <f>$B$42</f>
        <v>3</v>
      </c>
      <c r="C43" s="151">
        <v>63</v>
      </c>
      <c r="D43" s="152" t="s">
        <v>238</v>
      </c>
      <c r="E43" s="153"/>
      <c r="F43" s="218"/>
      <c r="G43" s="154">
        <v>50000</v>
      </c>
      <c r="H43" s="220">
        <v>1</v>
      </c>
      <c r="I43" s="155">
        <f t="shared" ref="I43:I48" si="8">IF(AND(G43&lt;&gt;0,H43=""),G43,IF(AND(G43&lt;&gt;0,H43&gt;0),G43*H43,""))</f>
        <v>50000</v>
      </c>
      <c r="J43" s="153"/>
      <c r="K43" s="182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>$B$42</f>
        <v>3</v>
      </c>
      <c r="C44" s="136">
        <v>64</v>
      </c>
      <c r="D44" s="137" t="s">
        <v>239</v>
      </c>
      <c r="E44" s="141"/>
      <c r="F44" s="227"/>
      <c r="G44" s="142"/>
      <c r="H44" s="169"/>
      <c r="I44" s="140" t="str">
        <f t="shared" si="8"/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ref="B45:B48" si="9">$B$42</f>
        <v>3</v>
      </c>
      <c r="C45" s="136">
        <v>65</v>
      </c>
      <c r="D45" s="137" t="s">
        <v>240</v>
      </c>
      <c r="E45" s="141"/>
      <c r="F45" s="227"/>
      <c r="G45" s="142"/>
      <c r="H45" s="169"/>
      <c r="I45" s="140" t="str">
        <f t="shared" si="8"/>
        <v/>
      </c>
      <c r="J45" s="141"/>
      <c r="K45" s="180"/>
      <c r="M45" s="85"/>
      <c r="N45" s="86"/>
      <c r="O45" s="86"/>
      <c r="P45" s="86"/>
      <c r="Q45" s="86"/>
      <c r="R45" s="86"/>
      <c r="S45" s="87"/>
    </row>
    <row r="46" spans="2:19" ht="15" thickBot="1">
      <c r="B46" s="135">
        <f t="shared" si="9"/>
        <v>3</v>
      </c>
      <c r="C46" s="136">
        <v>66</v>
      </c>
      <c r="D46" s="137" t="s">
        <v>241</v>
      </c>
      <c r="E46" s="141"/>
      <c r="F46" s="227"/>
      <c r="G46" s="142">
        <v>12000</v>
      </c>
      <c r="H46" s="169"/>
      <c r="I46" s="140">
        <f t="shared" ref="I46" si="10">IF(AND(G46&lt;&gt;0,H46=""),G46,IF(AND(G46&lt;&gt;0,H46&gt;0),G46*H46,""))</f>
        <v>12000</v>
      </c>
      <c r="J46" s="141"/>
      <c r="K46" s="180"/>
      <c r="M46" s="85"/>
      <c r="N46" s="86"/>
      <c r="O46" s="86"/>
      <c r="P46" s="86"/>
      <c r="Q46" s="86"/>
      <c r="R46" s="86"/>
      <c r="S46" s="87"/>
    </row>
    <row r="47" spans="2:19" ht="15" thickBot="1">
      <c r="B47" s="135">
        <f t="shared" si="9"/>
        <v>3</v>
      </c>
      <c r="C47" s="136">
        <v>67</v>
      </c>
      <c r="D47" s="137" t="s">
        <v>242</v>
      </c>
      <c r="E47" s="141"/>
      <c r="F47" s="227"/>
      <c r="G47" s="142">
        <v>10000</v>
      </c>
      <c r="H47" s="169"/>
      <c r="I47" s="140">
        <f t="shared" si="8"/>
        <v>10000</v>
      </c>
      <c r="J47" s="141"/>
      <c r="K47" s="180"/>
      <c r="M47" s="85"/>
      <c r="N47" s="86"/>
      <c r="O47" s="86"/>
      <c r="P47" s="86"/>
      <c r="Q47" s="86"/>
      <c r="R47" s="86"/>
      <c r="S47" s="87"/>
    </row>
    <row r="48" spans="2:19" ht="15" thickBot="1">
      <c r="B48" s="135">
        <f t="shared" si="9"/>
        <v>3</v>
      </c>
      <c r="C48" s="136">
        <v>68</v>
      </c>
      <c r="D48" s="137" t="s">
        <v>316</v>
      </c>
      <c r="E48" s="141"/>
      <c r="F48" s="239"/>
      <c r="G48" s="142">
        <v>165000</v>
      </c>
      <c r="H48" s="169"/>
      <c r="I48" s="140">
        <f t="shared" si="8"/>
        <v>165000</v>
      </c>
      <c r="J48" s="141"/>
      <c r="K48" s="180"/>
      <c r="M48" s="85"/>
      <c r="N48" s="86"/>
      <c r="O48" s="86"/>
      <c r="P48" s="86"/>
      <c r="Q48" s="86"/>
      <c r="R48" s="86"/>
      <c r="S48" s="87"/>
    </row>
    <row r="49" spans="2:19" ht="18.600000000000001" thickBot="1">
      <c r="B49" s="96">
        <f>$B$15</f>
        <v>3</v>
      </c>
      <c r="C49" s="97">
        <v>70</v>
      </c>
      <c r="D49" s="99" t="s">
        <v>178</v>
      </c>
      <c r="E49" s="99"/>
      <c r="F49" s="238"/>
      <c r="G49" s="109"/>
      <c r="H49" s="245"/>
      <c r="I49" s="100">
        <f>SUM(I50:I58)</f>
        <v>87500</v>
      </c>
      <c r="J49" s="99"/>
      <c r="K49" s="178">
        <f>SUM(K50:K58)</f>
        <v>0</v>
      </c>
      <c r="M49" s="85"/>
      <c r="N49" s="86"/>
      <c r="O49" s="86"/>
      <c r="P49" s="86"/>
      <c r="Q49" s="86"/>
      <c r="R49" s="86"/>
      <c r="S49" s="87"/>
    </row>
    <row r="50" spans="2:19" ht="15" thickBot="1">
      <c r="B50" s="150">
        <f>$B$49</f>
        <v>3</v>
      </c>
      <c r="C50" s="151">
        <v>71</v>
      </c>
      <c r="D50" s="152" t="s">
        <v>180</v>
      </c>
      <c r="E50" s="153"/>
      <c r="F50" s="240"/>
      <c r="G50" s="154">
        <v>5000</v>
      </c>
      <c r="H50" s="220"/>
      <c r="I50" s="155">
        <f t="shared" ref="I50:I58" si="11">IF(AND(G50&lt;&gt;0,H50=""),G50,IF(AND(G50&lt;&gt;0,H50&gt;0),G50*H50,""))</f>
        <v>5000</v>
      </c>
      <c r="J50" s="153"/>
      <c r="K50" s="182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>$B$49</f>
        <v>3</v>
      </c>
      <c r="C51" s="136">
        <v>72</v>
      </c>
      <c r="D51" s="137" t="s">
        <v>181</v>
      </c>
      <c r="E51" s="141"/>
      <c r="F51" s="239"/>
      <c r="G51" s="142">
        <v>2500</v>
      </c>
      <c r="H51" s="169"/>
      <c r="I51" s="140">
        <f t="shared" si="11"/>
        <v>2500</v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f t="shared" ref="B52:B58" si="12">$B$49</f>
        <v>3</v>
      </c>
      <c r="C52" s="136">
        <v>73</v>
      </c>
      <c r="D52" s="137" t="s">
        <v>179</v>
      </c>
      <c r="E52" s="141"/>
      <c r="F52" s="239"/>
      <c r="G52" s="142"/>
      <c r="H52" s="169"/>
      <c r="I52" s="140" t="str">
        <f t="shared" si="11"/>
        <v/>
      </c>
      <c r="J52" s="141"/>
      <c r="K52" s="180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f t="shared" si="12"/>
        <v>3</v>
      </c>
      <c r="C53" s="136">
        <v>74</v>
      </c>
      <c r="D53" s="137" t="s">
        <v>245</v>
      </c>
      <c r="E53" s="141"/>
      <c r="F53" s="239"/>
      <c r="G53" s="142"/>
      <c r="H53" s="169"/>
      <c r="I53" s="140" t="str">
        <f t="shared" ref="I53" si="13">IF(AND(G53&lt;&gt;0,H53=""),G53,IF(AND(G53&lt;&gt;0,H53&gt;0),G53*H53,""))</f>
        <v/>
      </c>
      <c r="J53" s="141"/>
      <c r="K53" s="180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f t="shared" si="12"/>
        <v>3</v>
      </c>
      <c r="C54" s="136">
        <v>75</v>
      </c>
      <c r="D54" s="137" t="s">
        <v>244</v>
      </c>
      <c r="E54" s="141"/>
      <c r="F54" s="239"/>
      <c r="G54" s="142">
        <v>30000</v>
      </c>
      <c r="H54" s="169"/>
      <c r="I54" s="140">
        <f t="shared" si="11"/>
        <v>30000</v>
      </c>
      <c r="J54" s="141"/>
      <c r="K54" s="180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f t="shared" si="12"/>
        <v>3</v>
      </c>
      <c r="C55" s="136">
        <v>76</v>
      </c>
      <c r="D55" s="137" t="s">
        <v>184</v>
      </c>
      <c r="E55" s="141"/>
      <c r="F55" s="239"/>
      <c r="G55" s="142"/>
      <c r="H55" s="169"/>
      <c r="I55" s="140" t="str">
        <f t="shared" si="11"/>
        <v/>
      </c>
      <c r="J55" s="141"/>
      <c r="K55" s="180"/>
      <c r="M55" s="85"/>
      <c r="N55" s="86"/>
      <c r="O55" s="86"/>
      <c r="P55" s="86"/>
      <c r="Q55" s="86"/>
      <c r="R55" s="86"/>
      <c r="S55" s="87"/>
    </row>
    <row r="56" spans="2:19" ht="15" thickBot="1">
      <c r="B56" s="135">
        <f t="shared" si="12"/>
        <v>3</v>
      </c>
      <c r="C56" s="136">
        <v>77</v>
      </c>
      <c r="D56" s="137" t="s">
        <v>185</v>
      </c>
      <c r="E56" s="141"/>
      <c r="F56" s="239"/>
      <c r="G56" s="142"/>
      <c r="H56" s="169"/>
      <c r="I56" s="140" t="str">
        <f t="shared" si="11"/>
        <v/>
      </c>
      <c r="J56" s="141"/>
      <c r="K56" s="180"/>
      <c r="M56" s="85"/>
      <c r="N56" s="86"/>
      <c r="O56" s="86"/>
      <c r="P56" s="86"/>
      <c r="Q56" s="86"/>
      <c r="R56" s="86"/>
      <c r="S56" s="87"/>
    </row>
    <row r="57" spans="2:19" ht="15" thickBot="1">
      <c r="B57" s="135">
        <f t="shared" si="12"/>
        <v>3</v>
      </c>
      <c r="C57" s="136">
        <v>78</v>
      </c>
      <c r="D57" s="137" t="s">
        <v>210</v>
      </c>
      <c r="E57" s="141"/>
      <c r="F57" s="239"/>
      <c r="G57" s="142">
        <v>30000</v>
      </c>
      <c r="H57" s="169"/>
      <c r="I57" s="140">
        <f t="shared" ref="I57" si="14">IF(AND(G57&lt;&gt;0,H57=""),G57,IF(AND(G57&lt;&gt;0,H57&gt;0),G57*H57,""))</f>
        <v>30000</v>
      </c>
      <c r="J57" s="141"/>
      <c r="K57" s="180"/>
      <c r="M57" s="85"/>
      <c r="N57" s="86"/>
      <c r="O57" s="86"/>
      <c r="P57" s="86"/>
      <c r="Q57" s="86"/>
      <c r="R57" s="86"/>
      <c r="S57" s="87"/>
    </row>
    <row r="58" spans="2:19" ht="15" thickBot="1">
      <c r="B58" s="135">
        <f t="shared" si="12"/>
        <v>3</v>
      </c>
      <c r="C58" s="144">
        <v>79</v>
      </c>
      <c r="D58" s="145" t="s">
        <v>243</v>
      </c>
      <c r="E58" s="149"/>
      <c r="F58" s="241"/>
      <c r="G58" s="147">
        <v>20000</v>
      </c>
      <c r="H58" s="246"/>
      <c r="I58" s="140">
        <f t="shared" si="11"/>
        <v>20000</v>
      </c>
      <c r="J58" s="149"/>
      <c r="K58" s="181"/>
      <c r="M58" s="85"/>
      <c r="N58" s="86"/>
      <c r="O58" s="86"/>
      <c r="P58" s="86"/>
      <c r="Q58" s="86"/>
      <c r="R58" s="86"/>
      <c r="S58" s="87"/>
    </row>
    <row r="59" spans="2:19" ht="18.600000000000001" thickBot="1">
      <c r="B59" s="96">
        <f>$B$15</f>
        <v>3</v>
      </c>
      <c r="C59" s="97">
        <v>80</v>
      </c>
      <c r="D59" s="99" t="s">
        <v>186</v>
      </c>
      <c r="E59" s="99"/>
      <c r="F59" s="238"/>
      <c r="G59" s="109"/>
      <c r="H59" s="245"/>
      <c r="I59" s="100">
        <f>SUM(I60:I63)</f>
        <v>15000</v>
      </c>
      <c r="J59" s="99"/>
      <c r="K59" s="178">
        <f>SUM(K60:K63)</f>
        <v>0</v>
      </c>
      <c r="M59" s="85"/>
      <c r="N59" s="86"/>
      <c r="O59" s="86"/>
      <c r="P59" s="86"/>
      <c r="Q59" s="86"/>
      <c r="R59" s="86"/>
      <c r="S59" s="87"/>
    </row>
    <row r="60" spans="2:19" ht="15" thickBot="1">
      <c r="B60" s="150">
        <f>$B$59</f>
        <v>3</v>
      </c>
      <c r="C60" s="151">
        <v>81</v>
      </c>
      <c r="D60" s="152" t="s">
        <v>187</v>
      </c>
      <c r="E60" s="153"/>
      <c r="F60" s="240"/>
      <c r="G60" s="154">
        <v>15000</v>
      </c>
      <c r="H60" s="220"/>
      <c r="I60" s="155">
        <f>IF(AND(G60&lt;&gt;0,H60=""),G60,IF(AND(G60&lt;&gt;0,H60&gt;0),G60*H60,""))</f>
        <v>15000</v>
      </c>
      <c r="J60" s="153"/>
      <c r="K60" s="182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>$B$59</f>
        <v>3</v>
      </c>
      <c r="C61" s="136">
        <v>82</v>
      </c>
      <c r="D61" s="137" t="s">
        <v>188</v>
      </c>
      <c r="E61" s="141"/>
      <c r="F61" s="239"/>
      <c r="G61" s="142"/>
      <c r="H61" s="169"/>
      <c r="I61" s="140" t="str">
        <f>IF(AND(G61&lt;&gt;0,H61=""),G61,IF(AND(G61&lt;&gt;0,H61&gt;0),G61*H61,""))</f>
        <v/>
      </c>
      <c r="J61" s="141"/>
      <c r="K61" s="180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ref="B62:B63" si="15">$B$59</f>
        <v>3</v>
      </c>
      <c r="C62" s="136">
        <v>83</v>
      </c>
      <c r="D62" s="137" t="s">
        <v>189</v>
      </c>
      <c r="E62" s="141"/>
      <c r="F62" s="239"/>
      <c r="G62" s="142"/>
      <c r="H62" s="169"/>
      <c r="I62" s="140" t="str">
        <f>IF(AND(G62&lt;&gt;0,H62=""),G62,IF(AND(G62&lt;&gt;0,H62&gt;0),G62*H62,""))</f>
        <v/>
      </c>
      <c r="J62" s="141"/>
      <c r="K62" s="180"/>
      <c r="M62" s="85"/>
      <c r="N62" s="86"/>
      <c r="O62" s="86"/>
      <c r="P62" s="86"/>
      <c r="Q62" s="86"/>
      <c r="R62" s="86"/>
      <c r="S62" s="87"/>
    </row>
    <row r="63" spans="2:19" ht="15" thickBot="1">
      <c r="B63" s="135">
        <f t="shared" si="15"/>
        <v>3</v>
      </c>
      <c r="C63" s="144">
        <v>84</v>
      </c>
      <c r="D63" s="145" t="s">
        <v>190</v>
      </c>
      <c r="E63" s="149"/>
      <c r="F63" s="241"/>
      <c r="G63" s="147"/>
      <c r="H63" s="246"/>
      <c r="I63" s="148" t="str">
        <f>IF(AND(G63&lt;&gt;0,H63=""),G63,IF(AND(G63&lt;&gt;0,H63&gt;0),G63*H63,""))</f>
        <v/>
      </c>
      <c r="J63" s="149"/>
      <c r="K63" s="181"/>
      <c r="M63" s="85"/>
      <c r="N63" s="86"/>
      <c r="O63" s="86"/>
      <c r="P63" s="86"/>
      <c r="Q63" s="86"/>
      <c r="R63" s="86"/>
      <c r="S63" s="87"/>
    </row>
    <row r="64" spans="2:19" ht="18.600000000000001" thickBot="1">
      <c r="B64" s="96">
        <f>$B$15</f>
        <v>3</v>
      </c>
      <c r="C64" s="97">
        <v>110</v>
      </c>
      <c r="D64" s="99" t="s">
        <v>223</v>
      </c>
      <c r="E64" s="99"/>
      <c r="F64" s="238"/>
      <c r="G64" s="109"/>
      <c r="H64" s="245"/>
      <c r="I64" s="100">
        <f>SUM(I65:I71)</f>
        <v>34000</v>
      </c>
      <c r="J64" s="99"/>
      <c r="K64" s="178">
        <f>SUM(K65:K71)</f>
        <v>0</v>
      </c>
      <c r="M64" s="85"/>
      <c r="N64" s="86"/>
      <c r="O64" s="86"/>
      <c r="P64" s="86"/>
      <c r="Q64" s="86"/>
      <c r="R64" s="86"/>
      <c r="S64" s="87"/>
    </row>
    <row r="65" spans="2:19" ht="15" thickBot="1">
      <c r="B65" s="150">
        <f>$B$64</f>
        <v>3</v>
      </c>
      <c r="C65" s="151">
        <v>111</v>
      </c>
      <c r="D65" s="152" t="s">
        <v>191</v>
      </c>
      <c r="E65" s="153"/>
      <c r="F65" s="240"/>
      <c r="G65" s="154">
        <v>18000</v>
      </c>
      <c r="H65" s="220"/>
      <c r="I65" s="155">
        <f t="shared" ref="I65:I71" si="16">IF(AND(G65&lt;&gt;0,H65=""),G65,IF(AND(G65&lt;&gt;0,H65&gt;0),G65*H65,""))</f>
        <v>18000</v>
      </c>
      <c r="J65" s="153"/>
      <c r="K65" s="182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>$B$64</f>
        <v>3</v>
      </c>
      <c r="C66" s="136">
        <v>112</v>
      </c>
      <c r="D66" s="137" t="s">
        <v>192</v>
      </c>
      <c r="E66" s="141"/>
      <c r="F66" s="239"/>
      <c r="G66" s="142"/>
      <c r="H66" s="169"/>
      <c r="I66" s="140" t="str">
        <f t="shared" si="16"/>
        <v/>
      </c>
      <c r="J66" s="141"/>
      <c r="K66" s="180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ref="B67:B71" si="17">$B$64</f>
        <v>3</v>
      </c>
      <c r="C67" s="136">
        <v>114</v>
      </c>
      <c r="D67" s="137" t="s">
        <v>48</v>
      </c>
      <c r="E67" s="141"/>
      <c r="F67" s="239"/>
      <c r="G67" s="142">
        <v>12000</v>
      </c>
      <c r="H67" s="169"/>
      <c r="I67" s="140">
        <f t="shared" si="16"/>
        <v>12000</v>
      </c>
      <c r="J67" s="141"/>
      <c r="K67" s="180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7"/>
        <v>3</v>
      </c>
      <c r="C68" s="136">
        <v>115</v>
      </c>
      <c r="D68" s="137" t="s">
        <v>49</v>
      </c>
      <c r="E68" s="141"/>
      <c r="F68" s="239"/>
      <c r="G68" s="142"/>
      <c r="H68" s="169"/>
      <c r="I68" s="140" t="str">
        <f t="shared" si="16"/>
        <v/>
      </c>
      <c r="J68" s="141"/>
      <c r="K68" s="180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7"/>
        <v>3</v>
      </c>
      <c r="C69" s="136">
        <v>116</v>
      </c>
      <c r="D69" s="137" t="s">
        <v>45</v>
      </c>
      <c r="E69" s="141"/>
      <c r="F69" s="239"/>
      <c r="G69" s="142"/>
      <c r="H69" s="169"/>
      <c r="I69" s="140" t="str">
        <f t="shared" si="16"/>
        <v/>
      </c>
      <c r="J69" s="141"/>
      <c r="K69" s="180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7"/>
        <v>3</v>
      </c>
      <c r="C70" s="136">
        <v>117</v>
      </c>
      <c r="D70" s="137" t="s">
        <v>47</v>
      </c>
      <c r="E70" s="141"/>
      <c r="F70" s="239"/>
      <c r="G70" s="142">
        <v>4000</v>
      </c>
      <c r="H70" s="169"/>
      <c r="I70" s="140">
        <f t="shared" si="16"/>
        <v>4000</v>
      </c>
      <c r="J70" s="141"/>
      <c r="K70" s="180"/>
      <c r="M70" s="85"/>
      <c r="N70" s="86"/>
      <c r="O70" s="86"/>
      <c r="P70" s="86"/>
      <c r="Q70" s="86"/>
      <c r="R70" s="86"/>
      <c r="S70" s="87"/>
    </row>
    <row r="71" spans="2:19" ht="15" thickBot="1">
      <c r="B71" s="135">
        <f t="shared" si="17"/>
        <v>3</v>
      </c>
      <c r="C71" s="144">
        <v>118</v>
      </c>
      <c r="D71" s="145" t="s">
        <v>46</v>
      </c>
      <c r="E71" s="149"/>
      <c r="F71" s="241"/>
      <c r="G71" s="147"/>
      <c r="H71" s="246"/>
      <c r="I71" s="148" t="str">
        <f t="shared" si="16"/>
        <v/>
      </c>
      <c r="J71" s="149"/>
      <c r="K71" s="181"/>
      <c r="M71" s="85"/>
      <c r="N71" s="86"/>
      <c r="O71" s="86"/>
      <c r="P71" s="86"/>
      <c r="Q71" s="86"/>
      <c r="R71" s="86"/>
      <c r="S71" s="87"/>
    </row>
    <row r="72" spans="2:19" ht="18.600000000000001" thickBot="1">
      <c r="B72" s="96">
        <f>$B$15</f>
        <v>3</v>
      </c>
      <c r="C72" s="97">
        <v>500</v>
      </c>
      <c r="D72" s="99" t="s">
        <v>193</v>
      </c>
      <c r="E72" s="99"/>
      <c r="F72" s="228"/>
      <c r="G72" s="99"/>
      <c r="H72" s="245"/>
      <c r="I72" s="100">
        <f>SUM(I73:I74)</f>
        <v>0</v>
      </c>
      <c r="J72" s="99"/>
      <c r="K72" s="178">
        <f>SUM(K73:K74)</f>
        <v>0</v>
      </c>
      <c r="M72" s="85"/>
      <c r="N72" s="86"/>
      <c r="O72" s="86"/>
      <c r="P72" s="86"/>
      <c r="Q72" s="86"/>
      <c r="R72" s="86"/>
      <c r="S72" s="87"/>
    </row>
    <row r="73" spans="2:19" ht="15" thickBot="1">
      <c r="B73" s="150">
        <f>$B$72</f>
        <v>3</v>
      </c>
      <c r="C73" s="151">
        <v>510</v>
      </c>
      <c r="D73" s="152" t="s">
        <v>194</v>
      </c>
      <c r="E73" s="153"/>
      <c r="F73" s="226"/>
      <c r="G73" s="153"/>
      <c r="H73" s="220"/>
      <c r="I73" s="155" t="str">
        <f t="shared" ref="I73:I74" si="18">IF(AND(F73&lt;&gt;0,H73=""),F73,IF(AND(F73&lt;&gt;0,H73&gt;0),F73*H73,""))</f>
        <v/>
      </c>
      <c r="J73" s="153"/>
      <c r="K73" s="182"/>
      <c r="M73" s="85"/>
      <c r="N73" s="86"/>
      <c r="O73" s="86"/>
      <c r="P73" s="86"/>
      <c r="Q73" s="86"/>
      <c r="R73" s="86"/>
      <c r="S73" s="87"/>
    </row>
    <row r="74" spans="2:19" ht="15" thickBot="1">
      <c r="B74" s="143">
        <f>$B$72</f>
        <v>3</v>
      </c>
      <c r="C74" s="144">
        <v>520</v>
      </c>
      <c r="D74" s="145" t="s">
        <v>195</v>
      </c>
      <c r="E74" s="149"/>
      <c r="F74" s="229"/>
      <c r="G74" s="149"/>
      <c r="H74" s="246"/>
      <c r="I74" s="148" t="str">
        <f t="shared" si="18"/>
        <v/>
      </c>
      <c r="J74" s="149"/>
      <c r="K74" s="181"/>
      <c r="M74" s="85"/>
      <c r="N74" s="86"/>
      <c r="O74" s="86"/>
      <c r="P74" s="86"/>
      <c r="Q74" s="86"/>
      <c r="R74" s="86"/>
      <c r="S74" s="87"/>
    </row>
    <row r="75" spans="2:19" ht="18.600000000000001" thickBot="1">
      <c r="B75" s="367" t="s">
        <v>201</v>
      </c>
      <c r="C75" s="368"/>
      <c r="D75" s="368"/>
      <c r="E75" s="368"/>
      <c r="F75" s="368"/>
      <c r="G75" s="368"/>
      <c r="H75" s="368"/>
      <c r="I75" s="368"/>
      <c r="J75" s="368"/>
      <c r="K75" s="369"/>
      <c r="M75" s="85"/>
      <c r="N75" s="86"/>
      <c r="O75" s="86"/>
      <c r="P75" s="86"/>
      <c r="Q75" s="86"/>
      <c r="R75" s="86"/>
      <c r="S75" s="87"/>
    </row>
    <row r="76" spans="2:19" ht="15" thickBot="1">
      <c r="B76" s="196" t="s">
        <v>152</v>
      </c>
      <c r="C76" s="197" t="s">
        <v>153</v>
      </c>
      <c r="D76" s="197" t="s">
        <v>209</v>
      </c>
      <c r="E76" s="370" t="s">
        <v>161</v>
      </c>
      <c r="F76" s="371"/>
      <c r="G76" s="197" t="s">
        <v>157</v>
      </c>
      <c r="H76" s="249" t="s">
        <v>159</v>
      </c>
      <c r="I76" s="197" t="s">
        <v>160</v>
      </c>
      <c r="J76" s="198" t="s">
        <v>35</v>
      </c>
      <c r="K76" s="199" t="s">
        <v>196</v>
      </c>
      <c r="M76" s="85"/>
      <c r="N76" s="86"/>
      <c r="O76" s="86"/>
      <c r="P76" s="86"/>
      <c r="Q76" s="86"/>
      <c r="R76" s="86"/>
      <c r="S76" s="87"/>
    </row>
    <row r="77" spans="2:19" ht="18.600000000000001" thickBot="1">
      <c r="B77" s="96">
        <f>$B$15</f>
        <v>3</v>
      </c>
      <c r="C77" s="90">
        <v>1000</v>
      </c>
      <c r="D77" s="91" t="s">
        <v>202</v>
      </c>
      <c r="E77" s="92"/>
      <c r="F77" s="230"/>
      <c r="G77" s="108"/>
      <c r="H77" s="244"/>
      <c r="I77" s="94">
        <f>SUM(I78:I86)</f>
        <v>1574034</v>
      </c>
      <c r="J77" s="93"/>
      <c r="K77" s="185">
        <f>SUM(K78:K86)</f>
        <v>0</v>
      </c>
      <c r="M77" s="85"/>
      <c r="N77" s="86"/>
      <c r="O77" s="86"/>
      <c r="P77" s="86"/>
      <c r="Q77" s="86"/>
      <c r="R77" s="86"/>
      <c r="S77" s="87"/>
    </row>
    <row r="78" spans="2:19" ht="15" thickBot="1">
      <c r="B78" s="128">
        <f>$B$77</f>
        <v>3</v>
      </c>
      <c r="C78" s="129">
        <v>1005</v>
      </c>
      <c r="D78" s="130" t="s">
        <v>246</v>
      </c>
      <c r="E78" s="211" t="s">
        <v>305</v>
      </c>
      <c r="F78" s="231"/>
      <c r="G78" s="165">
        <v>3500</v>
      </c>
      <c r="H78" s="166"/>
      <c r="I78" s="133">
        <f t="shared" ref="I78:I86" si="19">IF(AND(G78&lt;&gt;0,H78=""),G78,IF(AND(G78&lt;&gt;0,H78&gt;0),G78*H78,""))</f>
        <v>3500</v>
      </c>
      <c r="J78" s="129"/>
      <c r="K78" s="186"/>
      <c r="M78" s="85"/>
      <c r="N78" s="86"/>
      <c r="O78" s="86"/>
      <c r="P78" s="86"/>
      <c r="Q78" s="86"/>
      <c r="R78" s="86"/>
      <c r="S78" s="87"/>
    </row>
    <row r="79" spans="2:19" ht="15" thickBot="1">
      <c r="B79" s="135">
        <f>$B$77</f>
        <v>3</v>
      </c>
      <c r="C79" s="136">
        <v>1045</v>
      </c>
      <c r="D79" s="137" t="s">
        <v>237</v>
      </c>
      <c r="E79" s="210" t="s">
        <v>306</v>
      </c>
      <c r="F79" s="250"/>
      <c r="G79" s="170">
        <v>98.43</v>
      </c>
      <c r="H79" s="169">
        <v>8000</v>
      </c>
      <c r="I79" s="140">
        <f t="shared" si="19"/>
        <v>787440</v>
      </c>
      <c r="J79" s="136"/>
      <c r="K79" s="187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f t="shared" ref="B80:B86" si="20">$B$77</f>
        <v>3</v>
      </c>
      <c r="C80" s="136">
        <v>1050</v>
      </c>
      <c r="D80" s="137" t="s">
        <v>308</v>
      </c>
      <c r="E80" s="210"/>
      <c r="F80" s="250"/>
      <c r="G80" s="170"/>
      <c r="H80" s="169"/>
      <c r="I80" s="140" t="str">
        <f t="shared" si="19"/>
        <v/>
      </c>
      <c r="J80" s="136"/>
      <c r="K80" s="187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f t="shared" si="20"/>
        <v>3</v>
      </c>
      <c r="C81" s="136">
        <v>1055</v>
      </c>
      <c r="D81" s="137" t="s">
        <v>58</v>
      </c>
      <c r="E81" s="210" t="s">
        <v>307</v>
      </c>
      <c r="F81" s="250"/>
      <c r="G81" s="170">
        <v>61.14</v>
      </c>
      <c r="H81" s="169">
        <v>7100</v>
      </c>
      <c r="I81" s="140">
        <f t="shared" ref="I81" si="21">IF(AND(G81&lt;&gt;0,H81=""),G81,IF(AND(G81&lt;&gt;0,H81&gt;0),G81*H81,""))</f>
        <v>434094</v>
      </c>
      <c r="J81" s="136"/>
      <c r="K81" s="187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f t="shared" si="20"/>
        <v>3</v>
      </c>
      <c r="C82" s="136">
        <v>1060</v>
      </c>
      <c r="D82" s="137" t="s">
        <v>247</v>
      </c>
      <c r="E82" s="210" t="s">
        <v>309</v>
      </c>
      <c r="F82" s="250"/>
      <c r="G82" s="142">
        <f>22000+252000+10000</f>
        <v>284000</v>
      </c>
      <c r="H82" s="169">
        <v>1</v>
      </c>
      <c r="I82" s="140">
        <f t="shared" si="19"/>
        <v>284000</v>
      </c>
      <c r="J82" s="136"/>
      <c r="K82" s="187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f t="shared" si="20"/>
        <v>3</v>
      </c>
      <c r="C83" s="136">
        <v>1065</v>
      </c>
      <c r="D83" s="137" t="s">
        <v>248</v>
      </c>
      <c r="E83" s="210"/>
      <c r="F83" s="250"/>
      <c r="G83" s="142">
        <v>50000</v>
      </c>
      <c r="H83" s="169">
        <v>1</v>
      </c>
      <c r="I83" s="140">
        <f t="shared" si="19"/>
        <v>50000</v>
      </c>
      <c r="J83" s="136"/>
      <c r="K83" s="187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f t="shared" si="20"/>
        <v>3</v>
      </c>
      <c r="C84" s="136">
        <v>1070</v>
      </c>
      <c r="D84" s="137" t="s">
        <v>249</v>
      </c>
      <c r="E84" s="210"/>
      <c r="F84" s="250"/>
      <c r="G84" s="142"/>
      <c r="H84" s="169"/>
      <c r="I84" s="140" t="str">
        <f t="shared" si="19"/>
        <v/>
      </c>
      <c r="J84" s="136"/>
      <c r="K84" s="187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f t="shared" si="20"/>
        <v>3</v>
      </c>
      <c r="C85" s="136">
        <v>1075</v>
      </c>
      <c r="D85" s="137" t="s">
        <v>250</v>
      </c>
      <c r="E85" s="210"/>
      <c r="F85" s="250"/>
      <c r="G85" s="142">
        <v>15000</v>
      </c>
      <c r="H85" s="169"/>
      <c r="I85" s="140">
        <f t="shared" si="19"/>
        <v>15000</v>
      </c>
      <c r="J85" s="136"/>
      <c r="K85" s="187"/>
      <c r="M85" s="85"/>
      <c r="N85" s="86"/>
      <c r="O85" s="86"/>
      <c r="P85" s="86"/>
      <c r="Q85" s="86"/>
      <c r="R85" s="86"/>
      <c r="S85" s="87"/>
    </row>
    <row r="86" spans="2:19" ht="15" thickBot="1">
      <c r="B86" s="189">
        <f t="shared" si="20"/>
        <v>3</v>
      </c>
      <c r="C86" s="190">
        <v>1095</v>
      </c>
      <c r="D86" s="191" t="s">
        <v>208</v>
      </c>
      <c r="E86" s="215"/>
      <c r="F86" s="251"/>
      <c r="G86" s="193"/>
      <c r="H86" s="216"/>
      <c r="I86" s="194" t="str">
        <f t="shared" si="19"/>
        <v/>
      </c>
      <c r="J86" s="190"/>
      <c r="K86" s="217"/>
      <c r="M86" s="85"/>
      <c r="N86" s="86"/>
      <c r="O86" s="86"/>
      <c r="P86" s="86"/>
      <c r="Q86" s="86"/>
      <c r="R86" s="86"/>
      <c r="S86" s="87"/>
    </row>
    <row r="87" spans="2:19" ht="18.600000000000001" thickBot="1">
      <c r="B87" s="96">
        <f>$B$15</f>
        <v>3</v>
      </c>
      <c r="C87" s="90">
        <v>1500</v>
      </c>
      <c r="D87" s="91" t="s">
        <v>251</v>
      </c>
      <c r="E87" s="92"/>
      <c r="F87" s="230"/>
      <c r="G87" s="108"/>
      <c r="H87" s="244"/>
      <c r="I87" s="94">
        <f>SUM(I88:I89)</f>
        <v>0</v>
      </c>
      <c r="J87" s="93"/>
      <c r="K87" s="185">
        <f>SUM(K88:K89)</f>
        <v>0</v>
      </c>
    </row>
    <row r="88" spans="2:19">
      <c r="B88" s="135">
        <f>$B$87</f>
        <v>3</v>
      </c>
      <c r="C88" s="136">
        <v>1510</v>
      </c>
      <c r="D88" s="137" t="s">
        <v>194</v>
      </c>
      <c r="E88" s="167"/>
      <c r="F88" s="232"/>
      <c r="G88" s="142"/>
      <c r="H88" s="169"/>
      <c r="I88" s="140" t="str">
        <f t="shared" ref="I88:I89" si="22">IF(AND(G88&lt;&gt;0,H88=""),G88,IF(AND(G88&lt;&gt;0,H88&gt;0),G88*H88,""))</f>
        <v/>
      </c>
      <c r="J88" s="136"/>
      <c r="K88" s="187"/>
    </row>
    <row r="89" spans="2:19" ht="15" thickBot="1">
      <c r="B89" s="171">
        <f>$B$87</f>
        <v>3</v>
      </c>
      <c r="C89" s="172">
        <v>1520</v>
      </c>
      <c r="D89" s="177" t="s">
        <v>195</v>
      </c>
      <c r="E89" s="173"/>
      <c r="F89" s="233"/>
      <c r="G89" s="175"/>
      <c r="H89" s="214"/>
      <c r="I89" s="176" t="str">
        <f t="shared" si="22"/>
        <v/>
      </c>
      <c r="J89" s="172"/>
      <c r="K89" s="188"/>
    </row>
    <row r="90" spans="2:19" ht="15" thickTop="1"/>
  </sheetData>
  <mergeCells count="41">
    <mergeCell ref="M21:S21"/>
    <mergeCell ref="M22:S22"/>
    <mergeCell ref="B75:K75"/>
    <mergeCell ref="E76:F76"/>
    <mergeCell ref="M16:S16"/>
    <mergeCell ref="M17:S17"/>
    <mergeCell ref="M18:S18"/>
    <mergeCell ref="M19:S19"/>
    <mergeCell ref="M23:S23"/>
    <mergeCell ref="M24:S24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7:D7"/>
    <mergeCell ref="E7:H7"/>
    <mergeCell ref="B8:D8"/>
    <mergeCell ref="E8:H8"/>
    <mergeCell ref="B9:D9"/>
    <mergeCell ref="E9:F9"/>
    <mergeCell ref="G9:H9"/>
    <mergeCell ref="B5:D5"/>
    <mergeCell ref="E5:H5"/>
    <mergeCell ref="B6:D6"/>
    <mergeCell ref="E6:H6"/>
    <mergeCell ref="B2:K2"/>
    <mergeCell ref="B3:D3"/>
    <mergeCell ref="E3:H3"/>
    <mergeCell ref="B4:D4"/>
    <mergeCell ref="E4:K4"/>
  </mergeCells>
  <conditionalFormatting sqref="K15 K20 K25 K32 K38 K42 K49 K59 K64 K72 K77 G12">
    <cfRule type="expression" dxfId="5" priority="3">
      <formula>G12=0</formula>
    </cfRule>
  </conditionalFormatting>
  <conditionalFormatting sqref="I12:K12">
    <cfRule type="expression" dxfId="4" priority="2">
      <formula>$G$12=0</formula>
    </cfRule>
  </conditionalFormatting>
  <conditionalFormatting sqref="K87">
    <cfRule type="expression" dxfId="3" priority="1">
      <formula>K87=0</formula>
    </cfRule>
  </conditionalFormatting>
  <dataValidations count="1">
    <dataValidation type="list" allowBlank="1" showInputMessage="1" showErrorMessage="1" sqref="E22:E24" xr:uid="{C0618725-5661-4431-9A85-834A1DD76553}">
      <formula1>"Daywork, Turnkey"</formula1>
    </dataValidation>
  </dataValidations>
  <printOptions horizontalCentered="1" verticalCentered="1"/>
  <pageMargins left="0.25" right="0.25" top="0.25" bottom="0.25" header="0" footer="0"/>
  <pageSetup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4B7-0D3A-464E-8352-86B413C862C2}">
  <sheetPr>
    <pageSetUpPr fitToPage="1"/>
  </sheetPr>
  <dimension ref="A1:V82"/>
  <sheetViews>
    <sheetView tabSelected="1" zoomScaleNormal="100" workbookViewId="0">
      <pane ySplit="14" topLeftCell="A15" activePane="bottomLeft" state="frozen"/>
      <selection activeCell="U13" sqref="U13"/>
      <selection pane="bottomLeft" activeCell="U13" sqref="U13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1" customWidth="1"/>
    <col min="7" max="7" width="11.88671875" customWidth="1"/>
    <col min="8" max="8" width="9.6640625" style="242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392" t="s">
        <v>311</v>
      </c>
      <c r="C2" s="393"/>
      <c r="D2" s="393"/>
      <c r="E2" s="393"/>
      <c r="F2" s="393"/>
      <c r="G2" s="393"/>
      <c r="H2" s="393"/>
      <c r="I2" s="393"/>
      <c r="J2" s="393"/>
      <c r="K2" s="394"/>
    </row>
    <row r="3" spans="1:22">
      <c r="A3" s="122"/>
      <c r="B3" s="358" t="s">
        <v>312</v>
      </c>
      <c r="C3" s="359"/>
      <c r="D3" s="359"/>
      <c r="E3" s="362" t="s">
        <v>313</v>
      </c>
      <c r="F3" s="362"/>
      <c r="G3" s="362"/>
      <c r="H3" s="363"/>
      <c r="I3" s="264"/>
      <c r="J3" s="264"/>
      <c r="K3" s="265"/>
    </row>
    <row r="4" spans="1:22" ht="15" thickBot="1">
      <c r="B4" s="360" t="str">
        <f>Summary!B4</f>
        <v>Criterion Operating, LLC</v>
      </c>
      <c r="C4" s="361"/>
      <c r="D4" s="361"/>
      <c r="E4" s="364" t="str">
        <f>Summary!E4</f>
        <v>Water Oak Z031D Drill, Complete &amp; Equip</v>
      </c>
      <c r="F4" s="365"/>
      <c r="G4" s="365"/>
      <c r="H4" s="365"/>
      <c r="I4" s="365"/>
      <c r="J4" s="365"/>
      <c r="K4" s="366"/>
    </row>
    <row r="5" spans="1:22">
      <c r="A5" s="122"/>
      <c r="B5" s="358" t="s">
        <v>211</v>
      </c>
      <c r="C5" s="359"/>
      <c r="D5" s="359"/>
      <c r="E5" s="359" t="s">
        <v>3</v>
      </c>
      <c r="F5" s="359"/>
      <c r="G5" s="359"/>
      <c r="H5" s="359"/>
      <c r="I5" s="125" t="s">
        <v>212</v>
      </c>
      <c r="J5" s="125" t="s">
        <v>5</v>
      </c>
      <c r="K5" s="205" t="s">
        <v>1</v>
      </c>
      <c r="V5" s="213"/>
    </row>
    <row r="6" spans="1:22" ht="15" thickBot="1">
      <c r="B6" s="360" t="str">
        <f>Summary!B6</f>
        <v>Water Oak Z031D</v>
      </c>
      <c r="C6" s="361"/>
      <c r="D6" s="361"/>
      <c r="E6" s="361" t="s">
        <v>216</v>
      </c>
      <c r="F6" s="361"/>
      <c r="G6" s="361"/>
      <c r="H6" s="361"/>
      <c r="I6" s="124" t="s">
        <v>213</v>
      </c>
      <c r="J6" s="124" t="s">
        <v>217</v>
      </c>
      <c r="K6" s="206"/>
    </row>
    <row r="7" spans="1:22">
      <c r="B7" s="354" t="s">
        <v>14</v>
      </c>
      <c r="C7" s="355"/>
      <c r="D7" s="355"/>
      <c r="E7" s="355" t="s">
        <v>214</v>
      </c>
      <c r="F7" s="355"/>
      <c r="G7" s="355"/>
      <c r="H7" s="355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22" ht="15" thickBot="1">
      <c r="B8" s="356" t="s">
        <v>220</v>
      </c>
      <c r="C8" s="357"/>
      <c r="D8" s="357"/>
      <c r="E8" s="384" t="s">
        <v>300</v>
      </c>
      <c r="F8" s="384"/>
      <c r="G8" s="384"/>
      <c r="H8" s="384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22">
      <c r="B9" s="346" t="s">
        <v>23</v>
      </c>
      <c r="C9" s="339"/>
      <c r="D9" s="339"/>
      <c r="E9" s="339" t="s">
        <v>24</v>
      </c>
      <c r="F9" s="339"/>
      <c r="G9" s="339" t="s">
        <v>25</v>
      </c>
      <c r="H9" s="339"/>
      <c r="I9" s="339" t="s">
        <v>254</v>
      </c>
      <c r="J9" s="339"/>
      <c r="K9" s="340"/>
      <c r="P9" s="118"/>
      <c r="Q9" s="20"/>
      <c r="R9" s="20"/>
    </row>
    <row r="10" spans="1:22" ht="24" thickBot="1">
      <c r="B10" s="341"/>
      <c r="C10" s="342"/>
      <c r="D10" s="342"/>
      <c r="E10" s="343">
        <v>44953</v>
      </c>
      <c r="F10" s="343"/>
      <c r="G10" s="342"/>
      <c r="H10" s="342"/>
      <c r="I10" s="381">
        <f>I15+I21+I27+I33+I41+I46+I52+I57+I79</f>
        <v>173000</v>
      </c>
      <c r="J10" s="381"/>
      <c r="K10" s="382"/>
      <c r="P10" s="118"/>
      <c r="Q10" s="20"/>
      <c r="R10" s="20"/>
    </row>
    <row r="11" spans="1:22">
      <c r="B11" s="346" t="s">
        <v>26</v>
      </c>
      <c r="C11" s="339"/>
      <c r="D11" s="339"/>
      <c r="E11" s="347" t="s">
        <v>221</v>
      </c>
      <c r="F11" s="347"/>
      <c r="G11" s="339" t="s">
        <v>255</v>
      </c>
      <c r="H11" s="339"/>
      <c r="I11" s="339" t="s">
        <v>257</v>
      </c>
      <c r="J11" s="339"/>
      <c r="K11" s="340"/>
      <c r="P11" s="118"/>
      <c r="Q11" s="20"/>
      <c r="R11" s="20"/>
    </row>
    <row r="12" spans="1:22" ht="18.600000000000001" thickBot="1">
      <c r="B12" s="341"/>
      <c r="C12" s="342"/>
      <c r="D12" s="342"/>
      <c r="E12" s="348"/>
      <c r="F12" s="348"/>
      <c r="G12" s="349">
        <f>K15+K21+K27+K33+K41+K46+K52+K57+K79</f>
        <v>0</v>
      </c>
      <c r="H12" s="349"/>
      <c r="I12" s="349">
        <f>G12+I10</f>
        <v>173000</v>
      </c>
      <c r="J12" s="349"/>
      <c r="K12" s="350"/>
      <c r="P12" s="118"/>
      <c r="Q12" s="20"/>
      <c r="R12" s="20"/>
      <c r="U12" s="212"/>
    </row>
    <row r="13" spans="1:22" s="112" customFormat="1" ht="18.600000000000001" thickBot="1">
      <c r="B13" s="378" t="s">
        <v>200</v>
      </c>
      <c r="C13" s="379"/>
      <c r="D13" s="379"/>
      <c r="E13" s="379"/>
      <c r="F13" s="379"/>
      <c r="G13" s="379"/>
      <c r="H13" s="379"/>
      <c r="I13" s="379"/>
      <c r="J13" s="379"/>
      <c r="K13" s="380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22" t="s">
        <v>158</v>
      </c>
      <c r="G14" s="201" t="s">
        <v>157</v>
      </c>
      <c r="H14" s="243" t="s">
        <v>159</v>
      </c>
      <c r="I14" s="201" t="s">
        <v>160</v>
      </c>
      <c r="J14" s="203" t="s">
        <v>35</v>
      </c>
      <c r="K14" s="204" t="s">
        <v>196</v>
      </c>
      <c r="M14" s="375" t="s">
        <v>38</v>
      </c>
      <c r="N14" s="376"/>
      <c r="O14" s="376"/>
      <c r="P14" s="376"/>
      <c r="Q14" s="376"/>
      <c r="R14" s="376"/>
      <c r="S14" s="377"/>
    </row>
    <row r="15" spans="1:22" ht="18.600000000000001" thickBot="1">
      <c r="B15" s="89">
        <v>5</v>
      </c>
      <c r="C15" s="90">
        <v>10</v>
      </c>
      <c r="D15" s="91" t="s">
        <v>151</v>
      </c>
      <c r="E15" s="92"/>
      <c r="F15" s="223"/>
      <c r="G15" s="93"/>
      <c r="H15" s="244"/>
      <c r="I15" s="94">
        <f>SUM(I16:I20)</f>
        <v>35000</v>
      </c>
      <c r="J15" s="93"/>
      <c r="K15" s="178">
        <f>SUM(K16:K20)</f>
        <v>0</v>
      </c>
      <c r="M15" s="82"/>
      <c r="N15" s="83"/>
      <c r="O15" s="83"/>
      <c r="P15" s="83"/>
      <c r="Q15" s="83"/>
      <c r="R15" s="83"/>
      <c r="S15" s="84"/>
    </row>
    <row r="16" spans="1:22" ht="15" thickBot="1">
      <c r="B16" s="128">
        <f>$B$15</f>
        <v>5</v>
      </c>
      <c r="C16" s="129">
        <v>12</v>
      </c>
      <c r="D16" s="130" t="s">
        <v>147</v>
      </c>
      <c r="E16" s="131"/>
      <c r="F16" s="224"/>
      <c r="G16" s="133">
        <v>15000</v>
      </c>
      <c r="H16" s="166"/>
      <c r="I16" s="133">
        <f t="shared" ref="I16:I20" si="0">IF(AND(G16&lt;&gt;0,H16=""),G16,IF(AND(G16&lt;&gt;0,H16&gt;0),G16*H16,""))</f>
        <v>15000</v>
      </c>
      <c r="J16" s="134"/>
      <c r="K16" s="179"/>
      <c r="M16" s="374"/>
      <c r="N16" s="310"/>
      <c r="O16" s="310"/>
      <c r="P16" s="310"/>
      <c r="Q16" s="310"/>
      <c r="R16" s="310"/>
      <c r="S16" s="311"/>
    </row>
    <row r="17" spans="2:19" ht="15" thickBot="1">
      <c r="B17" s="135">
        <f>$B$15</f>
        <v>5</v>
      </c>
      <c r="C17" s="136">
        <v>14</v>
      </c>
      <c r="D17" s="137" t="s">
        <v>259</v>
      </c>
      <c r="E17" s="138"/>
      <c r="F17" s="225"/>
      <c r="G17" s="140">
        <v>20000</v>
      </c>
      <c r="H17" s="169"/>
      <c r="I17" s="140">
        <f t="shared" si="0"/>
        <v>20000</v>
      </c>
      <c r="J17" s="141"/>
      <c r="K17" s="180"/>
      <c r="M17" s="374"/>
      <c r="N17" s="310"/>
      <c r="O17" s="310"/>
      <c r="P17" s="310"/>
      <c r="Q17" s="310"/>
      <c r="R17" s="310"/>
      <c r="S17" s="311"/>
    </row>
    <row r="18" spans="2:19" ht="15" thickBot="1">
      <c r="B18" s="135">
        <f>$B$15</f>
        <v>5</v>
      </c>
      <c r="C18" s="136">
        <v>16</v>
      </c>
      <c r="D18" s="137" t="s">
        <v>149</v>
      </c>
      <c r="E18" s="138"/>
      <c r="F18" s="225"/>
      <c r="G18" s="140"/>
      <c r="H18" s="169"/>
      <c r="I18" s="140" t="str">
        <f t="shared" ref="I18" si="1">IF(AND(G18&lt;&gt;0,H18=""),G18,IF(AND(G18&lt;&gt;0,H18&gt;0),G18*H18,""))</f>
        <v/>
      </c>
      <c r="J18" s="141"/>
      <c r="K18" s="180"/>
      <c r="M18" s="374"/>
      <c r="N18" s="310"/>
      <c r="O18" s="310"/>
      <c r="P18" s="310"/>
      <c r="Q18" s="310"/>
      <c r="R18" s="310"/>
      <c r="S18" s="311"/>
    </row>
    <row r="19" spans="2:19" ht="15" thickBot="1">
      <c r="B19" s="135">
        <f t="shared" ref="B19:B20" si="2">$B$15</f>
        <v>5</v>
      </c>
      <c r="C19" s="136">
        <v>17</v>
      </c>
      <c r="D19" s="137" t="s">
        <v>260</v>
      </c>
      <c r="E19" s="138"/>
      <c r="F19" s="225"/>
      <c r="G19" s="140"/>
      <c r="H19" s="169"/>
      <c r="I19" s="140" t="str">
        <f t="shared" si="0"/>
        <v/>
      </c>
      <c r="J19" s="141"/>
      <c r="K19" s="180"/>
      <c r="M19" s="374"/>
      <c r="N19" s="310"/>
      <c r="O19" s="310"/>
      <c r="P19" s="310"/>
      <c r="Q19" s="310"/>
      <c r="R19" s="310"/>
      <c r="S19" s="311"/>
    </row>
    <row r="20" spans="2:19" ht="15" thickBot="1">
      <c r="B20" s="135">
        <f t="shared" si="2"/>
        <v>5</v>
      </c>
      <c r="C20" s="136">
        <v>18</v>
      </c>
      <c r="D20" s="137" t="s">
        <v>261</v>
      </c>
      <c r="E20" s="138"/>
      <c r="F20" s="225"/>
      <c r="G20" s="140"/>
      <c r="H20" s="169"/>
      <c r="I20" s="140" t="str">
        <f t="shared" si="0"/>
        <v/>
      </c>
      <c r="J20" s="141"/>
      <c r="K20" s="180"/>
      <c r="M20" s="374"/>
      <c r="N20" s="310"/>
      <c r="O20" s="310"/>
      <c r="P20" s="310"/>
      <c r="Q20" s="310"/>
      <c r="R20" s="310"/>
      <c r="S20" s="311"/>
    </row>
    <row r="21" spans="2:19" s="95" customFormat="1" ht="18.600000000000001" thickBot="1">
      <c r="B21" s="96">
        <f>$B$15</f>
        <v>5</v>
      </c>
      <c r="C21" s="97">
        <v>30</v>
      </c>
      <c r="D21" s="99" t="s">
        <v>262</v>
      </c>
      <c r="E21" s="99"/>
      <c r="F21" s="234"/>
      <c r="G21" s="109"/>
      <c r="H21" s="245"/>
      <c r="I21" s="100">
        <f>SUM(I22:I26)</f>
        <v>28000</v>
      </c>
      <c r="J21" s="99"/>
      <c r="K21" s="178">
        <f>SUM(K22:K26)</f>
        <v>0</v>
      </c>
      <c r="M21" s="101"/>
      <c r="N21" s="102"/>
      <c r="O21" s="102"/>
      <c r="P21" s="102"/>
      <c r="Q21" s="102"/>
      <c r="R21" s="102"/>
      <c r="S21" s="103"/>
    </row>
    <row r="22" spans="2:19" ht="15" thickBot="1">
      <c r="B22" s="150">
        <f>$B$21</f>
        <v>5</v>
      </c>
      <c r="C22" s="151">
        <v>31</v>
      </c>
      <c r="D22" s="152" t="s">
        <v>163</v>
      </c>
      <c r="E22" s="153"/>
      <c r="F22" s="218"/>
      <c r="G22" s="219"/>
      <c r="H22" s="220"/>
      <c r="I22" s="155" t="str">
        <f>IF(AND(G22&lt;&gt;0,H22=""),G22,IF(AND(G22&lt;&gt;0,H22&gt;0),G22*H22,""))</f>
        <v/>
      </c>
      <c r="J22" s="153"/>
      <c r="K22" s="182"/>
      <c r="M22" s="85"/>
      <c r="N22" s="86"/>
      <c r="O22" s="86"/>
      <c r="P22" s="86"/>
      <c r="Q22" s="86"/>
      <c r="R22" s="86"/>
      <c r="S22" s="87"/>
    </row>
    <row r="23" spans="2:19" ht="15" thickBot="1">
      <c r="B23" s="135">
        <f t="shared" ref="B23" si="3">$B$21</f>
        <v>5</v>
      </c>
      <c r="C23" s="136">
        <v>32</v>
      </c>
      <c r="D23" s="137" t="s">
        <v>198</v>
      </c>
      <c r="E23" s="141"/>
      <c r="F23" s="227"/>
      <c r="G23" s="170"/>
      <c r="H23" s="169"/>
      <c r="I23" s="140" t="str">
        <f t="shared" ref="I23" si="4">IF(AND(G23&lt;&gt;0,H23=""),G23,IF(AND(G23&lt;&gt;0,H23&gt;0),G23*H23,""))</f>
        <v/>
      </c>
      <c r="J23" s="141"/>
      <c r="K23" s="180"/>
      <c r="M23" s="85"/>
      <c r="N23" s="86"/>
      <c r="O23" s="86"/>
      <c r="P23" s="86"/>
      <c r="Q23" s="86"/>
      <c r="R23" s="86"/>
      <c r="S23" s="87"/>
    </row>
    <row r="24" spans="2:19" ht="15" thickBot="1">
      <c r="B24" s="135">
        <f>$B$21</f>
        <v>5</v>
      </c>
      <c r="C24" s="136">
        <v>34</v>
      </c>
      <c r="D24" s="137" t="s">
        <v>199</v>
      </c>
      <c r="E24" s="141"/>
      <c r="F24" s="227"/>
      <c r="G24" s="142">
        <v>3000</v>
      </c>
      <c r="H24" s="169"/>
      <c r="I24" s="140">
        <f>IF(AND(G24&lt;&gt;0,H24=""),G24,IF(AND(G24&lt;&gt;0,H24&gt;0),G24*H24,""))</f>
        <v>3000</v>
      </c>
      <c r="J24" s="141"/>
      <c r="K24" s="180"/>
      <c r="M24" s="85"/>
      <c r="N24" s="86"/>
      <c r="O24" s="86"/>
      <c r="P24" s="86"/>
      <c r="Q24" s="86"/>
      <c r="R24" s="86"/>
      <c r="S24" s="87"/>
    </row>
    <row r="25" spans="2:19" ht="15" thickBot="1">
      <c r="B25" s="135">
        <f t="shared" ref="B25:B26" si="5">$B$21</f>
        <v>5</v>
      </c>
      <c r="C25" s="136">
        <v>35</v>
      </c>
      <c r="D25" s="137" t="s">
        <v>263</v>
      </c>
      <c r="E25" s="141"/>
      <c r="F25" s="227"/>
      <c r="G25" s="142">
        <v>25000</v>
      </c>
      <c r="H25" s="169"/>
      <c r="I25" s="140">
        <f>IF(AND(G25&lt;&gt;0,H25=""),G25,IF(AND(G25&lt;&gt;0,H25&gt;0),G25*H25,""))</f>
        <v>25000</v>
      </c>
      <c r="J25" s="141"/>
      <c r="K25" s="180"/>
      <c r="M25" s="85"/>
      <c r="N25" s="86"/>
      <c r="O25" s="86"/>
      <c r="P25" s="86"/>
      <c r="Q25" s="86"/>
      <c r="R25" s="86"/>
      <c r="S25" s="87"/>
    </row>
    <row r="26" spans="2:19" ht="15" thickBot="1">
      <c r="B26" s="135">
        <f t="shared" si="5"/>
        <v>5</v>
      </c>
      <c r="C26" s="144">
        <v>36</v>
      </c>
      <c r="D26" s="145" t="s">
        <v>234</v>
      </c>
      <c r="E26" s="149"/>
      <c r="F26" s="235"/>
      <c r="G26" s="147"/>
      <c r="H26" s="246"/>
      <c r="I26" s="148" t="str">
        <f>IF(AND(G26&lt;&gt;0,H26=""),G26,IF(AND(G26&lt;&gt;0,H26&gt;0),G26*H26,""))</f>
        <v/>
      </c>
      <c r="J26" s="149"/>
      <c r="K26" s="181"/>
      <c r="M26" s="85"/>
      <c r="N26" s="86"/>
      <c r="O26" s="86"/>
      <c r="P26" s="86"/>
      <c r="Q26" s="86"/>
      <c r="R26" s="86"/>
      <c r="S26" s="87"/>
    </row>
    <row r="27" spans="2:19" s="95" customFormat="1" ht="18.600000000000001" thickBot="1">
      <c r="B27" s="96">
        <f>$B$15</f>
        <v>5</v>
      </c>
      <c r="C27" s="97">
        <v>40</v>
      </c>
      <c r="D27" s="99" t="s">
        <v>164</v>
      </c>
      <c r="E27" s="99"/>
      <c r="F27" s="234"/>
      <c r="G27" s="109"/>
      <c r="H27" s="245"/>
      <c r="I27" s="100">
        <f>SUM(I28:I32)</f>
        <v>5000</v>
      </c>
      <c r="J27" s="99"/>
      <c r="K27" s="178">
        <f>SUM(K28:K32)</f>
        <v>0</v>
      </c>
      <c r="M27" s="101"/>
      <c r="N27" s="102"/>
      <c r="O27" s="102"/>
      <c r="P27" s="102"/>
      <c r="Q27" s="102"/>
      <c r="R27" s="102"/>
      <c r="S27" s="103"/>
    </row>
    <row r="28" spans="2:19" ht="15" thickBot="1">
      <c r="B28" s="150">
        <f>$B$27</f>
        <v>5</v>
      </c>
      <c r="C28" s="151">
        <v>41</v>
      </c>
      <c r="D28" s="152" t="s">
        <v>165</v>
      </c>
      <c r="E28" s="153"/>
      <c r="F28" s="218"/>
      <c r="G28" s="154">
        <v>5000</v>
      </c>
      <c r="H28" s="220"/>
      <c r="I28" s="155">
        <f>IF(AND(G28&lt;&gt;0,H28=""),G28,IF(AND(G28&lt;&gt;0,H28&gt;0),G28*H28,""))</f>
        <v>5000</v>
      </c>
      <c r="J28" s="153"/>
      <c r="K28" s="182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$B$27</f>
        <v>5</v>
      </c>
      <c r="C29" s="136">
        <v>42</v>
      </c>
      <c r="D29" s="137" t="s">
        <v>264</v>
      </c>
      <c r="E29" s="141"/>
      <c r="F29" s="227"/>
      <c r="G29" s="142"/>
      <c r="H29" s="169"/>
      <c r="I29" s="140" t="str">
        <f>IF(AND(G29&lt;&gt;0,H29=""),G29,IF(AND(G29&lt;&gt;0,H29&gt;0),G29*H29,""))</f>
        <v/>
      </c>
      <c r="J29" s="141"/>
      <c r="K29" s="180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2" si="6">$B$27</f>
        <v>5</v>
      </c>
      <c r="C30" s="136">
        <v>43</v>
      </c>
      <c r="D30" s="137" t="s">
        <v>265</v>
      </c>
      <c r="E30" s="141"/>
      <c r="F30" s="227"/>
      <c r="G30" s="142"/>
      <c r="H30" s="169"/>
      <c r="I30" s="140"/>
      <c r="J30" s="141"/>
      <c r="K30" s="180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5</v>
      </c>
      <c r="C31" s="136">
        <v>44</v>
      </c>
      <c r="D31" s="137" t="s">
        <v>266</v>
      </c>
      <c r="E31" s="141"/>
      <c r="F31" s="227"/>
      <c r="G31" s="142"/>
      <c r="H31" s="169"/>
      <c r="I31" s="140" t="str">
        <f>IF(AND(G31&lt;&gt;0,H31=""),G31,IF(AND(G31&lt;&gt;0,H31&gt;0),G31*H31,""))</f>
        <v/>
      </c>
      <c r="J31" s="141"/>
      <c r="K31" s="180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f t="shared" si="6"/>
        <v>5</v>
      </c>
      <c r="C32" s="144"/>
      <c r="D32" s="145"/>
      <c r="E32" s="149"/>
      <c r="F32" s="235"/>
      <c r="G32" s="147"/>
      <c r="H32" s="246"/>
      <c r="I32" s="148" t="str">
        <f>IF(AND(G32&lt;&gt;0,H32=""),G32,IF(AND(G32&lt;&gt;0,H32&gt;0),G32*H32,""))</f>
        <v/>
      </c>
      <c r="J32" s="149"/>
      <c r="K32" s="181"/>
      <c r="M32" s="85"/>
      <c r="N32" s="86"/>
      <c r="O32" s="86"/>
      <c r="P32" s="86"/>
      <c r="Q32" s="86"/>
      <c r="R32" s="86"/>
      <c r="S32" s="87"/>
    </row>
    <row r="33" spans="2:19" ht="18.600000000000001" thickBot="1">
      <c r="B33" s="96">
        <f>$B$15</f>
        <v>5</v>
      </c>
      <c r="C33" s="97">
        <v>70</v>
      </c>
      <c r="D33" s="99" t="s">
        <v>178</v>
      </c>
      <c r="E33" s="99"/>
      <c r="F33" s="238"/>
      <c r="G33" s="109"/>
      <c r="H33" s="245"/>
      <c r="I33" s="100">
        <f>SUM(I34:I40)</f>
        <v>32500</v>
      </c>
      <c r="J33" s="99"/>
      <c r="K33" s="178">
        <f>SUM(K34:K40)</f>
        <v>0</v>
      </c>
      <c r="M33" s="85"/>
      <c r="N33" s="86"/>
      <c r="O33" s="86"/>
      <c r="P33" s="86"/>
      <c r="Q33" s="86"/>
      <c r="R33" s="86"/>
      <c r="S33" s="87"/>
    </row>
    <row r="34" spans="2:19" ht="15" thickBot="1">
      <c r="B34" s="150">
        <f>$B$33</f>
        <v>5</v>
      </c>
      <c r="C34" s="151">
        <v>71</v>
      </c>
      <c r="D34" s="152" t="s">
        <v>180</v>
      </c>
      <c r="E34" s="153"/>
      <c r="F34" s="240"/>
      <c r="G34" s="154">
        <v>5000</v>
      </c>
      <c r="H34" s="220"/>
      <c r="I34" s="155">
        <f t="shared" ref="I34:I40" si="7">IF(AND(G34&lt;&gt;0,H34=""),G34,IF(AND(G34&lt;&gt;0,H34&gt;0),G34*H34,""))</f>
        <v>5000</v>
      </c>
      <c r="J34" s="153"/>
      <c r="K34" s="182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>$B$33</f>
        <v>5</v>
      </c>
      <c r="C35" s="136">
        <v>72</v>
      </c>
      <c r="D35" s="137" t="s">
        <v>181</v>
      </c>
      <c r="E35" s="141"/>
      <c r="F35" s="239"/>
      <c r="G35" s="142">
        <v>10000</v>
      </c>
      <c r="H35" s="169"/>
      <c r="I35" s="140">
        <f t="shared" si="7"/>
        <v>10000</v>
      </c>
      <c r="J35" s="141"/>
      <c r="K35" s="180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ref="B36:B40" si="8">$B$33</f>
        <v>5</v>
      </c>
      <c r="C36" s="136">
        <v>73</v>
      </c>
      <c r="D36" s="137" t="s">
        <v>179</v>
      </c>
      <c r="E36" s="141"/>
      <c r="F36" s="239"/>
      <c r="G36" s="142"/>
      <c r="H36" s="169"/>
      <c r="I36" s="140" t="str">
        <f t="shared" si="7"/>
        <v/>
      </c>
      <c r="J36" s="141"/>
      <c r="K36" s="180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8"/>
        <v>5</v>
      </c>
      <c r="C37" s="136">
        <v>76</v>
      </c>
      <c r="D37" s="137" t="s">
        <v>317</v>
      </c>
      <c r="E37" s="141"/>
      <c r="F37" s="239"/>
      <c r="G37" s="142"/>
      <c r="H37" s="169"/>
      <c r="I37" s="140" t="str">
        <f t="shared" si="7"/>
        <v/>
      </c>
      <c r="J37" s="141"/>
      <c r="K37" s="180"/>
      <c r="M37" s="85"/>
      <c r="N37" s="86"/>
      <c r="O37" s="86"/>
      <c r="P37" s="86"/>
      <c r="Q37" s="86"/>
      <c r="R37" s="86"/>
      <c r="S37" s="87"/>
    </row>
    <row r="38" spans="2:19" ht="15" thickBot="1">
      <c r="B38" s="135">
        <f t="shared" si="8"/>
        <v>5</v>
      </c>
      <c r="C38" s="136">
        <v>77</v>
      </c>
      <c r="D38" s="137" t="s">
        <v>318</v>
      </c>
      <c r="E38" s="141"/>
      <c r="F38" s="239"/>
      <c r="G38" s="142"/>
      <c r="H38" s="169"/>
      <c r="I38" s="140" t="str">
        <f t="shared" si="7"/>
        <v/>
      </c>
      <c r="J38" s="141"/>
      <c r="K38" s="180"/>
      <c r="M38" s="85"/>
      <c r="N38" s="86"/>
      <c r="O38" s="86"/>
      <c r="P38" s="86"/>
      <c r="Q38" s="86"/>
      <c r="R38" s="86"/>
      <c r="S38" s="87"/>
    </row>
    <row r="39" spans="2:19" ht="15" thickBot="1">
      <c r="B39" s="135">
        <f t="shared" si="8"/>
        <v>5</v>
      </c>
      <c r="C39" s="136">
        <v>78</v>
      </c>
      <c r="D39" s="137" t="s">
        <v>319</v>
      </c>
      <c r="E39" s="141"/>
      <c r="F39" s="239"/>
      <c r="G39" s="142">
        <v>15000</v>
      </c>
      <c r="H39" s="169"/>
      <c r="I39" s="140">
        <f t="shared" si="7"/>
        <v>15000</v>
      </c>
      <c r="J39" s="141"/>
      <c r="K39" s="180"/>
      <c r="M39" s="85"/>
      <c r="N39" s="86"/>
      <c r="O39" s="86"/>
      <c r="P39" s="86"/>
      <c r="Q39" s="86"/>
      <c r="R39" s="86"/>
      <c r="S39" s="87"/>
    </row>
    <row r="40" spans="2:19" ht="15" thickBot="1">
      <c r="B40" s="135">
        <f t="shared" si="8"/>
        <v>5</v>
      </c>
      <c r="C40" s="144">
        <v>79</v>
      </c>
      <c r="D40" s="145" t="s">
        <v>267</v>
      </c>
      <c r="E40" s="149"/>
      <c r="F40" s="241"/>
      <c r="G40" s="147">
        <v>2500</v>
      </c>
      <c r="H40" s="246"/>
      <c r="I40" s="140">
        <f t="shared" si="7"/>
        <v>2500</v>
      </c>
      <c r="J40" s="149"/>
      <c r="K40" s="181"/>
      <c r="M40" s="85"/>
      <c r="N40" s="86"/>
      <c r="O40" s="86"/>
      <c r="P40" s="86"/>
      <c r="Q40" s="86"/>
      <c r="R40" s="86"/>
      <c r="S40" s="87"/>
    </row>
    <row r="41" spans="2:19" ht="18.600000000000001" thickBot="1">
      <c r="B41" s="96">
        <f>$B$15</f>
        <v>5</v>
      </c>
      <c r="C41" s="97">
        <v>80</v>
      </c>
      <c r="D41" s="99" t="s">
        <v>186</v>
      </c>
      <c r="E41" s="99"/>
      <c r="F41" s="238"/>
      <c r="G41" s="109"/>
      <c r="H41" s="245"/>
      <c r="I41" s="100">
        <f>SUM(I42:I45)</f>
        <v>5000</v>
      </c>
      <c r="J41" s="99"/>
      <c r="K41" s="178">
        <f>SUM(K42:K45)</f>
        <v>0</v>
      </c>
      <c r="M41" s="85"/>
      <c r="N41" s="86"/>
      <c r="O41" s="86"/>
      <c r="P41" s="86"/>
      <c r="Q41" s="86"/>
      <c r="R41" s="86"/>
      <c r="S41" s="87"/>
    </row>
    <row r="42" spans="2:19" ht="15" thickBot="1">
      <c r="B42" s="150">
        <f>$B$41</f>
        <v>5</v>
      </c>
      <c r="C42" s="151">
        <v>81</v>
      </c>
      <c r="D42" s="152" t="s">
        <v>187</v>
      </c>
      <c r="E42" s="153"/>
      <c r="F42" s="240"/>
      <c r="G42" s="154">
        <v>5000</v>
      </c>
      <c r="H42" s="220"/>
      <c r="I42" s="155">
        <f>IF(AND(G42&lt;&gt;0,H42=""),G42,IF(AND(G42&lt;&gt;0,H42&gt;0),G42*H42,""))</f>
        <v>5000</v>
      </c>
      <c r="J42" s="153"/>
      <c r="K42" s="182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f>$B$41</f>
        <v>5</v>
      </c>
      <c r="C43" s="136">
        <v>82</v>
      </c>
      <c r="D43" s="137" t="s">
        <v>188</v>
      </c>
      <c r="E43" s="141"/>
      <c r="F43" s="239"/>
      <c r="G43" s="142"/>
      <c r="H43" s="169"/>
      <c r="I43" s="140" t="str">
        <f>IF(AND(G43&lt;&gt;0,H43=""),G43,IF(AND(G43&lt;&gt;0,H43&gt;0),G43*H43,""))</f>
        <v/>
      </c>
      <c r="J43" s="141"/>
      <c r="K43" s="180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 t="shared" ref="B44:B45" si="9">$B$41</f>
        <v>5</v>
      </c>
      <c r="C44" s="136">
        <v>83</v>
      </c>
      <c r="D44" s="137" t="s">
        <v>189</v>
      </c>
      <c r="E44" s="141"/>
      <c r="F44" s="239"/>
      <c r="G44" s="142"/>
      <c r="H44" s="169"/>
      <c r="I44" s="140" t="str">
        <f>IF(AND(G44&lt;&gt;0,H44=""),G44,IF(AND(G44&lt;&gt;0,H44&gt;0),G44*H44,""))</f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si="9"/>
        <v>5</v>
      </c>
      <c r="C45" s="144">
        <v>84</v>
      </c>
      <c r="D45" s="145" t="s">
        <v>190</v>
      </c>
      <c r="E45" s="149"/>
      <c r="F45" s="241"/>
      <c r="G45" s="147"/>
      <c r="H45" s="246"/>
      <c r="I45" s="148" t="str">
        <f>IF(AND(G45&lt;&gt;0,H45=""),G45,IF(AND(G45&lt;&gt;0,H45&gt;0),G45*H45,""))</f>
        <v/>
      </c>
      <c r="J45" s="149"/>
      <c r="K45" s="181"/>
      <c r="M45" s="85"/>
      <c r="N45" s="86"/>
      <c r="O45" s="86"/>
      <c r="P45" s="86"/>
      <c r="Q45" s="86"/>
      <c r="R45" s="86"/>
      <c r="S45" s="87"/>
    </row>
    <row r="46" spans="2:19" ht="18.600000000000001" thickBot="1">
      <c r="B46" s="96">
        <f>$B$15</f>
        <v>5</v>
      </c>
      <c r="C46" s="97">
        <v>110</v>
      </c>
      <c r="D46" s="99" t="s">
        <v>223</v>
      </c>
      <c r="E46" s="99"/>
      <c r="F46" s="238"/>
      <c r="G46" s="109"/>
      <c r="H46" s="245"/>
      <c r="I46" s="100">
        <f>SUM(I47:I51)</f>
        <v>21000</v>
      </c>
      <c r="J46" s="99"/>
      <c r="K46" s="178">
        <f>SUM(K47:K51)</f>
        <v>0</v>
      </c>
      <c r="M46" s="85"/>
      <c r="N46" s="86"/>
      <c r="O46" s="86"/>
      <c r="P46" s="86"/>
      <c r="Q46" s="86"/>
      <c r="R46" s="86"/>
      <c r="S46" s="87"/>
    </row>
    <row r="47" spans="2:19" ht="15" thickBot="1">
      <c r="B47" s="150">
        <f>$B$46</f>
        <v>5</v>
      </c>
      <c r="C47" s="151">
        <v>111</v>
      </c>
      <c r="D47" s="152" t="s">
        <v>268</v>
      </c>
      <c r="E47" s="153"/>
      <c r="F47" s="240"/>
      <c r="G47" s="154">
        <v>5000</v>
      </c>
      <c r="H47" s="220"/>
      <c r="I47" s="155">
        <f t="shared" ref="I47:I51" si="10">IF(AND(G47&lt;&gt;0,H47=""),G47,IF(AND(G47&lt;&gt;0,H47&gt;0),G47*H47,""))</f>
        <v>5000</v>
      </c>
      <c r="J47" s="153"/>
      <c r="K47" s="182"/>
      <c r="M47" s="85"/>
      <c r="N47" s="86"/>
      <c r="O47" s="86"/>
      <c r="P47" s="86"/>
      <c r="Q47" s="86"/>
      <c r="R47" s="86"/>
      <c r="S47" s="87"/>
    </row>
    <row r="48" spans="2:19" ht="15" thickBot="1">
      <c r="B48" s="135">
        <f>$B$46</f>
        <v>5</v>
      </c>
      <c r="C48" s="136">
        <v>112</v>
      </c>
      <c r="D48" s="137" t="s">
        <v>269</v>
      </c>
      <c r="E48" s="141"/>
      <c r="F48" s="239"/>
      <c r="G48" s="142">
        <v>15000</v>
      </c>
      <c r="H48" s="169"/>
      <c r="I48" s="140">
        <f t="shared" si="10"/>
        <v>15000</v>
      </c>
      <c r="J48" s="141"/>
      <c r="K48" s="180"/>
      <c r="M48" s="85"/>
      <c r="N48" s="86"/>
      <c r="O48" s="86"/>
      <c r="P48" s="86"/>
      <c r="Q48" s="86"/>
      <c r="R48" s="86"/>
      <c r="S48" s="87"/>
    </row>
    <row r="49" spans="2:19" ht="15" thickBot="1">
      <c r="B49" s="135">
        <f t="shared" ref="B49:B51" si="11">$B$46</f>
        <v>5</v>
      </c>
      <c r="C49" s="136">
        <v>114</v>
      </c>
      <c r="D49" s="137" t="s">
        <v>48</v>
      </c>
      <c r="E49" s="141"/>
      <c r="F49" s="239"/>
      <c r="G49" s="142">
        <v>1000</v>
      </c>
      <c r="H49" s="169"/>
      <c r="I49" s="140">
        <f t="shared" si="10"/>
        <v>1000</v>
      </c>
      <c r="J49" s="141"/>
      <c r="K49" s="180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f t="shared" si="11"/>
        <v>5</v>
      </c>
      <c r="C50" s="136">
        <v>115</v>
      </c>
      <c r="D50" s="137" t="s">
        <v>49</v>
      </c>
      <c r="E50" s="141"/>
      <c r="F50" s="239"/>
      <c r="G50" s="142"/>
      <c r="H50" s="169"/>
      <c r="I50" s="140" t="str">
        <f t="shared" si="10"/>
        <v/>
      </c>
      <c r="J50" s="141"/>
      <c r="K50" s="180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 t="shared" si="11"/>
        <v>5</v>
      </c>
      <c r="C51" s="136">
        <v>117</v>
      </c>
      <c r="D51" s="137" t="s">
        <v>47</v>
      </c>
      <c r="E51" s="141"/>
      <c r="F51" s="239"/>
      <c r="G51" s="142"/>
      <c r="H51" s="169"/>
      <c r="I51" s="140" t="str">
        <f t="shared" si="10"/>
        <v/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8.600000000000001" thickBot="1">
      <c r="B52" s="96">
        <f>$B$15</f>
        <v>5</v>
      </c>
      <c r="C52" s="97">
        <v>500</v>
      </c>
      <c r="D52" s="99" t="s">
        <v>193</v>
      </c>
      <c r="E52" s="99"/>
      <c r="F52" s="228"/>
      <c r="G52" s="99"/>
      <c r="H52" s="245"/>
      <c r="I52" s="100">
        <f>SUM(I53:I54)</f>
        <v>0</v>
      </c>
      <c r="J52" s="99"/>
      <c r="K52" s="178">
        <f>SUM(K53:K54)</f>
        <v>0</v>
      </c>
      <c r="M52" s="85"/>
      <c r="N52" s="86"/>
      <c r="O52" s="86"/>
      <c r="P52" s="86"/>
      <c r="Q52" s="86"/>
      <c r="R52" s="86"/>
      <c r="S52" s="87"/>
    </row>
    <row r="53" spans="2:19" ht="15" thickBot="1">
      <c r="B53" s="150">
        <f>$B$52</f>
        <v>5</v>
      </c>
      <c r="C53" s="151">
        <v>510</v>
      </c>
      <c r="D53" s="152" t="s">
        <v>194</v>
      </c>
      <c r="E53" s="153"/>
      <c r="F53" s="226"/>
      <c r="G53" s="153"/>
      <c r="H53" s="220"/>
      <c r="I53" s="155" t="str">
        <f t="shared" ref="I53:I54" si="12">IF(AND(F53&lt;&gt;0,H53=""),F53,IF(AND(F53&lt;&gt;0,H53&gt;0),F53*H53,""))</f>
        <v/>
      </c>
      <c r="J53" s="153"/>
      <c r="K53" s="182"/>
      <c r="M53" s="85"/>
      <c r="N53" s="86"/>
      <c r="O53" s="86"/>
      <c r="P53" s="86"/>
      <c r="Q53" s="86"/>
      <c r="R53" s="86"/>
      <c r="S53" s="87"/>
    </row>
    <row r="54" spans="2:19" ht="15" thickBot="1">
      <c r="B54" s="143">
        <f>$B$52</f>
        <v>5</v>
      </c>
      <c r="C54" s="144">
        <v>520</v>
      </c>
      <c r="D54" s="145" t="s">
        <v>195</v>
      </c>
      <c r="E54" s="149"/>
      <c r="F54" s="229"/>
      <c r="G54" s="149"/>
      <c r="H54" s="246"/>
      <c r="I54" s="148" t="str">
        <f t="shared" si="12"/>
        <v/>
      </c>
      <c r="J54" s="149"/>
      <c r="K54" s="181"/>
      <c r="M54" s="85"/>
      <c r="N54" s="86"/>
      <c r="O54" s="86"/>
      <c r="P54" s="86"/>
      <c r="Q54" s="86"/>
      <c r="R54" s="86"/>
      <c r="S54" s="87"/>
    </row>
    <row r="55" spans="2:19" ht="18.600000000000001" thickBot="1">
      <c r="B55" s="367" t="s">
        <v>201</v>
      </c>
      <c r="C55" s="368"/>
      <c r="D55" s="368"/>
      <c r="E55" s="368"/>
      <c r="F55" s="368"/>
      <c r="G55" s="368"/>
      <c r="H55" s="368"/>
      <c r="I55" s="368"/>
      <c r="J55" s="368"/>
      <c r="K55" s="369"/>
      <c r="M55" s="85"/>
      <c r="N55" s="86"/>
      <c r="O55" s="86"/>
      <c r="P55" s="86"/>
      <c r="Q55" s="86"/>
      <c r="R55" s="86"/>
      <c r="S55" s="87"/>
    </row>
    <row r="56" spans="2:19" ht="15" thickBot="1">
      <c r="B56" s="196" t="s">
        <v>152</v>
      </c>
      <c r="C56" s="197" t="s">
        <v>153</v>
      </c>
      <c r="D56" s="197" t="s">
        <v>209</v>
      </c>
      <c r="E56" s="370" t="s">
        <v>161</v>
      </c>
      <c r="F56" s="371"/>
      <c r="G56" s="197" t="s">
        <v>157</v>
      </c>
      <c r="H56" s="249" t="s">
        <v>159</v>
      </c>
      <c r="I56" s="197" t="s">
        <v>160</v>
      </c>
      <c r="J56" s="198" t="s">
        <v>35</v>
      </c>
      <c r="K56" s="199" t="s">
        <v>196</v>
      </c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f>$B$15</f>
        <v>5</v>
      </c>
      <c r="C57" s="90">
        <v>1000</v>
      </c>
      <c r="D57" s="91" t="s">
        <v>202</v>
      </c>
      <c r="E57" s="92"/>
      <c r="F57" s="230"/>
      <c r="G57" s="108"/>
      <c r="H57" s="244"/>
      <c r="I57" s="94">
        <f>SUM(I58:I78)</f>
        <v>46500</v>
      </c>
      <c r="J57" s="93"/>
      <c r="K57" s="185">
        <f>SUM(K58:K78)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28">
        <f>$B$57</f>
        <v>5</v>
      </c>
      <c r="C58" s="129">
        <v>1001</v>
      </c>
      <c r="D58" s="130" t="s">
        <v>62</v>
      </c>
      <c r="E58" s="211"/>
      <c r="F58" s="231"/>
      <c r="G58" s="165"/>
      <c r="H58" s="166"/>
      <c r="I58" s="133" t="str">
        <f t="shared" ref="I58:I78" si="13">IF(AND(G58&lt;&gt;0,H58=""),G58,IF(AND(G58&lt;&gt;0,H58&gt;0),G58*H58,""))</f>
        <v/>
      </c>
      <c r="J58" s="129"/>
      <c r="K58" s="186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f t="shared" ref="B59:B77" si="14">$B$57</f>
        <v>5</v>
      </c>
      <c r="C59" s="136">
        <v>1002</v>
      </c>
      <c r="D59" s="137" t="s">
        <v>61</v>
      </c>
      <c r="E59" s="210"/>
      <c r="F59" s="250"/>
      <c r="G59" s="142"/>
      <c r="H59" s="169"/>
      <c r="I59" s="140" t="str">
        <f t="shared" ref="I59:I77" si="15">IF(AND(G59&lt;&gt;0,H59=""),G59,IF(AND(G59&lt;&gt;0,H59&gt;0),G59*H59,""))</f>
        <v/>
      </c>
      <c r="J59" s="136"/>
      <c r="K59" s="187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f t="shared" si="14"/>
        <v>5</v>
      </c>
      <c r="C60" s="136">
        <v>1003</v>
      </c>
      <c r="D60" s="137" t="s">
        <v>65</v>
      </c>
      <c r="E60" s="210"/>
      <c r="F60" s="250"/>
      <c r="G60" s="142">
        <v>3000</v>
      </c>
      <c r="H60" s="169"/>
      <c r="I60" s="140">
        <f t="shared" si="15"/>
        <v>3000</v>
      </c>
      <c r="J60" s="136"/>
      <c r="K60" s="187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 t="shared" si="14"/>
        <v>5</v>
      </c>
      <c r="C61" s="136">
        <v>1004</v>
      </c>
      <c r="D61" s="137" t="s">
        <v>67</v>
      </c>
      <c r="E61" s="210"/>
      <c r="F61" s="250"/>
      <c r="G61" s="142"/>
      <c r="H61" s="169"/>
      <c r="I61" s="140" t="str">
        <f t="shared" si="15"/>
        <v/>
      </c>
      <c r="J61" s="136"/>
      <c r="K61" s="187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si="14"/>
        <v>5</v>
      </c>
      <c r="C62" s="136">
        <v>1005</v>
      </c>
      <c r="D62" s="137" t="s">
        <v>270</v>
      </c>
      <c r="E62" s="210"/>
      <c r="F62" s="250"/>
      <c r="G62" s="142"/>
      <c r="H62" s="169"/>
      <c r="I62" s="140" t="str">
        <f t="shared" si="15"/>
        <v/>
      </c>
      <c r="J62" s="136"/>
      <c r="K62" s="187"/>
      <c r="M62" s="85"/>
      <c r="N62" s="86"/>
      <c r="O62" s="86"/>
      <c r="P62" s="86"/>
      <c r="Q62" s="86"/>
      <c r="R62" s="86"/>
      <c r="S62" s="87"/>
    </row>
    <row r="63" spans="2:19" ht="15" thickBot="1">
      <c r="B63" s="135">
        <f t="shared" si="14"/>
        <v>5</v>
      </c>
      <c r="C63" s="136">
        <v>1006</v>
      </c>
      <c r="D63" s="137" t="s">
        <v>271</v>
      </c>
      <c r="E63" s="210"/>
      <c r="F63" s="250"/>
      <c r="G63" s="142"/>
      <c r="H63" s="169"/>
      <c r="I63" s="140" t="str">
        <f t="shared" si="15"/>
        <v/>
      </c>
      <c r="J63" s="136"/>
      <c r="K63" s="187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f t="shared" si="14"/>
        <v>5</v>
      </c>
      <c r="C64" s="136">
        <v>1007</v>
      </c>
      <c r="D64" s="137" t="s">
        <v>59</v>
      </c>
      <c r="E64" s="210"/>
      <c r="F64" s="250"/>
      <c r="G64" s="142"/>
      <c r="H64" s="169"/>
      <c r="I64" s="140" t="str">
        <f t="shared" si="15"/>
        <v/>
      </c>
      <c r="J64" s="136"/>
      <c r="K64" s="187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f t="shared" si="14"/>
        <v>5</v>
      </c>
      <c r="C65" s="136">
        <v>1008</v>
      </c>
      <c r="D65" s="137" t="s">
        <v>66</v>
      </c>
      <c r="E65" s="210"/>
      <c r="F65" s="250"/>
      <c r="G65" s="142"/>
      <c r="H65" s="169"/>
      <c r="I65" s="140" t="str">
        <f t="shared" si="15"/>
        <v/>
      </c>
      <c r="J65" s="136"/>
      <c r="K65" s="187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 t="shared" si="14"/>
        <v>5</v>
      </c>
      <c r="C66" s="136">
        <v>1009</v>
      </c>
      <c r="D66" s="137" t="s">
        <v>272</v>
      </c>
      <c r="E66" s="210"/>
      <c r="F66" s="250"/>
      <c r="G66" s="142">
        <v>3500</v>
      </c>
      <c r="H66" s="169"/>
      <c r="I66" s="140">
        <f t="shared" si="15"/>
        <v>3500</v>
      </c>
      <c r="J66" s="136"/>
      <c r="K66" s="187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si="14"/>
        <v>5</v>
      </c>
      <c r="C67" s="136">
        <v>1010</v>
      </c>
      <c r="D67" s="137" t="s">
        <v>273</v>
      </c>
      <c r="E67" s="210"/>
      <c r="F67" s="250"/>
      <c r="G67" s="142"/>
      <c r="H67" s="169"/>
      <c r="I67" s="140" t="str">
        <f t="shared" si="15"/>
        <v/>
      </c>
      <c r="J67" s="136"/>
      <c r="K67" s="187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4"/>
        <v>5</v>
      </c>
      <c r="C68" s="136">
        <v>1011</v>
      </c>
      <c r="D68" s="137" t="s">
        <v>274</v>
      </c>
      <c r="E68" s="210"/>
      <c r="F68" s="250"/>
      <c r="G68" s="142">
        <v>40000</v>
      </c>
      <c r="H68" s="169"/>
      <c r="I68" s="140">
        <f t="shared" si="15"/>
        <v>40000</v>
      </c>
      <c r="J68" s="136"/>
      <c r="K68" s="187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4"/>
        <v>5</v>
      </c>
      <c r="C69" s="136">
        <v>1012</v>
      </c>
      <c r="D69" s="137" t="s">
        <v>275</v>
      </c>
      <c r="E69" s="210"/>
      <c r="F69" s="250"/>
      <c r="G69" s="142"/>
      <c r="H69" s="169"/>
      <c r="I69" s="140" t="str">
        <f t="shared" si="15"/>
        <v/>
      </c>
      <c r="J69" s="136"/>
      <c r="K69" s="187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4"/>
        <v>5</v>
      </c>
      <c r="C70" s="136">
        <v>1013</v>
      </c>
      <c r="D70" s="137" t="s">
        <v>276</v>
      </c>
      <c r="E70" s="210"/>
      <c r="F70" s="250"/>
      <c r="G70" s="142"/>
      <c r="H70" s="169"/>
      <c r="I70" s="140" t="str">
        <f t="shared" si="15"/>
        <v/>
      </c>
      <c r="J70" s="136"/>
      <c r="K70" s="187"/>
      <c r="M70" s="85"/>
      <c r="N70" s="86"/>
      <c r="O70" s="86"/>
      <c r="P70" s="86"/>
      <c r="Q70" s="86"/>
      <c r="R70" s="86"/>
      <c r="S70" s="87"/>
    </row>
    <row r="71" spans="2:19" ht="15" thickBot="1">
      <c r="B71" s="135">
        <f t="shared" si="14"/>
        <v>5</v>
      </c>
      <c r="C71" s="136">
        <v>1014</v>
      </c>
      <c r="D71" s="137" t="s">
        <v>64</v>
      </c>
      <c r="E71" s="210"/>
      <c r="F71" s="250"/>
      <c r="G71" s="142"/>
      <c r="H71" s="169"/>
      <c r="I71" s="140" t="str">
        <f t="shared" si="15"/>
        <v/>
      </c>
      <c r="J71" s="136"/>
      <c r="K71" s="187"/>
      <c r="M71" s="85"/>
      <c r="N71" s="86"/>
      <c r="O71" s="86"/>
      <c r="P71" s="86"/>
      <c r="Q71" s="86"/>
      <c r="R71" s="86"/>
      <c r="S71" s="87"/>
    </row>
    <row r="72" spans="2:19" ht="15" thickBot="1">
      <c r="B72" s="135">
        <f t="shared" si="14"/>
        <v>5</v>
      </c>
      <c r="C72" s="136">
        <v>1015</v>
      </c>
      <c r="D72" s="137" t="s">
        <v>60</v>
      </c>
      <c r="E72" s="210"/>
      <c r="F72" s="250"/>
      <c r="G72" s="142"/>
      <c r="H72" s="169"/>
      <c r="I72" s="140" t="str">
        <f t="shared" si="15"/>
        <v/>
      </c>
      <c r="J72" s="136"/>
      <c r="K72" s="187"/>
      <c r="M72" s="85"/>
      <c r="N72" s="86"/>
      <c r="O72" s="86"/>
      <c r="P72" s="86"/>
      <c r="Q72" s="86"/>
      <c r="R72" s="86"/>
      <c r="S72" s="87"/>
    </row>
    <row r="73" spans="2:19" ht="15" thickBot="1">
      <c r="B73" s="135">
        <f t="shared" si="14"/>
        <v>5</v>
      </c>
      <c r="C73" s="136">
        <v>1016</v>
      </c>
      <c r="D73" s="137" t="s">
        <v>63</v>
      </c>
      <c r="E73" s="210"/>
      <c r="F73" s="250"/>
      <c r="G73" s="142"/>
      <c r="H73" s="169"/>
      <c r="I73" s="140" t="str">
        <f t="shared" si="15"/>
        <v/>
      </c>
      <c r="J73" s="136"/>
      <c r="K73" s="187"/>
      <c r="M73" s="85"/>
      <c r="N73" s="86"/>
      <c r="O73" s="86"/>
      <c r="P73" s="86"/>
      <c r="Q73" s="86"/>
      <c r="R73" s="86"/>
      <c r="S73" s="87"/>
    </row>
    <row r="74" spans="2:19" ht="15" thickBot="1">
      <c r="B74" s="135">
        <f t="shared" si="14"/>
        <v>5</v>
      </c>
      <c r="C74" s="136">
        <v>1017</v>
      </c>
      <c r="D74" s="137" t="s">
        <v>277</v>
      </c>
      <c r="E74" s="210"/>
      <c r="F74" s="250"/>
      <c r="G74" s="142"/>
      <c r="H74" s="169"/>
      <c r="I74" s="140" t="str">
        <f t="shared" si="15"/>
        <v/>
      </c>
      <c r="J74" s="136"/>
      <c r="K74" s="187"/>
      <c r="M74" s="85"/>
      <c r="N74" s="86"/>
      <c r="O74" s="86"/>
      <c r="P74" s="86"/>
      <c r="Q74" s="86"/>
      <c r="R74" s="86"/>
      <c r="S74" s="87"/>
    </row>
    <row r="75" spans="2:19" ht="15" thickBot="1">
      <c r="B75" s="135">
        <f t="shared" si="14"/>
        <v>5</v>
      </c>
      <c r="C75" s="136">
        <v>1018</v>
      </c>
      <c r="D75" s="137" t="s">
        <v>278</v>
      </c>
      <c r="E75" s="210"/>
      <c r="F75" s="250"/>
      <c r="G75" s="142"/>
      <c r="H75" s="169"/>
      <c r="I75" s="140" t="str">
        <f t="shared" si="15"/>
        <v/>
      </c>
      <c r="J75" s="136"/>
      <c r="K75" s="187"/>
      <c r="M75" s="85"/>
      <c r="N75" s="86"/>
      <c r="O75" s="86"/>
      <c r="P75" s="86"/>
      <c r="Q75" s="86"/>
      <c r="R75" s="86"/>
      <c r="S75" s="87"/>
    </row>
    <row r="76" spans="2:19" ht="15" thickBot="1">
      <c r="B76" s="135">
        <f t="shared" si="14"/>
        <v>5</v>
      </c>
      <c r="C76" s="136">
        <v>1019</v>
      </c>
      <c r="D76" s="137" t="s">
        <v>279</v>
      </c>
      <c r="E76" s="210"/>
      <c r="F76" s="250"/>
      <c r="G76" s="142"/>
      <c r="H76" s="169"/>
      <c r="I76" s="140" t="str">
        <f t="shared" si="15"/>
        <v/>
      </c>
      <c r="J76" s="136"/>
      <c r="K76" s="187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f t="shared" si="14"/>
        <v>5</v>
      </c>
      <c r="C77" s="136">
        <v>1020</v>
      </c>
      <c r="D77" s="137" t="s">
        <v>310</v>
      </c>
      <c r="E77" s="210"/>
      <c r="F77" s="250"/>
      <c r="G77" s="142"/>
      <c r="H77" s="169"/>
      <c r="I77" s="140" t="str">
        <f t="shared" si="15"/>
        <v/>
      </c>
      <c r="J77" s="136"/>
      <c r="K77" s="187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f>$B$57</f>
        <v>5</v>
      </c>
      <c r="C78" s="136">
        <v>1021</v>
      </c>
      <c r="D78" s="137"/>
      <c r="E78" s="210"/>
      <c r="F78" s="250"/>
      <c r="G78" s="142"/>
      <c r="H78" s="169"/>
      <c r="I78" s="140" t="str">
        <f t="shared" si="13"/>
        <v/>
      </c>
      <c r="J78" s="136"/>
      <c r="K78" s="187"/>
      <c r="M78" s="85"/>
      <c r="N78" s="86"/>
      <c r="O78" s="86"/>
      <c r="P78" s="86"/>
      <c r="Q78" s="86"/>
      <c r="R78" s="86"/>
      <c r="S78" s="87"/>
    </row>
    <row r="79" spans="2:19" ht="18.600000000000001" thickBot="1">
      <c r="B79" s="96">
        <f>$B$15</f>
        <v>5</v>
      </c>
      <c r="C79" s="90">
        <v>1500</v>
      </c>
      <c r="D79" s="91" t="s">
        <v>251</v>
      </c>
      <c r="E79" s="92"/>
      <c r="F79" s="230"/>
      <c r="G79" s="108"/>
      <c r="H79" s="244"/>
      <c r="I79" s="94">
        <f>SUM(I80:I81)</f>
        <v>0</v>
      </c>
      <c r="J79" s="93"/>
      <c r="K79" s="185">
        <f>SUM(K80:K81)</f>
        <v>0</v>
      </c>
    </row>
    <row r="80" spans="2:19">
      <c r="B80" s="135">
        <f>$B$79</f>
        <v>5</v>
      </c>
      <c r="C80" s="136">
        <v>1510</v>
      </c>
      <c r="D80" s="137" t="s">
        <v>194</v>
      </c>
      <c r="E80" s="167"/>
      <c r="F80" s="232"/>
      <c r="G80" s="142"/>
      <c r="H80" s="169"/>
      <c r="I80" s="140" t="str">
        <f t="shared" ref="I80:I81" si="16">IF(AND(G80&lt;&gt;0,H80=""),G80,IF(AND(G80&lt;&gt;0,H80&gt;0),G80*H80,""))</f>
        <v/>
      </c>
      <c r="J80" s="136"/>
      <c r="K80" s="187"/>
    </row>
    <row r="81" spans="2:11" ht="15" thickBot="1">
      <c r="B81" s="171">
        <f>$B$79</f>
        <v>5</v>
      </c>
      <c r="C81" s="172">
        <v>1520</v>
      </c>
      <c r="D81" s="177" t="s">
        <v>195</v>
      </c>
      <c r="E81" s="173"/>
      <c r="F81" s="233"/>
      <c r="G81" s="175"/>
      <c r="H81" s="214"/>
      <c r="I81" s="176" t="str">
        <f t="shared" si="16"/>
        <v/>
      </c>
      <c r="J81" s="172"/>
      <c r="K81" s="188"/>
    </row>
    <row r="82" spans="2:11" ht="15" thickTop="1"/>
  </sheetData>
  <mergeCells count="38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55:K55"/>
    <mergeCell ref="E56:F56"/>
    <mergeCell ref="M18:S18"/>
    <mergeCell ref="M16:S16"/>
    <mergeCell ref="M17:S17"/>
    <mergeCell ref="M19:S19"/>
    <mergeCell ref="M20:S20"/>
  </mergeCells>
  <conditionalFormatting sqref="K15 K21 K27 K33 K41 K46 K52 K57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79">
    <cfRule type="expression" dxfId="0" priority="1">
      <formula>K79=0</formula>
    </cfRule>
  </conditionalFormatting>
  <printOptions horizontalCentered="1" verticalCentered="1"/>
  <pageMargins left="0.25" right="0.25" top="0.25" bottom="0.25" header="0" footer="0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524D-D1B8-4ABA-B53B-5B46316B14FB}">
  <sheetPr codeName="Sheet6"/>
  <dimension ref="A1:AC15"/>
  <sheetViews>
    <sheetView workbookViewId="0">
      <selection activeCell="AE8" sqref="AE8"/>
    </sheetView>
  </sheetViews>
  <sheetFormatPr defaultRowHeight="14.4"/>
  <cols>
    <col min="1" max="6" width="1.6640625" customWidth="1"/>
    <col min="9" max="9" width="19.109375" bestFit="1" customWidth="1"/>
    <col min="10" max="10" width="9.109375" style="20" customWidth="1"/>
    <col min="11" max="11" width="16" style="20" bestFit="1" customWidth="1"/>
    <col min="12" max="13" width="16" style="20" customWidth="1"/>
    <col min="14" max="14" width="11.109375" style="20" bestFit="1" customWidth="1"/>
    <col min="15" max="17" width="9.109375" style="20"/>
    <col min="19" max="19" width="12.88671875" bestFit="1" customWidth="1"/>
    <col min="20" max="20" width="13.109375" bestFit="1" customWidth="1"/>
    <col min="21" max="21" width="20.33203125" bestFit="1" customWidth="1"/>
    <col min="22" max="22" width="11.88671875" bestFit="1" customWidth="1"/>
    <col min="25" max="25" width="14.6640625" bestFit="1" customWidth="1"/>
    <col min="26" max="26" width="12" bestFit="1" customWidth="1"/>
    <col min="27" max="27" width="12.6640625" bestFit="1" customWidth="1"/>
    <col min="28" max="28" width="7.33203125" customWidth="1"/>
    <col min="29" max="29" width="10" bestFit="1" customWidth="1"/>
  </cols>
  <sheetData>
    <row r="1" spans="1:29" ht="15" thickBot="1">
      <c r="J1" s="65" t="s">
        <v>114</v>
      </c>
      <c r="K1" s="66" t="s">
        <v>119</v>
      </c>
      <c r="L1" s="66" t="s">
        <v>118</v>
      </c>
      <c r="M1" s="66" t="s">
        <v>120</v>
      </c>
      <c r="N1" s="66" t="s">
        <v>115</v>
      </c>
      <c r="O1" s="66" t="s">
        <v>111</v>
      </c>
      <c r="P1" s="66" t="s">
        <v>112</v>
      </c>
      <c r="Q1" s="66" t="s">
        <v>113</v>
      </c>
      <c r="R1" s="66" t="s">
        <v>116</v>
      </c>
      <c r="S1" s="66" t="s">
        <v>117</v>
      </c>
      <c r="T1" s="66" t="s">
        <v>123</v>
      </c>
      <c r="U1" s="66" t="s">
        <v>137</v>
      </c>
      <c r="V1" s="67" t="s">
        <v>130</v>
      </c>
      <c r="X1" s="65" t="s">
        <v>133</v>
      </c>
      <c r="Y1" s="76" t="s">
        <v>138</v>
      </c>
      <c r="Z1" s="66" t="s">
        <v>134</v>
      </c>
      <c r="AA1" s="66" t="s">
        <v>135</v>
      </c>
      <c r="AB1" s="66" t="s">
        <v>136</v>
      </c>
      <c r="AC1" s="67" t="s">
        <v>139</v>
      </c>
    </row>
    <row r="2" spans="1:29">
      <c r="A2" s="45"/>
      <c r="B2" s="45"/>
      <c r="C2" s="45"/>
      <c r="E2" s="46"/>
      <c r="H2" t="s">
        <v>124</v>
      </c>
      <c r="I2" s="49" t="s">
        <v>106</v>
      </c>
      <c r="J2" s="50">
        <v>22</v>
      </c>
      <c r="K2" s="50">
        <v>18.625</v>
      </c>
      <c r="L2" s="50">
        <v>85.2</v>
      </c>
      <c r="M2" s="50" t="s">
        <v>121</v>
      </c>
      <c r="N2" s="50"/>
      <c r="O2" s="50">
        <v>0</v>
      </c>
      <c r="P2" s="50">
        <v>100</v>
      </c>
      <c r="Q2" s="50">
        <f>P2-O2</f>
        <v>100</v>
      </c>
      <c r="R2" s="51">
        <v>0</v>
      </c>
      <c r="S2" s="52">
        <f>R2*Q2</f>
        <v>0</v>
      </c>
      <c r="T2" s="50">
        <f>Q2*L2</f>
        <v>8520</v>
      </c>
      <c r="U2" s="53">
        <f>((((3.14159/4)*((J2^2)-(K2^2)))/144)*Q2*1.25 + 50)/1.15</f>
        <v>124.76250026537025</v>
      </c>
      <c r="V2" s="54">
        <v>8.4</v>
      </c>
      <c r="X2" s="49">
        <v>12</v>
      </c>
      <c r="Y2" s="77">
        <f>Q2</f>
        <v>100</v>
      </c>
      <c r="Z2" s="70">
        <f>(Y2/X2)/24</f>
        <v>0.34722222222222227</v>
      </c>
      <c r="AA2" s="71"/>
      <c r="AB2" s="71"/>
      <c r="AC2" s="72">
        <f>SUM(Z2:AB2)</f>
        <v>0.34722222222222227</v>
      </c>
    </row>
    <row r="3" spans="1:29">
      <c r="B3" s="45"/>
      <c r="C3" s="45"/>
      <c r="E3" s="46"/>
      <c r="H3" t="s">
        <v>125</v>
      </c>
      <c r="I3" s="55" t="s">
        <v>107</v>
      </c>
      <c r="J3" s="56">
        <v>16</v>
      </c>
      <c r="K3" s="56">
        <v>13.375</v>
      </c>
      <c r="L3" s="56">
        <v>68</v>
      </c>
      <c r="M3" s="56" t="s">
        <v>145</v>
      </c>
      <c r="N3" s="56" t="s">
        <v>122</v>
      </c>
      <c r="O3" s="56">
        <v>0</v>
      </c>
      <c r="P3" s="56">
        <v>3000</v>
      </c>
      <c r="Q3" s="56">
        <f t="shared" ref="Q3" si="0">P3-O3</f>
        <v>3000</v>
      </c>
      <c r="R3" s="80">
        <v>85</v>
      </c>
      <c r="S3" s="58">
        <f>R3*Q3</f>
        <v>255000</v>
      </c>
      <c r="T3" s="56">
        <f t="shared" ref="T3:T8" si="1">Q3*L3</f>
        <v>204000</v>
      </c>
      <c r="U3" s="59">
        <f>((((3.14159/4)*((J3^2)-(K3^2)))/144)*Q3*1.25 + 50)/1.15</f>
        <v>1414.8892742654552</v>
      </c>
      <c r="V3" s="60">
        <v>9.5</v>
      </c>
      <c r="X3" s="55">
        <v>150</v>
      </c>
      <c r="Y3" s="68">
        <f>P3-P2</f>
        <v>2900</v>
      </c>
      <c r="Z3" s="69">
        <f t="shared" ref="Z3:Z6" si="2">(Y3/X3)/24</f>
        <v>0.80555555555555547</v>
      </c>
      <c r="AA3" s="61">
        <v>1</v>
      </c>
      <c r="AB3" s="61">
        <v>0.75</v>
      </c>
      <c r="AC3" s="73">
        <f t="shared" ref="AC3:AC10" si="3">SUM(Z3:AB3)</f>
        <v>2.5555555555555554</v>
      </c>
    </row>
    <row r="4" spans="1:29">
      <c r="C4" s="45"/>
      <c r="E4" s="46"/>
      <c r="H4" t="s">
        <v>126</v>
      </c>
      <c r="I4" s="55" t="s">
        <v>108</v>
      </c>
      <c r="J4" s="56">
        <v>12.25</v>
      </c>
      <c r="K4" s="56">
        <v>9.625</v>
      </c>
      <c r="L4" s="56">
        <v>47</v>
      </c>
      <c r="M4" s="56" t="s">
        <v>129</v>
      </c>
      <c r="N4" s="56" t="s">
        <v>141</v>
      </c>
      <c r="O4" s="56">
        <v>0</v>
      </c>
      <c r="P4" s="56">
        <v>10500</v>
      </c>
      <c r="Q4" s="56">
        <v>10800</v>
      </c>
      <c r="R4" s="57">
        <v>101.18</v>
      </c>
      <c r="S4" s="58">
        <f t="shared" ref="S4:S8" si="4">R4*Q4</f>
        <v>1092744</v>
      </c>
      <c r="T4" s="56">
        <f t="shared" si="1"/>
        <v>507600</v>
      </c>
      <c r="U4" s="59">
        <f t="shared" ref="U4:U6" si="5">((((3.14159/4)*((J4^2)-(K4^2)))/144)*Q4*1.25 + 50)/1.15</f>
        <v>3720.0269350798235</v>
      </c>
      <c r="V4" s="60">
        <v>11.5</v>
      </c>
      <c r="X4" s="55">
        <v>75</v>
      </c>
      <c r="Y4" s="68">
        <f>P4-P3</f>
        <v>7500</v>
      </c>
      <c r="Z4" s="69">
        <f t="shared" si="2"/>
        <v>4.166666666666667</v>
      </c>
      <c r="AA4" s="61">
        <v>1.1000000000000001</v>
      </c>
      <c r="AB4" s="61">
        <v>1.2</v>
      </c>
      <c r="AC4" s="73">
        <f t="shared" si="3"/>
        <v>6.4666666666666677</v>
      </c>
    </row>
    <row r="5" spans="1:29">
      <c r="C5" s="45"/>
      <c r="E5" s="46"/>
      <c r="H5" t="s">
        <v>127</v>
      </c>
      <c r="I5" s="55" t="s">
        <v>52</v>
      </c>
      <c r="J5" s="56">
        <v>8.5</v>
      </c>
      <c r="K5" s="56">
        <v>7.625</v>
      </c>
      <c r="L5" s="56">
        <v>29.7</v>
      </c>
      <c r="M5" s="56" t="s">
        <v>140</v>
      </c>
      <c r="N5" s="56" t="s">
        <v>142</v>
      </c>
      <c r="O5" s="56">
        <v>10000</v>
      </c>
      <c r="P5" s="56">
        <v>12930</v>
      </c>
      <c r="Q5" s="56">
        <v>4900</v>
      </c>
      <c r="R5" s="57">
        <v>70.62</v>
      </c>
      <c r="S5" s="58">
        <f t="shared" si="4"/>
        <v>346038</v>
      </c>
      <c r="T5" s="56">
        <f t="shared" si="1"/>
        <v>145530</v>
      </c>
      <c r="U5" s="59">
        <f t="shared" si="5"/>
        <v>453.34535380930151</v>
      </c>
      <c r="V5" s="60">
        <v>16.5</v>
      </c>
      <c r="X5" s="55">
        <v>50</v>
      </c>
      <c r="Y5" s="68">
        <f>P5-P4</f>
        <v>2430</v>
      </c>
      <c r="Z5" s="69">
        <f t="shared" si="2"/>
        <v>2.0249999999999999</v>
      </c>
      <c r="AA5" s="61">
        <v>1.1000000000000001</v>
      </c>
      <c r="AB5" s="61">
        <v>1</v>
      </c>
      <c r="AC5" s="73">
        <f t="shared" si="3"/>
        <v>4.125</v>
      </c>
    </row>
    <row r="6" spans="1:29">
      <c r="C6" s="45"/>
      <c r="E6" s="46"/>
      <c r="H6" t="s">
        <v>128</v>
      </c>
      <c r="I6" s="55" t="s">
        <v>109</v>
      </c>
      <c r="J6" s="56">
        <v>6.5</v>
      </c>
      <c r="K6" s="56">
        <v>5.5</v>
      </c>
      <c r="L6" s="56">
        <v>23</v>
      </c>
      <c r="M6" s="56" t="s">
        <v>140</v>
      </c>
      <c r="N6" s="56" t="s">
        <v>143</v>
      </c>
      <c r="O6" s="56">
        <v>12500</v>
      </c>
      <c r="P6" s="56">
        <v>16500</v>
      </c>
      <c r="Q6" s="56">
        <v>3000</v>
      </c>
      <c r="R6" s="57">
        <v>60.79</v>
      </c>
      <c r="S6" s="58">
        <f t="shared" si="4"/>
        <v>182370</v>
      </c>
      <c r="T6" s="56">
        <f t="shared" si="1"/>
        <v>69000</v>
      </c>
      <c r="U6" s="59">
        <f t="shared" si="5"/>
        <v>256.90149456521738</v>
      </c>
      <c r="V6" s="60">
        <v>17.5</v>
      </c>
      <c r="X6" s="55">
        <v>17</v>
      </c>
      <c r="Y6" s="68">
        <f>P6-P5</f>
        <v>3570</v>
      </c>
      <c r="Z6" s="69">
        <f t="shared" si="2"/>
        <v>8.75</v>
      </c>
      <c r="AA6" s="61">
        <v>2</v>
      </c>
      <c r="AB6" s="61">
        <v>3</v>
      </c>
      <c r="AC6" s="73">
        <f t="shared" si="3"/>
        <v>13.75</v>
      </c>
    </row>
    <row r="7" spans="1:29">
      <c r="C7" s="45"/>
      <c r="D7" s="45"/>
      <c r="E7" s="46"/>
      <c r="I7" s="55" t="s">
        <v>110</v>
      </c>
      <c r="J7" s="56"/>
      <c r="K7" s="56">
        <v>5.5</v>
      </c>
      <c r="L7" s="56">
        <v>23</v>
      </c>
      <c r="M7" s="56" t="s">
        <v>140</v>
      </c>
      <c r="N7" s="79" t="s">
        <v>144</v>
      </c>
      <c r="O7" s="56">
        <v>0</v>
      </c>
      <c r="P7" s="56">
        <v>6000</v>
      </c>
      <c r="Q7" s="56">
        <v>6500</v>
      </c>
      <c r="R7" s="57">
        <v>55.7</v>
      </c>
      <c r="S7" s="58">
        <f t="shared" si="4"/>
        <v>362050</v>
      </c>
      <c r="T7" s="56">
        <f t="shared" si="1"/>
        <v>149500</v>
      </c>
      <c r="U7" s="59"/>
      <c r="V7" s="60"/>
      <c r="X7" s="55"/>
      <c r="Y7" s="68"/>
      <c r="Z7" s="69"/>
      <c r="AA7" s="61">
        <v>1.5</v>
      </c>
      <c r="AB7" s="61"/>
      <c r="AC7" s="73">
        <f t="shared" si="3"/>
        <v>1.5</v>
      </c>
    </row>
    <row r="8" spans="1:29">
      <c r="D8" s="45"/>
      <c r="E8" s="45"/>
      <c r="I8" s="55"/>
      <c r="J8" s="56"/>
      <c r="K8" s="56">
        <v>5.5</v>
      </c>
      <c r="L8" s="56">
        <v>23</v>
      </c>
      <c r="M8" s="56" t="s">
        <v>140</v>
      </c>
      <c r="N8" s="56" t="s">
        <v>143</v>
      </c>
      <c r="O8" s="56">
        <v>6000</v>
      </c>
      <c r="P8" s="56">
        <v>13800</v>
      </c>
      <c r="Q8" s="56">
        <v>8200</v>
      </c>
      <c r="R8" s="57">
        <v>60.79</v>
      </c>
      <c r="S8" s="58">
        <f t="shared" si="4"/>
        <v>498478</v>
      </c>
      <c r="T8" s="56">
        <f t="shared" si="1"/>
        <v>188600</v>
      </c>
      <c r="U8" s="56"/>
      <c r="V8" s="60"/>
      <c r="X8" s="55"/>
      <c r="Y8" s="68"/>
      <c r="Z8" s="69"/>
      <c r="AA8" s="61"/>
      <c r="AB8" s="61"/>
      <c r="AC8" s="73">
        <f t="shared" si="3"/>
        <v>0</v>
      </c>
    </row>
    <row r="9" spans="1:29">
      <c r="E9" s="45"/>
      <c r="I9" s="55" t="s">
        <v>131</v>
      </c>
      <c r="J9" s="56"/>
      <c r="K9" s="56"/>
      <c r="L9" s="56"/>
      <c r="M9" s="56"/>
      <c r="N9" s="56"/>
      <c r="O9" s="56"/>
      <c r="P9" s="56"/>
      <c r="Q9" s="56"/>
      <c r="R9" s="61"/>
      <c r="S9" s="58"/>
      <c r="T9" s="56"/>
      <c r="U9" s="56"/>
      <c r="V9" s="60"/>
      <c r="X9" s="55"/>
      <c r="Y9" s="68"/>
      <c r="Z9" s="69"/>
      <c r="AA9" s="61"/>
      <c r="AB9" s="61">
        <v>4</v>
      </c>
      <c r="AC9" s="73">
        <f t="shared" si="3"/>
        <v>4</v>
      </c>
    </row>
    <row r="10" spans="1:29" ht="15" thickBot="1">
      <c r="E10" s="45"/>
      <c r="I10" s="62" t="s">
        <v>132</v>
      </c>
      <c r="J10" s="63"/>
      <c r="K10" s="63"/>
      <c r="L10" s="63"/>
      <c r="M10" s="63"/>
      <c r="N10" s="63"/>
      <c r="O10" s="63"/>
      <c r="P10" s="63"/>
      <c r="Q10" s="63"/>
      <c r="R10" s="64"/>
      <c r="S10" s="64"/>
      <c r="T10" s="63"/>
      <c r="U10" s="63"/>
      <c r="V10" s="81"/>
      <c r="X10" s="62"/>
      <c r="Y10" s="78"/>
      <c r="Z10" s="74"/>
      <c r="AA10" s="64"/>
      <c r="AB10" s="64">
        <v>2</v>
      </c>
      <c r="AC10" s="75">
        <f t="shared" si="3"/>
        <v>2</v>
      </c>
    </row>
    <row r="11" spans="1:29">
      <c r="E11" s="45"/>
      <c r="S11" s="47">
        <f>SUM(S2:S10)</f>
        <v>2736680</v>
      </c>
      <c r="AC11" s="48">
        <f>SUM(AC2:AC10)</f>
        <v>34.744444444444447</v>
      </c>
    </row>
    <row r="12" spans="1:29">
      <c r="E12" s="45"/>
    </row>
    <row r="13" spans="1:29">
      <c r="E13" s="45"/>
    </row>
    <row r="14" spans="1:29">
      <c r="E14" s="45"/>
    </row>
    <row r="15" spans="1:29">
      <c r="E15" s="4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7707-B857-49F0-8723-FBDB69FD54FB}">
  <sheetPr codeName="Sheet7"/>
  <dimension ref="B2:P28"/>
  <sheetViews>
    <sheetView workbookViewId="0">
      <selection activeCell="P15" sqref="P15:P16"/>
    </sheetView>
  </sheetViews>
  <sheetFormatPr defaultRowHeight="14.4"/>
  <cols>
    <col min="2" max="13" width="12.6640625" customWidth="1"/>
    <col min="15" max="15" width="11" customWidth="1"/>
  </cols>
  <sheetData>
    <row r="2" spans="2:16" ht="15" thickBot="1">
      <c r="B2" s="385" t="s">
        <v>68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</row>
    <row r="3" spans="2:16" ht="15.6" thickTop="1" thickBot="1">
      <c r="B3" s="391" t="s">
        <v>69</v>
      </c>
      <c r="C3" s="389"/>
      <c r="D3" s="389" t="s">
        <v>70</v>
      </c>
      <c r="E3" s="389"/>
      <c r="F3" s="389" t="s">
        <v>55</v>
      </c>
      <c r="G3" s="389"/>
      <c r="H3" s="389" t="s">
        <v>71</v>
      </c>
      <c r="I3" s="389"/>
      <c r="J3" s="389" t="s">
        <v>72</v>
      </c>
      <c r="K3" s="389"/>
      <c r="L3" s="389" t="s">
        <v>57</v>
      </c>
      <c r="M3" s="390"/>
    </row>
    <row r="4" spans="2:16" ht="15.6" thickTop="1" thickBot="1">
      <c r="B4" s="28" t="s">
        <v>73</v>
      </c>
      <c r="C4" s="29">
        <v>1.25</v>
      </c>
      <c r="D4" s="29" t="s">
        <v>74</v>
      </c>
      <c r="E4" s="21">
        <v>0.75</v>
      </c>
      <c r="F4" s="29" t="s">
        <v>75</v>
      </c>
      <c r="G4" s="30">
        <v>2</v>
      </c>
      <c r="H4" s="29" t="s">
        <v>56</v>
      </c>
      <c r="I4" s="29">
        <v>2</v>
      </c>
      <c r="J4" s="29" t="s">
        <v>76</v>
      </c>
      <c r="K4" s="29">
        <v>0.5</v>
      </c>
      <c r="L4" s="29" t="s">
        <v>77</v>
      </c>
      <c r="M4" s="31">
        <v>7</v>
      </c>
    </row>
    <row r="5" spans="2:16" ht="15" thickBot="1">
      <c r="B5" s="22" t="s">
        <v>78</v>
      </c>
      <c r="C5" s="23">
        <v>0.5</v>
      </c>
      <c r="D5" s="23" t="s">
        <v>79</v>
      </c>
      <c r="E5" s="32">
        <v>0.5</v>
      </c>
      <c r="F5" s="23" t="s">
        <v>80</v>
      </c>
      <c r="G5" s="33">
        <v>2</v>
      </c>
      <c r="H5" s="23" t="s">
        <v>81</v>
      </c>
      <c r="I5" s="34">
        <f>((I4*1.5)/24)+2</f>
        <v>2.125</v>
      </c>
      <c r="J5" s="23" t="s">
        <v>82</v>
      </c>
      <c r="K5" s="23">
        <v>1.25</v>
      </c>
      <c r="L5" s="23" t="s">
        <v>83</v>
      </c>
      <c r="M5" s="24">
        <v>14</v>
      </c>
    </row>
    <row r="6" spans="2:16" ht="15" thickBot="1">
      <c r="B6" s="22"/>
      <c r="C6" s="23"/>
      <c r="D6" s="23" t="s">
        <v>84</v>
      </c>
      <c r="E6" s="32">
        <v>0.5</v>
      </c>
      <c r="F6" s="23" t="s">
        <v>85</v>
      </c>
      <c r="G6" s="35">
        <f>((G4*G5)/12)+2+2</f>
        <v>4.3333333333333339</v>
      </c>
      <c r="H6" s="23"/>
      <c r="I6" s="34"/>
      <c r="J6" s="23"/>
      <c r="K6" s="23"/>
      <c r="L6" s="23"/>
      <c r="M6" s="24"/>
    </row>
    <row r="7" spans="2:16" ht="15" thickBot="1">
      <c r="B7" s="22"/>
      <c r="C7" s="23"/>
      <c r="D7" s="23" t="s">
        <v>86</v>
      </c>
      <c r="E7" s="32">
        <v>1</v>
      </c>
      <c r="F7" s="23" t="s">
        <v>87</v>
      </c>
      <c r="G7" s="35">
        <f>((G4*G5)/14)+2+2</f>
        <v>4.2857142857142856</v>
      </c>
      <c r="H7" s="23"/>
      <c r="I7" s="34"/>
      <c r="J7" s="23"/>
      <c r="K7" s="23"/>
      <c r="L7" s="23"/>
      <c r="M7" s="24"/>
    </row>
    <row r="8" spans="2:16" ht="15" thickBot="1">
      <c r="B8" s="22"/>
      <c r="C8" s="23"/>
      <c r="D8" s="23" t="s">
        <v>88</v>
      </c>
      <c r="E8" s="32">
        <v>0.125</v>
      </c>
      <c r="F8" s="23" t="s">
        <v>89</v>
      </c>
      <c r="G8" s="35">
        <f>((G4*G5)/15)+1+2</f>
        <v>3.2666666666666666</v>
      </c>
      <c r="H8" s="23"/>
      <c r="I8" s="34"/>
      <c r="J8" s="23"/>
      <c r="K8" s="23"/>
      <c r="L8" s="23"/>
      <c r="M8" s="24"/>
    </row>
    <row r="9" spans="2:16" ht="15" thickBot="1">
      <c r="B9" s="22"/>
      <c r="C9" s="23"/>
      <c r="D9" s="23"/>
      <c r="E9" s="23"/>
      <c r="F9" s="23" t="s">
        <v>90</v>
      </c>
      <c r="G9" s="35">
        <f>((G4*G5)/16)+1+2</f>
        <v>3.25</v>
      </c>
      <c r="H9" s="23"/>
      <c r="I9" s="34"/>
      <c r="J9" s="23"/>
      <c r="K9" s="23"/>
      <c r="L9" s="23"/>
      <c r="M9" s="24"/>
    </row>
    <row r="10" spans="2:16" ht="15" thickBot="1">
      <c r="B10" s="22"/>
      <c r="C10" s="23"/>
      <c r="D10" s="23"/>
      <c r="E10" s="23"/>
      <c r="F10" s="23" t="s">
        <v>91</v>
      </c>
      <c r="G10" s="35">
        <f>((G4*G5)/16)+1+2</f>
        <v>3.25</v>
      </c>
      <c r="H10" s="23"/>
      <c r="I10" s="34"/>
      <c r="J10" s="23"/>
      <c r="K10" s="23"/>
      <c r="L10" s="23"/>
      <c r="M10" s="24"/>
    </row>
    <row r="11" spans="2:16" ht="15" thickBot="1">
      <c r="B11" s="22"/>
      <c r="C11" s="23"/>
      <c r="D11" s="23"/>
      <c r="E11" s="23"/>
      <c r="F11" s="23" t="s">
        <v>92</v>
      </c>
      <c r="G11" s="35">
        <f>((G4*G5)/18)+2</f>
        <v>2.2222222222222223</v>
      </c>
      <c r="H11" s="23"/>
      <c r="I11" s="23"/>
      <c r="J11" s="23"/>
      <c r="K11" s="23"/>
      <c r="L11" s="23"/>
      <c r="M11" s="24"/>
    </row>
    <row r="12" spans="2:16" ht="15" thickBot="1">
      <c r="B12" s="25"/>
      <c r="C12" s="26"/>
      <c r="D12" s="26"/>
      <c r="E12" s="26"/>
      <c r="F12" s="26"/>
      <c r="G12" s="36"/>
      <c r="H12" s="26"/>
      <c r="I12" s="26"/>
      <c r="J12" s="26"/>
      <c r="K12" s="26"/>
      <c r="L12" s="26" t="s">
        <v>93</v>
      </c>
      <c r="M12" s="39">
        <f>(F13+H13+J13+D13)-0.5</f>
        <v>8.25</v>
      </c>
    </row>
    <row r="13" spans="2:16" ht="15.6" thickTop="1" thickBot="1">
      <c r="B13" s="388">
        <v>1.75</v>
      </c>
      <c r="C13" s="386"/>
      <c r="D13" s="386">
        <v>2</v>
      </c>
      <c r="E13" s="386"/>
      <c r="F13" s="386">
        <v>3</v>
      </c>
      <c r="G13" s="386"/>
      <c r="H13" s="386">
        <v>2</v>
      </c>
      <c r="I13" s="386"/>
      <c r="J13" s="386">
        <v>1.75</v>
      </c>
      <c r="K13" s="386"/>
      <c r="L13" s="386">
        <v>14</v>
      </c>
      <c r="M13" s="387"/>
      <c r="O13" s="37" t="s">
        <v>94</v>
      </c>
      <c r="P13" s="38">
        <f>SUM(B13:M13)</f>
        <v>24.5</v>
      </c>
    </row>
    <row r="14" spans="2:16" ht="15" thickTop="1">
      <c r="G14" s="20"/>
    </row>
    <row r="15" spans="2:16">
      <c r="G15" s="20"/>
    </row>
    <row r="16" spans="2:16" ht="15" thickBot="1">
      <c r="B16" s="385" t="s">
        <v>95</v>
      </c>
      <c r="C16" s="385"/>
      <c r="D16" s="385"/>
      <c r="E16" s="385"/>
      <c r="F16" s="385"/>
      <c r="G16" s="385"/>
      <c r="H16" s="385"/>
      <c r="I16" s="385"/>
      <c r="J16" s="385"/>
      <c r="K16" s="385"/>
      <c r="L16" s="385"/>
      <c r="M16" s="385"/>
    </row>
    <row r="17" spans="2:16" ht="15.6" thickTop="1" thickBot="1">
      <c r="B17" s="391" t="s">
        <v>69</v>
      </c>
      <c r="C17" s="389"/>
      <c r="D17" s="389" t="s">
        <v>70</v>
      </c>
      <c r="E17" s="389"/>
      <c r="F17" s="389" t="s">
        <v>55</v>
      </c>
      <c r="G17" s="389"/>
      <c r="H17" s="389" t="s">
        <v>71</v>
      </c>
      <c r="I17" s="389"/>
      <c r="J17" s="389" t="s">
        <v>72</v>
      </c>
      <c r="K17" s="389"/>
      <c r="L17" s="389" t="s">
        <v>57</v>
      </c>
      <c r="M17" s="390"/>
    </row>
    <row r="18" spans="2:16" ht="15.6" thickTop="1" thickBot="1">
      <c r="B18" s="28"/>
      <c r="C18" s="29"/>
      <c r="D18" s="29" t="s">
        <v>96</v>
      </c>
      <c r="E18" s="40">
        <v>1235</v>
      </c>
      <c r="F18" s="29" t="s">
        <v>97</v>
      </c>
      <c r="G18" s="40">
        <v>4000</v>
      </c>
      <c r="H18" s="29" t="s">
        <v>60</v>
      </c>
      <c r="I18" s="40">
        <v>3</v>
      </c>
      <c r="J18" s="29" t="s">
        <v>98</v>
      </c>
      <c r="K18" s="40">
        <v>9000</v>
      </c>
      <c r="L18" s="29"/>
      <c r="M18" s="31"/>
    </row>
    <row r="19" spans="2:16" ht="15" thickBot="1">
      <c r="B19" s="22"/>
      <c r="C19" s="23"/>
      <c r="D19" s="23" t="s">
        <v>79</v>
      </c>
      <c r="E19" s="43">
        <f>2.5*E18</f>
        <v>3087.5</v>
      </c>
      <c r="F19" s="23" t="s">
        <v>99</v>
      </c>
      <c r="G19" s="23">
        <f>G4*G18</f>
        <v>8000</v>
      </c>
      <c r="H19" s="23" t="s">
        <v>100</v>
      </c>
      <c r="I19" s="23">
        <f>I18*400</f>
        <v>1200</v>
      </c>
      <c r="J19" s="23" t="s">
        <v>101</v>
      </c>
      <c r="K19" s="41">
        <v>5.5</v>
      </c>
      <c r="L19" s="23"/>
      <c r="M19" s="24"/>
    </row>
    <row r="20" spans="2:16" ht="15" thickBot="1">
      <c r="B20" s="22"/>
      <c r="C20" s="23"/>
      <c r="D20" s="23" t="s">
        <v>84</v>
      </c>
      <c r="E20" s="43">
        <f>2.5*E18</f>
        <v>3087.5</v>
      </c>
      <c r="F20" s="23" t="s">
        <v>102</v>
      </c>
      <c r="G20" s="44">
        <v>250</v>
      </c>
      <c r="H20" s="23"/>
      <c r="I20" s="23"/>
      <c r="J20" s="23" t="s">
        <v>103</v>
      </c>
      <c r="K20" s="41">
        <v>8.5350000000000001</v>
      </c>
      <c r="L20" s="23"/>
      <c r="M20" s="24"/>
    </row>
    <row r="21" spans="2:16" ht="15" thickBot="1">
      <c r="B21" s="22"/>
      <c r="C21" s="23"/>
      <c r="D21" s="23" t="s">
        <v>86</v>
      </c>
      <c r="E21" s="43">
        <f>1.25*E18</f>
        <v>1543.75</v>
      </c>
      <c r="F21" s="23" t="s">
        <v>104</v>
      </c>
      <c r="G21" s="43">
        <f>(G4-1)*G20</f>
        <v>250</v>
      </c>
      <c r="H21" s="23"/>
      <c r="I21" s="23"/>
      <c r="J21" s="23"/>
      <c r="K21" s="43">
        <f>((((((((K20)^2)-(K19)^2))*3.14159)/4)/144)*K18)*0.1781</f>
        <v>372.39561950077001</v>
      </c>
      <c r="L21" s="23"/>
      <c r="M21" s="24"/>
    </row>
    <row r="22" spans="2:16" ht="15" thickBot="1">
      <c r="B22" s="22"/>
      <c r="C22" s="23"/>
      <c r="D22" s="23" t="s">
        <v>88</v>
      </c>
      <c r="E22" s="43">
        <f>0.1*E18</f>
        <v>123.5</v>
      </c>
      <c r="F22" s="23"/>
      <c r="G22" s="23"/>
      <c r="H22" s="23"/>
      <c r="I22" s="23"/>
      <c r="J22" s="23"/>
      <c r="K22" s="23"/>
      <c r="L22" s="23"/>
      <c r="M22" s="24"/>
    </row>
    <row r="23" spans="2:16" ht="15" thickBot="1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</row>
    <row r="24" spans="2:16" ht="15" thickBot="1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</row>
    <row r="25" spans="2:16" ht="15" thickBo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</row>
    <row r="26" spans="2:16" ht="15" thickBot="1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2:16" ht="15.6" thickTop="1" thickBot="1">
      <c r="B27" s="388">
        <v>0</v>
      </c>
      <c r="C27" s="386"/>
      <c r="D27" s="386">
        <v>3300</v>
      </c>
      <c r="E27" s="386"/>
      <c r="F27" s="386">
        <v>21000</v>
      </c>
      <c r="G27" s="386"/>
      <c r="H27" s="386">
        <v>1600</v>
      </c>
      <c r="I27" s="386"/>
      <c r="J27" s="386">
        <v>1000</v>
      </c>
      <c r="K27" s="386"/>
      <c r="L27" s="386">
        <v>0</v>
      </c>
      <c r="M27" s="387"/>
      <c r="O27" s="37" t="s">
        <v>105</v>
      </c>
      <c r="P27" s="42">
        <f>SUM(B27:M27)</f>
        <v>26900</v>
      </c>
    </row>
    <row r="28" spans="2:16" ht="15" thickTop="1"/>
  </sheetData>
  <mergeCells count="26">
    <mergeCell ref="B2:M2"/>
    <mergeCell ref="L13:M13"/>
    <mergeCell ref="J13:K13"/>
    <mergeCell ref="H13:I13"/>
    <mergeCell ref="F13:G13"/>
    <mergeCell ref="D13:E13"/>
    <mergeCell ref="B13:C13"/>
    <mergeCell ref="L3:M3"/>
    <mergeCell ref="J3:K3"/>
    <mergeCell ref="H3:I3"/>
    <mergeCell ref="F3:G3"/>
    <mergeCell ref="D3:E3"/>
    <mergeCell ref="B3:C3"/>
    <mergeCell ref="B16:M16"/>
    <mergeCell ref="L27:M27"/>
    <mergeCell ref="J27:K27"/>
    <mergeCell ref="H27:I27"/>
    <mergeCell ref="F27:G27"/>
    <mergeCell ref="D27:E27"/>
    <mergeCell ref="B27:C27"/>
    <mergeCell ref="L17:M17"/>
    <mergeCell ref="J17:K17"/>
    <mergeCell ref="H17:I17"/>
    <mergeCell ref="F17:G17"/>
    <mergeCell ref="D17:E17"/>
    <mergeCell ref="B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Props1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5FDB9-DD04-49E2-91B4-681826595126}">
  <ds:schemaRefs>
    <ds:schemaRef ds:uri="http://www.w3.org/XML/1998/namespace"/>
    <ds:schemaRef ds:uri="http://purl.org/dc/terms/"/>
    <ds:schemaRef ds:uri="f5d1cfba-a72f-487e-9a94-7e7633315af1"/>
    <ds:schemaRef ds:uri="http://schemas.openxmlformats.org/package/2006/metadata/core-properties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PDE</vt:lpstr>
      <vt:lpstr>Summary</vt:lpstr>
      <vt:lpstr>Drilling</vt:lpstr>
      <vt:lpstr>Completion</vt:lpstr>
      <vt:lpstr>Equip</vt:lpstr>
      <vt:lpstr>DRL Worksheet</vt:lpstr>
      <vt:lpstr>CMP Worksheet</vt:lpstr>
      <vt:lpstr>Completion!Print_Area</vt:lpstr>
      <vt:lpstr>Drilling!Print_Area</vt:lpstr>
      <vt:lpstr>Equip!Print_Area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2023-01-31T20:51:21Z</cp:lastPrinted>
  <dcterms:created xsi:type="dcterms:W3CDTF">2021-07-23T23:54:38Z</dcterms:created>
  <dcterms:modified xsi:type="dcterms:W3CDTF">2023-01-31T20:51:27Z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