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vumacp.sharepoint.com/sites/CriterionEnergyPartners/Shared Documents/Engineering and Operations/Personal Folders/JD/"/>
    </mc:Choice>
  </mc:AlternateContent>
  <xr:revisionPtr revIDLastSave="115" documentId="8_{41B4FEA4-3FDF-49AD-936A-8DFA18C6E715}" xr6:coauthVersionLast="47" xr6:coauthVersionMax="47" xr10:uidLastSave="{324E5FD1-6525-4FB0-86A4-1569620FF58A}"/>
  <bookViews>
    <workbookView xWindow="-108" yWindow="-108" windowWidth="23256" windowHeight="12576" firstSheet="1" activeTab="2" xr2:uid="{C4D11F33-926A-447A-B518-450C4AC52F9E}"/>
  </bookViews>
  <sheets>
    <sheet name="PDE" sheetId="4" state="hidden" r:id="rId1"/>
    <sheet name="Summary" sheetId="13" r:id="rId2"/>
    <sheet name="Workover" sheetId="12" r:id="rId3"/>
  </sheets>
  <definedNames>
    <definedName name="Location">Workover!$F$97*Workover!$G$97+Workover!$F$98*Workover!$G$98+Workover!$F$99*Workover!$G$99+Workover!$F$100*Workover!$G$100+Workover!$F$101*Workover!$G$101+Workover!$F$102*Workover!$G$102+Workover!$F$103*Workover!$G$103+Workover!$F$104*Workover!$G$104+Workover!$F$105*Workover!$G$105+Workover!$F$106*Workover!$G$106+Workover!$F$107*Workover!$G$107</definedName>
    <definedName name="OneTime" localSheetId="2">Workover!$F$119*Workover!$G$119+Workover!$F$120*Workover!$G$120+Workover!$F$121*Workover!$G$121</definedName>
    <definedName name="PhaseIIWBevalkill">Workover!$F$125*Workover!$G$125+Workover!$F$126*Workover!$G$126+Workover!#REF!*Workover!#REF!+Workover!#REF!*Workover!#REF!+Workover!#REF!*Workover!#REF!+Workover!#REF!*Workover!#REF!+Workover!$F$127*Workover!$G$127+Workover!$F$128*Workover!$G$128+Workover!$F$129*Workover!$G$129+Workover!$F$130*Workover!$G$130+Workover!$F$131*Workover!$G$131+Workover!$F$132*Workover!$G$132+Workover!$F$133*Workover!$G$133</definedName>
    <definedName name="_xlnm.Print_Area" localSheetId="2">Workover!$B$2:$K$89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4" i="12" l="1"/>
  <c r="H173" i="12"/>
  <c r="F173" i="12"/>
  <c r="J173" i="12" s="1"/>
  <c r="H150" i="12"/>
  <c r="H151" i="12" s="1"/>
  <c r="H138" i="12"/>
  <c r="H139" i="12" s="1"/>
  <c r="H140" i="12" s="1"/>
  <c r="J178" i="12"/>
  <c r="X134" i="12"/>
  <c r="C6" i="13"/>
  <c r="C7" i="13"/>
  <c r="C8" i="13"/>
  <c r="C9" i="13"/>
  <c r="C10" i="13"/>
  <c r="C11" i="13"/>
  <c r="C12" i="13"/>
  <c r="J174" i="12"/>
  <c r="J175" i="12"/>
  <c r="J176" i="12"/>
  <c r="J179" i="12"/>
  <c r="J162" i="12"/>
  <c r="J163" i="12"/>
  <c r="J164" i="12"/>
  <c r="J165" i="12"/>
  <c r="J167" i="12"/>
  <c r="J151" i="12"/>
  <c r="J152" i="12"/>
  <c r="J153" i="12"/>
  <c r="J154" i="12"/>
  <c r="J155" i="12"/>
  <c r="J156" i="12"/>
  <c r="J138" i="12"/>
  <c r="J139" i="12"/>
  <c r="J140" i="12"/>
  <c r="J141" i="12"/>
  <c r="J143" i="12"/>
  <c r="J145" i="12"/>
  <c r="J126" i="12"/>
  <c r="J128" i="12"/>
  <c r="J130" i="12"/>
  <c r="J131" i="12"/>
  <c r="J132" i="12"/>
  <c r="J119" i="12"/>
  <c r="J120" i="12"/>
  <c r="J121" i="12"/>
  <c r="J111" i="12"/>
  <c r="J112" i="12"/>
  <c r="J113" i="12"/>
  <c r="J114" i="12"/>
  <c r="J115" i="12"/>
  <c r="J98" i="12"/>
  <c r="J99" i="12"/>
  <c r="J100" i="12"/>
  <c r="J101" i="12"/>
  <c r="J102" i="12"/>
  <c r="J103" i="12"/>
  <c r="J105" i="12"/>
  <c r="J107" i="12"/>
  <c r="I121" i="12"/>
  <c r="F166" i="12"/>
  <c r="W138" i="12"/>
  <c r="Y138" i="12" s="1"/>
  <c r="F150" i="12"/>
  <c r="G106" i="12"/>
  <c r="I106" i="12" s="1"/>
  <c r="G129" i="12"/>
  <c r="I129" i="12" s="1"/>
  <c r="I120" i="12"/>
  <c r="I119" i="12"/>
  <c r="I138" i="12"/>
  <c r="I126" i="12"/>
  <c r="I115" i="12"/>
  <c r="I114" i="12"/>
  <c r="I113" i="12"/>
  <c r="I112" i="12"/>
  <c r="I111" i="12"/>
  <c r="W137" i="12"/>
  <c r="Y137" i="12" s="1"/>
  <c r="W136" i="12"/>
  <c r="W133" i="12"/>
  <c r="W135" i="12"/>
  <c r="W134" i="12"/>
  <c r="W132" i="12"/>
  <c r="Y132" i="12" s="1"/>
  <c r="U130" i="12"/>
  <c r="U131" i="12" s="1"/>
  <c r="I132" i="12"/>
  <c r="I131" i="12"/>
  <c r="I130" i="12"/>
  <c r="I128" i="12"/>
  <c r="I108" i="12"/>
  <c r="I107" i="12"/>
  <c r="I105" i="12"/>
  <c r="I103" i="12"/>
  <c r="I102" i="12"/>
  <c r="I101" i="12"/>
  <c r="I100" i="12"/>
  <c r="I99" i="12"/>
  <c r="I98" i="12"/>
  <c r="F97" i="12"/>
  <c r="I97" i="12" s="1"/>
  <c r="I89" i="12"/>
  <c r="I88" i="12"/>
  <c r="K87" i="12"/>
  <c r="B87" i="12"/>
  <c r="B89" i="12" s="1"/>
  <c r="I86" i="12"/>
  <c r="I85" i="12"/>
  <c r="I84" i="12"/>
  <c r="I83" i="12"/>
  <c r="G82" i="12"/>
  <c r="I82" i="12" s="1"/>
  <c r="I81" i="12"/>
  <c r="I80" i="12"/>
  <c r="I79" i="12"/>
  <c r="I78" i="12"/>
  <c r="K77" i="12"/>
  <c r="B77" i="12"/>
  <c r="B86" i="12" s="1"/>
  <c r="I74" i="12"/>
  <c r="I73" i="12"/>
  <c r="K72" i="12"/>
  <c r="B72" i="12"/>
  <c r="B74" i="12" s="1"/>
  <c r="I71" i="12"/>
  <c r="I70" i="12"/>
  <c r="I69" i="12"/>
  <c r="I68" i="12"/>
  <c r="I67" i="12"/>
  <c r="I66" i="12"/>
  <c r="I65" i="12"/>
  <c r="K64" i="12"/>
  <c r="B64" i="12"/>
  <c r="B70" i="12" s="1"/>
  <c r="I63" i="12"/>
  <c r="I62" i="12"/>
  <c r="I61" i="12"/>
  <c r="I60" i="12"/>
  <c r="K59" i="12"/>
  <c r="B59" i="12"/>
  <c r="B63" i="12" s="1"/>
  <c r="I58" i="12"/>
  <c r="I57" i="12"/>
  <c r="I56" i="12"/>
  <c r="I55" i="12"/>
  <c r="I54" i="12"/>
  <c r="I53" i="12"/>
  <c r="I52" i="12"/>
  <c r="I51" i="12"/>
  <c r="I50" i="12"/>
  <c r="K49" i="12"/>
  <c r="B49" i="12"/>
  <c r="B57" i="12" s="1"/>
  <c r="I48" i="12"/>
  <c r="I47" i="12"/>
  <c r="I46" i="12"/>
  <c r="I45" i="12"/>
  <c r="I44" i="12"/>
  <c r="I43" i="12"/>
  <c r="K42" i="12"/>
  <c r="B42" i="12"/>
  <c r="B47" i="12" s="1"/>
  <c r="I41" i="12"/>
  <c r="I40" i="12"/>
  <c r="I39" i="12"/>
  <c r="K38" i="12"/>
  <c r="B38" i="12"/>
  <c r="B40" i="12" s="1"/>
  <c r="I37" i="12"/>
  <c r="I36" i="12"/>
  <c r="I35" i="12"/>
  <c r="I34" i="12"/>
  <c r="G33" i="12"/>
  <c r="I33" i="12" s="1"/>
  <c r="K32" i="12"/>
  <c r="B32" i="12"/>
  <c r="B37" i="12" s="1"/>
  <c r="I31" i="12"/>
  <c r="I30" i="12"/>
  <c r="I29" i="12"/>
  <c r="I28" i="12"/>
  <c r="I27" i="12"/>
  <c r="I26" i="12"/>
  <c r="K25" i="12"/>
  <c r="B25" i="12"/>
  <c r="B31" i="12" s="1"/>
  <c r="I24" i="12"/>
  <c r="F24" i="12"/>
  <c r="C24" i="12"/>
  <c r="I23" i="12"/>
  <c r="F23" i="12"/>
  <c r="C23" i="12"/>
  <c r="I22" i="12"/>
  <c r="F22" i="12"/>
  <c r="C22" i="12"/>
  <c r="I21" i="12"/>
  <c r="K20" i="12"/>
  <c r="B20" i="12"/>
  <c r="B24" i="12" s="1"/>
  <c r="I19" i="12"/>
  <c r="B19" i="12"/>
  <c r="I18" i="12"/>
  <c r="B18" i="12"/>
  <c r="I17" i="12"/>
  <c r="B17" i="12"/>
  <c r="I16" i="12"/>
  <c r="B16" i="12"/>
  <c r="K15" i="12"/>
  <c r="H175" i="12" l="1"/>
  <c r="I174" i="12"/>
  <c r="H141" i="12"/>
  <c r="I140" i="12"/>
  <c r="I173" i="12"/>
  <c r="H152" i="12"/>
  <c r="I152" i="12" s="1"/>
  <c r="I151" i="12"/>
  <c r="I150" i="12"/>
  <c r="J150" i="12"/>
  <c r="G104" i="12"/>
  <c r="J104" i="12" s="1"/>
  <c r="J106" i="12"/>
  <c r="J129" i="12"/>
  <c r="J177" i="12"/>
  <c r="J166" i="12"/>
  <c r="J117" i="12"/>
  <c r="D7" i="13" s="1"/>
  <c r="I117" i="12"/>
  <c r="E7" i="13" s="1"/>
  <c r="J109" i="12"/>
  <c r="J97" i="12"/>
  <c r="G127" i="12"/>
  <c r="F161" i="12"/>
  <c r="J161" i="12" s="1"/>
  <c r="B73" i="12"/>
  <c r="I87" i="12"/>
  <c r="B41" i="12"/>
  <c r="I20" i="12"/>
  <c r="I32" i="12"/>
  <c r="Y134" i="12"/>
  <c r="I72" i="12"/>
  <c r="I109" i="12"/>
  <c r="Y136" i="12"/>
  <c r="AB137" i="12" s="1"/>
  <c r="I15" i="12"/>
  <c r="I64" i="12"/>
  <c r="B36" i="12"/>
  <c r="I59" i="12"/>
  <c r="Y133" i="12"/>
  <c r="AB136" i="12" s="1"/>
  <c r="B43" i="12"/>
  <c r="I25" i="12"/>
  <c r="I49" i="12"/>
  <c r="I77" i="12"/>
  <c r="G12" i="12"/>
  <c r="I38" i="12"/>
  <c r="I42" i="12"/>
  <c r="B65" i="12"/>
  <c r="I139" i="12"/>
  <c r="B44" i="12"/>
  <c r="B46" i="12"/>
  <c r="B48" i="12"/>
  <c r="B50" i="12"/>
  <c r="B58" i="12"/>
  <c r="B60" i="12"/>
  <c r="B62" i="12"/>
  <c r="B69" i="12"/>
  <c r="B78" i="12"/>
  <c r="B21" i="12"/>
  <c r="B56" i="12"/>
  <c r="B67" i="12"/>
  <c r="B45" i="12"/>
  <c r="B54" i="12"/>
  <c r="B61" i="12"/>
  <c r="B82" i="12"/>
  <c r="B22" i="12"/>
  <c r="B23" i="12"/>
  <c r="B34" i="12"/>
  <c r="B39" i="12"/>
  <c r="B52" i="12"/>
  <c r="B71" i="12"/>
  <c r="B80" i="12"/>
  <c r="B33" i="12"/>
  <c r="B51" i="12"/>
  <c r="B53" i="12"/>
  <c r="B55" i="12"/>
  <c r="B66" i="12"/>
  <c r="B68" i="12"/>
  <c r="B79" i="12"/>
  <c r="B81" i="12"/>
  <c r="B88" i="12"/>
  <c r="B26" i="12"/>
  <c r="B28" i="12"/>
  <c r="B30" i="12"/>
  <c r="B35" i="12"/>
  <c r="B83" i="12"/>
  <c r="B85" i="12"/>
  <c r="B27" i="12"/>
  <c r="B29" i="12"/>
  <c r="B84" i="12"/>
  <c r="H153" i="12" l="1"/>
  <c r="I141" i="12"/>
  <c r="H142" i="12"/>
  <c r="H143" i="12" s="1"/>
  <c r="H144" i="12" s="1"/>
  <c r="H145" i="12" s="1"/>
  <c r="I145" i="12" s="1"/>
  <c r="H176" i="12"/>
  <c r="I175" i="12"/>
  <c r="I153" i="12"/>
  <c r="H154" i="12"/>
  <c r="I104" i="12"/>
  <c r="I95" i="12" s="1"/>
  <c r="F125" i="12"/>
  <c r="I125" i="12" s="1"/>
  <c r="J95" i="12"/>
  <c r="D6" i="13" s="1"/>
  <c r="I127" i="12"/>
  <c r="J127" i="12"/>
  <c r="E6" i="13"/>
  <c r="J172" i="12"/>
  <c r="F160" i="12"/>
  <c r="F171" i="12"/>
  <c r="F137" i="12"/>
  <c r="F149" i="12"/>
  <c r="AB138" i="12"/>
  <c r="H177" i="12" l="1"/>
  <c r="I176" i="12"/>
  <c r="H155" i="12"/>
  <c r="I154" i="12"/>
  <c r="J125" i="12"/>
  <c r="I137" i="12"/>
  <c r="J137" i="12"/>
  <c r="J160" i="12"/>
  <c r="J158" i="12" s="1"/>
  <c r="D11" i="13" s="1"/>
  <c r="I171" i="12"/>
  <c r="J171" i="12"/>
  <c r="J169" i="12" s="1"/>
  <c r="D12" i="13" s="1"/>
  <c r="I149" i="12"/>
  <c r="J149" i="12"/>
  <c r="J147" i="12" s="1"/>
  <c r="D10" i="13" s="1"/>
  <c r="I172" i="12"/>
  <c r="I143" i="12"/>
  <c r="G144" i="12"/>
  <c r="J144" i="12" s="1"/>
  <c r="H178" i="12" l="1"/>
  <c r="I177" i="12"/>
  <c r="H156" i="12"/>
  <c r="I155" i="12"/>
  <c r="I144" i="12"/>
  <c r="G142" i="12"/>
  <c r="I156" i="12" l="1"/>
  <c r="I147" i="12" s="1"/>
  <c r="E10" i="13" s="1"/>
  <c r="H160" i="12"/>
  <c r="H179" i="12"/>
  <c r="I179" i="12" s="1"/>
  <c r="I178" i="12"/>
  <c r="I169" i="12" s="1"/>
  <c r="E12" i="13" s="1"/>
  <c r="I142" i="12"/>
  <c r="J142" i="12"/>
  <c r="J135" i="12" s="1"/>
  <c r="D9" i="13" s="1"/>
  <c r="J123" i="12"/>
  <c r="D8" i="13" s="1"/>
  <c r="I123" i="12"/>
  <c r="H161" i="12" l="1"/>
  <c r="I160" i="12"/>
  <c r="I135" i="12"/>
  <c r="E9" i="13" s="1"/>
  <c r="D14" i="13"/>
  <c r="E8" i="13"/>
  <c r="H162" i="12" l="1"/>
  <c r="I161" i="12"/>
  <c r="I162" i="12" l="1"/>
  <c r="H163" i="12"/>
  <c r="I163" i="12" l="1"/>
  <c r="H164" i="12"/>
  <c r="I164" i="12" l="1"/>
  <c r="H165" i="12"/>
  <c r="H166" i="12" l="1"/>
  <c r="I165" i="12"/>
  <c r="H167" i="12" l="1"/>
  <c r="I167" i="12" s="1"/>
  <c r="I166" i="12"/>
  <c r="I158" i="12" l="1"/>
  <c r="E11" i="13" l="1"/>
  <c r="E14" i="13" s="1"/>
  <c r="I10" i="12"/>
  <c r="I12" i="12" s="1"/>
</calcChain>
</file>

<file path=xl/sharedStrings.xml><?xml version="1.0" encoding="utf-8"?>
<sst xmlns="http://schemas.openxmlformats.org/spreadsheetml/2006/main" count="333" uniqueCount="221">
  <si>
    <t>Well Name:</t>
  </si>
  <si>
    <t>API</t>
  </si>
  <si>
    <t>Surface Legal Location</t>
  </si>
  <si>
    <t>Field Name</t>
  </si>
  <si>
    <t>Permit Number</t>
  </si>
  <si>
    <t>State/Province</t>
  </si>
  <si>
    <t>Well Configuration Type</t>
  </si>
  <si>
    <t>Ground Elevation (ft)</t>
  </si>
  <si>
    <t>Casing Flange Elevation (ft)</t>
  </si>
  <si>
    <t>KB - Ground Distance (ft)</t>
  </si>
  <si>
    <t>KB - Casing Flange Distance (ft)</t>
  </si>
  <si>
    <t>Spud Date</t>
  </si>
  <si>
    <t>Rig Release Date</t>
  </si>
  <si>
    <t>Jobs</t>
  </si>
  <si>
    <t>Job Category</t>
  </si>
  <si>
    <t>Primary Job Type</t>
  </si>
  <si>
    <t>Secondary Job Type</t>
  </si>
  <si>
    <t>Start Date</t>
  </si>
  <si>
    <t>End Date</t>
  </si>
  <si>
    <t>Target Depth (ft-KB)</t>
  </si>
  <si>
    <t>Target Formation</t>
  </si>
  <si>
    <t>Objective</t>
  </si>
  <si>
    <t>AFE</t>
  </si>
  <si>
    <t>AFE Number</t>
  </si>
  <si>
    <t>AFE Date</t>
  </si>
  <si>
    <t>AFE Type</t>
  </si>
  <si>
    <t>Supplemental AFE Number</t>
  </si>
  <si>
    <t>Total AFE + Supplement Amount (Cost)</t>
  </si>
  <si>
    <t>Total AFE Amount (Cost)</t>
  </si>
  <si>
    <t>Total AFE Supplement Amount (Cost)</t>
  </si>
  <si>
    <t>AFE Status</t>
  </si>
  <si>
    <t>AFE Cost Breakdown</t>
  </si>
  <si>
    <t>Major Category Code</t>
  </si>
  <si>
    <t>Minor Category Code</t>
  </si>
  <si>
    <t>AFE Amount (Cost)</t>
  </si>
  <si>
    <t>Supplement Date</t>
  </si>
  <si>
    <t>Supplement Amount (Cost)</t>
  </si>
  <si>
    <t>Comments</t>
  </si>
  <si>
    <t>Mob/Demob</t>
  </si>
  <si>
    <t>- 4 days coring; 2 days logging</t>
  </si>
  <si>
    <t>Cementing Services</t>
  </si>
  <si>
    <t>Well Control Insurance &amp; Services</t>
  </si>
  <si>
    <t>LIH Fees</t>
  </si>
  <si>
    <t>Insurance - GenLiab &amp; Umbrella</t>
  </si>
  <si>
    <t>G&amp;A Overhead</t>
  </si>
  <si>
    <t>Payroll Labor</t>
  </si>
  <si>
    <t>Plugs</t>
  </si>
  <si>
    <t>Production Tubing</t>
  </si>
  <si>
    <t>Packer</t>
  </si>
  <si>
    <t>Permitting, Regulatory</t>
  </si>
  <si>
    <t>Cleanup</t>
  </si>
  <si>
    <t>Location Preparation</t>
  </si>
  <si>
    <t>Major</t>
  </si>
  <si>
    <t>Minor</t>
  </si>
  <si>
    <t>Daywork</t>
  </si>
  <si>
    <t>Type</t>
  </si>
  <si>
    <t>Unit Cost</t>
  </si>
  <si>
    <t>Units</t>
  </si>
  <si>
    <t>Qty</t>
  </si>
  <si>
    <t>Total Cost</t>
  </si>
  <si>
    <t>Description</t>
  </si>
  <si>
    <t>Fuel, Lube</t>
  </si>
  <si>
    <t>Rental Equipment</t>
  </si>
  <si>
    <t>Rentals - Surface</t>
  </si>
  <si>
    <t>BOP Stack &amp; Pressure Control</t>
  </si>
  <si>
    <t>Rotary Tools &amp; Acc (TD, PS, RH)</t>
  </si>
  <si>
    <t>Squeeze</t>
  </si>
  <si>
    <t>Wireline, Logging and Testing</t>
  </si>
  <si>
    <t>Specialized Services</t>
  </si>
  <si>
    <t>Torque &amp; Test</t>
  </si>
  <si>
    <t>HSE Equipment &amp; Services</t>
  </si>
  <si>
    <t>Welding &amp; Fabrication</t>
  </si>
  <si>
    <t>Tubular Inspection</t>
  </si>
  <si>
    <t>Fishing &amp; Pipe Recovery</t>
  </si>
  <si>
    <t>Transportation</t>
  </si>
  <si>
    <t>Trucking</t>
  </si>
  <si>
    <t>Hot Shot</t>
  </si>
  <si>
    <t>Air</t>
  </si>
  <si>
    <t>Marine</t>
  </si>
  <si>
    <t>Contract Supervision, Onsite &amp; Office</t>
  </si>
  <si>
    <t>Contract Labor - roustabout, etc</t>
  </si>
  <si>
    <t>Miscellaneous Costs - Intangible</t>
  </si>
  <si>
    <t>Contingencies</t>
  </si>
  <si>
    <t>Accrual</t>
  </si>
  <si>
    <t>Supplement Cost</t>
  </si>
  <si>
    <t>Water &amp; Trucking Costs</t>
  </si>
  <si>
    <t>Fluid Disposal</t>
  </si>
  <si>
    <t>CAPITALIZED INTANGIBLE COSTS</t>
  </si>
  <si>
    <t>CAPITALIZED TANGIBLE COSTS</t>
  </si>
  <si>
    <t>Tangible Equipment</t>
  </si>
  <si>
    <t>Lost in Hole</t>
  </si>
  <si>
    <t>Definition</t>
  </si>
  <si>
    <t>Miscellaneous Services</t>
  </si>
  <si>
    <t>Well Name</t>
  </si>
  <si>
    <t>County</t>
  </si>
  <si>
    <t>Brazoria</t>
  </si>
  <si>
    <t>Primary Job Description</t>
  </si>
  <si>
    <t>Well Type</t>
  </si>
  <si>
    <t>Texas</t>
  </si>
  <si>
    <t>Total Depth, ft MD</t>
  </si>
  <si>
    <t>Formation</t>
  </si>
  <si>
    <t>Admin, Insurance &amp; Labor</t>
  </si>
  <si>
    <t>Road, Location</t>
  </si>
  <si>
    <t>Frac Pond, Impoundment</t>
  </si>
  <si>
    <t>Completion Unit</t>
  </si>
  <si>
    <t>Completion Rig Contract</t>
  </si>
  <si>
    <t>Coiled Tubing Unit &amp; Support Eqpmt</t>
  </si>
  <si>
    <t>Snubbing Unit &amp; Support Eqpmt</t>
  </si>
  <si>
    <t>Completion Fluids</t>
  </si>
  <si>
    <t>Kill Fluids, Labor &amp; Equipment</t>
  </si>
  <si>
    <t>Packer Fluid</t>
  </si>
  <si>
    <t>Filtration</t>
  </si>
  <si>
    <t>Fluid Related Equipment (transfer, etc)</t>
  </si>
  <si>
    <t>Rentals - Subsurface (pipe, BHA, etc)</t>
  </si>
  <si>
    <t>Production Casing</t>
  </si>
  <si>
    <t>Cased Hole Logging</t>
  </si>
  <si>
    <t>Transient Pressure Analysis</t>
  </si>
  <si>
    <t>Tracer Surveys</t>
  </si>
  <si>
    <t>Perforating</t>
  </si>
  <si>
    <t>Slickline &amp; Braided Line</t>
  </si>
  <si>
    <t>Flowtesting</t>
  </si>
  <si>
    <t>Tubular Services</t>
  </si>
  <si>
    <t>Stimulation &amp; Sand Control</t>
  </si>
  <si>
    <t>Consumables - Bits, Mills, FE, Plugs</t>
  </si>
  <si>
    <t>Wellhead, Tree &amp; Fittings</t>
  </si>
  <si>
    <t>Packer, Liner Hanger</t>
  </si>
  <si>
    <t>Artificial Lift Systems</t>
  </si>
  <si>
    <t>Subsurface Equipment - Other</t>
  </si>
  <si>
    <t>Miscellaneous Costs - Tangible</t>
  </si>
  <si>
    <t>$/bbl</t>
  </si>
  <si>
    <t>gen $2k, plugs $1.5k</t>
  </si>
  <si>
    <t>9-5/8" 47# L-80 BTC</t>
  </si>
  <si>
    <t>7" 29# L-80 BTC</t>
  </si>
  <si>
    <t>Production Tie-Back</t>
  </si>
  <si>
    <t>SLB B-section 22k$, tree $252k</t>
  </si>
  <si>
    <t>Water Oak Renewables, LLC</t>
  </si>
  <si>
    <t>Operator:</t>
  </si>
  <si>
    <t>Project Name</t>
  </si>
  <si>
    <t>Microseismic</t>
  </si>
  <si>
    <t>Martin Ranch (Frio 14,600)</t>
  </si>
  <si>
    <t>Reactivation</t>
  </si>
  <si>
    <t>Frio</t>
  </si>
  <si>
    <t>Recomplete</t>
  </si>
  <si>
    <t>PHASE I - Location Prep</t>
  </si>
  <si>
    <t>Lease Crew</t>
  </si>
  <si>
    <t>$/hr</t>
  </si>
  <si>
    <t>Location Work</t>
  </si>
  <si>
    <t>Cattle Guard Fabrication</t>
  </si>
  <si>
    <t>Set Anchors</t>
  </si>
  <si>
    <t>Wellhead tech</t>
  </si>
  <si>
    <t>Kill Truck</t>
  </si>
  <si>
    <t>Water</t>
  </si>
  <si>
    <t>Disposal</t>
  </si>
  <si>
    <t>Supervision</t>
  </si>
  <si>
    <t>$/day</t>
  </si>
  <si>
    <t>Probability</t>
  </si>
  <si>
    <t>BHP</t>
  </si>
  <si>
    <t>Req MW</t>
  </si>
  <si>
    <t>3.5 12.95</t>
  </si>
  <si>
    <t>7.625 39</t>
  </si>
  <si>
    <t>Depth</t>
  </si>
  <si>
    <t>pore press</t>
  </si>
  <si>
    <t>to btm perf</t>
  </si>
  <si>
    <t>Inside</t>
  </si>
  <si>
    <t>Outside</t>
  </si>
  <si>
    <t>bbls</t>
  </si>
  <si>
    <t>7.625 x 3.500</t>
  </si>
  <si>
    <t>Slickline</t>
  </si>
  <si>
    <t>Wellhead Tech</t>
  </si>
  <si>
    <t>PHASE II CONTINGENCY - Coiled Tubing Clean-out</t>
  </si>
  <si>
    <t>Chemicals</t>
  </si>
  <si>
    <t>BHA</t>
  </si>
  <si>
    <t>$/job</t>
  </si>
  <si>
    <t>PHASE III - Pull Tubing</t>
  </si>
  <si>
    <t>Workover Rig</t>
  </si>
  <si>
    <t>BOP Stack</t>
  </si>
  <si>
    <t>PHASE III CONTINGENCY - Stuck or Parted Tubing</t>
  </si>
  <si>
    <t>Workstring</t>
  </si>
  <si>
    <t>$/ft</t>
  </si>
  <si>
    <t>$/ft-day</t>
  </si>
  <si>
    <t>Vacuum Trucks</t>
  </si>
  <si>
    <t>flat</t>
  </si>
  <si>
    <t>Open Top Tanks</t>
  </si>
  <si>
    <t>Frac Tanks</t>
  </si>
  <si>
    <t>Gate Guard</t>
  </si>
  <si>
    <t>Flowback Equipment</t>
  </si>
  <si>
    <t>Safety Equipment</t>
  </si>
  <si>
    <t>Spread Cost</t>
  </si>
  <si>
    <t>Spread</t>
  </si>
  <si>
    <t>One-Time Charges</t>
  </si>
  <si>
    <t>Rig Mob and Demob</t>
  </si>
  <si>
    <t>T,G,LP,F,M,T,TT,OTT,FT,FBE delivery &amp; pick-up</t>
  </si>
  <si>
    <t>$/14hr</t>
  </si>
  <si>
    <t>Rig Crew Travel</t>
  </si>
  <si>
    <t>Per Diem &amp; Lodging</t>
  </si>
  <si>
    <t>7.625 x 5.000</t>
  </si>
  <si>
    <t>Fishing Tools, Supv</t>
  </si>
  <si>
    <t>Equipment inspection &amp; damages</t>
  </si>
  <si>
    <t>Total Workover AFE (RISKED), USD</t>
  </si>
  <si>
    <t>Total Workover AFE (UNRISKED), USD</t>
  </si>
  <si>
    <t>RISKED Total Cost</t>
  </si>
  <si>
    <t>UNRISKED Total Cost</t>
  </si>
  <si>
    <t>Unrisked</t>
  </si>
  <si>
    <t>x</t>
  </si>
  <si>
    <t>TOTAL</t>
  </si>
  <si>
    <t>Risked</t>
  </si>
  <si>
    <t>Select (x)</t>
  </si>
  <si>
    <t>Criterion Operating, LLC</t>
  </si>
  <si>
    <t>Pure #1D</t>
  </si>
  <si>
    <t>Workover</t>
  </si>
  <si>
    <t>SWD</t>
  </si>
  <si>
    <t>Pure #1D Workover</t>
  </si>
  <si>
    <t>PHASE II -  Slickline Tag &amp; Injection Test</t>
  </si>
  <si>
    <t>Coiled Tubing Unit (2-3/8")</t>
  </si>
  <si>
    <t>5.500 9.3</t>
  </si>
  <si>
    <t>5.500 x 3.500</t>
  </si>
  <si>
    <t>PHASE III CONTINGENCY - Tubing Replacement</t>
  </si>
  <si>
    <t>3-1/2" 9.3# N-80 tubing</t>
  </si>
  <si>
    <t>PHASE IV - PLUG &amp; ABANDON</t>
  </si>
  <si>
    <t>Tubing Inspection Log</t>
  </si>
  <si>
    <t>PURE #1D Reactivation Cost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</si>
</sst>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[$-409]mmmm\ d\,\ yyyy;@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49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theme="0"/>
      </bottom>
      <diagonal/>
    </border>
    <border>
      <left style="thick">
        <color theme="1"/>
      </left>
      <right style="thick">
        <color theme="1"/>
      </right>
      <top style="thin">
        <color theme="0"/>
      </top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theme="0"/>
      </bottom>
      <diagonal/>
    </border>
    <border>
      <left/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ck">
        <color auto="1"/>
      </right>
      <top style="thin">
        <color theme="0"/>
      </top>
      <bottom style="thick">
        <color auto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1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ck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ck">
        <color theme="1"/>
      </right>
      <top/>
      <bottom style="medium">
        <color theme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theme="0" tint="-0.1499679555650502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ck">
        <color theme="1"/>
      </right>
      <top/>
      <bottom/>
      <diagonal/>
    </border>
    <border>
      <left style="medium">
        <color theme="1"/>
      </left>
      <right style="thick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/>
      <bottom/>
      <diagonal/>
    </border>
    <border>
      <left style="thick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ck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 style="medium">
        <color theme="1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indexed="64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medium">
        <color theme="1"/>
      </bottom>
      <diagonal/>
    </border>
    <border>
      <left style="thick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2"/>
      </bottom>
      <diagonal/>
    </border>
    <border>
      <left/>
      <right style="medium">
        <color theme="1"/>
      </right>
      <top style="medium">
        <color theme="1"/>
      </top>
      <bottom style="thin">
        <color theme="2"/>
      </bottom>
      <diagonal/>
    </border>
    <border>
      <left style="medium">
        <color theme="1"/>
      </left>
      <right style="thick">
        <color theme="1"/>
      </right>
      <top style="medium">
        <color theme="1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 style="medium">
        <color theme="1"/>
      </left>
      <right style="thick">
        <color theme="1"/>
      </right>
      <top/>
      <bottom style="thin">
        <color theme="2"/>
      </bottom>
      <diagonal/>
    </border>
    <border>
      <left/>
      <right/>
      <top style="thin">
        <color theme="2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2"/>
      </bottom>
      <diagonal/>
    </border>
    <border>
      <left style="medium">
        <color theme="1"/>
      </left>
      <right/>
      <top style="medium">
        <color indexed="64"/>
      </top>
      <bottom style="thin">
        <color theme="2"/>
      </bottom>
      <diagonal/>
    </border>
    <border>
      <left style="medium">
        <color theme="1"/>
      </left>
      <right/>
      <top style="thin">
        <color theme="2"/>
      </top>
      <bottom style="thin">
        <color theme="2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 style="medium">
        <color theme="1"/>
      </right>
      <top style="thin">
        <color theme="2"/>
      </top>
      <bottom style="thick">
        <color theme="1"/>
      </bottom>
      <diagonal/>
    </border>
    <border>
      <left/>
      <right style="medium">
        <color theme="1"/>
      </right>
      <top style="thin">
        <color theme="2"/>
      </top>
      <bottom style="thick">
        <color theme="1"/>
      </bottom>
      <diagonal/>
    </border>
    <border>
      <left style="medium">
        <color theme="1"/>
      </left>
      <right/>
      <top style="thin">
        <color theme="2"/>
      </top>
      <bottom style="thick">
        <color theme="1"/>
      </bottom>
      <diagonal/>
    </border>
    <border>
      <left style="medium">
        <color theme="1"/>
      </left>
      <right style="thick">
        <color theme="1"/>
      </right>
      <top style="thin">
        <color theme="2"/>
      </top>
      <bottom style="thick">
        <color theme="1"/>
      </bottom>
      <diagonal/>
    </border>
    <border>
      <left style="thick">
        <color theme="1"/>
      </left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medium">
        <color theme="1"/>
      </right>
      <top style="thin">
        <color theme="2"/>
      </top>
      <bottom/>
      <diagonal/>
    </border>
    <border>
      <left/>
      <right style="medium">
        <color theme="1"/>
      </right>
      <top style="thin">
        <color theme="2"/>
      </top>
      <bottom/>
      <diagonal/>
    </border>
    <border>
      <left style="medium">
        <color theme="1"/>
      </left>
      <right style="thick">
        <color theme="1"/>
      </right>
      <top style="thin">
        <color theme="2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theme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theme="1"/>
      </bottom>
      <diagonal/>
    </border>
    <border>
      <left style="thick">
        <color auto="1"/>
      </left>
      <right style="medium">
        <color auto="1"/>
      </right>
      <top style="medium">
        <color theme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theme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theme="2" tint="-0.499984740745262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theme="2" tint="-0.499984740745262"/>
      </bottom>
      <diagonal/>
    </border>
    <border>
      <left style="thick">
        <color auto="1"/>
      </left>
      <right style="medium">
        <color auto="1"/>
      </right>
      <top style="thin">
        <color theme="2" tint="-0.499984740745262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theme="2" tint="-0.499984740745262"/>
      </top>
      <bottom style="medium">
        <color auto="1"/>
      </bottom>
      <diagonal/>
    </border>
    <border>
      <left style="thick">
        <color auto="1"/>
      </left>
      <right/>
      <top style="medium">
        <color theme="1"/>
      </top>
      <bottom style="medium">
        <color auto="1"/>
      </bottom>
      <diagonal/>
    </border>
    <border>
      <left/>
      <right/>
      <top style="medium">
        <color theme="1"/>
      </top>
      <bottom style="medium">
        <color auto="1"/>
      </bottom>
      <diagonal/>
    </border>
    <border>
      <left/>
      <right style="thick">
        <color auto="1"/>
      </right>
      <top style="medium">
        <color theme="1"/>
      </top>
      <bottom style="medium">
        <color auto="1"/>
      </bottom>
      <diagonal/>
    </border>
    <border>
      <left style="medium">
        <color theme="1"/>
      </left>
      <right/>
      <top style="thin">
        <color theme="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/>
      <right style="thick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medium">
        <color auto="1"/>
      </bottom>
      <diagonal/>
    </border>
    <border>
      <left/>
      <right/>
      <top style="thin">
        <color theme="1"/>
      </top>
      <bottom style="medium">
        <color auto="1"/>
      </bottom>
      <diagonal/>
    </border>
    <border>
      <left/>
      <right style="thick">
        <color auto="1"/>
      </right>
      <top style="thin">
        <color theme="1"/>
      </top>
      <bottom style="medium">
        <color auto="1"/>
      </bottom>
      <diagonal/>
    </border>
    <border>
      <left style="thin">
        <color indexed="64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10">
    <xf numFmtId="0" fontId="0" fillId="0" borderId="0" xfId="0"/>
    <xf numFmtId="0" fontId="0" fillId="0" borderId="2" xfId="0" applyBorder="1"/>
    <xf numFmtId="0" fontId="2" fillId="0" borderId="1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164" fontId="0" fillId="0" borderId="19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4" fontId="0" fillId="0" borderId="41" xfId="0" applyNumberForma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6" xfId="0" applyFont="1" applyBorder="1"/>
    <xf numFmtId="0" fontId="4" fillId="0" borderId="47" xfId="0" applyFont="1" applyBorder="1"/>
    <xf numFmtId="0" fontId="5" fillId="0" borderId="46" xfId="0" applyFont="1" applyBorder="1" applyAlignment="1">
      <alignment horizontal="center"/>
    </xf>
    <xf numFmtId="164" fontId="4" fillId="0" borderId="46" xfId="0" applyNumberFormat="1" applyFont="1" applyBorder="1" applyAlignment="1">
      <alignment horizontal="center"/>
    </xf>
    <xf numFmtId="0" fontId="5" fillId="0" borderId="0" xfId="0" applyFont="1"/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49" xfId="0" applyFont="1" applyBorder="1"/>
    <xf numFmtId="0" fontId="4" fillId="0" borderId="27" xfId="0" applyFont="1" applyBorder="1"/>
    <xf numFmtId="164" fontId="4" fillId="0" borderId="27" xfId="0" applyNumberFormat="1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2" xfId="0" applyBorder="1"/>
    <xf numFmtId="5" fontId="0" fillId="0" borderId="42" xfId="0" applyNumberFormat="1" applyBorder="1" applyAlignment="1">
      <alignment horizontal="center"/>
    </xf>
    <xf numFmtId="5" fontId="5" fillId="0" borderId="46" xfId="0" applyNumberFormat="1" applyFont="1" applyBorder="1" applyAlignment="1">
      <alignment horizontal="center"/>
    </xf>
    <xf numFmtId="5" fontId="4" fillId="0" borderId="27" xfId="0" applyNumberFormat="1" applyFont="1" applyBorder="1" applyAlignment="1">
      <alignment horizontal="center"/>
    </xf>
    <xf numFmtId="0" fontId="0" fillId="0" borderId="43" xfId="0" applyBorder="1" applyAlignment="1">
      <alignment horizontal="left" indent="2"/>
    </xf>
    <xf numFmtId="0" fontId="0" fillId="0" borderId="0" xfId="0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56" xfId="0" applyBorder="1" applyAlignment="1">
      <alignment vertical="center"/>
    </xf>
    <xf numFmtId="0" fontId="0" fillId="0" borderId="57" xfId="0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3" fontId="0" fillId="0" borderId="56" xfId="1" applyNumberFormat="1" applyFont="1" applyBorder="1" applyAlignment="1">
      <alignment horizontal="left" vertic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left" indent="2"/>
    </xf>
    <xf numFmtId="0" fontId="0" fillId="0" borderId="63" xfId="0" applyBorder="1" applyAlignment="1">
      <alignment horizontal="left"/>
    </xf>
    <xf numFmtId="164" fontId="0" fillId="0" borderId="62" xfId="0" applyNumberFormat="1" applyBorder="1" applyAlignment="1">
      <alignment horizontal="center"/>
    </xf>
    <xf numFmtId="0" fontId="0" fillId="0" borderId="62" xfId="0" applyBorder="1"/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68" xfId="0" applyBorder="1" applyAlignment="1">
      <alignment horizontal="left" indent="2"/>
    </xf>
    <xf numFmtId="0" fontId="0" fillId="0" borderId="68" xfId="0" applyBorder="1" applyAlignment="1">
      <alignment horizontal="left"/>
    </xf>
    <xf numFmtId="164" fontId="0" fillId="0" borderId="67" xfId="0" applyNumberFormat="1" applyBorder="1" applyAlignment="1">
      <alignment horizontal="center"/>
    </xf>
    <xf numFmtId="0" fontId="0" fillId="0" borderId="67" xfId="0" applyBorder="1"/>
    <xf numFmtId="5" fontId="0" fillId="0" borderId="67" xfId="0" applyNumberFormat="1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left" indent="2"/>
    </xf>
    <xf numFmtId="5" fontId="0" fillId="0" borderId="72" xfId="0" applyNumberFormat="1" applyBorder="1" applyAlignment="1">
      <alignment horizontal="center"/>
    </xf>
    <xf numFmtId="164" fontId="0" fillId="0" borderId="72" xfId="0" applyNumberFormat="1" applyBorder="1" applyAlignment="1">
      <alignment horizontal="center"/>
    </xf>
    <xf numFmtId="0" fontId="0" fillId="0" borderId="72" xfId="0" applyBorder="1"/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left" indent="2"/>
    </xf>
    <xf numFmtId="0" fontId="0" fillId="0" borderId="76" xfId="0" applyBorder="1"/>
    <xf numFmtId="5" fontId="0" fillId="0" borderId="76" xfId="0" applyNumberFormat="1" applyBorder="1" applyAlignment="1">
      <alignment horizontal="center"/>
    </xf>
    <xf numFmtId="164" fontId="0" fillId="0" borderId="76" xfId="0" applyNumberFormat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1" xfId="0" applyBorder="1" applyAlignment="1">
      <alignment horizontal="left" indent="2"/>
    </xf>
    <xf numFmtId="0" fontId="0" fillId="0" borderId="80" xfId="0" applyBorder="1"/>
    <xf numFmtId="5" fontId="0" fillId="0" borderId="80" xfId="0" applyNumberFormat="1" applyBorder="1" applyAlignment="1">
      <alignment horizontal="center"/>
    </xf>
    <xf numFmtId="164" fontId="0" fillId="0" borderId="80" xfId="0" applyNumberFormat="1" applyBorder="1" applyAlignment="1">
      <alignment horizontal="center"/>
    </xf>
    <xf numFmtId="5" fontId="0" fillId="0" borderId="62" xfId="0" applyNumberFormat="1" applyBorder="1" applyAlignment="1">
      <alignment horizontal="center"/>
    </xf>
    <xf numFmtId="3" fontId="0" fillId="0" borderId="62" xfId="0" applyNumberFormat="1" applyBorder="1" applyAlignment="1">
      <alignment horizontal="center"/>
    </xf>
    <xf numFmtId="0" fontId="0" fillId="0" borderId="86" xfId="0" applyBorder="1"/>
    <xf numFmtId="3" fontId="0" fillId="0" borderId="67" xfId="0" applyNumberFormat="1" applyBorder="1" applyAlignment="1">
      <alignment horizontal="center"/>
    </xf>
    <xf numFmtId="7" fontId="0" fillId="0" borderId="67" xfId="0" applyNumberFormat="1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90" xfId="0" applyBorder="1"/>
    <xf numFmtId="5" fontId="0" fillId="0" borderId="88" xfId="0" applyNumberFormat="1" applyBorder="1" applyAlignment="1">
      <alignment horizontal="center"/>
    </xf>
    <xf numFmtId="164" fontId="0" fillId="0" borderId="88" xfId="0" applyNumberFormat="1" applyBorder="1" applyAlignment="1">
      <alignment horizontal="center"/>
    </xf>
    <xf numFmtId="0" fontId="0" fillId="0" borderId="89" xfId="0" applyBorder="1" applyAlignment="1">
      <alignment horizontal="left" indent="2"/>
    </xf>
    <xf numFmtId="164" fontId="4" fillId="0" borderId="45" xfId="0" applyNumberFormat="1" applyFont="1" applyBorder="1" applyAlignment="1">
      <alignment horizontal="center" vertical="center"/>
    </xf>
    <xf numFmtId="164" fontId="0" fillId="0" borderId="65" xfId="0" applyNumberFormat="1" applyBorder="1" applyAlignment="1">
      <alignment horizontal="center" vertical="center"/>
    </xf>
    <xf numFmtId="164" fontId="0" fillId="0" borderId="70" xfId="0" applyNumberFormat="1" applyBorder="1" applyAlignment="1">
      <alignment horizontal="center" vertical="center"/>
    </xf>
    <xf numFmtId="164" fontId="0" fillId="0" borderId="74" xfId="0" applyNumberFormat="1" applyBorder="1" applyAlignment="1">
      <alignment horizontal="center" vertical="center"/>
    </xf>
    <xf numFmtId="164" fontId="0" fillId="0" borderId="78" xfId="0" applyNumberForma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64" fontId="0" fillId="0" borderId="82" xfId="0" applyNumberFormat="1" applyBorder="1" applyAlignment="1">
      <alignment horizontal="center" vertical="center"/>
    </xf>
    <xf numFmtId="5" fontId="4" fillId="0" borderId="45" xfId="0" applyNumberFormat="1" applyFont="1" applyBorder="1" applyAlignment="1">
      <alignment horizontal="center" vertical="center"/>
    </xf>
    <xf numFmtId="5" fontId="0" fillId="0" borderId="65" xfId="0" applyNumberFormat="1" applyBorder="1" applyAlignment="1">
      <alignment horizontal="center" vertical="center"/>
    </xf>
    <xf numFmtId="5" fontId="0" fillId="0" borderId="70" xfId="0" applyNumberFormat="1" applyBorder="1" applyAlignment="1">
      <alignment horizontal="center" vertical="center"/>
    </xf>
    <xf numFmtId="5" fontId="0" fillId="0" borderId="91" xfId="0" applyNumberFormat="1" applyBorder="1" applyAlignment="1">
      <alignment horizontal="center" vertical="center"/>
    </xf>
    <xf numFmtId="0" fontId="0" fillId="0" borderId="92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4" xfId="0" applyBorder="1" applyAlignment="1">
      <alignment horizontal="left" indent="2"/>
    </xf>
    <xf numFmtId="5" fontId="0" fillId="0" borderId="93" xfId="0" applyNumberFormat="1" applyBorder="1" applyAlignment="1">
      <alignment horizontal="center"/>
    </xf>
    <xf numFmtId="164" fontId="0" fillId="0" borderId="93" xfId="0" applyNumberForma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9" xfId="0" applyFont="1" applyFill="1" applyBorder="1"/>
    <xf numFmtId="0" fontId="1" fillId="4" borderId="30" xfId="0" applyFont="1" applyFill="1" applyBorder="1" applyAlignment="1">
      <alignment horizontal="center"/>
    </xf>
    <xf numFmtId="0" fontId="8" fillId="0" borderId="99" xfId="0" applyFont="1" applyBorder="1" applyAlignment="1">
      <alignment horizontal="left" vertical="center"/>
    </xf>
    <xf numFmtId="0" fontId="0" fillId="0" borderId="101" xfId="0" applyBorder="1" applyAlignment="1">
      <alignment horizontal="left" vertical="center"/>
    </xf>
    <xf numFmtId="0" fontId="8" fillId="0" borderId="103" xfId="0" applyFont="1" applyBorder="1" applyAlignment="1">
      <alignment horizontal="left" vertical="center"/>
    </xf>
    <xf numFmtId="0" fontId="0" fillId="0" borderId="105" xfId="0" applyBorder="1" applyAlignment="1">
      <alignment vertical="center"/>
    </xf>
    <xf numFmtId="0" fontId="2" fillId="0" borderId="86" xfId="0" applyFont="1" applyBorder="1"/>
    <xf numFmtId="0" fontId="2" fillId="0" borderId="85" xfId="0" applyFont="1" applyBorder="1"/>
    <xf numFmtId="3" fontId="0" fillId="0" borderId="88" xfId="0" applyNumberFormat="1" applyBorder="1" applyAlignment="1">
      <alignment horizontal="center"/>
    </xf>
    <xf numFmtId="0" fontId="2" fillId="0" borderId="113" xfId="0" applyFont="1" applyBorder="1"/>
    <xf numFmtId="3" fontId="0" fillId="0" borderId="93" xfId="0" applyNumberFormat="1" applyBorder="1" applyAlignment="1">
      <alignment horizontal="center"/>
    </xf>
    <xf numFmtId="5" fontId="0" fillId="0" borderId="95" xfId="0" applyNumberFormat="1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3" fontId="0" fillId="0" borderId="76" xfId="0" applyNumberFormat="1" applyBorder="1" applyAlignment="1">
      <alignment horizontal="center"/>
    </xf>
    <xf numFmtId="5" fontId="0" fillId="0" borderId="0" xfId="0" applyNumberFormat="1" applyAlignment="1">
      <alignment horizontal="center" vertical="center"/>
    </xf>
    <xf numFmtId="5" fontId="1" fillId="4" borderId="29" xfId="0" applyNumberFormat="1" applyFont="1" applyFill="1" applyBorder="1" applyAlignment="1">
      <alignment horizontal="center" vertical="center"/>
    </xf>
    <xf numFmtId="5" fontId="5" fillId="0" borderId="46" xfId="0" applyNumberFormat="1" applyFont="1" applyBorder="1" applyAlignment="1">
      <alignment horizontal="center" vertical="center"/>
    </xf>
    <xf numFmtId="5" fontId="0" fillId="0" borderId="64" xfId="0" applyNumberFormat="1" applyBorder="1" applyAlignment="1">
      <alignment horizontal="center" vertical="center"/>
    </xf>
    <xf numFmtId="5" fontId="0" fillId="0" borderId="69" xfId="0" applyNumberFormat="1" applyBorder="1" applyAlignment="1">
      <alignment horizontal="center" vertical="center"/>
    </xf>
    <xf numFmtId="5" fontId="0" fillId="0" borderId="76" xfId="0" applyNumberForma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5" fontId="4" fillId="0" borderId="27" xfId="0" applyNumberFormat="1" applyFont="1" applyBorder="1" applyAlignment="1">
      <alignment horizontal="center" vertical="center"/>
    </xf>
    <xf numFmtId="5" fontId="0" fillId="0" borderId="72" xfId="0" applyNumberFormat="1" applyBorder="1" applyAlignment="1">
      <alignment horizontal="center" vertical="center"/>
    </xf>
    <xf numFmtId="5" fontId="5" fillId="0" borderId="54" xfId="0" applyNumberFormat="1" applyFont="1" applyBorder="1" applyAlignment="1">
      <alignment horizontal="center" vertical="center"/>
    </xf>
    <xf numFmtId="5" fontId="0" fillId="0" borderId="63" xfId="0" applyNumberFormat="1" applyBorder="1" applyAlignment="1">
      <alignment horizontal="center" vertical="center"/>
    </xf>
    <xf numFmtId="5" fontId="0" fillId="0" borderId="68" xfId="0" applyNumberFormat="1" applyBorder="1" applyAlignment="1">
      <alignment horizontal="center" vertical="center"/>
    </xf>
    <xf numFmtId="5" fontId="0" fillId="0" borderId="89" xfId="0" applyNumberForma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4" borderId="29" xfId="0" applyNumberFormat="1" applyFont="1" applyFill="1" applyBorder="1" applyAlignment="1">
      <alignment horizontal="center"/>
    </xf>
    <xf numFmtId="3" fontId="5" fillId="0" borderId="46" xfId="0" applyNumberFormat="1" applyFont="1" applyBorder="1" applyAlignment="1">
      <alignment horizontal="center"/>
    </xf>
    <xf numFmtId="3" fontId="4" fillId="0" borderId="27" xfId="0" applyNumberFormat="1" applyFont="1" applyBorder="1" applyAlignment="1">
      <alignment horizontal="center"/>
    </xf>
    <xf numFmtId="3" fontId="0" fillId="0" borderId="72" xfId="0" applyNumberFormat="1" applyBorder="1" applyAlignment="1">
      <alignment horizontal="center"/>
    </xf>
    <xf numFmtId="3" fontId="0" fillId="0" borderId="42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1" fillId="3" borderId="29" xfId="0" applyNumberFormat="1" applyFont="1" applyFill="1" applyBorder="1" applyAlignment="1">
      <alignment horizontal="center"/>
    </xf>
    <xf numFmtId="5" fontId="2" fillId="0" borderId="68" xfId="0" applyNumberFormat="1" applyFont="1" applyBorder="1" applyAlignment="1">
      <alignment horizontal="center" vertical="center"/>
    </xf>
    <xf numFmtId="5" fontId="2" fillId="0" borderId="94" xfId="0" applyNumberFormat="1" applyFont="1" applyBorder="1" applyAlignment="1">
      <alignment horizontal="center" vertical="center"/>
    </xf>
    <xf numFmtId="0" fontId="8" fillId="0" borderId="116" xfId="0" applyFont="1" applyBorder="1" applyAlignment="1">
      <alignment horizontal="left" vertical="center"/>
    </xf>
    <xf numFmtId="0" fontId="8" fillId="0" borderId="117" xfId="0" applyFont="1" applyBorder="1" applyAlignment="1">
      <alignment horizontal="left" vertical="center"/>
    </xf>
    <xf numFmtId="44" fontId="0" fillId="0" borderId="0" xfId="2" applyFont="1"/>
    <xf numFmtId="44" fontId="0" fillId="0" borderId="0" xfId="2" applyFont="1" applyAlignment="1">
      <alignment horizontal="center"/>
    </xf>
    <xf numFmtId="0" fontId="4" fillId="0" borderId="4" xfId="0" applyFont="1" applyBorder="1" applyAlignment="1">
      <alignment horizontal="center"/>
    </xf>
    <xf numFmtId="5" fontId="4" fillId="0" borderId="5" xfId="0" applyNumberFormat="1" applyFont="1" applyBorder="1" applyAlignment="1">
      <alignment horizontal="center" vertical="center"/>
    </xf>
    <xf numFmtId="0" fontId="4" fillId="0" borderId="121" xfId="0" applyFont="1" applyBorder="1" applyAlignment="1">
      <alignment horizontal="center"/>
    </xf>
    <xf numFmtId="0" fontId="4" fillId="0" borderId="121" xfId="0" applyFont="1" applyBorder="1"/>
    <xf numFmtId="0" fontId="4" fillId="0" borderId="122" xfId="0" applyFont="1" applyBorder="1"/>
    <xf numFmtId="3" fontId="4" fillId="0" borderId="121" xfId="0" applyNumberFormat="1" applyFont="1" applyBorder="1" applyAlignment="1">
      <alignment horizontal="center"/>
    </xf>
    <xf numFmtId="44" fontId="4" fillId="0" borderId="121" xfId="2" applyFont="1" applyBorder="1" applyAlignment="1">
      <alignment horizontal="center"/>
    </xf>
    <xf numFmtId="0" fontId="4" fillId="0" borderId="123" xfId="0" applyFont="1" applyBorder="1"/>
    <xf numFmtId="9" fontId="0" fillId="0" borderId="0" xfId="3" applyFont="1"/>
    <xf numFmtId="9" fontId="0" fillId="0" borderId="0" xfId="3" applyFont="1" applyAlignment="1">
      <alignment vertical="center"/>
    </xf>
    <xf numFmtId="9" fontId="5" fillId="0" borderId="0" xfId="3" applyFont="1"/>
    <xf numFmtId="9" fontId="0" fillId="0" borderId="0" xfId="3" applyFont="1" applyAlignment="1">
      <alignment horizontal="center"/>
    </xf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0" fontId="0" fillId="0" borderId="124" xfId="0" applyBorder="1" applyAlignment="1">
      <alignment horizontal="center"/>
    </xf>
    <xf numFmtId="0" fontId="0" fillId="0" borderId="125" xfId="0" applyBorder="1" applyAlignment="1">
      <alignment horizontal="center"/>
    </xf>
    <xf numFmtId="0" fontId="0" fillId="0" borderId="125" xfId="0" applyBorder="1"/>
    <xf numFmtId="5" fontId="0" fillId="0" borderId="125" xfId="0" applyNumberFormat="1" applyBorder="1" applyAlignment="1">
      <alignment horizontal="center" vertical="center"/>
    </xf>
    <xf numFmtId="3" fontId="0" fillId="0" borderId="125" xfId="0" applyNumberFormat="1" applyBorder="1" applyAlignment="1">
      <alignment horizontal="center"/>
    </xf>
    <xf numFmtId="0" fontId="0" fillId="0" borderId="126" xfId="0" applyBorder="1"/>
    <xf numFmtId="0" fontId="0" fillId="0" borderId="127" xfId="0" applyBorder="1" applyAlignment="1">
      <alignment horizontal="center"/>
    </xf>
    <xf numFmtId="0" fontId="0" fillId="0" borderId="128" xfId="0" applyBorder="1" applyAlignment="1">
      <alignment horizontal="center"/>
    </xf>
    <xf numFmtId="0" fontId="0" fillId="0" borderId="128" xfId="0" applyBorder="1"/>
    <xf numFmtId="5" fontId="0" fillId="0" borderId="128" xfId="0" applyNumberFormat="1" applyBorder="1" applyAlignment="1">
      <alignment horizontal="center" vertical="center"/>
    </xf>
    <xf numFmtId="44" fontId="0" fillId="0" borderId="128" xfId="2" applyFont="1" applyBorder="1"/>
    <xf numFmtId="3" fontId="0" fillId="0" borderId="128" xfId="0" applyNumberFormat="1" applyBorder="1" applyAlignment="1">
      <alignment horizontal="center"/>
    </xf>
    <xf numFmtId="9" fontId="0" fillId="0" borderId="128" xfId="3" applyFont="1" applyBorder="1" applyAlignment="1">
      <alignment horizontal="center"/>
    </xf>
    <xf numFmtId="44" fontId="0" fillId="0" borderId="128" xfId="2" applyFont="1" applyBorder="1" applyAlignment="1">
      <alignment horizontal="center"/>
    </xf>
    <xf numFmtId="0" fontId="0" fillId="0" borderId="129" xfId="0" applyBorder="1"/>
    <xf numFmtId="0" fontId="4" fillId="0" borderId="130" xfId="0" applyFont="1" applyBorder="1" applyAlignment="1">
      <alignment horizontal="center"/>
    </xf>
    <xf numFmtId="0" fontId="4" fillId="0" borderId="122" xfId="0" applyFont="1" applyBorder="1" applyAlignment="1">
      <alignment horizontal="center"/>
    </xf>
    <xf numFmtId="5" fontId="4" fillId="0" borderId="122" xfId="0" applyNumberFormat="1" applyFont="1" applyBorder="1" applyAlignment="1">
      <alignment horizontal="center" vertical="center"/>
    </xf>
    <xf numFmtId="3" fontId="4" fillId="0" borderId="122" xfId="0" applyNumberFormat="1" applyFont="1" applyBorder="1" applyAlignment="1">
      <alignment horizontal="center"/>
    </xf>
    <xf numFmtId="44" fontId="4" fillId="0" borderId="122" xfId="2" applyFont="1" applyBorder="1" applyAlignment="1">
      <alignment horizontal="center"/>
    </xf>
    <xf numFmtId="0" fontId="0" fillId="0" borderId="131" xfId="0" applyBorder="1" applyAlignment="1">
      <alignment horizontal="center"/>
    </xf>
    <xf numFmtId="0" fontId="0" fillId="0" borderId="132" xfId="0" applyBorder="1" applyAlignment="1">
      <alignment horizontal="center"/>
    </xf>
    <xf numFmtId="0" fontId="0" fillId="0" borderId="132" xfId="0" applyBorder="1"/>
    <xf numFmtId="5" fontId="0" fillId="0" borderId="132" xfId="0" applyNumberFormat="1" applyBorder="1" applyAlignment="1">
      <alignment horizontal="center" vertical="center"/>
    </xf>
    <xf numFmtId="44" fontId="0" fillId="0" borderId="132" xfId="2" applyFont="1" applyBorder="1"/>
    <xf numFmtId="3" fontId="0" fillId="0" borderId="132" xfId="0" applyNumberFormat="1" applyBorder="1" applyAlignment="1">
      <alignment horizontal="center"/>
    </xf>
    <xf numFmtId="9" fontId="0" fillId="0" borderId="132" xfId="3" applyFont="1" applyBorder="1" applyAlignment="1">
      <alignment horizontal="center"/>
    </xf>
    <xf numFmtId="0" fontId="0" fillId="0" borderId="133" xfId="0" applyBorder="1"/>
    <xf numFmtId="44" fontId="0" fillId="0" borderId="128" xfId="0" applyNumberFormat="1" applyBorder="1"/>
    <xf numFmtId="44" fontId="4" fillId="0" borderId="122" xfId="0" applyNumberFormat="1" applyFont="1" applyBorder="1"/>
    <xf numFmtId="44" fontId="0" fillId="0" borderId="134" xfId="2" applyFont="1" applyBorder="1" applyAlignment="1">
      <alignment horizontal="center"/>
    </xf>
    <xf numFmtId="44" fontId="0" fillId="0" borderId="132" xfId="0" applyNumberFormat="1" applyBorder="1"/>
    <xf numFmtId="0" fontId="0" fillId="0" borderId="0" xfId="0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44" fontId="0" fillId="0" borderId="40" xfId="2" applyFont="1" applyBorder="1" applyAlignment="1">
      <alignment horizontal="center" vertical="center"/>
    </xf>
    <xf numFmtId="44" fontId="0" fillId="0" borderId="136" xfId="0" applyNumberFormat="1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 applyAlignment="1">
      <alignment horizontal="left" vertical="center"/>
    </xf>
    <xf numFmtId="44" fontId="0" fillId="0" borderId="138" xfId="2" applyFont="1" applyBorder="1" applyAlignment="1">
      <alignment horizontal="center" vertical="center"/>
    </xf>
    <xf numFmtId="44" fontId="0" fillId="0" borderId="139" xfId="0" applyNumberFormat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41" xfId="0" applyFont="1" applyBorder="1" applyAlignment="1">
      <alignment horizontal="center" vertical="center"/>
    </xf>
    <xf numFmtId="0" fontId="1" fillId="0" borderId="14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0" fillId="0" borderId="143" xfId="0" applyBorder="1" applyAlignment="1">
      <alignment horizontal="center" vertical="center"/>
    </xf>
    <xf numFmtId="0" fontId="0" fillId="0" borderId="144" xfId="0" applyBorder="1" applyAlignment="1">
      <alignment horizontal="left" vertical="center"/>
    </xf>
    <xf numFmtId="44" fontId="0" fillId="0" borderId="144" xfId="2" applyFont="1" applyBorder="1" applyAlignment="1">
      <alignment horizontal="center" vertical="center"/>
    </xf>
    <xf numFmtId="44" fontId="0" fillId="0" borderId="145" xfId="0" applyNumberFormat="1" applyBorder="1" applyAlignment="1">
      <alignment horizontal="center" vertical="center"/>
    </xf>
    <xf numFmtId="0" fontId="0" fillId="0" borderId="146" xfId="0" applyBorder="1" applyAlignment="1">
      <alignment horizontal="center" vertical="center"/>
    </xf>
    <xf numFmtId="0" fontId="4" fillId="0" borderId="147" xfId="0" applyFont="1" applyBorder="1" applyAlignment="1">
      <alignment horizontal="left" vertical="center"/>
    </xf>
    <xf numFmtId="44" fontId="4" fillId="0" borderId="147" xfId="0" applyNumberFormat="1" applyFont="1" applyBorder="1" applyAlignment="1">
      <alignment horizontal="center" vertical="center"/>
    </xf>
    <xf numFmtId="44" fontId="4" fillId="0" borderId="148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9" xfId="0" applyNumberFormat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8" fillId="0" borderId="98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8" fillId="0" borderId="114" xfId="0" applyFont="1" applyBorder="1" applyAlignment="1">
      <alignment horizontal="left" vertical="center"/>
    </xf>
    <xf numFmtId="0" fontId="8" fillId="0" borderId="115" xfId="0" applyFont="1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" fillId="5" borderId="118" xfId="0" applyFont="1" applyFill="1" applyBorder="1" applyAlignment="1">
      <alignment horizontal="center" vertical="center"/>
    </xf>
    <xf numFmtId="0" fontId="1" fillId="5" borderId="119" xfId="0" applyFont="1" applyFill="1" applyBorder="1" applyAlignment="1">
      <alignment horizontal="center" vertical="center"/>
    </xf>
    <xf numFmtId="0" fontId="1" fillId="5" borderId="120" xfId="0" applyFont="1" applyFill="1" applyBorder="1" applyAlignment="1">
      <alignment horizontal="center" vertical="center"/>
    </xf>
    <xf numFmtId="0" fontId="8" fillId="0" borderId="102" xfId="0" applyFont="1" applyBorder="1" applyAlignment="1">
      <alignment horizontal="left" vertical="center"/>
    </xf>
    <xf numFmtId="0" fontId="8" fillId="0" borderId="58" xfId="0" applyFont="1" applyBorder="1" applyAlignment="1">
      <alignment horizontal="left" vertical="center"/>
    </xf>
    <xf numFmtId="0" fontId="0" fillId="0" borderId="104" xfId="0" applyBorder="1" applyAlignment="1">
      <alignment horizontal="left" vertical="center"/>
    </xf>
    <xf numFmtId="0" fontId="0" fillId="0" borderId="56" xfId="0" applyBorder="1" applyAlignment="1">
      <alignment horizontal="left" vertical="center"/>
    </xf>
    <xf numFmtId="0" fontId="0" fillId="6" borderId="56" xfId="0" applyFill="1" applyBorder="1" applyAlignment="1">
      <alignment horizontal="left" vertical="center"/>
    </xf>
    <xf numFmtId="0" fontId="8" fillId="0" borderId="106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107" xfId="0" applyFont="1" applyBorder="1" applyAlignment="1">
      <alignment horizontal="left" vertical="center"/>
    </xf>
    <xf numFmtId="0" fontId="0" fillId="0" borderId="10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66" fontId="0" fillId="0" borderId="60" xfId="0" applyNumberFormat="1" applyBorder="1" applyAlignment="1">
      <alignment horizontal="left" vertical="center"/>
    </xf>
    <xf numFmtId="44" fontId="10" fillId="0" borderId="60" xfId="0" applyNumberFormat="1" applyFont="1" applyBorder="1" applyAlignment="1">
      <alignment horizontal="center" vertical="center"/>
    </xf>
    <xf numFmtId="5" fontId="10" fillId="0" borderId="60" xfId="0" applyNumberFormat="1" applyFont="1" applyBorder="1" applyAlignment="1">
      <alignment horizontal="center" vertical="center"/>
    </xf>
    <xf numFmtId="5" fontId="10" fillId="0" borderId="109" xfId="0" applyNumberFormat="1" applyFont="1" applyBorder="1" applyAlignment="1">
      <alignment horizontal="center" vertical="center"/>
    </xf>
    <xf numFmtId="166" fontId="8" fillId="0" borderId="59" xfId="0" applyNumberFormat="1" applyFont="1" applyBorder="1" applyAlignment="1">
      <alignment horizontal="left" vertical="center"/>
    </xf>
    <xf numFmtId="166" fontId="0" fillId="0" borderId="60" xfId="0" applyNumberFormat="1" applyBorder="1" applyAlignment="1">
      <alignment horizontal="center" vertical="center"/>
    </xf>
    <xf numFmtId="5" fontId="4" fillId="0" borderId="60" xfId="0" applyNumberFormat="1" applyFont="1" applyBorder="1" applyAlignment="1">
      <alignment horizontal="center" vertical="center"/>
    </xf>
    <xf numFmtId="5" fontId="4" fillId="0" borderId="109" xfId="0" applyNumberFormat="1" applyFont="1" applyBorder="1" applyAlignment="1">
      <alignment horizontal="center" vertical="center"/>
    </xf>
    <xf numFmtId="0" fontId="1" fillId="3" borderId="96" xfId="0" applyFont="1" applyFill="1" applyBorder="1" applyAlignment="1">
      <alignment horizontal="center"/>
    </xf>
    <xf numFmtId="0" fontId="1" fillId="3" borderId="97" xfId="0" applyFont="1" applyFill="1" applyBorder="1" applyAlignment="1">
      <alignment horizontal="center"/>
    </xf>
    <xf numFmtId="0" fontId="4" fillId="4" borderId="110" xfId="0" applyFont="1" applyFill="1" applyBorder="1" applyAlignment="1">
      <alignment horizontal="center" vertical="center"/>
    </xf>
    <xf numFmtId="0" fontId="4" fillId="4" borderId="111" xfId="0" applyFont="1" applyFill="1" applyBorder="1" applyAlignment="1">
      <alignment horizontal="center" vertical="center"/>
    </xf>
    <xf numFmtId="0" fontId="4" fillId="4" borderId="11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1" xfId="0" quotePrefix="1" applyBorder="1" applyAlignment="1">
      <alignment horizontal="center"/>
    </xf>
    <xf numFmtId="0" fontId="4" fillId="3" borderId="51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B01D-43FF-4DC4-BB47-2F143C03E15A}">
  <sheetPr codeName="Sheet1"/>
  <dimension ref="A1:H22"/>
  <sheetViews>
    <sheetView topLeftCell="A12" workbookViewId="0">
      <selection activeCell="J12" sqref="J12"/>
    </sheetView>
  </sheetViews>
  <sheetFormatPr defaultRowHeight="14.4" x14ac:dyDescent="0.3"/>
  <cols>
    <col min="2" max="2" width="27.77734375" bestFit="1" customWidth="1"/>
    <col min="3" max="3" width="19.77734375" bestFit="1" customWidth="1"/>
    <col min="4" max="4" width="18.5546875" bestFit="1" customWidth="1"/>
    <col min="5" max="5" width="22.21875" bestFit="1" customWidth="1"/>
    <col min="6" max="6" width="15" bestFit="1" customWidth="1"/>
    <col min="7" max="7" width="23" bestFit="1" customWidth="1"/>
  </cols>
  <sheetData>
    <row r="1" spans="1:8" ht="16.2" thickBot="1" x14ac:dyDescent="0.35">
      <c r="B1" s="3" t="s">
        <v>0</v>
      </c>
      <c r="C1" s="244"/>
      <c r="D1" s="244"/>
    </row>
    <row r="2" spans="1:8" ht="15" thickTop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 ht="15" thickBot="1" x14ac:dyDescent="0.35">
      <c r="B3" s="1"/>
      <c r="C3" s="1"/>
      <c r="D3" s="1"/>
      <c r="E3" s="1"/>
      <c r="F3" s="1"/>
      <c r="G3" s="1"/>
    </row>
    <row r="4" spans="1:8" ht="15" thickTop="1" x14ac:dyDescent="0.3">
      <c r="B4" s="2" t="s">
        <v>7</v>
      </c>
      <c r="C4" s="2" t="s">
        <v>8</v>
      </c>
      <c r="D4" s="2" t="s">
        <v>9</v>
      </c>
      <c r="E4" s="2" t="s">
        <v>10</v>
      </c>
      <c r="F4" s="2" t="s">
        <v>11</v>
      </c>
      <c r="G4" s="2" t="s">
        <v>12</v>
      </c>
    </row>
    <row r="5" spans="1:8" ht="15" thickBot="1" x14ac:dyDescent="0.35">
      <c r="B5" s="1"/>
      <c r="C5" s="1"/>
      <c r="D5" s="1"/>
      <c r="E5" s="1"/>
      <c r="F5" s="1"/>
      <c r="G5" s="1"/>
    </row>
    <row r="6" spans="1:8" ht="15.6" thickTop="1" thickBot="1" x14ac:dyDescent="0.35">
      <c r="A6" s="7"/>
      <c r="B6" s="8"/>
      <c r="C6" s="8"/>
      <c r="D6" s="8"/>
      <c r="E6" s="8"/>
      <c r="F6" s="8"/>
      <c r="G6" s="8"/>
      <c r="H6" s="9"/>
    </row>
    <row r="7" spans="1:8" ht="15.6" thickTop="1" thickBot="1" x14ac:dyDescent="0.35">
      <c r="B7" s="245" t="s">
        <v>13</v>
      </c>
      <c r="C7" s="246"/>
      <c r="D7" s="246"/>
      <c r="E7" s="246"/>
      <c r="F7" s="246"/>
      <c r="G7" s="247"/>
    </row>
    <row r="8" spans="1:8" ht="15.6" thickTop="1" thickBot="1" x14ac:dyDescent="0.35">
      <c r="B8" s="6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4"/>
    </row>
    <row r="9" spans="1:8" ht="15.6" thickTop="1" thickBot="1" x14ac:dyDescent="0.35">
      <c r="B9" s="5"/>
      <c r="C9" s="5"/>
      <c r="D9" s="5"/>
      <c r="E9" s="5"/>
      <c r="F9" s="5"/>
      <c r="G9" s="5"/>
    </row>
    <row r="10" spans="1:8" ht="15.6" thickTop="1" thickBot="1" x14ac:dyDescent="0.35">
      <c r="B10" s="248" t="s">
        <v>19</v>
      </c>
      <c r="C10" s="248"/>
      <c r="D10" s="248"/>
      <c r="E10" s="248" t="s">
        <v>20</v>
      </c>
      <c r="F10" s="248"/>
      <c r="G10" s="248"/>
    </row>
    <row r="11" spans="1:8" ht="15.6" thickTop="1" thickBot="1" x14ac:dyDescent="0.35">
      <c r="B11" s="249"/>
      <c r="C11" s="249"/>
      <c r="D11" s="249"/>
      <c r="E11" s="249"/>
      <c r="F11" s="249"/>
      <c r="G11" s="249"/>
    </row>
    <row r="12" spans="1:8" ht="15.6" thickTop="1" thickBot="1" x14ac:dyDescent="0.35">
      <c r="B12" s="254" t="s">
        <v>21</v>
      </c>
      <c r="C12" s="255"/>
      <c r="D12" s="255"/>
      <c r="E12" s="255"/>
      <c r="F12" s="255"/>
      <c r="G12" s="256"/>
    </row>
    <row r="13" spans="1:8" ht="15.6" thickTop="1" thickBot="1" x14ac:dyDescent="0.35">
      <c r="B13" s="257"/>
      <c r="C13" s="258"/>
      <c r="D13" s="258"/>
      <c r="E13" s="258"/>
      <c r="F13" s="258"/>
      <c r="G13" s="259"/>
    </row>
    <row r="14" spans="1:8" ht="15.6" thickTop="1" thickBot="1" x14ac:dyDescent="0.35">
      <c r="A14" s="7"/>
      <c r="B14" s="10"/>
      <c r="C14" s="10"/>
      <c r="D14" s="10"/>
      <c r="E14" s="10"/>
      <c r="F14" s="10"/>
      <c r="G14" s="10"/>
      <c r="H14" s="9"/>
    </row>
    <row r="15" spans="1:8" ht="15.6" thickTop="1" thickBot="1" x14ac:dyDescent="0.35">
      <c r="B15" s="245" t="s">
        <v>22</v>
      </c>
      <c r="C15" s="260"/>
      <c r="D15" s="260"/>
      <c r="E15" s="260"/>
      <c r="F15" s="260"/>
      <c r="G15" s="261"/>
    </row>
    <row r="16" spans="1:8" ht="15" thickTop="1" x14ac:dyDescent="0.3">
      <c r="B16" s="11" t="s">
        <v>23</v>
      </c>
      <c r="C16" s="11" t="s">
        <v>24</v>
      </c>
      <c r="D16" s="11" t="s">
        <v>25</v>
      </c>
      <c r="E16" s="262" t="s">
        <v>26</v>
      </c>
      <c r="F16" s="262"/>
      <c r="G16" s="262"/>
    </row>
    <row r="17" spans="1:8" ht="15" thickBot="1" x14ac:dyDescent="0.35">
      <c r="B17" s="12"/>
      <c r="C17" s="12"/>
      <c r="D17" s="12"/>
      <c r="E17" s="263"/>
      <c r="F17" s="263"/>
      <c r="G17" s="263"/>
    </row>
    <row r="18" spans="1:8" ht="15" thickTop="1" x14ac:dyDescent="0.3">
      <c r="B18" s="11" t="s">
        <v>27</v>
      </c>
      <c r="C18" s="262" t="s">
        <v>28</v>
      </c>
      <c r="D18" s="262"/>
      <c r="E18" s="262" t="s">
        <v>29</v>
      </c>
      <c r="F18" s="262"/>
      <c r="G18" s="13" t="s">
        <v>30</v>
      </c>
    </row>
    <row r="19" spans="1:8" ht="15" thickBot="1" x14ac:dyDescent="0.35">
      <c r="B19" s="18"/>
      <c r="C19" s="250"/>
      <c r="D19" s="250"/>
      <c r="E19" s="250"/>
      <c r="F19" s="250"/>
      <c r="G19" s="14"/>
    </row>
    <row r="20" spans="1:8" ht="15.6" thickTop="1" thickBot="1" x14ac:dyDescent="0.35">
      <c r="A20" s="7"/>
      <c r="B20" s="8"/>
      <c r="C20" s="8"/>
      <c r="D20" s="8"/>
      <c r="E20" s="8"/>
      <c r="F20" s="8"/>
      <c r="G20" s="8"/>
      <c r="H20" s="9"/>
    </row>
    <row r="21" spans="1:8" ht="15.6" thickTop="1" thickBot="1" x14ac:dyDescent="0.35">
      <c r="B21" s="251" t="s">
        <v>31</v>
      </c>
      <c r="C21" s="252"/>
      <c r="D21" s="252"/>
      <c r="E21" s="252"/>
      <c r="F21" s="252"/>
      <c r="G21" s="253"/>
    </row>
    <row r="22" spans="1:8" ht="15.6" thickTop="1" thickBot="1" x14ac:dyDescent="0.35">
      <c r="B22" s="15"/>
      <c r="C22" s="16" t="s">
        <v>32</v>
      </c>
      <c r="D22" s="16" t="s">
        <v>33</v>
      </c>
      <c r="E22" s="16" t="s">
        <v>34</v>
      </c>
      <c r="F22" s="16" t="s">
        <v>35</v>
      </c>
      <c r="G22" s="17" t="s">
        <v>36</v>
      </c>
    </row>
  </sheetData>
  <mergeCells count="16">
    <mergeCell ref="C19:D19"/>
    <mergeCell ref="E19:F19"/>
    <mergeCell ref="B21:G21"/>
    <mergeCell ref="B12:G12"/>
    <mergeCell ref="B13:G13"/>
    <mergeCell ref="B15:G15"/>
    <mergeCell ref="E16:G16"/>
    <mergeCell ref="E17:G17"/>
    <mergeCell ref="C18:D18"/>
    <mergeCell ref="E18:F18"/>
    <mergeCell ref="C1:D1"/>
    <mergeCell ref="B7:G7"/>
    <mergeCell ref="B10:D10"/>
    <mergeCell ref="E10:G10"/>
    <mergeCell ref="B11:D11"/>
    <mergeCell ref="E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7AB2-2294-4DDD-9A1F-C97379DA7853}">
  <dimension ref="B2:E15"/>
  <sheetViews>
    <sheetView workbookViewId="0">
      <selection activeCell="C18" sqref="C18"/>
    </sheetView>
  </sheetViews>
  <sheetFormatPr defaultColWidth="9.109375" defaultRowHeight="14.4" x14ac:dyDescent="0.3"/>
  <cols>
    <col min="1" max="1" width="3.33203125" style="223" customWidth="1"/>
    <col min="2" max="2" width="9.109375" style="223"/>
    <col min="3" max="3" width="54.88671875" style="223" bestFit="1" customWidth="1"/>
    <col min="4" max="5" width="18.109375" style="223" bestFit="1" customWidth="1"/>
    <col min="6" max="16384" width="9.109375" style="223"/>
  </cols>
  <sheetData>
    <row r="2" spans="2:5" ht="25.8" x14ac:dyDescent="0.3">
      <c r="B2" s="235" t="s">
        <v>220</v>
      </c>
    </row>
    <row r="4" spans="2:5" ht="15" thickBot="1" x14ac:dyDescent="0.35"/>
    <row r="5" spans="2:5" ht="15.6" thickTop="1" thickBot="1" x14ac:dyDescent="0.35">
      <c r="B5" s="232" t="s">
        <v>206</v>
      </c>
      <c r="C5" s="233" t="s">
        <v>60</v>
      </c>
      <c r="D5" s="233" t="s">
        <v>202</v>
      </c>
      <c r="E5" s="234" t="s">
        <v>205</v>
      </c>
    </row>
    <row r="6" spans="2:5" x14ac:dyDescent="0.3">
      <c r="B6" s="228" t="s">
        <v>203</v>
      </c>
      <c r="C6" s="229" t="str">
        <f>Workover!D95</f>
        <v>PHASE I - Location Prep</v>
      </c>
      <c r="D6" s="230">
        <f>IF(B6="x",Workover!J95,0)</f>
        <v>15197.5</v>
      </c>
      <c r="E6" s="231">
        <f>Workover!I95</f>
        <v>15197.5</v>
      </c>
    </row>
    <row r="7" spans="2:5" x14ac:dyDescent="0.3">
      <c r="B7" s="224" t="s">
        <v>203</v>
      </c>
      <c r="C7" s="225" t="str">
        <f>Workover!D117</f>
        <v>One-Time Charges</v>
      </c>
      <c r="D7" s="226">
        <f>IF(B7="x",Workover!J117,0)</f>
        <v>3500</v>
      </c>
      <c r="E7" s="227">
        <f>Workover!I117</f>
        <v>3500</v>
      </c>
    </row>
    <row r="8" spans="2:5" x14ac:dyDescent="0.3">
      <c r="B8" s="224" t="s">
        <v>203</v>
      </c>
      <c r="C8" s="225" t="str">
        <f>Workover!D123</f>
        <v>PHASE II -  Slickline Tag &amp; Injection Test</v>
      </c>
      <c r="D8" s="226">
        <f>IF(B8="x",Workover!J123,0)</f>
        <v>21653.181818181816</v>
      </c>
      <c r="E8" s="227">
        <f>Workover!I123</f>
        <v>21653.181818181816</v>
      </c>
    </row>
    <row r="9" spans="2:5" x14ac:dyDescent="0.3">
      <c r="B9" s="224" t="s">
        <v>203</v>
      </c>
      <c r="C9" s="225" t="str">
        <f>Workover!D135</f>
        <v>PHASE II CONTINGENCY - Coiled Tubing Clean-out</v>
      </c>
      <c r="D9" s="226">
        <f>IF(B9="x",Workover!J135,0)</f>
        <v>234258.18181818182</v>
      </c>
      <c r="E9" s="227">
        <f>Workover!I135</f>
        <v>173636.54545454544</v>
      </c>
    </row>
    <row r="10" spans="2:5" x14ac:dyDescent="0.3">
      <c r="B10" s="224" t="s">
        <v>203</v>
      </c>
      <c r="C10" s="225" t="str">
        <f>Workover!D147</f>
        <v>PHASE III - Pull Tubing</v>
      </c>
      <c r="D10" s="226">
        <f>IF(B10="x",Workover!J147,0)</f>
        <v>22950</v>
      </c>
      <c r="E10" s="227">
        <f>Workover!I147</f>
        <v>4590</v>
      </c>
    </row>
    <row r="11" spans="2:5" x14ac:dyDescent="0.3">
      <c r="B11" s="224" t="s">
        <v>203</v>
      </c>
      <c r="C11" s="225" t="str">
        <f>Workover!D158</f>
        <v>PHASE III CONTINGENCY - Stuck or Parted Tubing</v>
      </c>
      <c r="D11" s="226">
        <f>IF(B11="x",Workover!J158,0)</f>
        <v>66900</v>
      </c>
      <c r="E11" s="227">
        <f>Workover!I158</f>
        <v>6690</v>
      </c>
    </row>
    <row r="12" spans="2:5" x14ac:dyDescent="0.3">
      <c r="B12" s="224" t="s">
        <v>203</v>
      </c>
      <c r="C12" s="225" t="str">
        <f>Workover!D169</f>
        <v>PHASE III CONTINGENCY - Tubing Replacement</v>
      </c>
      <c r="D12" s="226">
        <f>IF(B12="x",Workover!J169,0)</f>
        <v>118580</v>
      </c>
      <c r="E12" s="227">
        <f>Workover!I169</f>
        <v>64290</v>
      </c>
    </row>
    <row r="13" spans="2:5" ht="15" thickBot="1" x14ac:dyDescent="0.35">
      <c r="B13" s="236" t="s">
        <v>203</v>
      </c>
      <c r="C13" s="237" t="s">
        <v>218</v>
      </c>
      <c r="D13" s="238">
        <v>150000</v>
      </c>
      <c r="E13" s="239">
        <v>150000</v>
      </c>
    </row>
    <row r="14" spans="2:5" ht="18.600000000000001" thickBot="1" x14ac:dyDescent="0.35">
      <c r="B14" s="240"/>
      <c r="C14" s="241" t="s">
        <v>204</v>
      </c>
      <c r="D14" s="242">
        <f>SUM(D6:D13)</f>
        <v>633038.86363636365</v>
      </c>
      <c r="E14" s="243">
        <f>SUM(E6:E13)</f>
        <v>439557.22727272729</v>
      </c>
    </row>
    <row r="15" spans="2:5" ht="15" thickTop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6AC9-3D7C-4662-9FB5-56686915B222}">
  <sheetPr codeName="Sheet1">
    <pageSetUpPr fitToPage="1"/>
  </sheetPr>
  <dimension ref="A1:AC260"/>
  <sheetViews>
    <sheetView tabSelected="1" zoomScaleNormal="100" workbookViewId="0">
      <pane ySplit="94" topLeftCell="A168" activePane="bottomLeft" state="frozen"/>
      <selection pane="bottomLeft" activeCell="H150" sqref="H150"/>
    </sheetView>
  </sheetViews>
  <sheetFormatPr defaultRowHeight="14.4" x14ac:dyDescent="0.3"/>
  <cols>
    <col min="1" max="1" width="2.44140625" customWidth="1"/>
    <col min="2" max="2" width="6.109375" style="19" bestFit="1" customWidth="1"/>
    <col min="3" max="3" width="8.88671875" style="19" customWidth="1"/>
    <col min="4" max="4" width="38.21875" customWidth="1"/>
    <col min="5" max="5" width="13.77734375" customWidth="1"/>
    <col min="6" max="6" width="12.44140625" style="141" customWidth="1"/>
    <col min="7" max="7" width="11.88671875" customWidth="1"/>
    <col min="8" max="8" width="11.44140625" style="162" customWidth="1"/>
    <col min="9" max="9" width="17.5546875" style="19" bestFit="1" customWidth="1"/>
    <col min="10" max="10" width="18.5546875" customWidth="1"/>
    <col min="11" max="11" width="17.21875" customWidth="1"/>
    <col min="12" max="12" width="9.88671875" style="184" bestFit="1" customWidth="1"/>
    <col min="13" max="19" width="0" hidden="1" customWidth="1"/>
    <col min="20" max="20" width="11.44140625" bestFit="1" customWidth="1"/>
    <col min="21" max="21" width="9.6640625" bestFit="1" customWidth="1"/>
    <col min="23" max="23" width="7.5546875" bestFit="1" customWidth="1"/>
  </cols>
  <sheetData>
    <row r="1" spans="1:25" ht="15" thickBot="1" x14ac:dyDescent="0.35"/>
    <row r="2" spans="1:25" ht="27" thickTop="1" thickBot="1" x14ac:dyDescent="0.35">
      <c r="B2" s="266" t="s">
        <v>135</v>
      </c>
      <c r="C2" s="267"/>
      <c r="D2" s="267"/>
      <c r="E2" s="267"/>
      <c r="F2" s="267"/>
      <c r="G2" s="267"/>
      <c r="H2" s="267"/>
      <c r="I2" s="267"/>
      <c r="J2" s="267"/>
      <c r="K2" s="268"/>
      <c r="Y2" s="309"/>
    </row>
    <row r="3" spans="1:25" x14ac:dyDescent="0.3">
      <c r="A3" s="57"/>
      <c r="B3" s="264" t="s">
        <v>136</v>
      </c>
      <c r="C3" s="265"/>
      <c r="D3" s="265"/>
      <c r="E3" s="269" t="s">
        <v>137</v>
      </c>
      <c r="F3" s="269"/>
      <c r="G3" s="269"/>
      <c r="H3" s="270"/>
      <c r="I3" s="172"/>
      <c r="J3" s="172"/>
      <c r="K3" s="173"/>
    </row>
    <row r="4" spans="1:25" ht="15" thickBot="1" x14ac:dyDescent="0.35">
      <c r="B4" s="271" t="s">
        <v>207</v>
      </c>
      <c r="C4" s="272"/>
      <c r="D4" s="272"/>
      <c r="E4" s="273" t="s">
        <v>211</v>
      </c>
      <c r="F4" s="274"/>
      <c r="G4" s="274"/>
      <c r="H4" s="274"/>
      <c r="I4" s="274"/>
      <c r="J4" s="274"/>
      <c r="K4" s="275"/>
      <c r="Y4" s="190"/>
    </row>
    <row r="5" spans="1:25" x14ac:dyDescent="0.3">
      <c r="A5" s="57"/>
      <c r="B5" s="264" t="s">
        <v>93</v>
      </c>
      <c r="C5" s="265"/>
      <c r="D5" s="265"/>
      <c r="E5" s="265" t="s">
        <v>3</v>
      </c>
      <c r="F5" s="265"/>
      <c r="G5" s="265"/>
      <c r="H5" s="265"/>
      <c r="I5" s="60" t="s">
        <v>94</v>
      </c>
      <c r="J5" s="60" t="s">
        <v>5</v>
      </c>
      <c r="K5" s="129" t="s">
        <v>1</v>
      </c>
      <c r="Y5" s="190"/>
    </row>
    <row r="6" spans="1:25" ht="15" thickBot="1" x14ac:dyDescent="0.35">
      <c r="B6" s="271" t="s">
        <v>208</v>
      </c>
      <c r="C6" s="272"/>
      <c r="D6" s="272"/>
      <c r="E6" s="272" t="s">
        <v>139</v>
      </c>
      <c r="F6" s="272"/>
      <c r="G6" s="272"/>
      <c r="H6" s="272"/>
      <c r="I6" s="59" t="s">
        <v>95</v>
      </c>
      <c r="J6" s="59" t="s">
        <v>98</v>
      </c>
      <c r="K6" s="130"/>
      <c r="Y6" s="190"/>
    </row>
    <row r="7" spans="1:25" x14ac:dyDescent="0.3">
      <c r="B7" s="276" t="s">
        <v>14</v>
      </c>
      <c r="C7" s="277"/>
      <c r="D7" s="277"/>
      <c r="E7" s="277" t="s">
        <v>96</v>
      </c>
      <c r="F7" s="277"/>
      <c r="G7" s="277"/>
      <c r="H7" s="277"/>
      <c r="I7" s="61" t="s">
        <v>100</v>
      </c>
      <c r="J7" s="61" t="s">
        <v>99</v>
      </c>
      <c r="K7" s="131" t="s">
        <v>97</v>
      </c>
      <c r="P7" s="53"/>
      <c r="Q7" s="19"/>
      <c r="R7" s="19"/>
      <c r="Y7" s="190"/>
    </row>
    <row r="8" spans="1:25" ht="15" thickBot="1" x14ac:dyDescent="0.35">
      <c r="B8" s="278" t="s">
        <v>209</v>
      </c>
      <c r="C8" s="279"/>
      <c r="D8" s="279"/>
      <c r="E8" s="280" t="s">
        <v>140</v>
      </c>
      <c r="F8" s="280"/>
      <c r="G8" s="280"/>
      <c r="H8" s="280"/>
      <c r="I8" s="58" t="s">
        <v>141</v>
      </c>
      <c r="J8" s="62"/>
      <c r="K8" s="132" t="s">
        <v>210</v>
      </c>
      <c r="P8" s="54"/>
      <c r="Q8" s="55"/>
      <c r="R8" s="19"/>
      <c r="S8" s="56"/>
      <c r="Y8" s="190"/>
    </row>
    <row r="9" spans="1:25" x14ac:dyDescent="0.3">
      <c r="B9" s="281" t="s">
        <v>23</v>
      </c>
      <c r="C9" s="282"/>
      <c r="D9" s="282"/>
      <c r="E9" s="282" t="s">
        <v>24</v>
      </c>
      <c r="F9" s="282"/>
      <c r="G9" s="282" t="s">
        <v>25</v>
      </c>
      <c r="H9" s="282"/>
      <c r="I9" s="282" t="s">
        <v>198</v>
      </c>
      <c r="J9" s="282"/>
      <c r="K9" s="283"/>
      <c r="P9" s="53"/>
      <c r="Q9" s="19"/>
      <c r="R9" s="19"/>
    </row>
    <row r="10" spans="1:25" ht="24" thickBot="1" x14ac:dyDescent="0.35">
      <c r="B10" s="284"/>
      <c r="C10" s="285"/>
      <c r="D10" s="285"/>
      <c r="E10" s="286">
        <v>44995</v>
      </c>
      <c r="F10" s="286"/>
      <c r="G10" s="285" t="s">
        <v>142</v>
      </c>
      <c r="H10" s="285"/>
      <c r="I10" s="287">
        <f>I95+I123+I135+I147+I158+I169+I117</f>
        <v>289557.22727272729</v>
      </c>
      <c r="J10" s="288"/>
      <c r="K10" s="289"/>
      <c r="P10" s="53"/>
      <c r="Q10" s="19"/>
      <c r="R10" s="19"/>
    </row>
    <row r="11" spans="1:25" x14ac:dyDescent="0.3">
      <c r="B11" s="281"/>
      <c r="C11" s="282"/>
      <c r="D11" s="282"/>
      <c r="E11" s="290"/>
      <c r="F11" s="290"/>
      <c r="G11" s="282"/>
      <c r="H11" s="282"/>
      <c r="I11" s="282" t="s">
        <v>199</v>
      </c>
      <c r="J11" s="282"/>
      <c r="K11" s="283"/>
      <c r="P11" s="53"/>
      <c r="Q11" s="19"/>
      <c r="R11" s="19"/>
    </row>
    <row r="12" spans="1:25" ht="18.600000000000001" thickBot="1" x14ac:dyDescent="0.35">
      <c r="B12" s="284"/>
      <c r="C12" s="285"/>
      <c r="D12" s="285"/>
      <c r="E12" s="291"/>
      <c r="F12" s="291"/>
      <c r="G12" s="292">
        <f>K15+K20+K25+K32+K38+K42+K49+K59+K64+K72+K77+K87</f>
        <v>0</v>
      </c>
      <c r="H12" s="292"/>
      <c r="I12" s="292">
        <f>G12+I10</f>
        <v>289557.22727272729</v>
      </c>
      <c r="J12" s="292"/>
      <c r="K12" s="293"/>
      <c r="P12" s="53"/>
      <c r="Q12" s="19"/>
      <c r="R12" s="19"/>
    </row>
    <row r="13" spans="1:25" s="49" customFormat="1" ht="18.600000000000001" hidden="1" thickBot="1" x14ac:dyDescent="0.35">
      <c r="B13" s="296" t="s">
        <v>87</v>
      </c>
      <c r="C13" s="297"/>
      <c r="D13" s="297"/>
      <c r="E13" s="297"/>
      <c r="F13" s="297"/>
      <c r="G13" s="297"/>
      <c r="H13" s="297"/>
      <c r="I13" s="297"/>
      <c r="J13" s="297"/>
      <c r="K13" s="298"/>
      <c r="L13" s="185"/>
      <c r="M13" s="50"/>
      <c r="N13" s="51"/>
      <c r="O13" s="51"/>
      <c r="P13" s="51"/>
      <c r="Q13" s="51"/>
      <c r="R13" s="51"/>
      <c r="S13" s="52"/>
    </row>
    <row r="14" spans="1:25" ht="15.6" hidden="1" thickTop="1" thickBot="1" x14ac:dyDescent="0.35">
      <c r="B14" s="125" t="s">
        <v>52</v>
      </c>
      <c r="C14" s="126" t="s">
        <v>53</v>
      </c>
      <c r="D14" s="126" t="s">
        <v>91</v>
      </c>
      <c r="E14" s="126" t="s">
        <v>55</v>
      </c>
      <c r="F14" s="142" t="s">
        <v>57</v>
      </c>
      <c r="G14" s="126" t="s">
        <v>56</v>
      </c>
      <c r="H14" s="163" t="s">
        <v>58</v>
      </c>
      <c r="I14" s="126" t="s">
        <v>59</v>
      </c>
      <c r="J14" s="127" t="s">
        <v>35</v>
      </c>
      <c r="K14" s="128" t="s">
        <v>84</v>
      </c>
      <c r="M14" s="299" t="s">
        <v>37</v>
      </c>
      <c r="N14" s="300"/>
      <c r="O14" s="300"/>
      <c r="P14" s="300"/>
      <c r="Q14" s="300"/>
      <c r="R14" s="300"/>
      <c r="S14" s="301"/>
    </row>
    <row r="15" spans="1:25" ht="18.600000000000001" hidden="1" thickBot="1" x14ac:dyDescent="0.4">
      <c r="B15" s="27">
        <v>4</v>
      </c>
      <c r="C15" s="28">
        <v>10</v>
      </c>
      <c r="D15" s="29" t="s">
        <v>51</v>
      </c>
      <c r="E15" s="30"/>
      <c r="F15" s="143"/>
      <c r="G15" s="31"/>
      <c r="H15" s="164"/>
      <c r="I15" s="32">
        <f>SUM(I16:I19)</f>
        <v>13500</v>
      </c>
      <c r="J15" s="31"/>
      <c r="K15" s="105">
        <f>SUM(K16:K19)</f>
        <v>0</v>
      </c>
      <c r="M15" s="20"/>
      <c r="N15" s="21"/>
      <c r="O15" s="21"/>
      <c r="P15" s="21"/>
      <c r="Q15" s="21"/>
      <c r="R15" s="21"/>
      <c r="S15" s="22"/>
    </row>
    <row r="16" spans="1:25" ht="15" hidden="1" thickBot="1" x14ac:dyDescent="0.35">
      <c r="B16" s="63">
        <f>$B$15</f>
        <v>4</v>
      </c>
      <c r="C16" s="64">
        <v>12</v>
      </c>
      <c r="D16" s="65" t="s">
        <v>49</v>
      </c>
      <c r="E16" s="66"/>
      <c r="F16" s="144"/>
      <c r="G16" s="67">
        <v>1000</v>
      </c>
      <c r="H16" s="95"/>
      <c r="I16" s="67">
        <f t="shared" ref="I16:I19" si="0">IF(AND(G16&lt;&gt;0,H16=""),G16,IF(AND(G16&lt;&gt;0,H16&gt;0),G16*H16,""))</f>
        <v>1000</v>
      </c>
      <c r="J16" s="68"/>
      <c r="K16" s="106"/>
      <c r="M16" s="302"/>
      <c r="N16" s="303"/>
      <c r="O16" s="303"/>
      <c r="P16" s="303"/>
      <c r="Q16" s="303"/>
      <c r="R16" s="303"/>
      <c r="S16" s="304"/>
    </row>
    <row r="17" spans="2:19" ht="15" hidden="1" thickBot="1" x14ac:dyDescent="0.35">
      <c r="B17" s="69">
        <f>$B$15</f>
        <v>4</v>
      </c>
      <c r="C17" s="70">
        <v>14</v>
      </c>
      <c r="D17" s="71" t="s">
        <v>102</v>
      </c>
      <c r="E17" s="72"/>
      <c r="F17" s="145"/>
      <c r="G17" s="73">
        <v>12500</v>
      </c>
      <c r="H17" s="97"/>
      <c r="I17" s="73">
        <f t="shared" si="0"/>
        <v>12500</v>
      </c>
      <c r="J17" s="74"/>
      <c r="K17" s="107"/>
      <c r="M17" s="302"/>
      <c r="N17" s="303"/>
      <c r="O17" s="303"/>
      <c r="P17" s="303"/>
      <c r="Q17" s="303"/>
      <c r="R17" s="303"/>
      <c r="S17" s="304"/>
    </row>
    <row r="18" spans="2:19" ht="15" hidden="1" thickBot="1" x14ac:dyDescent="0.35">
      <c r="B18" s="69">
        <f t="shared" ref="B18:B19" si="1">$B$15</f>
        <v>4</v>
      </c>
      <c r="C18" s="70">
        <v>16</v>
      </c>
      <c r="D18" s="71" t="s">
        <v>50</v>
      </c>
      <c r="E18" s="72"/>
      <c r="F18" s="145"/>
      <c r="G18" s="73"/>
      <c r="H18" s="97"/>
      <c r="I18" s="73" t="str">
        <f t="shared" si="0"/>
        <v/>
      </c>
      <c r="J18" s="74"/>
      <c r="K18" s="107"/>
      <c r="M18" s="302"/>
      <c r="N18" s="303"/>
      <c r="O18" s="303"/>
      <c r="P18" s="303"/>
      <c r="Q18" s="303"/>
      <c r="R18" s="303"/>
      <c r="S18" s="304"/>
    </row>
    <row r="19" spans="2:19" ht="15" hidden="1" thickBot="1" x14ac:dyDescent="0.35">
      <c r="B19" s="69">
        <f t="shared" si="1"/>
        <v>4</v>
      </c>
      <c r="C19" s="70">
        <v>18</v>
      </c>
      <c r="D19" s="71" t="s">
        <v>103</v>
      </c>
      <c r="E19" s="72"/>
      <c r="F19" s="145"/>
      <c r="G19" s="73"/>
      <c r="H19" s="97"/>
      <c r="I19" s="73" t="str">
        <f t="shared" si="0"/>
        <v/>
      </c>
      <c r="J19" s="74"/>
      <c r="K19" s="107"/>
      <c r="M19" s="302"/>
      <c r="N19" s="303"/>
      <c r="O19" s="303"/>
      <c r="P19" s="303"/>
      <c r="Q19" s="303"/>
      <c r="R19" s="303"/>
      <c r="S19" s="304"/>
    </row>
    <row r="20" spans="2:19" s="33" customFormat="1" ht="18.600000000000001" hidden="1" thickBot="1" x14ac:dyDescent="0.4">
      <c r="B20" s="34">
        <f>$B$15</f>
        <v>4</v>
      </c>
      <c r="C20" s="35">
        <v>20</v>
      </c>
      <c r="D20" s="36" t="s">
        <v>104</v>
      </c>
      <c r="E20" s="37"/>
      <c r="F20" s="154"/>
      <c r="G20" s="47"/>
      <c r="H20" s="165"/>
      <c r="I20" s="38">
        <f>SUM(I21:I22)</f>
        <v>0</v>
      </c>
      <c r="J20" s="37"/>
      <c r="K20" s="105">
        <f>SUM(K21:K22)</f>
        <v>0</v>
      </c>
      <c r="L20" s="186"/>
      <c r="M20" s="39"/>
      <c r="N20" s="40"/>
      <c r="O20" s="40"/>
      <c r="P20" s="40"/>
      <c r="Q20" s="40"/>
      <c r="R20" s="40"/>
      <c r="S20" s="41"/>
    </row>
    <row r="21" spans="2:19" ht="15" hidden="1" thickBot="1" x14ac:dyDescent="0.35">
      <c r="B21" s="82">
        <f>$B$20</f>
        <v>4</v>
      </c>
      <c r="C21" s="83">
        <v>21</v>
      </c>
      <c r="D21" s="84" t="s">
        <v>38</v>
      </c>
      <c r="E21" s="85"/>
      <c r="F21" s="146"/>
      <c r="G21" s="86"/>
      <c r="H21" s="140"/>
      <c r="I21" s="87" t="str">
        <f>IF(AND(G21&lt;&gt;0,H21=""),G21,IF(AND(G21&lt;&gt;0,H21&gt;0),G21*H21,""))</f>
        <v/>
      </c>
      <c r="J21" s="85"/>
      <c r="K21" s="109"/>
      <c r="M21" s="302"/>
      <c r="N21" s="303"/>
      <c r="O21" s="303"/>
      <c r="P21" s="303"/>
      <c r="Q21" s="303"/>
      <c r="R21" s="303"/>
      <c r="S21" s="304"/>
    </row>
    <row r="22" spans="2:19" ht="15" hidden="1" thickBot="1" x14ac:dyDescent="0.35">
      <c r="B22" s="69">
        <f>$B$20</f>
        <v>4</v>
      </c>
      <c r="C22" s="70">
        <f>IF(E22="Daywork",22,IF(E22="Turnkey",23,22))</f>
        <v>22</v>
      </c>
      <c r="D22" s="71" t="s">
        <v>105</v>
      </c>
      <c r="E22" s="70" t="s">
        <v>54</v>
      </c>
      <c r="F22" s="147" t="str">
        <f>IF(E22="Daywork","$/day",IF(E22="Turnkey","Contract","$/day"))</f>
        <v>$/day</v>
      </c>
      <c r="G22" s="75"/>
      <c r="H22" s="97"/>
      <c r="I22" s="73" t="str">
        <f>IF(AND(G22&lt;&gt;0,H22=""),G22,IF(AND(G22&lt;&gt;0,H22&gt;0),G22*H22,""))</f>
        <v/>
      </c>
      <c r="J22" s="74"/>
      <c r="K22" s="107"/>
      <c r="M22" s="305" t="s">
        <v>39</v>
      </c>
      <c r="N22" s="303"/>
      <c r="O22" s="303"/>
      <c r="P22" s="303"/>
      <c r="Q22" s="303"/>
      <c r="R22" s="303"/>
      <c r="S22" s="304"/>
    </row>
    <row r="23" spans="2:19" ht="15" hidden="1" thickBot="1" x14ac:dyDescent="0.35">
      <c r="B23" s="69">
        <f t="shared" ref="B23:B24" si="2">$B$20</f>
        <v>4</v>
      </c>
      <c r="C23" s="70">
        <f>IF(E23="Daywork",25,IF(E23="Turnkey",26,25))</f>
        <v>25</v>
      </c>
      <c r="D23" s="71" t="s">
        <v>106</v>
      </c>
      <c r="E23" s="70" t="s">
        <v>54</v>
      </c>
      <c r="F23" s="147" t="str">
        <f>IF(E23="Daywork","$/day",IF(E23="Turnkey","Contract","$/day"))</f>
        <v>$/day</v>
      </c>
      <c r="G23" s="75"/>
      <c r="H23" s="97"/>
      <c r="I23" s="73" t="str">
        <f t="shared" ref="I23:I24" si="3">IF(AND(G23&lt;&gt;0,H23=""),G23,IF(AND(G23&lt;&gt;0,H23&gt;0),G23*H23,""))</f>
        <v/>
      </c>
      <c r="J23" s="74"/>
      <c r="K23" s="107"/>
      <c r="M23" s="305" t="s">
        <v>39</v>
      </c>
      <c r="N23" s="303"/>
      <c r="O23" s="303"/>
      <c r="P23" s="303"/>
      <c r="Q23" s="303"/>
      <c r="R23" s="303"/>
      <c r="S23" s="304"/>
    </row>
    <row r="24" spans="2:19" ht="15" hidden="1" thickBot="1" x14ac:dyDescent="0.35">
      <c r="B24" s="76">
        <f t="shared" si="2"/>
        <v>4</v>
      </c>
      <c r="C24" s="77">
        <f>IF(E24="Daywork",27,IF(E24="Turnkey",28,27))</f>
        <v>27</v>
      </c>
      <c r="D24" s="78" t="s">
        <v>107</v>
      </c>
      <c r="E24" s="70" t="s">
        <v>54</v>
      </c>
      <c r="F24" s="147" t="str">
        <f>IF(E24="Daywork","$/day",IF(E24="Turnkey","Contract","$/day"))</f>
        <v>$/day</v>
      </c>
      <c r="G24" s="79"/>
      <c r="H24" s="166"/>
      <c r="I24" s="80" t="str">
        <f t="shared" si="3"/>
        <v/>
      </c>
      <c r="J24" s="81"/>
      <c r="K24" s="108"/>
      <c r="M24" s="305" t="s">
        <v>39</v>
      </c>
      <c r="N24" s="303"/>
      <c r="O24" s="303"/>
      <c r="P24" s="303"/>
      <c r="Q24" s="303"/>
      <c r="R24" s="303"/>
      <c r="S24" s="304"/>
    </row>
    <row r="25" spans="2:19" s="33" customFormat="1" ht="18.600000000000001" hidden="1" thickBot="1" x14ac:dyDescent="0.4">
      <c r="B25" s="34">
        <f>$B$15</f>
        <v>4</v>
      </c>
      <c r="C25" s="35">
        <v>30</v>
      </c>
      <c r="D25" s="37" t="s">
        <v>108</v>
      </c>
      <c r="E25" s="37"/>
      <c r="F25" s="154"/>
      <c r="G25" s="47"/>
      <c r="H25" s="165"/>
      <c r="I25" s="38">
        <f>SUM(I26:I31)</f>
        <v>35000</v>
      </c>
      <c r="J25" s="37"/>
      <c r="K25" s="105">
        <f>SUM(K26:K31)</f>
        <v>0</v>
      </c>
      <c r="L25" s="186"/>
      <c r="M25" s="39"/>
      <c r="N25" s="40"/>
      <c r="O25" s="40"/>
      <c r="P25" s="40"/>
      <c r="Q25" s="40"/>
      <c r="R25" s="40"/>
      <c r="S25" s="41"/>
    </row>
    <row r="26" spans="2:19" ht="15" hidden="1" thickBot="1" x14ac:dyDescent="0.35">
      <c r="B26" s="82">
        <f>$B$25</f>
        <v>4</v>
      </c>
      <c r="C26" s="83">
        <v>31</v>
      </c>
      <c r="D26" s="84" t="s">
        <v>61</v>
      </c>
      <c r="E26" s="85"/>
      <c r="F26" s="139"/>
      <c r="G26" s="86">
        <v>12500</v>
      </c>
      <c r="H26" s="140"/>
      <c r="I26" s="87">
        <f>IF(AND(G26&lt;&gt;0,H26=""),G26,IF(AND(G26&lt;&gt;0,H26&gt;0),G26*H26,""))</f>
        <v>12500</v>
      </c>
      <c r="J26" s="85"/>
      <c r="K26" s="109"/>
      <c r="M26" s="23"/>
      <c r="N26" s="24"/>
      <c r="O26" s="24"/>
      <c r="P26" s="24"/>
      <c r="Q26" s="24"/>
      <c r="R26" s="24"/>
      <c r="S26" s="25"/>
    </row>
    <row r="27" spans="2:19" ht="15" hidden="1" thickBot="1" x14ac:dyDescent="0.35">
      <c r="B27" s="69">
        <f t="shared" ref="B27:B28" si="4">$B$25</f>
        <v>4</v>
      </c>
      <c r="C27" s="70">
        <v>32</v>
      </c>
      <c r="D27" s="71" t="s">
        <v>109</v>
      </c>
      <c r="E27" s="74"/>
      <c r="F27" s="147"/>
      <c r="G27" s="75"/>
      <c r="H27" s="97"/>
      <c r="I27" s="73" t="str">
        <f t="shared" ref="I27:I28" si="5">IF(AND(G27&lt;&gt;0,H27=""),G27,IF(AND(G27&lt;&gt;0,H27&gt;0),G27*H27,""))</f>
        <v/>
      </c>
      <c r="J27" s="74"/>
      <c r="K27" s="107"/>
      <c r="M27" s="23"/>
      <c r="N27" s="24"/>
      <c r="O27" s="24"/>
      <c r="P27" s="24"/>
      <c r="Q27" s="24"/>
      <c r="R27" s="24"/>
      <c r="S27" s="25"/>
    </row>
    <row r="28" spans="2:19" ht="15" hidden="1" thickBot="1" x14ac:dyDescent="0.35">
      <c r="B28" s="69">
        <f t="shared" si="4"/>
        <v>4</v>
      </c>
      <c r="C28" s="70">
        <v>32</v>
      </c>
      <c r="D28" s="71" t="s">
        <v>85</v>
      </c>
      <c r="E28" s="74"/>
      <c r="F28" s="147" t="s">
        <v>129</v>
      </c>
      <c r="G28" s="98">
        <v>0.5</v>
      </c>
      <c r="H28" s="97">
        <v>10000</v>
      </c>
      <c r="I28" s="73">
        <f t="shared" si="5"/>
        <v>5000</v>
      </c>
      <c r="J28" s="74"/>
      <c r="K28" s="107"/>
      <c r="M28" s="23"/>
      <c r="N28" s="24"/>
      <c r="O28" s="24"/>
      <c r="P28" s="24"/>
      <c r="Q28" s="24"/>
      <c r="R28" s="24"/>
      <c r="S28" s="25"/>
    </row>
    <row r="29" spans="2:19" ht="15" hidden="1" thickBot="1" x14ac:dyDescent="0.35">
      <c r="B29" s="69">
        <f>$B$25</f>
        <v>4</v>
      </c>
      <c r="C29" s="70">
        <v>34</v>
      </c>
      <c r="D29" s="71" t="s">
        <v>86</v>
      </c>
      <c r="E29" s="74"/>
      <c r="F29" s="147"/>
      <c r="G29" s="75">
        <v>17500</v>
      </c>
      <c r="H29" s="97"/>
      <c r="I29" s="73">
        <f>IF(AND(G29&lt;&gt;0,H29=""),G29,IF(AND(G29&lt;&gt;0,H29&gt;0),G29*H29,""))</f>
        <v>17500</v>
      </c>
      <c r="J29" s="74"/>
      <c r="K29" s="107"/>
      <c r="M29" s="23"/>
      <c r="N29" s="24"/>
      <c r="O29" s="24"/>
      <c r="P29" s="24"/>
      <c r="Q29" s="24"/>
      <c r="R29" s="24"/>
      <c r="S29" s="25"/>
    </row>
    <row r="30" spans="2:19" ht="15" hidden="1" thickBot="1" x14ac:dyDescent="0.35">
      <c r="B30" s="69">
        <f t="shared" ref="B30:B31" si="6">$B$25</f>
        <v>4</v>
      </c>
      <c r="C30" s="70">
        <v>35</v>
      </c>
      <c r="D30" s="71" t="s">
        <v>110</v>
      </c>
      <c r="E30" s="74"/>
      <c r="F30" s="147"/>
      <c r="G30" s="75"/>
      <c r="H30" s="97"/>
      <c r="I30" s="73" t="str">
        <f>IF(AND(G30&lt;&gt;0,H30=""),G30,IF(AND(G30&lt;&gt;0,H30&gt;0),G30*H30,""))</f>
        <v/>
      </c>
      <c r="J30" s="74"/>
      <c r="K30" s="107"/>
      <c r="M30" s="23"/>
      <c r="N30" s="24"/>
      <c r="O30" s="24"/>
      <c r="P30" s="24"/>
      <c r="Q30" s="24"/>
      <c r="R30" s="24"/>
      <c r="S30" s="25"/>
    </row>
    <row r="31" spans="2:19" ht="15" hidden="1" thickBot="1" x14ac:dyDescent="0.35">
      <c r="B31" s="69">
        <f t="shared" si="6"/>
        <v>4</v>
      </c>
      <c r="C31" s="77">
        <v>36</v>
      </c>
      <c r="D31" s="78" t="s">
        <v>111</v>
      </c>
      <c r="E31" s="81"/>
      <c r="F31" s="155"/>
      <c r="G31" s="79"/>
      <c r="H31" s="166"/>
      <c r="I31" s="80" t="str">
        <f>IF(AND(G31&lt;&gt;0,H31=""),G31,IF(AND(G31&lt;&gt;0,H31&gt;0),G31*H31,""))</f>
        <v/>
      </c>
      <c r="J31" s="81"/>
      <c r="K31" s="108"/>
      <c r="M31" s="23"/>
      <c r="N31" s="24"/>
      <c r="O31" s="24"/>
      <c r="P31" s="24"/>
      <c r="Q31" s="24"/>
      <c r="R31" s="24"/>
      <c r="S31" s="25"/>
    </row>
    <row r="32" spans="2:19" s="33" customFormat="1" ht="18.600000000000001" hidden="1" thickBot="1" x14ac:dyDescent="0.4">
      <c r="B32" s="34">
        <f>$B$15</f>
        <v>4</v>
      </c>
      <c r="C32" s="35">
        <v>40</v>
      </c>
      <c r="D32" s="37" t="s">
        <v>62</v>
      </c>
      <c r="E32" s="37"/>
      <c r="F32" s="154"/>
      <c r="G32" s="47"/>
      <c r="H32" s="165"/>
      <c r="I32" s="38">
        <f>SUM(I33:I37)</f>
        <v>39500</v>
      </c>
      <c r="J32" s="37"/>
      <c r="K32" s="105">
        <f>SUM(K33:K37)</f>
        <v>0</v>
      </c>
      <c r="L32" s="186"/>
      <c r="M32" s="39"/>
      <c r="N32" s="40"/>
      <c r="O32" s="40"/>
      <c r="P32" s="40"/>
      <c r="Q32" s="40"/>
      <c r="R32" s="40"/>
      <c r="S32" s="41"/>
    </row>
    <row r="33" spans="2:19" ht="15" hidden="1" thickBot="1" x14ac:dyDescent="0.35">
      <c r="B33" s="82">
        <f>$B$32</f>
        <v>4</v>
      </c>
      <c r="C33" s="83">
        <v>41</v>
      </c>
      <c r="D33" s="84" t="s">
        <v>63</v>
      </c>
      <c r="E33" s="85"/>
      <c r="F33" s="139"/>
      <c r="G33" s="86">
        <f>30000+4500</f>
        <v>34500</v>
      </c>
      <c r="H33" s="140"/>
      <c r="I33" s="87">
        <f>IF(AND(G33&lt;&gt;0,H33=""),G33,IF(AND(G33&lt;&gt;0,H33&gt;0),G33*H33,""))</f>
        <v>34500</v>
      </c>
      <c r="J33" s="85"/>
      <c r="K33" s="109"/>
      <c r="M33" s="23"/>
      <c r="N33" s="24"/>
      <c r="O33" s="24"/>
      <c r="P33" s="24"/>
      <c r="Q33" s="24"/>
      <c r="R33" s="24"/>
      <c r="S33" s="25"/>
    </row>
    <row r="34" spans="2:19" ht="15" hidden="1" thickBot="1" x14ac:dyDescent="0.35">
      <c r="B34" s="69">
        <f>$B$32</f>
        <v>4</v>
      </c>
      <c r="C34" s="70">
        <v>42</v>
      </c>
      <c r="D34" s="71" t="s">
        <v>64</v>
      </c>
      <c r="E34" s="74"/>
      <c r="F34" s="147"/>
      <c r="G34" s="75"/>
      <c r="H34" s="97"/>
      <c r="I34" s="73" t="str">
        <f>IF(AND(G34&lt;&gt;0,H34=""),G34,IF(AND(G34&lt;&gt;0,H34&gt;0),G34*H34,""))</f>
        <v/>
      </c>
      <c r="J34" s="74"/>
      <c r="K34" s="107"/>
      <c r="M34" s="23"/>
      <c r="N34" s="24"/>
      <c r="O34" s="24"/>
      <c r="P34" s="24"/>
      <c r="Q34" s="24"/>
      <c r="R34" s="24"/>
      <c r="S34" s="25"/>
    </row>
    <row r="35" spans="2:19" ht="15" hidden="1" thickBot="1" x14ac:dyDescent="0.35">
      <c r="B35" s="69">
        <f t="shared" ref="B35:B37" si="7">$B$32</f>
        <v>4</v>
      </c>
      <c r="C35" s="70">
        <v>43</v>
      </c>
      <c r="D35" s="71" t="s">
        <v>65</v>
      </c>
      <c r="E35" s="74"/>
      <c r="F35" s="147"/>
      <c r="G35" s="75"/>
      <c r="H35" s="97"/>
      <c r="I35" s="73" t="str">
        <f>IF(AND(G35&lt;&gt;0,H35=""),G35,IF(AND(G35&lt;&gt;0,H35&gt;0),G35*H35,""))</f>
        <v/>
      </c>
      <c r="J35" s="74"/>
      <c r="K35" s="107"/>
      <c r="M35" s="23"/>
      <c r="N35" s="24"/>
      <c r="O35" s="24"/>
      <c r="P35" s="24"/>
      <c r="Q35" s="24"/>
      <c r="R35" s="24"/>
      <c r="S35" s="25"/>
    </row>
    <row r="36" spans="2:19" ht="15" hidden="1" thickBot="1" x14ac:dyDescent="0.35">
      <c r="B36" s="69">
        <f t="shared" si="7"/>
        <v>4</v>
      </c>
      <c r="C36" s="70">
        <v>44</v>
      </c>
      <c r="D36" s="71" t="s">
        <v>112</v>
      </c>
      <c r="E36" s="74"/>
      <c r="F36" s="147"/>
      <c r="G36" s="75"/>
      <c r="H36" s="97"/>
      <c r="I36" s="73" t="str">
        <f>IF(AND(G36&lt;&gt;0,H36=""),G36,IF(AND(G36&lt;&gt;0,H36&gt;0),G36*H36,""))</f>
        <v/>
      </c>
      <c r="J36" s="74"/>
      <c r="K36" s="107"/>
      <c r="M36" s="23"/>
      <c r="N36" s="24"/>
      <c r="O36" s="24"/>
      <c r="P36" s="24"/>
      <c r="Q36" s="24"/>
      <c r="R36" s="24"/>
      <c r="S36" s="25"/>
    </row>
    <row r="37" spans="2:19" ht="15" hidden="1" thickBot="1" x14ac:dyDescent="0.35">
      <c r="B37" s="69">
        <f t="shared" si="7"/>
        <v>4</v>
      </c>
      <c r="C37" s="77">
        <v>45</v>
      </c>
      <c r="D37" s="78" t="s">
        <v>113</v>
      </c>
      <c r="E37" s="81"/>
      <c r="F37" s="155"/>
      <c r="G37" s="79">
        <v>5000</v>
      </c>
      <c r="H37" s="166"/>
      <c r="I37" s="80">
        <f>IF(AND(G37&lt;&gt;0,H37=""),G37,IF(AND(G37&lt;&gt;0,H37&gt;0),G37*H37,""))</f>
        <v>5000</v>
      </c>
      <c r="J37" s="81"/>
      <c r="K37" s="108"/>
      <c r="M37" s="23"/>
      <c r="N37" s="24"/>
      <c r="O37" s="24"/>
      <c r="P37" s="24"/>
      <c r="Q37" s="24"/>
      <c r="R37" s="24"/>
      <c r="S37" s="25"/>
    </row>
    <row r="38" spans="2:19" s="33" customFormat="1" ht="18.600000000000001" hidden="1" thickBot="1" x14ac:dyDescent="0.4">
      <c r="B38" s="34">
        <f>$B$15</f>
        <v>4</v>
      </c>
      <c r="C38" s="35">
        <v>50</v>
      </c>
      <c r="D38" s="37" t="s">
        <v>40</v>
      </c>
      <c r="E38" s="37"/>
      <c r="F38" s="154"/>
      <c r="G38" s="47"/>
      <c r="H38" s="165"/>
      <c r="I38" s="38">
        <f>SUM(I39:I41)</f>
        <v>60000</v>
      </c>
      <c r="J38" s="37"/>
      <c r="K38" s="105">
        <f>SUM(K39:K41)</f>
        <v>0</v>
      </c>
      <c r="L38" s="186"/>
      <c r="M38" s="39"/>
      <c r="N38" s="40"/>
      <c r="O38" s="40"/>
      <c r="P38" s="40"/>
      <c r="Q38" s="40"/>
      <c r="R38" s="40"/>
      <c r="S38" s="41"/>
    </row>
    <row r="39" spans="2:19" ht="15" hidden="1" thickBot="1" x14ac:dyDescent="0.35">
      <c r="B39" s="42">
        <f>$B$38</f>
        <v>4</v>
      </c>
      <c r="C39" s="43">
        <v>51</v>
      </c>
      <c r="D39" s="48" t="s">
        <v>114</v>
      </c>
      <c r="E39" s="44"/>
      <c r="F39" s="156"/>
      <c r="G39" s="45">
        <v>60000</v>
      </c>
      <c r="H39" s="167"/>
      <c r="I39" s="26">
        <f>IF(AND(G39&lt;&gt;0,H39=""),G39,IF(AND(G39&lt;&gt;0,H39&gt;0),G39*H39,""))</f>
        <v>60000</v>
      </c>
      <c r="J39" s="44"/>
      <c r="K39" s="110"/>
      <c r="M39" s="23"/>
      <c r="N39" s="24"/>
      <c r="O39" s="24"/>
      <c r="P39" s="24"/>
      <c r="Q39" s="24"/>
      <c r="R39" s="24"/>
      <c r="S39" s="25"/>
    </row>
    <row r="40" spans="2:19" ht="15" hidden="1" thickBot="1" x14ac:dyDescent="0.35">
      <c r="B40" s="88">
        <f>$B$38</f>
        <v>4</v>
      </c>
      <c r="C40" s="89">
        <v>52</v>
      </c>
      <c r="D40" s="90" t="s">
        <v>66</v>
      </c>
      <c r="E40" s="91"/>
      <c r="F40" s="157"/>
      <c r="G40" s="92"/>
      <c r="H40" s="168"/>
      <c r="I40" s="93" t="str">
        <f>IF(AND(G40&lt;&gt;0,H40=""),G40,IF(AND(G40&lt;&gt;0,H40&gt;0),G40*H40,""))</f>
        <v/>
      </c>
      <c r="J40" s="91"/>
      <c r="K40" s="111"/>
      <c r="M40" s="23"/>
      <c r="N40" s="24"/>
      <c r="O40" s="24"/>
      <c r="P40" s="24"/>
      <c r="Q40" s="24"/>
      <c r="R40" s="24"/>
      <c r="S40" s="25"/>
    </row>
    <row r="41" spans="2:19" ht="15" hidden="1" thickBot="1" x14ac:dyDescent="0.35">
      <c r="B41" s="88">
        <f>$B$38</f>
        <v>4</v>
      </c>
      <c r="C41" s="77">
        <v>53</v>
      </c>
      <c r="D41" s="78" t="s">
        <v>46</v>
      </c>
      <c r="E41" s="81"/>
      <c r="F41" s="155"/>
      <c r="G41" s="79"/>
      <c r="H41" s="166"/>
      <c r="I41" s="80" t="str">
        <f>IF(AND(G41&lt;&gt;0,H41=""),G41,IF(AND(G41&lt;&gt;0,H41&gt;0),G41*H41,""))</f>
        <v/>
      </c>
      <c r="J41" s="81"/>
      <c r="K41" s="108"/>
      <c r="M41" s="23"/>
      <c r="N41" s="24"/>
      <c r="O41" s="24"/>
      <c r="P41" s="24"/>
      <c r="Q41" s="24"/>
      <c r="R41" s="24"/>
      <c r="S41" s="25"/>
    </row>
    <row r="42" spans="2:19" ht="18.600000000000001" hidden="1" thickBot="1" x14ac:dyDescent="0.4">
      <c r="B42" s="34">
        <f>$B$15</f>
        <v>4</v>
      </c>
      <c r="C42" s="35">
        <v>60</v>
      </c>
      <c r="D42" s="37" t="s">
        <v>67</v>
      </c>
      <c r="E42" s="37"/>
      <c r="F42" s="158"/>
      <c r="G42" s="47"/>
      <c r="H42" s="165"/>
      <c r="I42" s="38">
        <f>SUM(I43:I48)</f>
        <v>237000</v>
      </c>
      <c r="J42" s="37"/>
      <c r="K42" s="105">
        <f>SUM(K43:K48)</f>
        <v>0</v>
      </c>
      <c r="M42" s="23"/>
      <c r="N42" s="24"/>
      <c r="O42" s="24"/>
      <c r="P42" s="24"/>
      <c r="Q42" s="24"/>
      <c r="R42" s="24"/>
      <c r="S42" s="25"/>
    </row>
    <row r="43" spans="2:19" ht="15" hidden="1" thickBot="1" x14ac:dyDescent="0.35">
      <c r="B43" s="82">
        <f>$B$42</f>
        <v>4</v>
      </c>
      <c r="C43" s="83">
        <v>63</v>
      </c>
      <c r="D43" s="84" t="s">
        <v>115</v>
      </c>
      <c r="E43" s="85"/>
      <c r="F43" s="139"/>
      <c r="G43" s="86">
        <v>50000</v>
      </c>
      <c r="H43" s="140">
        <v>1</v>
      </c>
      <c r="I43" s="87">
        <f t="shared" ref="I43:I48" si="8">IF(AND(G43&lt;&gt;0,H43=""),G43,IF(AND(G43&lt;&gt;0,H43&gt;0),G43*H43,""))</f>
        <v>50000</v>
      </c>
      <c r="J43" s="85"/>
      <c r="K43" s="109"/>
      <c r="M43" s="23"/>
      <c r="N43" s="24"/>
      <c r="O43" s="24"/>
      <c r="P43" s="24"/>
      <c r="Q43" s="24"/>
      <c r="R43" s="24"/>
      <c r="S43" s="25"/>
    </row>
    <row r="44" spans="2:19" ht="15" hidden="1" thickBot="1" x14ac:dyDescent="0.35">
      <c r="B44" s="69">
        <f>$B$42</f>
        <v>4</v>
      </c>
      <c r="C44" s="70">
        <v>64</v>
      </c>
      <c r="D44" s="71" t="s">
        <v>116</v>
      </c>
      <c r="E44" s="74"/>
      <c r="F44" s="147"/>
      <c r="G44" s="75"/>
      <c r="H44" s="97"/>
      <c r="I44" s="73" t="str">
        <f t="shared" si="8"/>
        <v/>
      </c>
      <c r="J44" s="74"/>
      <c r="K44" s="107"/>
      <c r="M44" s="23"/>
      <c r="N44" s="24"/>
      <c r="O44" s="24"/>
      <c r="P44" s="24"/>
      <c r="Q44" s="24"/>
      <c r="R44" s="24"/>
      <c r="S44" s="25"/>
    </row>
    <row r="45" spans="2:19" ht="15" hidden="1" thickBot="1" x14ac:dyDescent="0.35">
      <c r="B45" s="69">
        <f t="shared" ref="B45:B48" si="9">$B$42</f>
        <v>4</v>
      </c>
      <c r="C45" s="70">
        <v>65</v>
      </c>
      <c r="D45" s="71" t="s">
        <v>117</v>
      </c>
      <c r="E45" s="74"/>
      <c r="F45" s="147"/>
      <c r="G45" s="75"/>
      <c r="H45" s="97"/>
      <c r="I45" s="73" t="str">
        <f t="shared" si="8"/>
        <v/>
      </c>
      <c r="J45" s="74"/>
      <c r="K45" s="107"/>
      <c r="M45" s="23"/>
      <c r="N45" s="24"/>
      <c r="O45" s="24"/>
      <c r="P45" s="24"/>
      <c r="Q45" s="24"/>
      <c r="R45" s="24"/>
      <c r="S45" s="25"/>
    </row>
    <row r="46" spans="2:19" ht="15" hidden="1" thickBot="1" x14ac:dyDescent="0.35">
      <c r="B46" s="69">
        <f t="shared" si="9"/>
        <v>4</v>
      </c>
      <c r="C46" s="70">
        <v>66</v>
      </c>
      <c r="D46" s="71" t="s">
        <v>118</v>
      </c>
      <c r="E46" s="74"/>
      <c r="F46" s="147"/>
      <c r="G46" s="75">
        <v>12000</v>
      </c>
      <c r="H46" s="97"/>
      <c r="I46" s="73">
        <f t="shared" si="8"/>
        <v>12000</v>
      </c>
      <c r="J46" s="74"/>
      <c r="K46" s="107"/>
      <c r="M46" s="23"/>
      <c r="N46" s="24"/>
      <c r="O46" s="24"/>
      <c r="P46" s="24"/>
      <c r="Q46" s="24"/>
      <c r="R46" s="24"/>
      <c r="S46" s="25"/>
    </row>
    <row r="47" spans="2:19" ht="15" hidden="1" thickBot="1" x14ac:dyDescent="0.35">
      <c r="B47" s="69">
        <f t="shared" si="9"/>
        <v>4</v>
      </c>
      <c r="C47" s="70">
        <v>67</v>
      </c>
      <c r="D47" s="71" t="s">
        <v>119</v>
      </c>
      <c r="E47" s="74"/>
      <c r="F47" s="147"/>
      <c r="G47" s="75">
        <v>10000</v>
      </c>
      <c r="H47" s="97"/>
      <c r="I47" s="73">
        <f t="shared" si="8"/>
        <v>10000</v>
      </c>
      <c r="J47" s="74"/>
      <c r="K47" s="107"/>
      <c r="M47" s="23"/>
      <c r="N47" s="24"/>
      <c r="O47" s="24"/>
      <c r="P47" s="24"/>
      <c r="Q47" s="24"/>
      <c r="R47" s="24"/>
      <c r="S47" s="25"/>
    </row>
    <row r="48" spans="2:19" ht="15" hidden="1" thickBot="1" x14ac:dyDescent="0.35">
      <c r="B48" s="69">
        <f t="shared" si="9"/>
        <v>4</v>
      </c>
      <c r="C48" s="70">
        <v>68</v>
      </c>
      <c r="D48" s="71" t="s">
        <v>138</v>
      </c>
      <c r="E48" s="74"/>
      <c r="F48" s="159"/>
      <c r="G48" s="75">
        <v>165000</v>
      </c>
      <c r="H48" s="97"/>
      <c r="I48" s="73">
        <f t="shared" si="8"/>
        <v>165000</v>
      </c>
      <c r="J48" s="74"/>
      <c r="K48" s="107"/>
      <c r="M48" s="23"/>
      <c r="N48" s="24"/>
      <c r="O48" s="24"/>
      <c r="P48" s="24"/>
      <c r="Q48" s="24"/>
      <c r="R48" s="24"/>
      <c r="S48" s="25"/>
    </row>
    <row r="49" spans="2:19" ht="18.600000000000001" hidden="1" thickBot="1" x14ac:dyDescent="0.4">
      <c r="B49" s="34">
        <f>$B$15</f>
        <v>4</v>
      </c>
      <c r="C49" s="35">
        <v>70</v>
      </c>
      <c r="D49" s="37" t="s">
        <v>68</v>
      </c>
      <c r="E49" s="37"/>
      <c r="F49" s="158"/>
      <c r="G49" s="47"/>
      <c r="H49" s="165"/>
      <c r="I49" s="38">
        <f>SUM(I50:I58)</f>
        <v>87500</v>
      </c>
      <c r="J49" s="37"/>
      <c r="K49" s="105">
        <f>SUM(K50:K58)</f>
        <v>0</v>
      </c>
      <c r="M49" s="23"/>
      <c r="N49" s="24"/>
      <c r="O49" s="24"/>
      <c r="P49" s="24"/>
      <c r="Q49" s="24"/>
      <c r="R49" s="24"/>
      <c r="S49" s="25"/>
    </row>
    <row r="50" spans="2:19" ht="15" hidden="1" thickBot="1" x14ac:dyDescent="0.35">
      <c r="B50" s="82">
        <f>$B$49</f>
        <v>4</v>
      </c>
      <c r="C50" s="83">
        <v>71</v>
      </c>
      <c r="D50" s="84" t="s">
        <v>70</v>
      </c>
      <c r="E50" s="85"/>
      <c r="F50" s="160"/>
      <c r="G50" s="86">
        <v>5000</v>
      </c>
      <c r="H50" s="140"/>
      <c r="I50" s="87">
        <f t="shared" ref="I50:I58" si="10">IF(AND(G50&lt;&gt;0,H50=""),G50,IF(AND(G50&lt;&gt;0,H50&gt;0),G50*H50,""))</f>
        <v>5000</v>
      </c>
      <c r="J50" s="85"/>
      <c r="K50" s="109"/>
      <c r="M50" s="23"/>
      <c r="N50" s="24"/>
      <c r="O50" s="24"/>
      <c r="P50" s="24"/>
      <c r="Q50" s="24"/>
      <c r="R50" s="24"/>
      <c r="S50" s="25"/>
    </row>
    <row r="51" spans="2:19" ht="15" hidden="1" thickBot="1" x14ac:dyDescent="0.35">
      <c r="B51" s="69">
        <f>$B$49</f>
        <v>4</v>
      </c>
      <c r="C51" s="70">
        <v>72</v>
      </c>
      <c r="D51" s="71" t="s">
        <v>71</v>
      </c>
      <c r="E51" s="74"/>
      <c r="F51" s="159"/>
      <c r="G51" s="75">
        <v>2500</v>
      </c>
      <c r="H51" s="97"/>
      <c r="I51" s="73">
        <f t="shared" si="10"/>
        <v>2500</v>
      </c>
      <c r="J51" s="74"/>
      <c r="K51" s="107"/>
      <c r="M51" s="23"/>
      <c r="N51" s="24"/>
      <c r="O51" s="24"/>
      <c r="P51" s="24"/>
      <c r="Q51" s="24"/>
      <c r="R51" s="24"/>
      <c r="S51" s="25"/>
    </row>
    <row r="52" spans="2:19" ht="15" hidden="1" thickBot="1" x14ac:dyDescent="0.35">
      <c r="B52" s="69">
        <f t="shared" ref="B52:B58" si="11">$B$49</f>
        <v>4</v>
      </c>
      <c r="C52" s="70">
        <v>73</v>
      </c>
      <c r="D52" s="71" t="s">
        <v>69</v>
      </c>
      <c r="E52" s="74"/>
      <c r="F52" s="159"/>
      <c r="G52" s="75"/>
      <c r="H52" s="97"/>
      <c r="I52" s="73" t="str">
        <f t="shared" si="10"/>
        <v/>
      </c>
      <c r="J52" s="74"/>
      <c r="K52" s="107"/>
      <c r="M52" s="23"/>
      <c r="N52" s="24"/>
      <c r="O52" s="24"/>
      <c r="P52" s="24"/>
      <c r="Q52" s="24"/>
      <c r="R52" s="24"/>
      <c r="S52" s="25"/>
    </row>
    <row r="53" spans="2:19" ht="15" hidden="1" thickBot="1" x14ac:dyDescent="0.35">
      <c r="B53" s="69">
        <f t="shared" si="11"/>
        <v>4</v>
      </c>
      <c r="C53" s="70">
        <v>74</v>
      </c>
      <c r="D53" s="71" t="s">
        <v>122</v>
      </c>
      <c r="E53" s="74"/>
      <c r="F53" s="159"/>
      <c r="G53" s="75"/>
      <c r="H53" s="97"/>
      <c r="I53" s="73" t="str">
        <f t="shared" si="10"/>
        <v/>
      </c>
      <c r="J53" s="74"/>
      <c r="K53" s="107"/>
      <c r="M53" s="23"/>
      <c r="N53" s="24"/>
      <c r="O53" s="24"/>
      <c r="P53" s="24"/>
      <c r="Q53" s="24"/>
      <c r="R53" s="24"/>
      <c r="S53" s="25"/>
    </row>
    <row r="54" spans="2:19" ht="15" hidden="1" thickBot="1" x14ac:dyDescent="0.35">
      <c r="B54" s="69">
        <f t="shared" si="11"/>
        <v>4</v>
      </c>
      <c r="C54" s="70">
        <v>75</v>
      </c>
      <c r="D54" s="71" t="s">
        <v>121</v>
      </c>
      <c r="E54" s="74"/>
      <c r="F54" s="159"/>
      <c r="G54" s="75">
        <v>30000</v>
      </c>
      <c r="H54" s="97"/>
      <c r="I54" s="73">
        <f t="shared" si="10"/>
        <v>30000</v>
      </c>
      <c r="J54" s="74"/>
      <c r="K54" s="107"/>
      <c r="M54" s="23"/>
      <c r="N54" s="24"/>
      <c r="O54" s="24"/>
      <c r="P54" s="24"/>
      <c r="Q54" s="24"/>
      <c r="R54" s="24"/>
      <c r="S54" s="25"/>
    </row>
    <row r="55" spans="2:19" ht="15" hidden="1" thickBot="1" x14ac:dyDescent="0.35">
      <c r="B55" s="69">
        <f t="shared" si="11"/>
        <v>4</v>
      </c>
      <c r="C55" s="70">
        <v>76</v>
      </c>
      <c r="D55" s="71" t="s">
        <v>72</v>
      </c>
      <c r="E55" s="74"/>
      <c r="F55" s="159"/>
      <c r="G55" s="75"/>
      <c r="H55" s="97"/>
      <c r="I55" s="73" t="str">
        <f t="shared" si="10"/>
        <v/>
      </c>
      <c r="J55" s="74"/>
      <c r="K55" s="107"/>
      <c r="M55" s="23"/>
      <c r="N55" s="24"/>
      <c r="O55" s="24"/>
      <c r="P55" s="24"/>
      <c r="Q55" s="24"/>
      <c r="R55" s="24"/>
      <c r="S55" s="25"/>
    </row>
    <row r="56" spans="2:19" ht="15" hidden="1" thickBot="1" x14ac:dyDescent="0.35">
      <c r="B56" s="69">
        <f t="shared" si="11"/>
        <v>4</v>
      </c>
      <c r="C56" s="70">
        <v>77</v>
      </c>
      <c r="D56" s="71" t="s">
        <v>73</v>
      </c>
      <c r="E56" s="74"/>
      <c r="F56" s="159"/>
      <c r="G56" s="75"/>
      <c r="H56" s="97"/>
      <c r="I56" s="73" t="str">
        <f t="shared" si="10"/>
        <v/>
      </c>
      <c r="J56" s="74"/>
      <c r="K56" s="107"/>
      <c r="M56" s="23"/>
      <c r="N56" s="24"/>
      <c r="O56" s="24"/>
      <c r="P56" s="24"/>
      <c r="Q56" s="24"/>
      <c r="R56" s="24"/>
      <c r="S56" s="25"/>
    </row>
    <row r="57" spans="2:19" ht="15" hidden="1" thickBot="1" x14ac:dyDescent="0.35">
      <c r="B57" s="69">
        <f t="shared" si="11"/>
        <v>4</v>
      </c>
      <c r="C57" s="70">
        <v>78</v>
      </c>
      <c r="D57" s="71" t="s">
        <v>92</v>
      </c>
      <c r="E57" s="74"/>
      <c r="F57" s="159"/>
      <c r="G57" s="75">
        <v>30000</v>
      </c>
      <c r="H57" s="97"/>
      <c r="I57" s="73">
        <f t="shared" si="10"/>
        <v>30000</v>
      </c>
      <c r="J57" s="74"/>
      <c r="K57" s="107"/>
      <c r="M57" s="23"/>
      <c r="N57" s="24"/>
      <c r="O57" s="24"/>
      <c r="P57" s="24"/>
      <c r="Q57" s="24"/>
      <c r="R57" s="24"/>
      <c r="S57" s="25"/>
    </row>
    <row r="58" spans="2:19" ht="15" hidden="1" thickBot="1" x14ac:dyDescent="0.35">
      <c r="B58" s="69">
        <f t="shared" si="11"/>
        <v>4</v>
      </c>
      <c r="C58" s="77">
        <v>79</v>
      </c>
      <c r="D58" s="78" t="s">
        <v>120</v>
      </c>
      <c r="E58" s="81"/>
      <c r="F58" s="161"/>
      <c r="G58" s="79">
        <v>20000</v>
      </c>
      <c r="H58" s="166"/>
      <c r="I58" s="73">
        <f t="shared" si="10"/>
        <v>20000</v>
      </c>
      <c r="J58" s="81"/>
      <c r="K58" s="108"/>
      <c r="M58" s="23"/>
      <c r="N58" s="24"/>
      <c r="O58" s="24"/>
      <c r="P58" s="24"/>
      <c r="Q58" s="24"/>
      <c r="R58" s="24"/>
      <c r="S58" s="25"/>
    </row>
    <row r="59" spans="2:19" ht="18.600000000000001" hidden="1" thickBot="1" x14ac:dyDescent="0.4">
      <c r="B59" s="34">
        <f>$B$15</f>
        <v>4</v>
      </c>
      <c r="C59" s="35">
        <v>80</v>
      </c>
      <c r="D59" s="37" t="s">
        <v>74</v>
      </c>
      <c r="E59" s="37"/>
      <c r="F59" s="158"/>
      <c r="G59" s="47"/>
      <c r="H59" s="165"/>
      <c r="I59" s="38">
        <f>SUM(I60:I63)</f>
        <v>15000</v>
      </c>
      <c r="J59" s="37"/>
      <c r="K59" s="105">
        <f>SUM(K60:K63)</f>
        <v>0</v>
      </c>
      <c r="M59" s="23"/>
      <c r="N59" s="24"/>
      <c r="O59" s="24"/>
      <c r="P59" s="24"/>
      <c r="Q59" s="24"/>
      <c r="R59" s="24"/>
      <c r="S59" s="25"/>
    </row>
    <row r="60" spans="2:19" ht="15" hidden="1" thickBot="1" x14ac:dyDescent="0.35">
      <c r="B60" s="82">
        <f>$B$59</f>
        <v>4</v>
      </c>
      <c r="C60" s="83">
        <v>81</v>
      </c>
      <c r="D60" s="84" t="s">
        <v>75</v>
      </c>
      <c r="E60" s="85"/>
      <c r="F60" s="160"/>
      <c r="G60" s="86">
        <v>15000</v>
      </c>
      <c r="H60" s="140"/>
      <c r="I60" s="87">
        <f>IF(AND(G60&lt;&gt;0,H60=""),G60,IF(AND(G60&lt;&gt;0,H60&gt;0),G60*H60,""))</f>
        <v>15000</v>
      </c>
      <c r="J60" s="85"/>
      <c r="K60" s="109"/>
      <c r="M60" s="23"/>
      <c r="N60" s="24"/>
      <c r="O60" s="24"/>
      <c r="P60" s="24"/>
      <c r="Q60" s="24"/>
      <c r="R60" s="24"/>
      <c r="S60" s="25"/>
    </row>
    <row r="61" spans="2:19" ht="15" hidden="1" thickBot="1" x14ac:dyDescent="0.35">
      <c r="B61" s="69">
        <f>$B$59</f>
        <v>4</v>
      </c>
      <c r="C61" s="70">
        <v>82</v>
      </c>
      <c r="D61" s="71" t="s">
        <v>76</v>
      </c>
      <c r="E61" s="74"/>
      <c r="F61" s="159"/>
      <c r="G61" s="75"/>
      <c r="H61" s="97"/>
      <c r="I61" s="73" t="str">
        <f>IF(AND(G61&lt;&gt;0,H61=""),G61,IF(AND(G61&lt;&gt;0,H61&gt;0),G61*H61,""))</f>
        <v/>
      </c>
      <c r="J61" s="74"/>
      <c r="K61" s="107"/>
      <c r="M61" s="23"/>
      <c r="N61" s="24"/>
      <c r="O61" s="24"/>
      <c r="P61" s="24"/>
      <c r="Q61" s="24"/>
      <c r="R61" s="24"/>
      <c r="S61" s="25"/>
    </row>
    <row r="62" spans="2:19" ht="15" hidden="1" thickBot="1" x14ac:dyDescent="0.35">
      <c r="B62" s="69">
        <f t="shared" ref="B62:B63" si="12">$B$59</f>
        <v>4</v>
      </c>
      <c r="C62" s="70">
        <v>83</v>
      </c>
      <c r="D62" s="71" t="s">
        <v>77</v>
      </c>
      <c r="E62" s="74"/>
      <c r="F62" s="159"/>
      <c r="G62" s="75"/>
      <c r="H62" s="97"/>
      <c r="I62" s="73" t="str">
        <f>IF(AND(G62&lt;&gt;0,H62=""),G62,IF(AND(G62&lt;&gt;0,H62&gt;0),G62*H62,""))</f>
        <v/>
      </c>
      <c r="J62" s="74"/>
      <c r="K62" s="107"/>
      <c r="M62" s="23"/>
      <c r="N62" s="24"/>
      <c r="O62" s="24"/>
      <c r="P62" s="24"/>
      <c r="Q62" s="24"/>
      <c r="R62" s="24"/>
      <c r="S62" s="25"/>
    </row>
    <row r="63" spans="2:19" ht="15" hidden="1" thickBot="1" x14ac:dyDescent="0.35">
      <c r="B63" s="69">
        <f t="shared" si="12"/>
        <v>4</v>
      </c>
      <c r="C63" s="77">
        <v>84</v>
      </c>
      <c r="D63" s="78" t="s">
        <v>78</v>
      </c>
      <c r="E63" s="81"/>
      <c r="F63" s="161"/>
      <c r="G63" s="79"/>
      <c r="H63" s="166"/>
      <c r="I63" s="80" t="str">
        <f>IF(AND(G63&lt;&gt;0,H63=""),G63,IF(AND(G63&lt;&gt;0,H63&gt;0),G63*H63,""))</f>
        <v/>
      </c>
      <c r="J63" s="81"/>
      <c r="K63" s="108"/>
      <c r="M63" s="23"/>
      <c r="N63" s="24"/>
      <c r="O63" s="24"/>
      <c r="P63" s="24"/>
      <c r="Q63" s="24"/>
      <c r="R63" s="24"/>
      <c r="S63" s="25"/>
    </row>
    <row r="64" spans="2:19" ht="18.600000000000001" hidden="1" thickBot="1" x14ac:dyDescent="0.4">
      <c r="B64" s="34">
        <f>$B$15</f>
        <v>4</v>
      </c>
      <c r="C64" s="35">
        <v>110</v>
      </c>
      <c r="D64" s="37" t="s">
        <v>101</v>
      </c>
      <c r="E64" s="37"/>
      <c r="F64" s="158"/>
      <c r="G64" s="47"/>
      <c r="H64" s="165"/>
      <c r="I64" s="38">
        <f>SUM(I65:I71)</f>
        <v>34000</v>
      </c>
      <c r="J64" s="37"/>
      <c r="K64" s="105">
        <f>SUM(K65:K71)</f>
        <v>0</v>
      </c>
      <c r="M64" s="23"/>
      <c r="N64" s="24"/>
      <c r="O64" s="24"/>
      <c r="P64" s="24"/>
      <c r="Q64" s="24"/>
      <c r="R64" s="24"/>
      <c r="S64" s="25"/>
    </row>
    <row r="65" spans="2:19" ht="15" hidden="1" thickBot="1" x14ac:dyDescent="0.35">
      <c r="B65" s="82">
        <f>$B$64</f>
        <v>4</v>
      </c>
      <c r="C65" s="83">
        <v>111</v>
      </c>
      <c r="D65" s="84" t="s">
        <v>79</v>
      </c>
      <c r="E65" s="85"/>
      <c r="F65" s="160"/>
      <c r="G65" s="86">
        <v>18000</v>
      </c>
      <c r="H65" s="140"/>
      <c r="I65" s="87">
        <f t="shared" ref="I65:I71" si="13">IF(AND(G65&lt;&gt;0,H65=""),G65,IF(AND(G65&lt;&gt;0,H65&gt;0),G65*H65,""))</f>
        <v>18000</v>
      </c>
      <c r="J65" s="85"/>
      <c r="K65" s="109"/>
      <c r="M65" s="23"/>
      <c r="N65" s="24"/>
      <c r="O65" s="24"/>
      <c r="P65" s="24"/>
      <c r="Q65" s="24"/>
      <c r="R65" s="24"/>
      <c r="S65" s="25"/>
    </row>
    <row r="66" spans="2:19" ht="15" hidden="1" thickBot="1" x14ac:dyDescent="0.35">
      <c r="B66" s="69">
        <f>$B$64</f>
        <v>4</v>
      </c>
      <c r="C66" s="70">
        <v>112</v>
      </c>
      <c r="D66" s="71" t="s">
        <v>80</v>
      </c>
      <c r="E66" s="74"/>
      <c r="F66" s="159"/>
      <c r="G66" s="75"/>
      <c r="H66" s="97"/>
      <c r="I66" s="73" t="str">
        <f t="shared" si="13"/>
        <v/>
      </c>
      <c r="J66" s="74"/>
      <c r="K66" s="107"/>
      <c r="M66" s="23"/>
      <c r="N66" s="24"/>
      <c r="O66" s="24"/>
      <c r="P66" s="24"/>
      <c r="Q66" s="24"/>
      <c r="R66" s="24"/>
      <c r="S66" s="25"/>
    </row>
    <row r="67" spans="2:19" ht="15" hidden="1" thickBot="1" x14ac:dyDescent="0.35">
      <c r="B67" s="69">
        <f t="shared" ref="B67:B71" si="14">$B$64</f>
        <v>4</v>
      </c>
      <c r="C67" s="70">
        <v>114</v>
      </c>
      <c r="D67" s="71" t="s">
        <v>44</v>
      </c>
      <c r="E67" s="74"/>
      <c r="F67" s="159"/>
      <c r="G67" s="75">
        <v>12000</v>
      </c>
      <c r="H67" s="97"/>
      <c r="I67" s="73">
        <f t="shared" si="13"/>
        <v>12000</v>
      </c>
      <c r="J67" s="74"/>
      <c r="K67" s="107"/>
      <c r="M67" s="23"/>
      <c r="N67" s="24"/>
      <c r="O67" s="24"/>
      <c r="P67" s="24"/>
      <c r="Q67" s="24"/>
      <c r="R67" s="24"/>
      <c r="S67" s="25"/>
    </row>
    <row r="68" spans="2:19" ht="15" hidden="1" thickBot="1" x14ac:dyDescent="0.35">
      <c r="B68" s="69">
        <f t="shared" si="14"/>
        <v>4</v>
      </c>
      <c r="C68" s="70">
        <v>115</v>
      </c>
      <c r="D68" s="71" t="s">
        <v>45</v>
      </c>
      <c r="E68" s="74"/>
      <c r="F68" s="159"/>
      <c r="G68" s="75"/>
      <c r="H68" s="97"/>
      <c r="I68" s="73" t="str">
        <f t="shared" si="13"/>
        <v/>
      </c>
      <c r="J68" s="74"/>
      <c r="K68" s="107"/>
      <c r="M68" s="23"/>
      <c r="N68" s="24"/>
      <c r="O68" s="24"/>
      <c r="P68" s="24"/>
      <c r="Q68" s="24"/>
      <c r="R68" s="24"/>
      <c r="S68" s="25"/>
    </row>
    <row r="69" spans="2:19" ht="15" hidden="1" thickBot="1" x14ac:dyDescent="0.35">
      <c r="B69" s="69">
        <f t="shared" si="14"/>
        <v>4</v>
      </c>
      <c r="C69" s="70">
        <v>116</v>
      </c>
      <c r="D69" s="71" t="s">
        <v>41</v>
      </c>
      <c r="E69" s="74"/>
      <c r="F69" s="159"/>
      <c r="G69" s="75"/>
      <c r="H69" s="97"/>
      <c r="I69" s="73" t="str">
        <f t="shared" si="13"/>
        <v/>
      </c>
      <c r="J69" s="74"/>
      <c r="K69" s="107"/>
      <c r="M69" s="23"/>
      <c r="N69" s="24"/>
      <c r="O69" s="24"/>
      <c r="P69" s="24"/>
      <c r="Q69" s="24"/>
      <c r="R69" s="24"/>
      <c r="S69" s="25"/>
    </row>
    <row r="70" spans="2:19" ht="15" hidden="1" thickBot="1" x14ac:dyDescent="0.35">
      <c r="B70" s="69">
        <f t="shared" si="14"/>
        <v>4</v>
      </c>
      <c r="C70" s="70">
        <v>117</v>
      </c>
      <c r="D70" s="71" t="s">
        <v>43</v>
      </c>
      <c r="E70" s="74"/>
      <c r="F70" s="159"/>
      <c r="G70" s="75">
        <v>4000</v>
      </c>
      <c r="H70" s="97"/>
      <c r="I70" s="73">
        <f t="shared" si="13"/>
        <v>4000</v>
      </c>
      <c r="J70" s="74"/>
      <c r="K70" s="107"/>
      <c r="M70" s="23"/>
      <c r="N70" s="24"/>
      <c r="O70" s="24"/>
      <c r="P70" s="24"/>
      <c r="Q70" s="24"/>
      <c r="R70" s="24"/>
      <c r="S70" s="25"/>
    </row>
    <row r="71" spans="2:19" ht="15" hidden="1" thickBot="1" x14ac:dyDescent="0.35">
      <c r="B71" s="69">
        <f t="shared" si="14"/>
        <v>4</v>
      </c>
      <c r="C71" s="77">
        <v>118</v>
      </c>
      <c r="D71" s="78" t="s">
        <v>42</v>
      </c>
      <c r="E71" s="81"/>
      <c r="F71" s="161"/>
      <c r="G71" s="79"/>
      <c r="H71" s="166"/>
      <c r="I71" s="80" t="str">
        <f t="shared" si="13"/>
        <v/>
      </c>
      <c r="J71" s="81"/>
      <c r="K71" s="108"/>
      <c r="M71" s="23"/>
      <c r="N71" s="24"/>
      <c r="O71" s="24"/>
      <c r="P71" s="24"/>
      <c r="Q71" s="24"/>
      <c r="R71" s="24"/>
      <c r="S71" s="25"/>
    </row>
    <row r="72" spans="2:19" ht="18.600000000000001" hidden="1" thickBot="1" x14ac:dyDescent="0.4">
      <c r="B72" s="34">
        <f>$B$15</f>
        <v>4</v>
      </c>
      <c r="C72" s="35">
        <v>500</v>
      </c>
      <c r="D72" s="37" t="s">
        <v>81</v>
      </c>
      <c r="E72" s="37"/>
      <c r="F72" s="148"/>
      <c r="G72" s="37"/>
      <c r="H72" s="165"/>
      <c r="I72" s="38">
        <f>SUM(I73:I74)</f>
        <v>0</v>
      </c>
      <c r="J72" s="37"/>
      <c r="K72" s="105">
        <f>SUM(K73:K74)</f>
        <v>0</v>
      </c>
      <c r="M72" s="23"/>
      <c r="N72" s="24"/>
      <c r="O72" s="24"/>
      <c r="P72" s="24"/>
      <c r="Q72" s="24"/>
      <c r="R72" s="24"/>
      <c r="S72" s="25"/>
    </row>
    <row r="73" spans="2:19" ht="15" hidden="1" thickBot="1" x14ac:dyDescent="0.35">
      <c r="B73" s="82">
        <f>$B$72</f>
        <v>4</v>
      </c>
      <c r="C73" s="83">
        <v>510</v>
      </c>
      <c r="D73" s="84" t="s">
        <v>82</v>
      </c>
      <c r="E73" s="85"/>
      <c r="F73" s="146"/>
      <c r="G73" s="85"/>
      <c r="H73" s="140"/>
      <c r="I73" s="87" t="str">
        <f t="shared" ref="I73:I74" si="15">IF(AND(F73&lt;&gt;0,H73=""),F73,IF(AND(F73&lt;&gt;0,H73&gt;0),F73*H73,""))</f>
        <v/>
      </c>
      <c r="J73" s="85"/>
      <c r="K73" s="109"/>
      <c r="M73" s="23"/>
      <c r="N73" s="24"/>
      <c r="O73" s="24"/>
      <c r="P73" s="24"/>
      <c r="Q73" s="24"/>
      <c r="R73" s="24"/>
      <c r="S73" s="25"/>
    </row>
    <row r="74" spans="2:19" ht="15" hidden="1" thickBot="1" x14ac:dyDescent="0.35">
      <c r="B74" s="76">
        <f>$B$72</f>
        <v>4</v>
      </c>
      <c r="C74" s="77">
        <v>520</v>
      </c>
      <c r="D74" s="78" t="s">
        <v>83</v>
      </c>
      <c r="E74" s="81"/>
      <c r="F74" s="149"/>
      <c r="G74" s="81"/>
      <c r="H74" s="166"/>
      <c r="I74" s="80" t="str">
        <f t="shared" si="15"/>
        <v/>
      </c>
      <c r="J74" s="81"/>
      <c r="K74" s="108"/>
      <c r="M74" s="23"/>
      <c r="N74" s="24"/>
      <c r="O74" s="24"/>
      <c r="P74" s="24"/>
      <c r="Q74" s="24"/>
      <c r="R74" s="24"/>
      <c r="S74" s="25"/>
    </row>
    <row r="75" spans="2:19" ht="18.600000000000001" hidden="1" thickBot="1" x14ac:dyDescent="0.35">
      <c r="B75" s="306" t="s">
        <v>88</v>
      </c>
      <c r="C75" s="307"/>
      <c r="D75" s="307"/>
      <c r="E75" s="307"/>
      <c r="F75" s="307"/>
      <c r="G75" s="307"/>
      <c r="H75" s="307"/>
      <c r="I75" s="307"/>
      <c r="J75" s="307"/>
      <c r="K75" s="308"/>
      <c r="M75" s="23"/>
      <c r="N75" s="24"/>
      <c r="O75" s="24"/>
      <c r="P75" s="24"/>
      <c r="Q75" s="24"/>
      <c r="R75" s="24"/>
      <c r="S75" s="25"/>
    </row>
    <row r="76" spans="2:19" ht="15" hidden="1" thickBot="1" x14ac:dyDescent="0.35">
      <c r="B76" s="121" t="s">
        <v>52</v>
      </c>
      <c r="C76" s="122" t="s">
        <v>53</v>
      </c>
      <c r="D76" s="122" t="s">
        <v>91</v>
      </c>
      <c r="E76" s="294" t="s">
        <v>60</v>
      </c>
      <c r="F76" s="295"/>
      <c r="G76" s="122" t="s">
        <v>56</v>
      </c>
      <c r="H76" s="169" t="s">
        <v>58</v>
      </c>
      <c r="I76" s="122" t="s">
        <v>59</v>
      </c>
      <c r="J76" s="123" t="s">
        <v>35</v>
      </c>
      <c r="K76" s="124" t="s">
        <v>84</v>
      </c>
      <c r="M76" s="23"/>
      <c r="N76" s="24"/>
      <c r="O76" s="24"/>
      <c r="P76" s="24"/>
      <c r="Q76" s="24"/>
      <c r="R76" s="24"/>
      <c r="S76" s="25"/>
    </row>
    <row r="77" spans="2:19" ht="18.600000000000001" hidden="1" thickBot="1" x14ac:dyDescent="0.4">
      <c r="B77" s="34">
        <f>$B$15</f>
        <v>4</v>
      </c>
      <c r="C77" s="28">
        <v>1000</v>
      </c>
      <c r="D77" s="29" t="s">
        <v>89</v>
      </c>
      <c r="E77" s="30"/>
      <c r="F77" s="150"/>
      <c r="G77" s="46"/>
      <c r="H77" s="164"/>
      <c r="I77" s="32">
        <f>SUM(I78:I86)</f>
        <v>1574034</v>
      </c>
      <c r="J77" s="31"/>
      <c r="K77" s="112">
        <f>SUM(K78:K86)</f>
        <v>0</v>
      </c>
      <c r="M77" s="23"/>
      <c r="N77" s="24"/>
      <c r="O77" s="24"/>
      <c r="P77" s="24"/>
      <c r="Q77" s="24"/>
      <c r="R77" s="24"/>
      <c r="S77" s="25"/>
    </row>
    <row r="78" spans="2:19" ht="15" hidden="1" thickBot="1" x14ac:dyDescent="0.35">
      <c r="B78" s="63">
        <f>$B$77</f>
        <v>4</v>
      </c>
      <c r="C78" s="64">
        <v>1005</v>
      </c>
      <c r="D78" s="65" t="s">
        <v>123</v>
      </c>
      <c r="E78" s="134" t="s">
        <v>130</v>
      </c>
      <c r="F78" s="151"/>
      <c r="G78" s="94">
        <v>3500</v>
      </c>
      <c r="H78" s="95"/>
      <c r="I78" s="67">
        <f t="shared" ref="I78:I86" si="16">IF(AND(G78&lt;&gt;0,H78=""),G78,IF(AND(G78&lt;&gt;0,H78&gt;0),G78*H78,""))</f>
        <v>3500</v>
      </c>
      <c r="J78" s="64"/>
      <c r="K78" s="113"/>
      <c r="M78" s="23"/>
      <c r="N78" s="24"/>
      <c r="O78" s="24"/>
      <c r="P78" s="24"/>
      <c r="Q78" s="24"/>
      <c r="R78" s="24"/>
      <c r="S78" s="25"/>
    </row>
    <row r="79" spans="2:19" ht="15" hidden="1" thickBot="1" x14ac:dyDescent="0.35">
      <c r="B79" s="69">
        <f>$B$77</f>
        <v>4</v>
      </c>
      <c r="C79" s="70">
        <v>1045</v>
      </c>
      <c r="D79" s="71" t="s">
        <v>114</v>
      </c>
      <c r="E79" s="133" t="s">
        <v>131</v>
      </c>
      <c r="F79" s="170"/>
      <c r="G79" s="98">
        <v>98.43</v>
      </c>
      <c r="H79" s="97">
        <v>8000</v>
      </c>
      <c r="I79" s="73">
        <f t="shared" si="16"/>
        <v>787440</v>
      </c>
      <c r="J79" s="70"/>
      <c r="K79" s="114"/>
      <c r="M79" s="23"/>
      <c r="N79" s="24"/>
      <c r="O79" s="24"/>
      <c r="P79" s="24"/>
      <c r="Q79" s="24"/>
      <c r="R79" s="24"/>
      <c r="S79" s="25"/>
    </row>
    <row r="80" spans="2:19" ht="15" hidden="1" thickBot="1" x14ac:dyDescent="0.35">
      <c r="B80" s="69">
        <f t="shared" ref="B80:B86" si="17">$B$77</f>
        <v>4</v>
      </c>
      <c r="C80" s="70">
        <v>1050</v>
      </c>
      <c r="D80" s="71" t="s">
        <v>133</v>
      </c>
      <c r="E80" s="133"/>
      <c r="F80" s="170"/>
      <c r="G80" s="98"/>
      <c r="H80" s="97"/>
      <c r="I80" s="73" t="str">
        <f t="shared" si="16"/>
        <v/>
      </c>
      <c r="J80" s="70"/>
      <c r="K80" s="114"/>
      <c r="M80" s="23"/>
      <c r="N80" s="24"/>
      <c r="O80" s="24"/>
      <c r="P80" s="24"/>
      <c r="Q80" s="24"/>
      <c r="R80" s="24"/>
      <c r="S80" s="25"/>
    </row>
    <row r="81" spans="2:19" ht="15" hidden="1" thickBot="1" x14ac:dyDescent="0.35">
      <c r="B81" s="69">
        <f t="shared" si="17"/>
        <v>4</v>
      </c>
      <c r="C81" s="70">
        <v>1055</v>
      </c>
      <c r="D81" s="71" t="s">
        <v>47</v>
      </c>
      <c r="E81" s="133" t="s">
        <v>132</v>
      </c>
      <c r="F81" s="170"/>
      <c r="G81" s="98">
        <v>61.14</v>
      </c>
      <c r="H81" s="97">
        <v>7100</v>
      </c>
      <c r="I81" s="73">
        <f t="shared" si="16"/>
        <v>434094</v>
      </c>
      <c r="J81" s="70"/>
      <c r="K81" s="114"/>
      <c r="M81" s="23"/>
      <c r="N81" s="24"/>
      <c r="O81" s="24"/>
      <c r="P81" s="24"/>
      <c r="Q81" s="24"/>
      <c r="R81" s="24"/>
      <c r="S81" s="25"/>
    </row>
    <row r="82" spans="2:19" ht="15" hidden="1" thickBot="1" x14ac:dyDescent="0.35">
      <c r="B82" s="69">
        <f t="shared" si="17"/>
        <v>4</v>
      </c>
      <c r="C82" s="70">
        <v>1060</v>
      </c>
      <c r="D82" s="71" t="s">
        <v>124</v>
      </c>
      <c r="E82" s="133" t="s">
        <v>134</v>
      </c>
      <c r="F82" s="170"/>
      <c r="G82" s="75">
        <f>22000+252000+10000</f>
        <v>284000</v>
      </c>
      <c r="H82" s="97">
        <v>1</v>
      </c>
      <c r="I82" s="73">
        <f t="shared" si="16"/>
        <v>284000</v>
      </c>
      <c r="J82" s="70"/>
      <c r="K82" s="114"/>
      <c r="M82" s="23"/>
      <c r="N82" s="24"/>
      <c r="O82" s="24"/>
      <c r="P82" s="24"/>
      <c r="Q82" s="24"/>
      <c r="R82" s="24"/>
      <c r="S82" s="25"/>
    </row>
    <row r="83" spans="2:19" ht="15" hidden="1" thickBot="1" x14ac:dyDescent="0.35">
      <c r="B83" s="69">
        <f t="shared" si="17"/>
        <v>4</v>
      </c>
      <c r="C83" s="70">
        <v>1065</v>
      </c>
      <c r="D83" s="71" t="s">
        <v>125</v>
      </c>
      <c r="E83" s="133"/>
      <c r="F83" s="170"/>
      <c r="G83" s="75">
        <v>50000</v>
      </c>
      <c r="H83" s="97">
        <v>1</v>
      </c>
      <c r="I83" s="73">
        <f t="shared" si="16"/>
        <v>50000</v>
      </c>
      <c r="J83" s="70"/>
      <c r="K83" s="114"/>
      <c r="M83" s="23"/>
      <c r="N83" s="24"/>
      <c r="O83" s="24"/>
      <c r="P83" s="24"/>
      <c r="Q83" s="24"/>
      <c r="R83" s="24"/>
      <c r="S83" s="25"/>
    </row>
    <row r="84" spans="2:19" ht="15" hidden="1" thickBot="1" x14ac:dyDescent="0.35">
      <c r="B84" s="69">
        <f t="shared" si="17"/>
        <v>4</v>
      </c>
      <c r="C84" s="70">
        <v>1070</v>
      </c>
      <c r="D84" s="71" t="s">
        <v>126</v>
      </c>
      <c r="E84" s="133"/>
      <c r="F84" s="170"/>
      <c r="G84" s="75"/>
      <c r="H84" s="97"/>
      <c r="I84" s="73" t="str">
        <f t="shared" si="16"/>
        <v/>
      </c>
      <c r="J84" s="70"/>
      <c r="K84" s="114"/>
      <c r="M84" s="23"/>
      <c r="N84" s="24"/>
      <c r="O84" s="24"/>
      <c r="P84" s="24"/>
      <c r="Q84" s="24"/>
      <c r="R84" s="24"/>
      <c r="S84" s="25"/>
    </row>
    <row r="85" spans="2:19" ht="15" hidden="1" thickBot="1" x14ac:dyDescent="0.35">
      <c r="B85" s="69">
        <f t="shared" si="17"/>
        <v>4</v>
      </c>
      <c r="C85" s="70">
        <v>1075</v>
      </c>
      <c r="D85" s="71" t="s">
        <v>127</v>
      </c>
      <c r="E85" s="133"/>
      <c r="F85" s="170"/>
      <c r="G85" s="75">
        <v>15000</v>
      </c>
      <c r="H85" s="97"/>
      <c r="I85" s="73">
        <f t="shared" si="16"/>
        <v>15000</v>
      </c>
      <c r="J85" s="70"/>
      <c r="K85" s="114"/>
      <c r="M85" s="23"/>
      <c r="N85" s="24"/>
      <c r="O85" s="24"/>
      <c r="P85" s="24"/>
      <c r="Q85" s="24"/>
      <c r="R85" s="24"/>
      <c r="S85" s="25"/>
    </row>
    <row r="86" spans="2:19" ht="15" hidden="1" thickBot="1" x14ac:dyDescent="0.35">
      <c r="B86" s="116">
        <f t="shared" si="17"/>
        <v>4</v>
      </c>
      <c r="C86" s="117">
        <v>1095</v>
      </c>
      <c r="D86" s="118" t="s">
        <v>90</v>
      </c>
      <c r="E86" s="136"/>
      <c r="F86" s="171"/>
      <c r="G86" s="119"/>
      <c r="H86" s="137"/>
      <c r="I86" s="120" t="str">
        <f t="shared" si="16"/>
        <v/>
      </c>
      <c r="J86" s="117"/>
      <c r="K86" s="138"/>
      <c r="M86" s="23"/>
      <c r="N86" s="24"/>
      <c r="O86" s="24"/>
      <c r="P86" s="24"/>
      <c r="Q86" s="24"/>
      <c r="R86" s="24"/>
      <c r="S86" s="25"/>
    </row>
    <row r="87" spans="2:19" ht="18.600000000000001" hidden="1" thickBot="1" x14ac:dyDescent="0.4">
      <c r="B87" s="34">
        <f>$B$15</f>
        <v>4</v>
      </c>
      <c r="C87" s="28">
        <v>1500</v>
      </c>
      <c r="D87" s="29" t="s">
        <v>128</v>
      </c>
      <c r="E87" s="30"/>
      <c r="F87" s="150"/>
      <c r="G87" s="46"/>
      <c r="H87" s="164"/>
      <c r="I87" s="32">
        <f>SUM(I88:I89)</f>
        <v>0</v>
      </c>
      <c r="J87" s="31"/>
      <c r="K87" s="112">
        <f>SUM(K88:K89)</f>
        <v>0</v>
      </c>
    </row>
    <row r="88" spans="2:19" hidden="1" x14ac:dyDescent="0.3">
      <c r="B88" s="69">
        <f>$B$87</f>
        <v>4</v>
      </c>
      <c r="C88" s="70">
        <v>1510</v>
      </c>
      <c r="D88" s="71" t="s">
        <v>82</v>
      </c>
      <c r="E88" s="96"/>
      <c r="F88" s="152"/>
      <c r="G88" s="75"/>
      <c r="H88" s="97"/>
      <c r="I88" s="73" t="str">
        <f t="shared" ref="I88:I89" si="18">IF(AND(G88&lt;&gt;0,H88=""),G88,IF(AND(G88&lt;&gt;0,H88&gt;0),G88*H88,""))</f>
        <v/>
      </c>
      <c r="J88" s="70"/>
      <c r="K88" s="114"/>
    </row>
    <row r="89" spans="2:19" ht="15" hidden="1" thickBot="1" x14ac:dyDescent="0.35">
      <c r="B89" s="99">
        <f>$B$87</f>
        <v>4</v>
      </c>
      <c r="C89" s="100">
        <v>1520</v>
      </c>
      <c r="D89" s="104" t="s">
        <v>83</v>
      </c>
      <c r="E89" s="101"/>
      <c r="F89" s="153"/>
      <c r="G89" s="102"/>
      <c r="H89" s="135"/>
      <c r="I89" s="103" t="str">
        <f t="shared" si="18"/>
        <v/>
      </c>
      <c r="J89" s="100"/>
      <c r="K89" s="115"/>
    </row>
    <row r="90" spans="2:19" ht="15" hidden="1" thickTop="1" x14ac:dyDescent="0.3"/>
    <row r="91" spans="2:19" hidden="1" x14ac:dyDescent="0.3"/>
    <row r="92" spans="2:19" hidden="1" x14ac:dyDescent="0.3"/>
    <row r="93" spans="2:19" hidden="1" x14ac:dyDescent="0.3"/>
    <row r="94" spans="2:19" ht="15" thickBot="1" x14ac:dyDescent="0.35">
      <c r="B94" s="125" t="s">
        <v>52</v>
      </c>
      <c r="C94" s="126" t="s">
        <v>53</v>
      </c>
      <c r="D94" s="126" t="s">
        <v>91</v>
      </c>
      <c r="E94" s="126" t="s">
        <v>57</v>
      </c>
      <c r="F94" s="142" t="s">
        <v>56</v>
      </c>
      <c r="G94" s="126" t="s">
        <v>58</v>
      </c>
      <c r="H94" s="163" t="s">
        <v>155</v>
      </c>
      <c r="I94" s="126" t="s">
        <v>200</v>
      </c>
      <c r="J94" s="127" t="s">
        <v>201</v>
      </c>
      <c r="K94" s="128"/>
    </row>
    <row r="95" spans="2:19" ht="19.2" thickTop="1" thickBot="1" x14ac:dyDescent="0.4">
      <c r="B95" s="176"/>
      <c r="C95" s="178"/>
      <c r="D95" s="179" t="s">
        <v>143</v>
      </c>
      <c r="E95" s="180"/>
      <c r="F95" s="177"/>
      <c r="G95" s="179"/>
      <c r="H95" s="181"/>
      <c r="I95" s="182">
        <f>SUM(I96:I108)</f>
        <v>15197.5</v>
      </c>
      <c r="J95" s="220">
        <f>SUM(J97:J107)</f>
        <v>15197.5</v>
      </c>
      <c r="K95" s="183"/>
    </row>
    <row r="96" spans="2:19" ht="15" thickTop="1" x14ac:dyDescent="0.3">
      <c r="B96" s="191"/>
      <c r="C96" s="192"/>
      <c r="D96" s="193"/>
      <c r="E96" s="193"/>
      <c r="F96" s="194"/>
      <c r="G96" s="193"/>
      <c r="H96" s="195"/>
      <c r="I96" s="192"/>
      <c r="J96" s="193"/>
      <c r="K96" s="196"/>
    </row>
    <row r="97" spans="2:11" x14ac:dyDescent="0.3">
      <c r="B97" s="197"/>
      <c r="C97" s="198"/>
      <c r="D97" s="199" t="s">
        <v>144</v>
      </c>
      <c r="E97" s="200" t="s">
        <v>145</v>
      </c>
      <c r="F97" s="201">
        <f>40+20+20+25+250</f>
        <v>355</v>
      </c>
      <c r="G97" s="202">
        <v>10</v>
      </c>
      <c r="H97" s="203"/>
      <c r="I97" s="204">
        <f>F97*G97*IF(H97&lt;&gt;0,H97,1)</f>
        <v>3550</v>
      </c>
      <c r="J97" s="219">
        <f t="shared" ref="J97:J107" si="19">F97*G97</f>
        <v>3550</v>
      </c>
      <c r="K97" s="205"/>
    </row>
    <row r="98" spans="2:11" x14ac:dyDescent="0.3">
      <c r="B98" s="197"/>
      <c r="C98" s="198"/>
      <c r="D98" s="199" t="s">
        <v>146</v>
      </c>
      <c r="E98" s="200" t="s">
        <v>181</v>
      </c>
      <c r="F98" s="201"/>
      <c r="G98" s="202"/>
      <c r="H98" s="203"/>
      <c r="I98" s="204">
        <f t="shared" ref="I98:I108" si="20">F98*G98*IF(H98&lt;&gt;0,H98,1)</f>
        <v>0</v>
      </c>
      <c r="J98" s="219">
        <f t="shared" si="19"/>
        <v>0</v>
      </c>
      <c r="K98" s="205"/>
    </row>
    <row r="99" spans="2:11" x14ac:dyDescent="0.3">
      <c r="B99" s="197"/>
      <c r="C99" s="198"/>
      <c r="D99" s="199" t="s">
        <v>147</v>
      </c>
      <c r="E99" s="200" t="s">
        <v>181</v>
      </c>
      <c r="F99" s="201"/>
      <c r="G99" s="202"/>
      <c r="H99" s="203"/>
      <c r="I99" s="204">
        <f t="shared" si="20"/>
        <v>0</v>
      </c>
      <c r="J99" s="219">
        <f t="shared" si="19"/>
        <v>0</v>
      </c>
      <c r="K99" s="205"/>
    </row>
    <row r="100" spans="2:11" x14ac:dyDescent="0.3">
      <c r="B100" s="197"/>
      <c r="C100" s="198"/>
      <c r="D100" s="199" t="s">
        <v>148</v>
      </c>
      <c r="E100" s="200" t="s">
        <v>181</v>
      </c>
      <c r="F100" s="201">
        <v>5000</v>
      </c>
      <c r="G100" s="202">
        <v>1</v>
      </c>
      <c r="H100" s="203"/>
      <c r="I100" s="204">
        <f t="shared" si="20"/>
        <v>5000</v>
      </c>
      <c r="J100" s="219">
        <f t="shared" si="19"/>
        <v>5000</v>
      </c>
      <c r="K100" s="205"/>
    </row>
    <row r="101" spans="2:11" x14ac:dyDescent="0.3">
      <c r="B101" s="197"/>
      <c r="C101" s="198"/>
      <c r="D101" s="199" t="s">
        <v>149</v>
      </c>
      <c r="E101" s="200"/>
      <c r="F101" s="201">
        <v>2000</v>
      </c>
      <c r="G101" s="202">
        <v>1</v>
      </c>
      <c r="H101" s="203"/>
      <c r="I101" s="204">
        <f t="shared" si="20"/>
        <v>2000</v>
      </c>
      <c r="J101" s="219">
        <f t="shared" si="19"/>
        <v>2000</v>
      </c>
      <c r="K101" s="205"/>
    </row>
    <row r="102" spans="2:11" x14ac:dyDescent="0.3">
      <c r="B102" s="197"/>
      <c r="C102" s="198"/>
      <c r="D102" s="199" t="s">
        <v>69</v>
      </c>
      <c r="E102" s="200"/>
      <c r="F102" s="201">
        <v>1700</v>
      </c>
      <c r="G102" s="202">
        <v>1</v>
      </c>
      <c r="H102" s="203"/>
      <c r="I102" s="204">
        <f t="shared" si="20"/>
        <v>1700</v>
      </c>
      <c r="J102" s="219">
        <f t="shared" si="19"/>
        <v>1700</v>
      </c>
      <c r="K102" s="205"/>
    </row>
    <row r="103" spans="2:11" x14ac:dyDescent="0.3">
      <c r="B103" s="197"/>
      <c r="C103" s="198"/>
      <c r="D103" s="199" t="s">
        <v>150</v>
      </c>
      <c r="E103" s="200" t="s">
        <v>145</v>
      </c>
      <c r="F103" s="201">
        <v>150</v>
      </c>
      <c r="G103" s="202">
        <v>8</v>
      </c>
      <c r="H103" s="203"/>
      <c r="I103" s="204">
        <f t="shared" si="20"/>
        <v>1200</v>
      </c>
      <c r="J103" s="219">
        <f t="shared" si="19"/>
        <v>1200</v>
      </c>
      <c r="K103" s="205"/>
    </row>
    <row r="104" spans="2:11" x14ac:dyDescent="0.3">
      <c r="B104" s="197"/>
      <c r="C104" s="198"/>
      <c r="D104" s="199" t="s">
        <v>180</v>
      </c>
      <c r="E104" s="200" t="s">
        <v>145</v>
      </c>
      <c r="F104" s="201">
        <v>125</v>
      </c>
      <c r="G104" s="202">
        <f>(G105+G106)/110*4</f>
        <v>8</v>
      </c>
      <c r="H104" s="203"/>
      <c r="I104" s="204">
        <f t="shared" si="20"/>
        <v>1000</v>
      </c>
      <c r="J104" s="219">
        <f t="shared" si="19"/>
        <v>1000</v>
      </c>
      <c r="K104" s="205"/>
    </row>
    <row r="105" spans="2:11" x14ac:dyDescent="0.3">
      <c r="B105" s="197"/>
      <c r="C105" s="198"/>
      <c r="D105" s="199" t="s">
        <v>151</v>
      </c>
      <c r="E105" s="200" t="s">
        <v>129</v>
      </c>
      <c r="F105" s="201">
        <v>1.25</v>
      </c>
      <c r="G105" s="202">
        <v>110</v>
      </c>
      <c r="H105" s="203"/>
      <c r="I105" s="204">
        <f t="shared" si="20"/>
        <v>137.5</v>
      </c>
      <c r="J105" s="219">
        <f t="shared" si="19"/>
        <v>137.5</v>
      </c>
      <c r="K105" s="205"/>
    </row>
    <row r="106" spans="2:11" x14ac:dyDescent="0.3">
      <c r="B106" s="197"/>
      <c r="C106" s="198"/>
      <c r="D106" s="199" t="s">
        <v>152</v>
      </c>
      <c r="E106" s="200" t="s">
        <v>129</v>
      </c>
      <c r="F106" s="201">
        <v>1</v>
      </c>
      <c r="G106" s="202">
        <f>G105</f>
        <v>110</v>
      </c>
      <c r="H106" s="203"/>
      <c r="I106" s="204">
        <f t="shared" si="20"/>
        <v>110</v>
      </c>
      <c r="J106" s="219">
        <f t="shared" si="19"/>
        <v>110</v>
      </c>
      <c r="K106" s="205"/>
    </row>
    <row r="107" spans="2:11" x14ac:dyDescent="0.3">
      <c r="B107" s="197"/>
      <c r="C107" s="198"/>
      <c r="D107" s="199" t="s">
        <v>153</v>
      </c>
      <c r="E107" s="200" t="s">
        <v>154</v>
      </c>
      <c r="F107" s="201">
        <v>500</v>
      </c>
      <c r="G107" s="202">
        <v>1</v>
      </c>
      <c r="H107" s="203"/>
      <c r="I107" s="204">
        <f t="shared" si="20"/>
        <v>500</v>
      </c>
      <c r="J107" s="219">
        <f t="shared" si="19"/>
        <v>500</v>
      </c>
      <c r="K107" s="205"/>
    </row>
    <row r="108" spans="2:11" ht="15" thickBot="1" x14ac:dyDescent="0.35">
      <c r="B108" s="197"/>
      <c r="C108" s="198"/>
      <c r="D108" s="199"/>
      <c r="E108" s="199"/>
      <c r="F108" s="200"/>
      <c r="G108" s="201"/>
      <c r="H108" s="203"/>
      <c r="I108" s="204">
        <f t="shared" si="20"/>
        <v>0</v>
      </c>
      <c r="J108" s="199"/>
      <c r="K108" s="205"/>
    </row>
    <row r="109" spans="2:11" ht="19.2" thickTop="1" thickBot="1" x14ac:dyDescent="0.4">
      <c r="B109" s="206"/>
      <c r="C109" s="207"/>
      <c r="D109" s="180" t="s">
        <v>187</v>
      </c>
      <c r="E109" s="180"/>
      <c r="F109" s="208"/>
      <c r="G109" s="180"/>
      <c r="H109" s="209"/>
      <c r="I109" s="210">
        <f>SUM(I110:I116)</f>
        <v>4030</v>
      </c>
      <c r="J109" s="210">
        <f>SUM(J110:J116)</f>
        <v>4030</v>
      </c>
      <c r="K109" s="183"/>
    </row>
    <row r="110" spans="2:11" ht="15" thickTop="1" x14ac:dyDescent="0.3">
      <c r="B110" s="197"/>
      <c r="C110" s="198"/>
      <c r="D110" s="199"/>
      <c r="E110" s="199"/>
      <c r="F110" s="200"/>
      <c r="G110" s="199"/>
      <c r="H110" s="202"/>
      <c r="I110" s="198"/>
      <c r="J110" s="199"/>
      <c r="K110" s="205"/>
    </row>
    <row r="111" spans="2:11" x14ac:dyDescent="0.3">
      <c r="B111" s="197"/>
      <c r="C111" s="198"/>
      <c r="D111" s="199" t="s">
        <v>182</v>
      </c>
      <c r="E111" s="200" t="s">
        <v>154</v>
      </c>
      <c r="F111" s="201">
        <v>150</v>
      </c>
      <c r="G111" s="202">
        <v>1</v>
      </c>
      <c r="H111" s="203"/>
      <c r="I111" s="204">
        <f t="shared" ref="I111:I115" si="21">F111*G111*IF(H111&lt;&gt;0,H111,1)</f>
        <v>150</v>
      </c>
      <c r="J111" s="219">
        <f t="shared" ref="J111:J115" si="22">F111*G111</f>
        <v>150</v>
      </c>
      <c r="K111" s="205"/>
    </row>
    <row r="112" spans="2:11" x14ac:dyDescent="0.3">
      <c r="B112" s="197"/>
      <c r="C112" s="198"/>
      <c r="D112" s="199" t="s">
        <v>183</v>
      </c>
      <c r="E112" s="200" t="s">
        <v>154</v>
      </c>
      <c r="F112" s="201">
        <v>65</v>
      </c>
      <c r="G112" s="202">
        <v>2</v>
      </c>
      <c r="H112" s="203"/>
      <c r="I112" s="204">
        <f t="shared" si="21"/>
        <v>130</v>
      </c>
      <c r="J112" s="219">
        <f t="shared" si="22"/>
        <v>130</v>
      </c>
      <c r="K112" s="205"/>
    </row>
    <row r="113" spans="2:21" x14ac:dyDescent="0.3">
      <c r="B113" s="197"/>
      <c r="C113" s="198"/>
      <c r="D113" s="199" t="s">
        <v>184</v>
      </c>
      <c r="E113" s="200" t="s">
        <v>154</v>
      </c>
      <c r="F113" s="201">
        <v>250</v>
      </c>
      <c r="G113" s="202">
        <v>1</v>
      </c>
      <c r="H113" s="203"/>
      <c r="I113" s="204">
        <f t="shared" si="21"/>
        <v>250</v>
      </c>
      <c r="J113" s="219">
        <f t="shared" si="22"/>
        <v>250</v>
      </c>
      <c r="K113" s="205"/>
    </row>
    <row r="114" spans="2:21" x14ac:dyDescent="0.3">
      <c r="B114" s="197"/>
      <c r="C114" s="198"/>
      <c r="D114" s="199" t="s">
        <v>185</v>
      </c>
      <c r="E114" s="200" t="s">
        <v>154</v>
      </c>
      <c r="F114" s="201">
        <v>3000</v>
      </c>
      <c r="G114" s="202">
        <v>1</v>
      </c>
      <c r="H114" s="203"/>
      <c r="I114" s="204">
        <f t="shared" si="21"/>
        <v>3000</v>
      </c>
      <c r="J114" s="219">
        <f t="shared" si="22"/>
        <v>3000</v>
      </c>
      <c r="K114" s="205"/>
    </row>
    <row r="115" spans="2:21" x14ac:dyDescent="0.3">
      <c r="B115" s="197"/>
      <c r="C115" s="198"/>
      <c r="D115" s="199" t="s">
        <v>186</v>
      </c>
      <c r="E115" s="200" t="s">
        <v>154</v>
      </c>
      <c r="F115" s="201">
        <v>500</v>
      </c>
      <c r="G115" s="202">
        <v>1</v>
      </c>
      <c r="H115" s="203"/>
      <c r="I115" s="204">
        <f t="shared" si="21"/>
        <v>500</v>
      </c>
      <c r="J115" s="219">
        <f t="shared" si="22"/>
        <v>500</v>
      </c>
      <c r="K115" s="205"/>
    </row>
    <row r="116" spans="2:21" ht="15" thickBot="1" x14ac:dyDescent="0.35">
      <c r="B116" s="197"/>
      <c r="C116" s="198"/>
      <c r="D116" s="199"/>
      <c r="E116" s="200"/>
      <c r="F116" s="201"/>
      <c r="G116" s="202"/>
      <c r="H116" s="203"/>
      <c r="I116" s="204"/>
      <c r="J116" s="199"/>
      <c r="K116" s="205"/>
    </row>
    <row r="117" spans="2:21" ht="19.2" thickTop="1" thickBot="1" x14ac:dyDescent="0.4">
      <c r="B117" s="206"/>
      <c r="C117" s="207"/>
      <c r="D117" s="180" t="s">
        <v>189</v>
      </c>
      <c r="E117" s="180"/>
      <c r="F117" s="208"/>
      <c r="G117" s="180"/>
      <c r="H117" s="209"/>
      <c r="I117" s="210">
        <f>SUM(I118:I122)</f>
        <v>3500</v>
      </c>
      <c r="J117" s="210">
        <f>SUM(J118:J122)</f>
        <v>3500</v>
      </c>
      <c r="K117" s="183"/>
    </row>
    <row r="118" spans="2:21" ht="15" thickTop="1" x14ac:dyDescent="0.3">
      <c r="B118" s="197"/>
      <c r="C118" s="198"/>
      <c r="D118" s="199"/>
      <c r="E118" s="199"/>
      <c r="F118" s="200"/>
      <c r="G118" s="199"/>
      <c r="H118" s="202"/>
      <c r="I118" s="198"/>
      <c r="J118" s="199"/>
      <c r="K118" s="205"/>
    </row>
    <row r="119" spans="2:21" x14ac:dyDescent="0.3">
      <c r="B119" s="197"/>
      <c r="C119" s="198"/>
      <c r="D119" s="199" t="s">
        <v>190</v>
      </c>
      <c r="E119" s="200"/>
      <c r="F119" s="201"/>
      <c r="G119" s="202"/>
      <c r="H119" s="203"/>
      <c r="I119" s="204">
        <f>F119*G119*IF(H119&lt;&gt;0,H119,1)</f>
        <v>0</v>
      </c>
      <c r="J119" s="219">
        <f>F119*G119</f>
        <v>0</v>
      </c>
      <c r="K119" s="205"/>
    </row>
    <row r="120" spans="2:21" x14ac:dyDescent="0.3">
      <c r="B120" s="197"/>
      <c r="C120" s="198"/>
      <c r="D120" s="199" t="s">
        <v>191</v>
      </c>
      <c r="E120" s="200"/>
      <c r="F120" s="201">
        <v>3500</v>
      </c>
      <c r="G120" s="202">
        <v>1</v>
      </c>
      <c r="H120" s="203"/>
      <c r="I120" s="204">
        <f t="shared" ref="I120:I121" si="23">F120*G120*IF(H120&lt;&gt;0,H120,1)</f>
        <v>3500</v>
      </c>
      <c r="J120" s="219">
        <f>F120*G120</f>
        <v>3500</v>
      </c>
      <c r="K120" s="205"/>
    </row>
    <row r="121" spans="2:21" x14ac:dyDescent="0.3">
      <c r="B121" s="197"/>
      <c r="C121" s="198"/>
      <c r="D121" s="199" t="s">
        <v>197</v>
      </c>
      <c r="E121" s="200"/>
      <c r="F121" s="201"/>
      <c r="G121" s="202"/>
      <c r="H121" s="203"/>
      <c r="I121" s="204">
        <f t="shared" si="23"/>
        <v>0</v>
      </c>
      <c r="J121" s="219">
        <f>F121*G121</f>
        <v>0</v>
      </c>
      <c r="K121" s="205"/>
    </row>
    <row r="122" spans="2:21" ht="15" thickBot="1" x14ac:dyDescent="0.35">
      <c r="B122" s="197"/>
      <c r="C122" s="198"/>
      <c r="D122" s="199"/>
      <c r="E122" s="200"/>
      <c r="F122" s="201"/>
      <c r="G122" s="202"/>
      <c r="H122" s="203"/>
      <c r="I122" s="204"/>
      <c r="J122" s="199"/>
      <c r="K122" s="205"/>
    </row>
    <row r="123" spans="2:21" ht="19.2" thickTop="1" thickBot="1" x14ac:dyDescent="0.4">
      <c r="B123" s="206"/>
      <c r="C123" s="207"/>
      <c r="D123" s="180" t="s">
        <v>212</v>
      </c>
      <c r="E123" s="180"/>
      <c r="F123" s="208"/>
      <c r="G123" s="180"/>
      <c r="H123" s="209"/>
      <c r="I123" s="210">
        <f>SUM(I124:I132)</f>
        <v>21653.181818181816</v>
      </c>
      <c r="J123" s="210">
        <f>SUM(J124:J132)</f>
        <v>21653.181818181816</v>
      </c>
      <c r="K123" s="183"/>
    </row>
    <row r="124" spans="2:21" ht="15" thickTop="1" x14ac:dyDescent="0.3">
      <c r="B124" s="197"/>
      <c r="C124" s="198"/>
      <c r="D124" s="199"/>
      <c r="E124" s="199"/>
      <c r="F124" s="200"/>
      <c r="G124" s="199"/>
      <c r="H124" s="202"/>
      <c r="I124" s="198"/>
      <c r="J124" s="199"/>
      <c r="K124" s="205"/>
    </row>
    <row r="125" spans="2:21" x14ac:dyDescent="0.3">
      <c r="B125" s="197"/>
      <c r="C125" s="198"/>
      <c r="D125" s="199" t="s">
        <v>188</v>
      </c>
      <c r="E125" s="200" t="s">
        <v>154</v>
      </c>
      <c r="F125" s="201">
        <f>I109</f>
        <v>4030</v>
      </c>
      <c r="G125" s="202">
        <v>2</v>
      </c>
      <c r="H125" s="203"/>
      <c r="I125" s="204">
        <f>F125*G125*IF(H125&lt;&gt;0,H125,1)</f>
        <v>8060</v>
      </c>
      <c r="J125" s="219">
        <f t="shared" ref="J125:J132" si="24">F125*G125</f>
        <v>8060</v>
      </c>
      <c r="K125" s="205"/>
    </row>
    <row r="126" spans="2:21" x14ac:dyDescent="0.3">
      <c r="B126" s="197"/>
      <c r="C126" s="198"/>
      <c r="D126" s="199" t="s">
        <v>150</v>
      </c>
      <c r="E126" s="200" t="s">
        <v>145</v>
      </c>
      <c r="F126" s="201">
        <v>150</v>
      </c>
      <c r="G126" s="202">
        <v>10</v>
      </c>
      <c r="H126" s="203"/>
      <c r="I126" s="204">
        <f>F126*G126*IF(H126&lt;&gt;0,H126,1)</f>
        <v>1500</v>
      </c>
      <c r="J126" s="219">
        <f t="shared" si="24"/>
        <v>1500</v>
      </c>
      <c r="K126" s="205"/>
    </row>
    <row r="127" spans="2:21" x14ac:dyDescent="0.3">
      <c r="B127" s="197"/>
      <c r="C127" s="198"/>
      <c r="D127" s="199" t="s">
        <v>180</v>
      </c>
      <c r="E127" s="200" t="s">
        <v>145</v>
      </c>
      <c r="F127" s="201">
        <v>125</v>
      </c>
      <c r="G127" s="202">
        <f>(G128+G129)/110*4</f>
        <v>14.545454545454545</v>
      </c>
      <c r="H127" s="203"/>
      <c r="I127" s="204">
        <f t="shared" ref="I127" si="25">F127*G127*IF(H127&lt;&gt;0,H127,1)</f>
        <v>1818.181818181818</v>
      </c>
      <c r="J127" s="219">
        <f t="shared" si="24"/>
        <v>1818.181818181818</v>
      </c>
      <c r="K127" s="205"/>
      <c r="T127" t="s">
        <v>160</v>
      </c>
      <c r="U127">
        <v>14500</v>
      </c>
    </row>
    <row r="128" spans="2:21" x14ac:dyDescent="0.3">
      <c r="B128" s="197"/>
      <c r="C128" s="198"/>
      <c r="D128" s="199" t="s">
        <v>151</v>
      </c>
      <c r="E128" s="200" t="s">
        <v>129</v>
      </c>
      <c r="F128" s="201">
        <v>1.25</v>
      </c>
      <c r="G128" s="202">
        <v>200</v>
      </c>
      <c r="H128" s="203"/>
      <c r="I128" s="204">
        <f t="shared" ref="I128:I132" si="26">F128*G128*IF(H128&lt;&gt;0,H128,1)</f>
        <v>250</v>
      </c>
      <c r="J128" s="219">
        <f t="shared" si="24"/>
        <v>250</v>
      </c>
      <c r="K128" s="205"/>
      <c r="T128" t="s">
        <v>160</v>
      </c>
      <c r="U128">
        <v>14500</v>
      </c>
    </row>
    <row r="129" spans="2:29" x14ac:dyDescent="0.3">
      <c r="B129" s="197"/>
      <c r="C129" s="198"/>
      <c r="D129" s="199" t="s">
        <v>152</v>
      </c>
      <c r="E129" s="200" t="s">
        <v>129</v>
      </c>
      <c r="F129" s="201">
        <v>1</v>
      </c>
      <c r="G129" s="202">
        <f>G128</f>
        <v>200</v>
      </c>
      <c r="H129" s="203"/>
      <c r="I129" s="204">
        <f t="shared" si="26"/>
        <v>200</v>
      </c>
      <c r="J129" s="219">
        <f t="shared" si="24"/>
        <v>200</v>
      </c>
      <c r="K129" s="205"/>
      <c r="T129" t="s">
        <v>161</v>
      </c>
      <c r="U129">
        <v>0.7</v>
      </c>
    </row>
    <row r="130" spans="2:29" x14ac:dyDescent="0.3">
      <c r="B130" s="197"/>
      <c r="C130" s="198"/>
      <c r="D130" s="199" t="s">
        <v>167</v>
      </c>
      <c r="E130" s="200" t="s">
        <v>154</v>
      </c>
      <c r="F130" s="201">
        <v>5325</v>
      </c>
      <c r="G130" s="202">
        <v>1</v>
      </c>
      <c r="H130" s="203"/>
      <c r="I130" s="204">
        <f t="shared" si="26"/>
        <v>5325</v>
      </c>
      <c r="J130" s="219">
        <f t="shared" si="24"/>
        <v>5325</v>
      </c>
      <c r="K130" s="205"/>
      <c r="T130" s="184" t="s">
        <v>156</v>
      </c>
      <c r="U130">
        <f>U128*U129</f>
        <v>10150</v>
      </c>
    </row>
    <row r="131" spans="2:29" x14ac:dyDescent="0.3">
      <c r="B131" s="197"/>
      <c r="C131" s="198"/>
      <c r="D131" s="199" t="s">
        <v>168</v>
      </c>
      <c r="E131" s="200"/>
      <c r="F131" s="201">
        <v>2000</v>
      </c>
      <c r="G131" s="202">
        <v>1</v>
      </c>
      <c r="H131" s="203"/>
      <c r="I131" s="204">
        <f t="shared" si="26"/>
        <v>2000</v>
      </c>
      <c r="J131" s="219">
        <f t="shared" si="24"/>
        <v>2000</v>
      </c>
      <c r="K131" s="205"/>
      <c r="T131" s="184" t="s">
        <v>157</v>
      </c>
      <c r="U131" s="189">
        <f>U130/0.052/U128</f>
        <v>13.461538461538462</v>
      </c>
      <c r="V131" s="190"/>
    </row>
    <row r="132" spans="2:29" x14ac:dyDescent="0.3">
      <c r="B132" s="197"/>
      <c r="C132" s="198"/>
      <c r="D132" s="199" t="s">
        <v>153</v>
      </c>
      <c r="E132" s="200" t="s">
        <v>154</v>
      </c>
      <c r="F132" s="201">
        <v>1250</v>
      </c>
      <c r="G132" s="202">
        <v>2</v>
      </c>
      <c r="H132" s="203"/>
      <c r="I132" s="204">
        <f t="shared" si="26"/>
        <v>2500</v>
      </c>
      <c r="J132" s="219">
        <f t="shared" si="24"/>
        <v>2500</v>
      </c>
      <c r="K132" s="205"/>
      <c r="T132" s="184" t="s">
        <v>158</v>
      </c>
      <c r="V132" s="188">
        <v>2.992</v>
      </c>
      <c r="W132" s="190">
        <f>(V132/12)^2*PI()/4/5.615</f>
        <v>8.6956250917883809E-3</v>
      </c>
      <c r="X132">
        <v>3354</v>
      </c>
      <c r="Y132" s="189">
        <f>W132*X132</f>
        <v>29.16512655785823</v>
      </c>
    </row>
    <row r="133" spans="2:29" x14ac:dyDescent="0.3">
      <c r="B133" s="197"/>
      <c r="C133" s="198"/>
      <c r="D133" s="199"/>
      <c r="E133" s="200"/>
      <c r="F133" s="201"/>
      <c r="G133" s="202"/>
      <c r="H133" s="203"/>
      <c r="I133" s="204"/>
      <c r="J133" s="219"/>
      <c r="K133" s="205"/>
      <c r="T133" s="184"/>
      <c r="W133" s="190">
        <f t="shared" ref="W133:W135" si="27">(V133/12)^2*PI()/4/5.615</f>
        <v>0</v>
      </c>
      <c r="Y133" s="189">
        <f>W133*X133</f>
        <v>0</v>
      </c>
      <c r="Z133" s="189"/>
    </row>
    <row r="134" spans="2:29" ht="15" thickBot="1" x14ac:dyDescent="0.35">
      <c r="B134" s="197"/>
      <c r="C134" s="198"/>
      <c r="D134" s="199"/>
      <c r="E134" s="199"/>
      <c r="F134" s="201"/>
      <c r="G134" s="202"/>
      <c r="H134" s="203"/>
      <c r="I134" s="204"/>
      <c r="J134" s="199"/>
      <c r="K134" s="205"/>
      <c r="T134" s="184" t="s">
        <v>214</v>
      </c>
      <c r="V134">
        <v>5.0119999999999996</v>
      </c>
      <c r="W134" s="190">
        <f t="shared" si="27"/>
        <v>2.4400557734589177E-2</v>
      </c>
      <c r="X134">
        <f>3433-X132</f>
        <v>79</v>
      </c>
      <c r="Y134" s="189">
        <f>W134*X134</f>
        <v>1.9276440610325449</v>
      </c>
      <c r="Z134" s="189" t="s">
        <v>162</v>
      </c>
    </row>
    <row r="135" spans="2:29" ht="19.2" thickTop="1" thickBot="1" x14ac:dyDescent="0.4">
      <c r="B135" s="206"/>
      <c r="C135" s="207"/>
      <c r="D135" s="180" t="s">
        <v>169</v>
      </c>
      <c r="E135" s="180"/>
      <c r="F135" s="208"/>
      <c r="G135" s="180"/>
      <c r="H135" s="209"/>
      <c r="I135" s="210">
        <f>SUM(I136:I147)</f>
        <v>173636.54545454544</v>
      </c>
      <c r="J135" s="210">
        <f>SUM(J136:J147)</f>
        <v>234258.18181818182</v>
      </c>
      <c r="K135" s="183"/>
      <c r="T135" s="184" t="s">
        <v>159</v>
      </c>
      <c r="V135">
        <v>6.625</v>
      </c>
      <c r="W135" s="190">
        <f t="shared" si="27"/>
        <v>4.2633343555662083E-2</v>
      </c>
    </row>
    <row r="136" spans="2:29" ht="15" thickTop="1" x14ac:dyDescent="0.3">
      <c r="B136" s="197"/>
      <c r="C136" s="198"/>
      <c r="D136" s="199"/>
      <c r="E136" s="199"/>
      <c r="F136" s="200"/>
      <c r="G136" s="199"/>
      <c r="H136" s="202"/>
      <c r="I136" s="198"/>
      <c r="J136" s="199"/>
      <c r="K136" s="205"/>
      <c r="T136" s="184" t="s">
        <v>215</v>
      </c>
      <c r="W136" s="190">
        <f>PI()*((V134/12)^2-(RIGHT(T136,5)/12)^2)/4/5.615</f>
        <v>1.2501468611186161E-2</v>
      </c>
      <c r="X136">
        <v>3354</v>
      </c>
      <c r="Y136" s="189">
        <f>W136*X136</f>
        <v>41.92992572191838</v>
      </c>
      <c r="AA136" t="s">
        <v>163</v>
      </c>
      <c r="AB136" s="189">
        <f>SUM(Y132:Y134)</f>
        <v>31.092770618890775</v>
      </c>
      <c r="AC136" t="s">
        <v>165</v>
      </c>
    </row>
    <row r="137" spans="2:29" x14ac:dyDescent="0.3">
      <c r="B137" s="197"/>
      <c r="C137" s="198"/>
      <c r="D137" s="199" t="s">
        <v>188</v>
      </c>
      <c r="E137" s="200" t="s">
        <v>154</v>
      </c>
      <c r="F137" s="201">
        <f>I109</f>
        <v>4030</v>
      </c>
      <c r="G137" s="202">
        <v>3</v>
      </c>
      <c r="H137" s="203">
        <v>0.8</v>
      </c>
      <c r="I137" s="204">
        <f>F137*G137*IF(H137&lt;&gt;0,H137,1)</f>
        <v>9672</v>
      </c>
      <c r="J137" s="219">
        <f t="shared" ref="J137:J145" si="28">F137*G137</f>
        <v>12090</v>
      </c>
      <c r="K137" s="205"/>
      <c r="T137" s="184" t="s">
        <v>166</v>
      </c>
      <c r="W137" s="190">
        <f>PI()*((V135/12)^2-(RIGHT(T137,5)/12)^2)/4/5.615</f>
        <v>3.0734254432259061E-2</v>
      </c>
      <c r="Y137" s="189">
        <f>W137*X137</f>
        <v>0</v>
      </c>
      <c r="AA137" t="s">
        <v>164</v>
      </c>
      <c r="AB137" s="189">
        <f>Y136+Y137</f>
        <v>41.92992572191838</v>
      </c>
      <c r="AC137" t="s">
        <v>165</v>
      </c>
    </row>
    <row r="138" spans="2:29" x14ac:dyDescent="0.3">
      <c r="B138" s="197"/>
      <c r="C138" s="198"/>
      <c r="D138" s="199" t="s">
        <v>213</v>
      </c>
      <c r="E138" s="200" t="s">
        <v>154</v>
      </c>
      <c r="F138" s="201">
        <v>45200</v>
      </c>
      <c r="G138" s="202">
        <v>3</v>
      </c>
      <c r="H138" s="203">
        <f>H137</f>
        <v>0.8</v>
      </c>
      <c r="I138" s="204">
        <f>F138*G138*IF(H138&lt;&gt;0,H138,1)</f>
        <v>108480</v>
      </c>
      <c r="J138" s="219">
        <f t="shared" si="28"/>
        <v>135600</v>
      </c>
      <c r="K138" s="205"/>
      <c r="T138" s="184" t="s">
        <v>195</v>
      </c>
      <c r="W138" s="190">
        <f>PI()*((V135/12)^2-(RIGHT(T138,5)/12)^2)/4/5.615</f>
        <v>1.8349488201778372E-2</v>
      </c>
      <c r="Y138" s="189">
        <f>W138*X138</f>
        <v>0</v>
      </c>
      <c r="AB138" s="189">
        <f>AB136+AB137</f>
        <v>73.022696340809148</v>
      </c>
    </row>
    <row r="139" spans="2:29" x14ac:dyDescent="0.3">
      <c r="B139" s="197"/>
      <c r="C139" s="198"/>
      <c r="D139" s="199" t="s">
        <v>171</v>
      </c>
      <c r="E139" s="200" t="s">
        <v>172</v>
      </c>
      <c r="F139" s="201">
        <v>12500</v>
      </c>
      <c r="G139" s="202">
        <v>3</v>
      </c>
      <c r="H139" s="203">
        <f t="shared" ref="H139:H145" si="29">H138</f>
        <v>0.8</v>
      </c>
      <c r="I139" s="204">
        <f t="shared" ref="I139:I167" si="30">F139*G139*IF(H139&lt;&gt;0,H139,1)</f>
        <v>30000</v>
      </c>
      <c r="J139" s="219">
        <f t="shared" si="28"/>
        <v>37500</v>
      </c>
      <c r="K139" s="205"/>
    </row>
    <row r="140" spans="2:29" x14ac:dyDescent="0.3">
      <c r="B140" s="197"/>
      <c r="C140" s="198"/>
      <c r="D140" s="199" t="s">
        <v>170</v>
      </c>
      <c r="E140" s="200" t="s">
        <v>172</v>
      </c>
      <c r="F140" s="201">
        <v>5000</v>
      </c>
      <c r="G140" s="202">
        <v>3</v>
      </c>
      <c r="H140" s="203">
        <f t="shared" si="29"/>
        <v>0.8</v>
      </c>
      <c r="I140" s="204">
        <f t="shared" si="30"/>
        <v>12000</v>
      </c>
      <c r="J140" s="219">
        <f t="shared" si="28"/>
        <v>15000</v>
      </c>
      <c r="K140" s="205"/>
    </row>
    <row r="141" spans="2:29" x14ac:dyDescent="0.3">
      <c r="B141" s="197"/>
      <c r="C141" s="198"/>
      <c r="D141" s="199" t="s">
        <v>69</v>
      </c>
      <c r="E141" s="200" t="s">
        <v>172</v>
      </c>
      <c r="F141" s="201">
        <v>1700</v>
      </c>
      <c r="G141" s="202">
        <v>3</v>
      </c>
      <c r="H141" s="203">
        <f t="shared" si="29"/>
        <v>0.8</v>
      </c>
      <c r="I141" s="204">
        <f t="shared" si="30"/>
        <v>4080</v>
      </c>
      <c r="J141" s="219">
        <f t="shared" si="28"/>
        <v>5100</v>
      </c>
      <c r="K141" s="205"/>
    </row>
    <row r="142" spans="2:29" x14ac:dyDescent="0.3">
      <c r="B142" s="197"/>
      <c r="C142" s="198"/>
      <c r="D142" s="199" t="s">
        <v>180</v>
      </c>
      <c r="E142" s="200" t="s">
        <v>145</v>
      </c>
      <c r="F142" s="201">
        <v>125</v>
      </c>
      <c r="G142" s="202">
        <f>(G143+G144)/110*4</f>
        <v>14.545454545454545</v>
      </c>
      <c r="H142" s="203">
        <f t="shared" si="29"/>
        <v>0.8</v>
      </c>
      <c r="I142" s="204">
        <f t="shared" ref="I142" si="31">F142*G142*IF(H142&lt;&gt;0,H142,1)</f>
        <v>1454.5454545454545</v>
      </c>
      <c r="J142" s="219">
        <f t="shared" si="28"/>
        <v>1818.181818181818</v>
      </c>
      <c r="K142" s="205"/>
    </row>
    <row r="143" spans="2:29" x14ac:dyDescent="0.3">
      <c r="B143" s="197"/>
      <c r="C143" s="198"/>
      <c r="D143" s="199" t="s">
        <v>151</v>
      </c>
      <c r="E143" s="200" t="s">
        <v>129</v>
      </c>
      <c r="F143" s="201">
        <v>1.25</v>
      </c>
      <c r="G143" s="202">
        <v>200</v>
      </c>
      <c r="H143" s="203">
        <f t="shared" si="29"/>
        <v>0.8</v>
      </c>
      <c r="I143" s="204">
        <f t="shared" si="30"/>
        <v>200</v>
      </c>
      <c r="J143" s="219">
        <f t="shared" si="28"/>
        <v>250</v>
      </c>
      <c r="K143" s="205"/>
    </row>
    <row r="144" spans="2:29" x14ac:dyDescent="0.3">
      <c r="B144" s="197"/>
      <c r="C144" s="198"/>
      <c r="D144" s="199" t="s">
        <v>152</v>
      </c>
      <c r="E144" s="200" t="s">
        <v>129</v>
      </c>
      <c r="F144" s="201">
        <v>1</v>
      </c>
      <c r="G144" s="202">
        <f>G143</f>
        <v>200</v>
      </c>
      <c r="H144" s="203">
        <f t="shared" si="29"/>
        <v>0.8</v>
      </c>
      <c r="I144" s="204">
        <f t="shared" si="30"/>
        <v>160</v>
      </c>
      <c r="J144" s="219">
        <f t="shared" si="28"/>
        <v>200</v>
      </c>
      <c r="K144" s="205"/>
    </row>
    <row r="145" spans="2:11" x14ac:dyDescent="0.3">
      <c r="B145" s="197"/>
      <c r="C145" s="198"/>
      <c r="D145" s="199" t="s">
        <v>153</v>
      </c>
      <c r="E145" s="200" t="s">
        <v>154</v>
      </c>
      <c r="F145" s="201">
        <v>1250</v>
      </c>
      <c r="G145" s="202">
        <v>3</v>
      </c>
      <c r="H145" s="203">
        <f t="shared" si="29"/>
        <v>0.8</v>
      </c>
      <c r="I145" s="204">
        <f t="shared" si="30"/>
        <v>3000</v>
      </c>
      <c r="J145" s="219">
        <f t="shared" si="28"/>
        <v>3750</v>
      </c>
      <c r="K145" s="205"/>
    </row>
    <row r="146" spans="2:11" ht="15" thickBot="1" x14ac:dyDescent="0.35">
      <c r="B146" s="197"/>
      <c r="C146" s="198"/>
      <c r="D146" s="199"/>
      <c r="E146" s="200"/>
      <c r="F146" s="201"/>
      <c r="G146" s="202"/>
      <c r="H146" s="203"/>
      <c r="I146" s="204"/>
      <c r="J146" s="199"/>
      <c r="K146" s="205"/>
    </row>
    <row r="147" spans="2:11" ht="19.2" thickTop="1" thickBot="1" x14ac:dyDescent="0.4">
      <c r="B147" s="206"/>
      <c r="C147" s="207"/>
      <c r="D147" s="180" t="s">
        <v>173</v>
      </c>
      <c r="E147" s="180"/>
      <c r="F147" s="208"/>
      <c r="G147" s="180"/>
      <c r="H147" s="209"/>
      <c r="I147" s="210">
        <f>SUM(I148:I157)</f>
        <v>4590</v>
      </c>
      <c r="J147" s="210">
        <f>SUM(J148:J157)</f>
        <v>22950</v>
      </c>
      <c r="K147" s="183"/>
    </row>
    <row r="148" spans="2:11" ht="15" thickTop="1" x14ac:dyDescent="0.3">
      <c r="B148" s="197"/>
      <c r="C148" s="198"/>
      <c r="D148" s="199"/>
      <c r="E148" s="199"/>
      <c r="F148" s="200"/>
      <c r="G148" s="199"/>
      <c r="H148" s="202"/>
      <c r="I148" s="198"/>
      <c r="J148" s="199"/>
      <c r="K148" s="205"/>
    </row>
    <row r="149" spans="2:11" x14ac:dyDescent="0.3">
      <c r="B149" s="197"/>
      <c r="C149" s="198"/>
      <c r="D149" s="199" t="s">
        <v>188</v>
      </c>
      <c r="E149" s="200" t="s">
        <v>154</v>
      </c>
      <c r="F149" s="201">
        <f>I109</f>
        <v>4030</v>
      </c>
      <c r="G149" s="202">
        <v>1</v>
      </c>
      <c r="H149" s="203">
        <v>0.2</v>
      </c>
      <c r="I149" s="204">
        <f>F149*G149*IF(H149&lt;&gt;0,H149,1)</f>
        <v>806</v>
      </c>
      <c r="J149" s="219">
        <f t="shared" ref="J149:J156" si="32">F149*G149</f>
        <v>4030</v>
      </c>
      <c r="K149" s="205"/>
    </row>
    <row r="150" spans="2:11" x14ac:dyDescent="0.3">
      <c r="B150" s="197"/>
      <c r="C150" s="198"/>
      <c r="D150" s="199" t="s">
        <v>174</v>
      </c>
      <c r="E150" s="200" t="s">
        <v>192</v>
      </c>
      <c r="F150" s="201">
        <f>455*14</f>
        <v>6370</v>
      </c>
      <c r="G150" s="202">
        <v>1</v>
      </c>
      <c r="H150" s="203">
        <f>H149</f>
        <v>0.2</v>
      </c>
      <c r="I150" s="204">
        <f>F150*G150*IF(H150&lt;&gt;0,H150,1)</f>
        <v>1274</v>
      </c>
      <c r="J150" s="219">
        <f t="shared" si="32"/>
        <v>6370</v>
      </c>
      <c r="K150" s="205"/>
    </row>
    <row r="151" spans="2:11" x14ac:dyDescent="0.3">
      <c r="B151" s="197"/>
      <c r="C151" s="198"/>
      <c r="D151" s="199" t="s">
        <v>193</v>
      </c>
      <c r="E151" s="200" t="s">
        <v>145</v>
      </c>
      <c r="F151" s="201">
        <v>200</v>
      </c>
      <c r="G151" s="202">
        <v>8</v>
      </c>
      <c r="H151" s="203">
        <f t="shared" ref="H151:H156" si="33">H150</f>
        <v>0.2</v>
      </c>
      <c r="I151" s="204">
        <f t="shared" ref="I151:I152" si="34">F151*G151*IF(H151&lt;&gt;0,H151,1)</f>
        <v>320</v>
      </c>
      <c r="J151" s="219">
        <f t="shared" si="32"/>
        <v>1600</v>
      </c>
      <c r="K151" s="205"/>
    </row>
    <row r="152" spans="2:11" x14ac:dyDescent="0.3">
      <c r="B152" s="197"/>
      <c r="C152" s="198"/>
      <c r="D152" s="199" t="s">
        <v>194</v>
      </c>
      <c r="E152" s="200" t="s">
        <v>154</v>
      </c>
      <c r="F152" s="201">
        <v>1000</v>
      </c>
      <c r="G152" s="202">
        <v>1</v>
      </c>
      <c r="H152" s="203">
        <f t="shared" si="33"/>
        <v>0.2</v>
      </c>
      <c r="I152" s="204">
        <f t="shared" si="34"/>
        <v>200</v>
      </c>
      <c r="J152" s="219">
        <f t="shared" si="32"/>
        <v>1000</v>
      </c>
      <c r="K152" s="205"/>
    </row>
    <row r="153" spans="2:11" x14ac:dyDescent="0.3">
      <c r="B153" s="197"/>
      <c r="C153" s="198"/>
      <c r="D153" s="199" t="s">
        <v>175</v>
      </c>
      <c r="E153" s="200" t="s">
        <v>154</v>
      </c>
      <c r="F153" s="201">
        <v>5000</v>
      </c>
      <c r="G153" s="202">
        <v>1</v>
      </c>
      <c r="H153" s="203">
        <f t="shared" si="33"/>
        <v>0.2</v>
      </c>
      <c r="I153" s="204">
        <f t="shared" ref="I153:I156" si="35">F153*G153*IF(H153&lt;&gt;0,H153,1)</f>
        <v>1000</v>
      </c>
      <c r="J153" s="219">
        <f t="shared" si="32"/>
        <v>5000</v>
      </c>
      <c r="K153" s="205"/>
    </row>
    <row r="154" spans="2:11" x14ac:dyDescent="0.3">
      <c r="B154" s="197"/>
      <c r="C154" s="198"/>
      <c r="D154" s="199" t="s">
        <v>69</v>
      </c>
      <c r="E154" s="200" t="s">
        <v>172</v>
      </c>
      <c r="F154" s="201">
        <v>1700</v>
      </c>
      <c r="G154" s="202">
        <v>1</v>
      </c>
      <c r="H154" s="203">
        <f t="shared" si="33"/>
        <v>0.2</v>
      </c>
      <c r="I154" s="204">
        <f t="shared" si="35"/>
        <v>340</v>
      </c>
      <c r="J154" s="219">
        <f t="shared" si="32"/>
        <v>1700</v>
      </c>
      <c r="K154" s="205"/>
    </row>
    <row r="155" spans="2:11" x14ac:dyDescent="0.3">
      <c r="B155" s="197"/>
      <c r="C155" s="198"/>
      <c r="D155" s="199" t="s">
        <v>168</v>
      </c>
      <c r="E155" s="200"/>
      <c r="F155" s="201">
        <v>2000</v>
      </c>
      <c r="G155" s="202">
        <v>1</v>
      </c>
      <c r="H155" s="203">
        <f t="shared" si="33"/>
        <v>0.2</v>
      </c>
      <c r="I155" s="204">
        <f t="shared" si="35"/>
        <v>400</v>
      </c>
      <c r="J155" s="219">
        <f t="shared" si="32"/>
        <v>2000</v>
      </c>
      <c r="K155" s="205"/>
    </row>
    <row r="156" spans="2:11" x14ac:dyDescent="0.3">
      <c r="B156" s="197"/>
      <c r="C156" s="198"/>
      <c r="D156" s="199" t="s">
        <v>153</v>
      </c>
      <c r="E156" s="200" t="s">
        <v>154</v>
      </c>
      <c r="F156" s="201">
        <v>1250</v>
      </c>
      <c r="G156" s="202">
        <v>1</v>
      </c>
      <c r="H156" s="203">
        <f t="shared" si="33"/>
        <v>0.2</v>
      </c>
      <c r="I156" s="204">
        <f t="shared" si="35"/>
        <v>250</v>
      </c>
      <c r="J156" s="219">
        <f t="shared" si="32"/>
        <v>1250</v>
      </c>
      <c r="K156" s="205"/>
    </row>
    <row r="157" spans="2:11" ht="15" thickBot="1" x14ac:dyDescent="0.35">
      <c r="B157" s="197"/>
      <c r="C157" s="198"/>
      <c r="D157" s="199"/>
      <c r="E157" s="200"/>
      <c r="F157" s="201"/>
      <c r="G157" s="202"/>
      <c r="H157" s="203"/>
      <c r="I157" s="204"/>
      <c r="J157" s="199"/>
      <c r="K157" s="205"/>
    </row>
    <row r="158" spans="2:11" ht="19.2" thickTop="1" thickBot="1" x14ac:dyDescent="0.4">
      <c r="B158" s="206"/>
      <c r="C158" s="207"/>
      <c r="D158" s="180" t="s">
        <v>176</v>
      </c>
      <c r="E158" s="180"/>
      <c r="F158" s="208"/>
      <c r="G158" s="180"/>
      <c r="H158" s="209"/>
      <c r="I158" s="210">
        <f>SUM(I159:I168)</f>
        <v>6690</v>
      </c>
      <c r="J158" s="210">
        <f>SUM(J159:J168)</f>
        <v>66900</v>
      </c>
      <c r="K158" s="183"/>
    </row>
    <row r="159" spans="2:11" ht="15" thickTop="1" x14ac:dyDescent="0.3">
      <c r="B159" s="197"/>
      <c r="C159" s="198"/>
      <c r="D159" s="199"/>
      <c r="E159" s="199"/>
      <c r="F159" s="200"/>
      <c r="G159" s="199"/>
      <c r="H159" s="202"/>
      <c r="I159" s="198"/>
      <c r="J159" s="199"/>
      <c r="K159" s="205"/>
    </row>
    <row r="160" spans="2:11" x14ac:dyDescent="0.3">
      <c r="B160" s="197"/>
      <c r="C160" s="198"/>
      <c r="D160" s="199" t="s">
        <v>188</v>
      </c>
      <c r="E160" s="200" t="s">
        <v>154</v>
      </c>
      <c r="F160" s="201">
        <f>I109</f>
        <v>4030</v>
      </c>
      <c r="G160" s="202">
        <v>2</v>
      </c>
      <c r="H160" s="203">
        <f>H156*0.5</f>
        <v>0.1</v>
      </c>
      <c r="I160" s="204">
        <f>F160*G160*IF(H160&lt;&gt;0,H160,1)</f>
        <v>806</v>
      </c>
      <c r="J160" s="219">
        <f t="shared" ref="J160:J167" si="36">F160*G160</f>
        <v>8060</v>
      </c>
      <c r="K160" s="205"/>
    </row>
    <row r="161" spans="2:11" x14ac:dyDescent="0.3">
      <c r="B161" s="197"/>
      <c r="C161" s="198"/>
      <c r="D161" s="199" t="s">
        <v>174</v>
      </c>
      <c r="E161" s="200" t="s">
        <v>192</v>
      </c>
      <c r="F161" s="201">
        <f>F150</f>
        <v>6370</v>
      </c>
      <c r="G161" s="202">
        <v>2</v>
      </c>
      <c r="H161" s="203">
        <f>H160</f>
        <v>0.1</v>
      </c>
      <c r="I161" s="204">
        <f>F161*G161*IF(H161&lt;&gt;0,H161,1)</f>
        <v>1274</v>
      </c>
      <c r="J161" s="219">
        <f t="shared" si="36"/>
        <v>12740</v>
      </c>
      <c r="K161" s="205"/>
    </row>
    <row r="162" spans="2:11" x14ac:dyDescent="0.3">
      <c r="B162" s="197"/>
      <c r="C162" s="198"/>
      <c r="D162" s="199" t="s">
        <v>193</v>
      </c>
      <c r="E162" s="200" t="s">
        <v>145</v>
      </c>
      <c r="F162" s="201">
        <v>200</v>
      </c>
      <c r="G162" s="202">
        <v>3</v>
      </c>
      <c r="H162" s="203">
        <f t="shared" ref="H162:H167" si="37">H161</f>
        <v>0.1</v>
      </c>
      <c r="I162" s="204">
        <f t="shared" ref="I162:I163" si="38">F162*G162*IF(H162&lt;&gt;0,H162,1)</f>
        <v>60</v>
      </c>
      <c r="J162" s="219">
        <f t="shared" si="36"/>
        <v>600</v>
      </c>
      <c r="K162" s="205"/>
    </row>
    <row r="163" spans="2:11" x14ac:dyDescent="0.3">
      <c r="B163" s="197"/>
      <c r="C163" s="198"/>
      <c r="D163" s="199" t="s">
        <v>194</v>
      </c>
      <c r="E163" s="200" t="s">
        <v>154</v>
      </c>
      <c r="F163" s="201">
        <v>1000</v>
      </c>
      <c r="G163" s="202">
        <v>2</v>
      </c>
      <c r="H163" s="203">
        <f t="shared" si="37"/>
        <v>0.1</v>
      </c>
      <c r="I163" s="204">
        <f t="shared" si="38"/>
        <v>200</v>
      </c>
      <c r="J163" s="219">
        <f t="shared" si="36"/>
        <v>2000</v>
      </c>
      <c r="K163" s="205"/>
    </row>
    <row r="164" spans="2:11" x14ac:dyDescent="0.3">
      <c r="B164" s="197"/>
      <c r="C164" s="198"/>
      <c r="D164" s="199" t="s">
        <v>175</v>
      </c>
      <c r="E164" s="200" t="s">
        <v>154</v>
      </c>
      <c r="F164" s="201">
        <v>5000</v>
      </c>
      <c r="G164" s="202">
        <v>2</v>
      </c>
      <c r="H164" s="203">
        <f t="shared" si="37"/>
        <v>0.1</v>
      </c>
      <c r="I164" s="204">
        <f t="shared" ref="I164" si="39">F164*G164*IF(H164&lt;&gt;0,H164,1)</f>
        <v>1000</v>
      </c>
      <c r="J164" s="219">
        <f t="shared" si="36"/>
        <v>10000</v>
      </c>
      <c r="K164" s="205"/>
    </row>
    <row r="165" spans="2:11" x14ac:dyDescent="0.3">
      <c r="B165" s="197"/>
      <c r="C165" s="198"/>
      <c r="D165" s="199" t="s">
        <v>196</v>
      </c>
      <c r="E165" s="200" t="s">
        <v>154</v>
      </c>
      <c r="F165" s="201">
        <v>15000</v>
      </c>
      <c r="G165" s="202">
        <v>2</v>
      </c>
      <c r="H165" s="203">
        <f t="shared" si="37"/>
        <v>0.1</v>
      </c>
      <c r="I165" s="204">
        <f t="shared" si="30"/>
        <v>3000</v>
      </c>
      <c r="J165" s="219">
        <f t="shared" si="36"/>
        <v>30000</v>
      </c>
      <c r="K165" s="205"/>
    </row>
    <row r="166" spans="2:11" x14ac:dyDescent="0.3">
      <c r="B166" s="197"/>
      <c r="C166" s="198"/>
      <c r="D166" s="199" t="s">
        <v>177</v>
      </c>
      <c r="E166" s="200" t="s">
        <v>179</v>
      </c>
      <c r="F166" s="201">
        <f>2500/15000</f>
        <v>0.16666666666666666</v>
      </c>
      <c r="G166" s="202">
        <v>6000</v>
      </c>
      <c r="H166" s="203">
        <f t="shared" si="37"/>
        <v>0.1</v>
      </c>
      <c r="I166" s="204">
        <f t="shared" si="30"/>
        <v>100</v>
      </c>
      <c r="J166" s="219">
        <f t="shared" si="36"/>
        <v>1000</v>
      </c>
      <c r="K166" s="205"/>
    </row>
    <row r="167" spans="2:11" x14ac:dyDescent="0.3">
      <c r="B167" s="197"/>
      <c r="C167" s="198"/>
      <c r="D167" s="199" t="s">
        <v>153</v>
      </c>
      <c r="E167" s="200" t="s">
        <v>154</v>
      </c>
      <c r="F167" s="201">
        <v>1250</v>
      </c>
      <c r="G167" s="202">
        <v>2</v>
      </c>
      <c r="H167" s="203">
        <f t="shared" si="37"/>
        <v>0.1</v>
      </c>
      <c r="I167" s="204">
        <f t="shared" si="30"/>
        <v>250</v>
      </c>
      <c r="J167" s="219">
        <f t="shared" si="36"/>
        <v>2500</v>
      </c>
      <c r="K167" s="205"/>
    </row>
    <row r="168" spans="2:11" ht="15" thickBot="1" x14ac:dyDescent="0.35">
      <c r="B168" s="197"/>
      <c r="C168" s="198"/>
      <c r="D168" s="199"/>
      <c r="E168" s="200"/>
      <c r="F168" s="201"/>
      <c r="G168" s="202"/>
      <c r="H168" s="203"/>
      <c r="I168" s="204"/>
      <c r="J168" s="199"/>
      <c r="K168" s="205"/>
    </row>
    <row r="169" spans="2:11" ht="19.2" thickTop="1" thickBot="1" x14ac:dyDescent="0.4">
      <c r="B169" s="206"/>
      <c r="C169" s="207"/>
      <c r="D169" s="180" t="s">
        <v>216</v>
      </c>
      <c r="E169" s="180"/>
      <c r="F169" s="208"/>
      <c r="G169" s="180"/>
      <c r="H169" s="209"/>
      <c r="I169" s="210">
        <f>SUM(I170:I179)</f>
        <v>64290</v>
      </c>
      <c r="J169" s="210">
        <f>SUM(J170:J179)</f>
        <v>118580</v>
      </c>
      <c r="K169" s="183"/>
    </row>
    <row r="170" spans="2:11" ht="15" thickTop="1" x14ac:dyDescent="0.3">
      <c r="B170" s="197"/>
      <c r="C170" s="198"/>
      <c r="D170" s="199"/>
      <c r="E170" s="199"/>
      <c r="F170" s="200"/>
      <c r="G170" s="199"/>
      <c r="H170" s="202"/>
      <c r="I170" s="198"/>
      <c r="J170" s="199"/>
      <c r="K170" s="205"/>
    </row>
    <row r="171" spans="2:11" x14ac:dyDescent="0.3">
      <c r="B171" s="197"/>
      <c r="C171" s="198"/>
      <c r="D171" s="199" t="s">
        <v>188</v>
      </c>
      <c r="E171" s="200" t="s">
        <v>154</v>
      </c>
      <c r="F171" s="201">
        <f>I109</f>
        <v>4030</v>
      </c>
      <c r="G171" s="202">
        <v>1</v>
      </c>
      <c r="H171" s="203">
        <v>0.5</v>
      </c>
      <c r="I171" s="204">
        <f>F171*G171*IF(H171&lt;&gt;0,H171,1)</f>
        <v>2015</v>
      </c>
      <c r="J171" s="219">
        <f t="shared" ref="J171:J179" si="40">F171*G171</f>
        <v>4030</v>
      </c>
      <c r="K171" s="205"/>
    </row>
    <row r="172" spans="2:11" x14ac:dyDescent="0.3">
      <c r="B172" s="197"/>
      <c r="C172" s="198"/>
      <c r="D172" s="199" t="s">
        <v>219</v>
      </c>
      <c r="E172" s="200"/>
      <c r="F172" s="201">
        <v>20000</v>
      </c>
      <c r="G172" s="202">
        <v>1</v>
      </c>
      <c r="H172" s="203">
        <v>0.75</v>
      </c>
      <c r="I172" s="204">
        <f>F172*G172*IF(H172&lt;&gt;0,H172,1)</f>
        <v>15000</v>
      </c>
      <c r="J172" s="219">
        <f t="shared" si="40"/>
        <v>20000</v>
      </c>
      <c r="K172" s="205"/>
    </row>
    <row r="173" spans="2:11" x14ac:dyDescent="0.3">
      <c r="B173" s="197"/>
      <c r="C173" s="198"/>
      <c r="D173" s="199" t="s">
        <v>174</v>
      </c>
      <c r="E173" s="200" t="s">
        <v>154</v>
      </c>
      <c r="F173" s="201">
        <f>F162</f>
        <v>200</v>
      </c>
      <c r="G173" s="202">
        <v>1</v>
      </c>
      <c r="H173" s="203">
        <f>H171</f>
        <v>0.5</v>
      </c>
      <c r="I173" s="204">
        <f>F173*G173*IF(H173&lt;&gt;0,H173,1)</f>
        <v>100</v>
      </c>
      <c r="J173" s="219">
        <f t="shared" ref="J173" si="41">F173*G173</f>
        <v>200</v>
      </c>
      <c r="K173" s="205"/>
    </row>
    <row r="174" spans="2:11" x14ac:dyDescent="0.3">
      <c r="B174" s="197"/>
      <c r="C174" s="198"/>
      <c r="D174" s="199" t="s">
        <v>193</v>
      </c>
      <c r="E174" s="200" t="s">
        <v>145</v>
      </c>
      <c r="F174" s="201">
        <v>200</v>
      </c>
      <c r="G174" s="202">
        <v>3</v>
      </c>
      <c r="H174" s="203">
        <f>H173</f>
        <v>0.5</v>
      </c>
      <c r="I174" s="204">
        <f t="shared" ref="I174:I175" si="42">F174*G174*IF(H174&lt;&gt;0,H174,1)</f>
        <v>300</v>
      </c>
      <c r="J174" s="219">
        <f t="shared" si="40"/>
        <v>600</v>
      </c>
      <c r="K174" s="205"/>
    </row>
    <row r="175" spans="2:11" x14ac:dyDescent="0.3">
      <c r="B175" s="197"/>
      <c r="C175" s="198"/>
      <c r="D175" s="199" t="s">
        <v>194</v>
      </c>
      <c r="E175" s="200" t="s">
        <v>154</v>
      </c>
      <c r="F175" s="201">
        <v>1000</v>
      </c>
      <c r="G175" s="202">
        <v>1</v>
      </c>
      <c r="H175" s="203">
        <f t="shared" ref="H175:H179" si="43">H174</f>
        <v>0.5</v>
      </c>
      <c r="I175" s="204">
        <f t="shared" si="42"/>
        <v>500</v>
      </c>
      <c r="J175" s="219">
        <f t="shared" si="40"/>
        <v>1000</v>
      </c>
      <c r="K175" s="205"/>
    </row>
    <row r="176" spans="2:11" x14ac:dyDescent="0.3">
      <c r="B176" s="197"/>
      <c r="C176" s="198"/>
      <c r="D176" s="199" t="s">
        <v>175</v>
      </c>
      <c r="E176" s="200" t="s">
        <v>154</v>
      </c>
      <c r="F176" s="201">
        <v>5000</v>
      </c>
      <c r="G176" s="202">
        <v>1</v>
      </c>
      <c r="H176" s="203">
        <f t="shared" si="43"/>
        <v>0.5</v>
      </c>
      <c r="I176" s="204">
        <f t="shared" ref="I176:I179" si="44">F176*G176*IF(H176&lt;&gt;0,H176,1)</f>
        <v>2500</v>
      </c>
      <c r="J176" s="219">
        <f t="shared" si="40"/>
        <v>5000</v>
      </c>
      <c r="K176" s="205"/>
    </row>
    <row r="177" spans="2:11" x14ac:dyDescent="0.3">
      <c r="B177" s="197"/>
      <c r="C177" s="198"/>
      <c r="D177" s="199" t="s">
        <v>217</v>
      </c>
      <c r="E177" s="200" t="s">
        <v>178</v>
      </c>
      <c r="F177" s="201">
        <v>19</v>
      </c>
      <c r="G177" s="202">
        <v>3500</v>
      </c>
      <c r="H177" s="203">
        <f t="shared" si="43"/>
        <v>0.5</v>
      </c>
      <c r="I177" s="204">
        <f t="shared" si="44"/>
        <v>33250</v>
      </c>
      <c r="J177" s="219">
        <f t="shared" si="40"/>
        <v>66500</v>
      </c>
      <c r="K177" s="205"/>
    </row>
    <row r="178" spans="2:11" x14ac:dyDescent="0.3">
      <c r="B178" s="197"/>
      <c r="C178" s="198"/>
      <c r="D178" s="199" t="s">
        <v>48</v>
      </c>
      <c r="E178" s="200"/>
      <c r="F178" s="201">
        <v>20000</v>
      </c>
      <c r="G178" s="202">
        <v>1</v>
      </c>
      <c r="H178" s="203">
        <f t="shared" si="43"/>
        <v>0.5</v>
      </c>
      <c r="I178" s="204">
        <f t="shared" si="44"/>
        <v>10000</v>
      </c>
      <c r="J178" s="219">
        <f t="shared" si="40"/>
        <v>20000</v>
      </c>
      <c r="K178" s="205"/>
    </row>
    <row r="179" spans="2:11" x14ac:dyDescent="0.3">
      <c r="B179" s="197"/>
      <c r="C179" s="198"/>
      <c r="D179" s="199" t="s">
        <v>153</v>
      </c>
      <c r="E179" s="200" t="s">
        <v>154</v>
      </c>
      <c r="F179" s="201">
        <v>1250</v>
      </c>
      <c r="G179" s="202">
        <v>1</v>
      </c>
      <c r="H179" s="203">
        <f t="shared" si="43"/>
        <v>0.5</v>
      </c>
      <c r="I179" s="204">
        <f t="shared" si="44"/>
        <v>625</v>
      </c>
      <c r="J179" s="219">
        <f t="shared" si="40"/>
        <v>1250</v>
      </c>
      <c r="K179" s="205"/>
    </row>
    <row r="180" spans="2:11" ht="15" thickBot="1" x14ac:dyDescent="0.35">
      <c r="B180" s="211"/>
      <c r="C180" s="212"/>
      <c r="D180" s="213"/>
      <c r="E180" s="214"/>
      <c r="F180" s="215"/>
      <c r="G180" s="216"/>
      <c r="H180" s="217"/>
      <c r="I180" s="221"/>
      <c r="J180" s="222"/>
      <c r="K180" s="218"/>
    </row>
    <row r="181" spans="2:11" ht="15" thickTop="1" x14ac:dyDescent="0.3">
      <c r="E181" s="141"/>
      <c r="F181" s="174"/>
      <c r="G181" s="162"/>
      <c r="H181" s="187"/>
      <c r="I181" s="175"/>
    </row>
    <row r="184" spans="2:11" x14ac:dyDescent="0.3">
      <c r="E184" s="141"/>
      <c r="G184" s="174"/>
      <c r="I184" s="175"/>
    </row>
    <row r="185" spans="2:11" x14ac:dyDescent="0.3">
      <c r="E185" s="141"/>
      <c r="G185" s="174"/>
      <c r="I185" s="175"/>
    </row>
    <row r="186" spans="2:11" x14ac:dyDescent="0.3">
      <c r="E186" s="141"/>
      <c r="G186" s="174"/>
      <c r="I186" s="175"/>
    </row>
    <row r="187" spans="2:11" x14ac:dyDescent="0.3">
      <c r="E187" s="141"/>
      <c r="G187" s="174"/>
      <c r="I187" s="175"/>
    </row>
    <row r="188" spans="2:11" x14ac:dyDescent="0.3">
      <c r="E188" s="141"/>
      <c r="G188" s="174"/>
      <c r="I188" s="175"/>
    </row>
    <row r="189" spans="2:11" x14ac:dyDescent="0.3">
      <c r="E189" s="141"/>
      <c r="G189" s="174"/>
      <c r="I189" s="175"/>
    </row>
    <row r="190" spans="2:11" x14ac:dyDescent="0.3">
      <c r="E190" s="141"/>
      <c r="G190" s="174"/>
      <c r="I190" s="175"/>
    </row>
    <row r="191" spans="2:11" x14ac:dyDescent="0.3">
      <c r="E191" s="141"/>
      <c r="G191" s="174"/>
      <c r="I191" s="175"/>
    </row>
    <row r="192" spans="2:11" x14ac:dyDescent="0.3">
      <c r="E192" s="141"/>
      <c r="G192" s="174"/>
      <c r="I192" s="175"/>
    </row>
    <row r="193" spans="5:9" x14ac:dyDescent="0.3">
      <c r="E193" s="141"/>
      <c r="G193" s="174"/>
      <c r="I193" s="175"/>
    </row>
    <row r="194" spans="5:9" x14ac:dyDescent="0.3">
      <c r="E194" s="141"/>
      <c r="G194" s="174"/>
      <c r="I194" s="175"/>
    </row>
    <row r="195" spans="5:9" x14ac:dyDescent="0.3">
      <c r="E195" s="141"/>
      <c r="G195" s="174"/>
      <c r="I195" s="175"/>
    </row>
    <row r="196" spans="5:9" x14ac:dyDescent="0.3">
      <c r="E196" s="141"/>
      <c r="G196" s="174"/>
      <c r="I196" s="175"/>
    </row>
    <row r="197" spans="5:9" x14ac:dyDescent="0.3">
      <c r="G197" s="174"/>
      <c r="I197" s="175"/>
    </row>
    <row r="198" spans="5:9" x14ac:dyDescent="0.3">
      <c r="G198" s="174"/>
      <c r="I198" s="175"/>
    </row>
    <row r="199" spans="5:9" x14ac:dyDescent="0.3">
      <c r="G199" s="174"/>
      <c r="I199" s="175"/>
    </row>
    <row r="200" spans="5:9" x14ac:dyDescent="0.3">
      <c r="G200" s="174"/>
      <c r="I200" s="175"/>
    </row>
    <row r="201" spans="5:9" x14ac:dyDescent="0.3">
      <c r="G201" s="174"/>
      <c r="I201" s="175"/>
    </row>
    <row r="202" spans="5:9" x14ac:dyDescent="0.3">
      <c r="G202" s="174"/>
      <c r="I202" s="175"/>
    </row>
    <row r="203" spans="5:9" x14ac:dyDescent="0.3">
      <c r="G203" s="174"/>
      <c r="I203" s="175"/>
    </row>
    <row r="204" spans="5:9" x14ac:dyDescent="0.3">
      <c r="G204" s="174"/>
      <c r="I204" s="175"/>
    </row>
    <row r="205" spans="5:9" x14ac:dyDescent="0.3">
      <c r="G205" s="174"/>
      <c r="I205" s="175"/>
    </row>
    <row r="206" spans="5:9" x14ac:dyDescent="0.3">
      <c r="G206" s="174"/>
      <c r="I206" s="175"/>
    </row>
    <row r="207" spans="5:9" x14ac:dyDescent="0.3">
      <c r="G207" s="174"/>
      <c r="I207" s="175"/>
    </row>
    <row r="208" spans="5:9" x14ac:dyDescent="0.3">
      <c r="G208" s="174"/>
      <c r="I208" s="175"/>
    </row>
    <row r="209" spans="7:9" x14ac:dyDescent="0.3">
      <c r="G209" s="174"/>
      <c r="I209" s="175"/>
    </row>
    <row r="210" spans="7:9" x14ac:dyDescent="0.3">
      <c r="G210" s="174"/>
      <c r="I210" s="175"/>
    </row>
    <row r="211" spans="7:9" x14ac:dyDescent="0.3">
      <c r="G211" s="174"/>
      <c r="I211" s="175"/>
    </row>
    <row r="212" spans="7:9" x14ac:dyDescent="0.3">
      <c r="G212" s="174"/>
      <c r="I212" s="175"/>
    </row>
    <row r="213" spans="7:9" x14ac:dyDescent="0.3">
      <c r="G213" s="174"/>
      <c r="I213" s="175"/>
    </row>
    <row r="214" spans="7:9" x14ac:dyDescent="0.3">
      <c r="G214" s="174"/>
      <c r="I214" s="175"/>
    </row>
    <row r="215" spans="7:9" x14ac:dyDescent="0.3">
      <c r="G215" s="174"/>
      <c r="I215" s="175"/>
    </row>
    <row r="216" spans="7:9" x14ac:dyDescent="0.3">
      <c r="G216" s="174"/>
      <c r="I216" s="175"/>
    </row>
    <row r="217" spans="7:9" x14ac:dyDescent="0.3">
      <c r="G217" s="174"/>
      <c r="I217" s="175"/>
    </row>
    <row r="218" spans="7:9" x14ac:dyDescent="0.3">
      <c r="G218" s="174"/>
      <c r="I218" s="175"/>
    </row>
    <row r="219" spans="7:9" x14ac:dyDescent="0.3">
      <c r="G219" s="174"/>
      <c r="I219" s="175"/>
    </row>
    <row r="220" spans="7:9" x14ac:dyDescent="0.3">
      <c r="G220" s="174"/>
      <c r="I220" s="175"/>
    </row>
    <row r="221" spans="7:9" x14ac:dyDescent="0.3">
      <c r="G221" s="174"/>
      <c r="I221" s="175"/>
    </row>
    <row r="222" spans="7:9" x14ac:dyDescent="0.3">
      <c r="G222" s="174"/>
      <c r="I222" s="175"/>
    </row>
    <row r="223" spans="7:9" x14ac:dyDescent="0.3">
      <c r="G223" s="174"/>
      <c r="I223" s="175"/>
    </row>
    <row r="224" spans="7:9" x14ac:dyDescent="0.3">
      <c r="G224" s="174"/>
      <c r="I224" s="175"/>
    </row>
    <row r="225" spans="7:9" x14ac:dyDescent="0.3">
      <c r="G225" s="174"/>
      <c r="I225" s="175"/>
    </row>
    <row r="226" spans="7:9" x14ac:dyDescent="0.3">
      <c r="G226" s="174"/>
      <c r="I226" s="175"/>
    </row>
    <row r="227" spans="7:9" x14ac:dyDescent="0.3">
      <c r="G227" s="174"/>
      <c r="I227" s="175"/>
    </row>
    <row r="228" spans="7:9" x14ac:dyDescent="0.3">
      <c r="G228" s="174"/>
      <c r="I228" s="175"/>
    </row>
    <row r="229" spans="7:9" x14ac:dyDescent="0.3">
      <c r="G229" s="174"/>
      <c r="I229" s="175"/>
    </row>
    <row r="230" spans="7:9" x14ac:dyDescent="0.3">
      <c r="G230" s="174"/>
      <c r="I230" s="175"/>
    </row>
    <row r="231" spans="7:9" x14ac:dyDescent="0.3">
      <c r="G231" s="174"/>
      <c r="I231" s="175"/>
    </row>
    <row r="232" spans="7:9" x14ac:dyDescent="0.3">
      <c r="G232" s="174"/>
      <c r="I232" s="175"/>
    </row>
    <row r="233" spans="7:9" x14ac:dyDescent="0.3">
      <c r="G233" s="174"/>
      <c r="I233" s="175"/>
    </row>
    <row r="234" spans="7:9" x14ac:dyDescent="0.3">
      <c r="G234" s="174"/>
      <c r="I234" s="175"/>
    </row>
    <row r="235" spans="7:9" x14ac:dyDescent="0.3">
      <c r="G235" s="174"/>
      <c r="I235" s="175"/>
    </row>
    <row r="236" spans="7:9" x14ac:dyDescent="0.3">
      <c r="G236" s="174"/>
      <c r="I236" s="175"/>
    </row>
    <row r="237" spans="7:9" x14ac:dyDescent="0.3">
      <c r="G237" s="174"/>
      <c r="I237" s="175"/>
    </row>
    <row r="238" spans="7:9" x14ac:dyDescent="0.3">
      <c r="G238" s="174"/>
      <c r="I238" s="175"/>
    </row>
    <row r="239" spans="7:9" x14ac:dyDescent="0.3">
      <c r="G239" s="174"/>
      <c r="I239" s="175"/>
    </row>
    <row r="240" spans="7:9" x14ac:dyDescent="0.3">
      <c r="G240" s="174"/>
      <c r="I240" s="175"/>
    </row>
    <row r="241" spans="7:9" x14ac:dyDescent="0.3">
      <c r="G241" s="174"/>
      <c r="I241" s="175"/>
    </row>
    <row r="242" spans="7:9" x14ac:dyDescent="0.3">
      <c r="G242" s="174"/>
      <c r="I242" s="175"/>
    </row>
    <row r="243" spans="7:9" x14ac:dyDescent="0.3">
      <c r="G243" s="174"/>
    </row>
    <row r="244" spans="7:9" x14ac:dyDescent="0.3">
      <c r="G244" s="174"/>
    </row>
    <row r="245" spans="7:9" x14ac:dyDescent="0.3">
      <c r="G245" s="174"/>
    </row>
    <row r="246" spans="7:9" x14ac:dyDescent="0.3">
      <c r="G246" s="174"/>
    </row>
    <row r="247" spans="7:9" x14ac:dyDescent="0.3">
      <c r="G247" s="174"/>
    </row>
    <row r="248" spans="7:9" x14ac:dyDescent="0.3">
      <c r="G248" s="174"/>
    </row>
    <row r="249" spans="7:9" x14ac:dyDescent="0.3">
      <c r="G249" s="174"/>
    </row>
    <row r="250" spans="7:9" x14ac:dyDescent="0.3">
      <c r="G250" s="174"/>
    </row>
    <row r="251" spans="7:9" x14ac:dyDescent="0.3">
      <c r="G251" s="174"/>
    </row>
    <row r="252" spans="7:9" x14ac:dyDescent="0.3">
      <c r="G252" s="174"/>
    </row>
    <row r="253" spans="7:9" x14ac:dyDescent="0.3">
      <c r="G253" s="174"/>
    </row>
    <row r="254" spans="7:9" x14ac:dyDescent="0.3">
      <c r="G254" s="174"/>
    </row>
    <row r="255" spans="7:9" x14ac:dyDescent="0.3">
      <c r="G255" s="174"/>
    </row>
    <row r="256" spans="7:9" x14ac:dyDescent="0.3">
      <c r="G256" s="174"/>
    </row>
    <row r="257" spans="7:7" x14ac:dyDescent="0.3">
      <c r="G257" s="174"/>
    </row>
    <row r="258" spans="7:7" x14ac:dyDescent="0.3">
      <c r="G258" s="174"/>
    </row>
    <row r="259" spans="7:7" x14ac:dyDescent="0.3">
      <c r="G259" s="174"/>
    </row>
    <row r="260" spans="7:7" x14ac:dyDescent="0.3">
      <c r="G260" s="174"/>
    </row>
  </sheetData>
  <sortState xmlns:xlrd2="http://schemas.microsoft.com/office/spreadsheetml/2017/richdata2" ref="C171:H179">
    <sortCondition ref="C171:C179"/>
  </sortState>
  <mergeCells count="41">
    <mergeCell ref="E76:F76"/>
    <mergeCell ref="B13:K13"/>
    <mergeCell ref="M14:S14"/>
    <mergeCell ref="M16:S16"/>
    <mergeCell ref="M17:S17"/>
    <mergeCell ref="M18:S18"/>
    <mergeCell ref="M19:S19"/>
    <mergeCell ref="M21:S21"/>
    <mergeCell ref="M22:S22"/>
    <mergeCell ref="M23:S23"/>
    <mergeCell ref="M24:S24"/>
    <mergeCell ref="B75:K75"/>
    <mergeCell ref="B11:D11"/>
    <mergeCell ref="E11:F11"/>
    <mergeCell ref="G11:H11"/>
    <mergeCell ref="I11:K11"/>
    <mergeCell ref="B12:D12"/>
    <mergeCell ref="E12:F12"/>
    <mergeCell ref="G12:H12"/>
    <mergeCell ref="I12:K12"/>
    <mergeCell ref="B9:D9"/>
    <mergeCell ref="E9:F9"/>
    <mergeCell ref="G9:H9"/>
    <mergeCell ref="I9:K9"/>
    <mergeCell ref="B10:D10"/>
    <mergeCell ref="E10:F10"/>
    <mergeCell ref="G10:H10"/>
    <mergeCell ref="I10:K10"/>
    <mergeCell ref="B6:D6"/>
    <mergeCell ref="E6:H6"/>
    <mergeCell ref="B7:D7"/>
    <mergeCell ref="E7:H7"/>
    <mergeCell ref="B8:D8"/>
    <mergeCell ref="E8:H8"/>
    <mergeCell ref="B5:D5"/>
    <mergeCell ref="E5:H5"/>
    <mergeCell ref="B2:K2"/>
    <mergeCell ref="B3:D3"/>
    <mergeCell ref="E3:H3"/>
    <mergeCell ref="B4:D4"/>
    <mergeCell ref="E4:K4"/>
  </mergeCells>
  <conditionalFormatting sqref="K15 K20 K25 K32 K38 K42 K49 K59 K64 K72 K77 G12">
    <cfRule type="expression" dxfId="2" priority="3">
      <formula>G12=0</formula>
    </cfRule>
  </conditionalFormatting>
  <conditionalFormatting sqref="I12:K12">
    <cfRule type="expression" dxfId="1" priority="2">
      <formula>$G$12=0</formula>
    </cfRule>
  </conditionalFormatting>
  <conditionalFormatting sqref="K87">
    <cfRule type="expression" dxfId="0" priority="1">
      <formula>K87=0</formula>
    </cfRule>
  </conditionalFormatting>
  <dataValidations disablePrompts="1" count="1">
    <dataValidation type="list" allowBlank="1" showInputMessage="1" showErrorMessage="1" sqref="E22:E24" xr:uid="{2D024B03-7BAD-4CC6-87AF-E492E3CC04B3}">
      <formula1>"Daywork, Turnkey"</formula1>
    </dataValidation>
  </dataValidations>
  <printOptions horizontalCentered="1" verticalCentered="1"/>
  <pageMargins left="0.25" right="0.25" top="0.25" bottom="0.25" header="0" footer="0"/>
  <pageSetup scale="53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F52058490E64E874F64AF3A86EBA7" ma:contentTypeVersion="16" ma:contentTypeDescription="Create a new document." ma:contentTypeScope="" ma:versionID="08ca577ab31183b507441c53629978eb">
  <xsd:schema xmlns:xsd="http://www.w3.org/2001/XMLSchema" xmlns:xs="http://www.w3.org/2001/XMLSchema" xmlns:p="http://schemas.microsoft.com/office/2006/metadata/properties" xmlns:ns2="f5d1cfba-a72f-487e-9a94-7e7633315af1" xmlns:ns3="37f6cb9d-2bdd-491c-b95d-feb561dbaa82" targetNamespace="http://schemas.microsoft.com/office/2006/metadata/properties" ma:root="true" ma:fieldsID="f708442a295bddea84f7de15263e7b96" ns2:_="" ns3:_="">
    <xsd:import namespace="f5d1cfba-a72f-487e-9a94-7e7633315af1"/>
    <xsd:import namespace="37f6cb9d-2bdd-491c-b95d-feb561dba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d1cfba-a72f-487e-9a94-7e7633315a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afa0ced9-80b8-4ef5-b3ac-16e0cf3f0a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6cb9d-2bdd-491c-b95d-feb561dbaa8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878429e-d14a-439b-b001-081e8c31a142}" ma:internalName="TaxCatchAll" ma:showField="CatchAllData" ma:web="37f6cb9d-2bdd-491c-b95d-feb561dbaa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7f6cb9d-2bdd-491c-b95d-feb561dbaa82">
      <UserInfo>
        <DisplayName>Danny Rehg</DisplayName>
        <AccountId>12</AccountId>
        <AccountType/>
      </UserInfo>
      <UserInfo>
        <DisplayName>Sean Marshall</DisplayName>
        <AccountId>9</AccountId>
        <AccountType/>
      </UserInfo>
      <UserInfo>
        <DisplayName>Adam Bradley</DisplayName>
        <AccountId>32</AccountId>
        <AccountType/>
      </UserInfo>
      <UserInfo>
        <DisplayName>Bridget Silva</DisplayName>
        <AccountId>250</AccountId>
        <AccountType/>
      </UserInfo>
      <UserInfo>
        <DisplayName>Denise Knight</DisplayName>
        <AccountId>100</AccountId>
        <AccountType/>
      </UserInfo>
      <UserInfo>
        <DisplayName>Nick Cestari</DisplayName>
        <AccountId>594</AccountId>
        <AccountType/>
      </UserInfo>
    </SharedWithUsers>
    <lcf76f155ced4ddcb4097134ff3c332f xmlns="f5d1cfba-a72f-487e-9a94-7e7633315af1">
      <Terms xmlns="http://schemas.microsoft.com/office/infopath/2007/PartnerControls"/>
    </lcf76f155ced4ddcb4097134ff3c332f>
    <TaxCatchAll xmlns="37f6cb9d-2bdd-491c-b95d-feb561dbaa82" xsi:nil="true"/>
  </documentManagement>
</p:properties>
</file>

<file path=customXml/itemProps1.xml><?xml version="1.0" encoding="utf-8"?>
<ds:datastoreItem xmlns:ds="http://schemas.openxmlformats.org/officeDocument/2006/customXml" ds:itemID="{282FAAF3-DA72-4137-85C6-9C7EC027C0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F6658-F91C-41A4-9582-6ECC3092E9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d1cfba-a72f-487e-9a94-7e7633315af1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5FDB9-DD04-49E2-91B4-681826595126}">
  <ds:schemaRefs>
    <ds:schemaRef ds:uri="http://purl.org/dc/terms/"/>
    <ds:schemaRef ds:uri="37f6cb9d-2bdd-491c-b95d-feb561dbaa82"/>
    <ds:schemaRef ds:uri="http://schemas.microsoft.com/office/2006/documentManagement/types"/>
    <ds:schemaRef ds:uri="http://schemas.microsoft.com/office/infopath/2007/PartnerControls"/>
    <ds:schemaRef ds:uri="f5d1cfba-a72f-487e-9a94-7e7633315af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PDE</vt:lpstr>
      <vt:lpstr>Summary</vt:lpstr>
      <vt:lpstr>Workover</vt:lpstr>
      <vt:lpstr>Workover!Print_Area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JD Caron</cp:lastModifiedBy>
  <cp:revision/>
  <cp:lastPrinted>2023-01-31T20:51:21Z</cp:lastPrinted>
  <dcterms:created xsi:type="dcterms:W3CDTF">2021-07-23T23:54:38Z</dcterms:created>
  <dcterms:modified xsi:type="dcterms:W3CDTF">2023-03-10T22:18:06Z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0x010100B72F52058490E64E874F64AF3A86EBA7</vt:lpwstr>
  </property>
  <property fmtid="{D5CDD505-2E9C-101B-9397-08002B2CF9AE}" pid="3" name="MediaServiceImageTags">
    <vt:lpwstr/>
  </property>
</Properties>
</file>