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arn\Desktop\Spring 2019_Heat Transfer\SOFTWARE_TOOLS\"/>
    </mc:Choice>
  </mc:AlternateContent>
  <bookViews>
    <workbookView xWindow="0" yWindow="0" windowWidth="20490" windowHeight="7620"/>
  </bookViews>
  <sheets>
    <sheet name="Fluid Properties Calculator" sheetId="1" r:id="rId1"/>
    <sheet name="Extras" sheetId="2" r:id="rId2"/>
  </sheets>
  <calcPr calcId="162913"/>
</workbook>
</file>

<file path=xl/calcChain.xml><?xml version="1.0" encoding="utf-8"?>
<calcChain xmlns="http://schemas.openxmlformats.org/spreadsheetml/2006/main">
  <c r="C8" i="1" l="1"/>
  <c r="D8" i="1" l="1"/>
  <c r="C7" i="1"/>
  <c r="D7" i="1" s="1"/>
  <c r="G2" i="2" s="1"/>
  <c r="G22" i="2" l="1"/>
  <c r="C36" i="2" s="1"/>
  <c r="C25" i="2"/>
  <c r="C18" i="2"/>
  <c r="B15" i="2"/>
  <c r="C14" i="2"/>
  <c r="D13" i="2"/>
  <c r="E12" i="2"/>
  <c r="B10" i="2"/>
  <c r="C9" i="2"/>
  <c r="D8" i="2"/>
  <c r="E7" i="2"/>
  <c r="C5" i="2"/>
  <c r="D4" i="2"/>
  <c r="E3" i="2"/>
  <c r="B18" i="2"/>
  <c r="C17" i="2"/>
  <c r="D16" i="2"/>
  <c r="E15" i="2"/>
  <c r="B14" i="2"/>
  <c r="C13" i="2"/>
  <c r="D12" i="2"/>
  <c r="E10" i="2"/>
  <c r="B9" i="2"/>
  <c r="C8" i="2"/>
  <c r="D7" i="2"/>
  <c r="E6" i="2"/>
  <c r="B5" i="2"/>
  <c r="C4" i="2"/>
  <c r="D3" i="2"/>
  <c r="E18" i="2"/>
  <c r="C16" i="2"/>
  <c r="C7" i="2"/>
  <c r="B17" i="2"/>
  <c r="D15" i="2"/>
  <c r="E14" i="2"/>
  <c r="B13" i="2"/>
  <c r="C12" i="2"/>
  <c r="D10" i="2"/>
  <c r="E9" i="2"/>
  <c r="B8" i="2"/>
  <c r="D6" i="2"/>
  <c r="E5" i="2"/>
  <c r="B4" i="2"/>
  <c r="C3" i="2"/>
  <c r="B11" i="1" s="1"/>
  <c r="D18" i="2"/>
  <c r="E17" i="2"/>
  <c r="B16" i="2"/>
  <c r="C15" i="2"/>
  <c r="D14" i="2"/>
  <c r="E13" i="2"/>
  <c r="B12" i="2"/>
  <c r="C10" i="2"/>
  <c r="D9" i="2"/>
  <c r="E8" i="2"/>
  <c r="B7" i="2"/>
  <c r="C6" i="2"/>
  <c r="D5" i="2"/>
  <c r="E4" i="2"/>
  <c r="B12" i="1" l="1"/>
  <c r="E11" i="2"/>
  <c r="D11" i="2"/>
  <c r="B11" i="2"/>
  <c r="C11" i="2"/>
  <c r="E24" i="2"/>
  <c r="E32" i="2"/>
  <c r="E28" i="2"/>
  <c r="B35" i="2"/>
  <c r="D34" i="2"/>
  <c r="C27" i="2"/>
  <c r="B33" i="2"/>
  <c r="B25" i="2"/>
  <c r="B27" i="2"/>
  <c r="D33" i="2"/>
  <c r="D26" i="2"/>
  <c r="B29" i="2"/>
  <c r="D29" i="2"/>
  <c r="D37" i="2"/>
  <c r="B36" i="2"/>
  <c r="B37" i="2"/>
  <c r="F14" i="2"/>
  <c r="F18" i="2"/>
  <c r="D38" i="2"/>
  <c r="B24" i="2"/>
  <c r="D23" i="2"/>
  <c r="D31" i="2"/>
  <c r="C29" i="2"/>
  <c r="D25" i="2"/>
  <c r="F25" i="2" s="1"/>
  <c r="B31" i="2"/>
  <c r="E36" i="2"/>
  <c r="E29" i="2"/>
  <c r="B32" i="2"/>
  <c r="D27" i="2"/>
  <c r="D35" i="2"/>
  <c r="C26" i="2"/>
  <c r="C30" i="2"/>
  <c r="C34" i="2"/>
  <c r="C38" i="2"/>
  <c r="B28" i="2"/>
  <c r="C35" i="2"/>
  <c r="D30" i="2"/>
  <c r="E37" i="2"/>
  <c r="E26" i="2"/>
  <c r="E30" i="2"/>
  <c r="E34" i="2"/>
  <c r="E38" i="2"/>
  <c r="B6" i="2"/>
  <c r="F6" i="2" s="1"/>
  <c r="C33" i="2"/>
  <c r="C37" i="2"/>
  <c r="C23" i="2"/>
  <c r="C31" i="2"/>
  <c r="E25" i="2"/>
  <c r="E33" i="2"/>
  <c r="C24" i="2"/>
  <c r="C28" i="2"/>
  <c r="C32" i="2"/>
  <c r="B3" i="2"/>
  <c r="F3" i="2" s="1"/>
  <c r="D17" i="2"/>
  <c r="F17" i="2" s="1"/>
  <c r="E16" i="2"/>
  <c r="B23" i="2"/>
  <c r="E27" i="2"/>
  <c r="D32" i="2"/>
  <c r="B38" i="2"/>
  <c r="E23" i="2"/>
  <c r="D28" i="2"/>
  <c r="B34" i="2"/>
  <c r="E31" i="2"/>
  <c r="D36" i="2"/>
  <c r="D24" i="2"/>
  <c r="B30" i="2"/>
  <c r="E35" i="2"/>
  <c r="B26" i="2"/>
  <c r="F5" i="2"/>
  <c r="F9" i="2"/>
  <c r="F7" i="2"/>
  <c r="F12" i="2"/>
  <c r="F16" i="2"/>
  <c r="F4" i="2"/>
  <c r="F8" i="2"/>
  <c r="F13" i="2"/>
  <c r="F10" i="2"/>
  <c r="F15" i="2"/>
  <c r="B13" i="1"/>
  <c r="B9" i="1" s="1"/>
  <c r="F27" i="2" l="1"/>
  <c r="F31" i="2"/>
  <c r="F35" i="2"/>
  <c r="F11" i="2"/>
  <c r="F33" i="2"/>
  <c r="F38" i="2"/>
  <c r="F32" i="2"/>
  <c r="F29" i="2"/>
  <c r="F23" i="2"/>
  <c r="F36" i="2"/>
  <c r="F37" i="2"/>
  <c r="F24" i="2"/>
  <c r="F30" i="2"/>
  <c r="F34" i="2"/>
  <c r="F26" i="2"/>
  <c r="F28" i="2"/>
  <c r="B10" i="1"/>
  <c r="B14" i="1" l="1"/>
</calcChain>
</file>

<file path=xl/sharedStrings.xml><?xml version="1.0" encoding="utf-8"?>
<sst xmlns="http://schemas.openxmlformats.org/spreadsheetml/2006/main" count="67" uniqueCount="47">
  <si>
    <t>Fluid</t>
  </si>
  <si>
    <t xml:space="preserve">Pr </t>
  </si>
  <si>
    <t>Exxon 2389 (jet engine oil)</t>
  </si>
  <si>
    <t>T</t>
  </si>
  <si>
    <t>Engine Oil 5w30</t>
  </si>
  <si>
    <t>Transmission Oil (Type-F)</t>
  </si>
  <si>
    <t>Diesel Fuel</t>
  </si>
  <si>
    <t>Kerosene</t>
  </si>
  <si>
    <t xml:space="preserve">Marlotherm S </t>
  </si>
  <si>
    <t>Water</t>
  </si>
  <si>
    <t>Ethylene Glycol</t>
  </si>
  <si>
    <t>Air</t>
  </si>
  <si>
    <t>Freon 114</t>
  </si>
  <si>
    <t>Gasoline</t>
  </si>
  <si>
    <t>Ethylene Glycol 30%</t>
  </si>
  <si>
    <t>Ethylene Glycol 50%</t>
  </si>
  <si>
    <t>Transmission Oil (Type-B)</t>
  </si>
  <si>
    <t>Transmission Oil (Type-H)</t>
  </si>
  <si>
    <t>Flow Characteristics</t>
  </si>
  <si>
    <t>External Forced Convection</t>
  </si>
  <si>
    <t>Internal Forced Convection</t>
  </si>
  <si>
    <t>Fluid Temperature over Flat Plate - T_inf</t>
  </si>
  <si>
    <t xml:space="preserve"> Inlet Temperature, T_mi</t>
  </si>
  <si>
    <t>Flat Plate Temperature - T_s</t>
  </si>
  <si>
    <t xml:space="preserve"> Outlet Temperature, T_mo</t>
  </si>
  <si>
    <t>Fluid Properties Calculator (Heat Transfer)</t>
  </si>
  <si>
    <t>Choose a Fluid from the Dropdown box</t>
  </si>
  <si>
    <t>k (W/mK)</t>
  </si>
  <si>
    <t>m (kg/ms)</t>
  </si>
  <si>
    <t>mu (kg/ms)</t>
  </si>
  <si>
    <t>Enter Two Temperatures (deg C)</t>
  </si>
  <si>
    <t>Film Temperature, T_f = 0.5*(T_inf+T_s), K</t>
  </si>
  <si>
    <t>Bulk Mean Fluid Temp., T_b = 0.5*(T_mi+T_mo), K</t>
  </si>
  <si>
    <t>OR, Enter One Avg. Temperature (deg C)</t>
  </si>
  <si>
    <r>
      <t>CO</t>
    </r>
    <r>
      <rPr>
        <vertAlign val="subscript"/>
        <sz val="10"/>
        <rFont val="Arial"/>
        <family val="2"/>
      </rPr>
      <t>2</t>
    </r>
  </si>
  <si>
    <r>
      <t>C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(J/kgK)</t>
    </r>
  </si>
  <si>
    <r>
      <t>rho (kg/m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</si>
  <si>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r>
      <t>r (kg/m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</si>
  <si>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r>
      <rPr>
        <b/>
        <sz val="12"/>
        <color rgb="FF00B050"/>
        <rFont val="Times New Roman"/>
        <family val="1"/>
      </rPr>
      <t xml:space="preserve">Green boxes are outputs for the </t>
    </r>
    <r>
      <rPr>
        <b/>
        <sz val="12"/>
        <color rgb="FFFF9999"/>
        <rFont val="Times New Roman"/>
        <family val="1"/>
      </rPr>
      <t xml:space="preserve">inputs in the Pink Boxes. </t>
    </r>
    <r>
      <rPr>
        <b/>
        <sz val="12"/>
        <color rgb="FFFF0000"/>
        <rFont val="Times New Roman"/>
        <family val="1"/>
      </rPr>
      <t>Don't change anything else !</t>
    </r>
  </si>
  <si>
    <r>
      <t xml:space="preserve">Thermal Conductivity (W/mK), </t>
    </r>
    <r>
      <rPr>
        <b/>
        <sz val="11"/>
        <color rgb="FFFFFF00"/>
        <rFont val="Times New Roman"/>
        <family val="1"/>
      </rPr>
      <t>k</t>
    </r>
    <r>
      <rPr>
        <sz val="11"/>
        <color rgb="FFFFFF00"/>
        <rFont val="Times New Roman"/>
        <family val="1"/>
      </rPr>
      <t xml:space="preserve">  =</t>
    </r>
  </si>
  <si>
    <r>
      <t xml:space="preserve">Specific heat J/(kg K), </t>
    </r>
    <r>
      <rPr>
        <b/>
        <sz val="11"/>
        <color rgb="FFFFFF00"/>
        <rFont val="Times New Roman"/>
        <family val="1"/>
      </rPr>
      <t>C</t>
    </r>
    <r>
      <rPr>
        <b/>
        <vertAlign val="subscript"/>
        <sz val="11"/>
        <color rgb="FFFFFF00"/>
        <rFont val="Times New Roman"/>
        <family val="1"/>
      </rPr>
      <t>p</t>
    </r>
    <r>
      <rPr>
        <sz val="11"/>
        <color rgb="FFFFFF00"/>
        <rFont val="Times New Roman"/>
        <family val="1"/>
      </rPr>
      <t xml:space="preserve">  =</t>
    </r>
  </si>
  <si>
    <r>
      <t xml:space="preserve">Dynamic Viscosity (Pa s), </t>
    </r>
    <r>
      <rPr>
        <b/>
        <sz val="11"/>
        <color rgb="FFFFFF00"/>
        <rFont val="Symbol"/>
        <family val="1"/>
        <charset val="2"/>
      </rPr>
      <t>m</t>
    </r>
    <r>
      <rPr>
        <b/>
        <sz val="11"/>
        <color rgb="FFFFFF00"/>
        <rFont val="Times New Roman"/>
        <family val="1"/>
      </rPr>
      <t xml:space="preserve"> </t>
    </r>
    <r>
      <rPr>
        <sz val="11"/>
        <color rgb="FFFFFF00"/>
        <rFont val="Times New Roman"/>
        <family val="1"/>
      </rPr>
      <t xml:space="preserve"> =</t>
    </r>
  </si>
  <si>
    <r>
      <t>Density (kg/m^3),</t>
    </r>
    <r>
      <rPr>
        <sz val="11"/>
        <color rgb="FFFFFF00"/>
        <rFont val="Symbol"/>
        <family val="1"/>
        <charset val="2"/>
      </rPr>
      <t xml:space="preserve"> </t>
    </r>
    <r>
      <rPr>
        <b/>
        <sz val="11"/>
        <color rgb="FFFFFF00"/>
        <rFont val="Symbol"/>
        <family val="1"/>
        <charset val="2"/>
      </rPr>
      <t>r</t>
    </r>
    <r>
      <rPr>
        <sz val="11"/>
        <color rgb="FFFFFF00"/>
        <rFont val="Times New Roman"/>
        <family val="1"/>
      </rPr>
      <t xml:space="preserve">  =</t>
    </r>
  </si>
  <si>
    <r>
      <t xml:space="preserve">Prandtl Number, </t>
    </r>
    <r>
      <rPr>
        <b/>
        <sz val="11"/>
        <color rgb="FFFFFF00"/>
        <rFont val="Times New Roman"/>
        <family val="1"/>
      </rPr>
      <t>Pr</t>
    </r>
    <r>
      <rPr>
        <sz val="11"/>
        <color rgb="FFFFFF00"/>
        <rFont val="Times New Roman"/>
        <family val="1"/>
      </rPr>
      <t xml:space="preserve"> =</t>
    </r>
  </si>
  <si>
    <t>Temp. Value Selected (K)</t>
  </si>
  <si>
    <r>
      <rPr>
        <sz val="10"/>
        <color rgb="FFC00000"/>
        <rFont val="Times New Roman"/>
        <family val="1"/>
      </rPr>
      <t xml:space="preserve">Note: If you want to get fluid properties by entering two temperatures, enter </t>
    </r>
    <r>
      <rPr>
        <b/>
        <sz val="10"/>
        <color rgb="FFC00000"/>
        <rFont val="Times New Roman"/>
        <family val="1"/>
      </rPr>
      <t>Y in C4</t>
    </r>
    <r>
      <rPr>
        <sz val="10"/>
        <color rgb="FFC00000"/>
        <rFont val="Times New Roman"/>
        <family val="1"/>
      </rPr>
      <t xml:space="preserve"> and </t>
    </r>
    <r>
      <rPr>
        <b/>
        <sz val="10"/>
        <color rgb="FFC00000"/>
        <rFont val="Times New Roman"/>
        <family val="1"/>
      </rPr>
      <t>enter the two temperatures</t>
    </r>
    <r>
      <rPr>
        <sz val="10"/>
        <color rgb="FFC00000"/>
        <rFont val="Times New Roman"/>
        <family val="1"/>
      </rPr>
      <t>.</t>
    </r>
    <r>
      <rPr>
        <sz val="10"/>
        <rFont val="Times New Roman"/>
        <family val="1"/>
      </rPr>
      <t xml:space="preserve">  If you want to get fluid properties at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one given temperature, </t>
    </r>
    <r>
      <rPr>
        <b/>
        <sz val="10"/>
        <rFont val="Times New Roman"/>
        <family val="1"/>
      </rPr>
      <t>delete Y</t>
    </r>
    <r>
      <rPr>
        <sz val="10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in C4 </t>
    </r>
    <r>
      <rPr>
        <sz val="10"/>
        <rFont val="Times New Roman"/>
        <family val="1"/>
      </rPr>
      <t xml:space="preserve">and </t>
    </r>
    <r>
      <rPr>
        <b/>
        <sz val="10"/>
        <rFont val="Times New Roman"/>
        <family val="1"/>
      </rPr>
      <t>enter temp. in D4</t>
    </r>
    <r>
      <rPr>
        <sz val="10"/>
        <rFont val="Times New Roman"/>
        <family val="1"/>
      </rPr>
      <t xml:space="preserve">. </t>
    </r>
  </si>
  <si>
    <r>
      <t xml:space="preserve">Kinematic viscosity (m^2/s), </t>
    </r>
    <r>
      <rPr>
        <b/>
        <sz val="12"/>
        <color rgb="FFFFFF00"/>
        <rFont val="Symbol"/>
        <family val="1"/>
        <charset val="2"/>
      </rPr>
      <t>n</t>
    </r>
    <r>
      <rPr>
        <sz val="12"/>
        <color rgb="FFFFFF00"/>
        <rFont val="Symbol"/>
        <family val="1"/>
        <charset val="2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</si>
</sst>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33" x14ac:knownFonts="1">
    <font>
      <sz val="10"/>
      <name val="Arial"/>
    </font>
    <font>
      <sz val="10"/>
      <color theme="0"/>
      <name val="Arial"/>
      <family val="2"/>
    </font>
    <font>
      <b/>
      <sz val="18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color rgb="FFC00000"/>
      <name val="Times New Roman"/>
      <family val="1"/>
    </font>
    <font>
      <b/>
      <sz val="10"/>
      <color rgb="FFC00000"/>
      <name val="Times New Roman"/>
      <family val="1"/>
    </font>
    <font>
      <sz val="12"/>
      <color theme="5" tint="-0.249977111117893"/>
      <name val="Times New Roman"/>
      <family val="1"/>
    </font>
    <font>
      <sz val="12"/>
      <color rgb="FF7030A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00B050"/>
      <name val="Times New Roman"/>
      <family val="1"/>
    </font>
    <font>
      <b/>
      <sz val="12"/>
      <color rgb="FFFF9999"/>
      <name val="Times New Roman"/>
      <family val="1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12"/>
      <color rgb="FF0070C0"/>
      <name val="Times New Roman"/>
      <family val="1"/>
    </font>
    <font>
      <sz val="10"/>
      <color rgb="FFC00000"/>
      <name val="Times New Roman"/>
      <family val="1"/>
    </font>
    <font>
      <b/>
      <sz val="11"/>
      <color rgb="FF0070C0"/>
      <name val="Times New Roman"/>
      <family val="1"/>
    </font>
    <font>
      <sz val="10"/>
      <color rgb="FF0070C0"/>
      <name val="Times New Roman"/>
      <family val="1"/>
    </font>
    <font>
      <sz val="10.5"/>
      <color theme="0"/>
      <name val="Times New Roman"/>
      <family val="1"/>
    </font>
    <font>
      <sz val="10"/>
      <color theme="0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FF00"/>
      <name val="Times New Roman"/>
      <family val="1"/>
    </font>
    <font>
      <sz val="11"/>
      <color rgb="FFFFFF00"/>
      <name val="Times New Roman"/>
      <family val="1"/>
    </font>
    <font>
      <b/>
      <vertAlign val="subscript"/>
      <sz val="11"/>
      <color rgb="FFFFFF00"/>
      <name val="Times New Roman"/>
      <family val="1"/>
    </font>
    <font>
      <b/>
      <sz val="11"/>
      <color rgb="FFFFFF00"/>
      <name val="Symbol"/>
      <family val="1"/>
      <charset val="2"/>
    </font>
    <font>
      <sz val="11"/>
      <color rgb="FFFFFF00"/>
      <name val="Symbol"/>
      <family val="1"/>
      <charset val="2"/>
    </font>
    <font>
      <sz val="12"/>
      <color rgb="FFFFFF00"/>
      <name val="Times New Roman"/>
      <family val="1"/>
    </font>
    <font>
      <sz val="12"/>
      <color rgb="FFFFFF00"/>
      <name val="Symbol"/>
      <family val="1"/>
      <charset val="2"/>
    </font>
    <font>
      <b/>
      <sz val="12"/>
      <color rgb="FFFFFF00"/>
      <name val="Times New Roman"/>
      <family val="1"/>
    </font>
    <font>
      <b/>
      <sz val="12"/>
      <color rgb="FFFFFF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800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/>
    <xf numFmtId="0" fontId="4" fillId="2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4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1" fillId="3" borderId="0" xfId="0" applyFont="1" applyFill="1" applyBorder="1" applyProtection="1">
      <protection locked="0"/>
    </xf>
    <xf numFmtId="0" fontId="14" fillId="3" borderId="0" xfId="0" applyFont="1" applyFill="1" applyBorder="1" applyProtection="1">
      <protection locked="0" hidden="1"/>
    </xf>
    <xf numFmtId="0" fontId="14" fillId="3" borderId="0" xfId="0" applyFont="1" applyFill="1" applyBorder="1" applyAlignment="1" applyProtection="1">
      <alignment horizontal="left"/>
      <protection locked="0" hidden="1"/>
    </xf>
    <xf numFmtId="0" fontId="14" fillId="3" borderId="0" xfId="0" applyFont="1" applyFill="1" applyBorder="1" applyAlignment="1" applyProtection="1">
      <alignment horizontal="center"/>
      <protection locked="0" hidden="1"/>
    </xf>
    <xf numFmtId="0" fontId="6" fillId="4" borderId="6" xfId="0" applyFont="1" applyFill="1" applyBorder="1" applyAlignment="1">
      <alignment wrapText="1"/>
    </xf>
    <xf numFmtId="0" fontId="20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1" fillId="4" borderId="20" xfId="0" applyFont="1" applyFill="1" applyBorder="1" applyAlignment="1">
      <alignment horizontal="center" wrapText="1"/>
    </xf>
    <xf numFmtId="0" fontId="17" fillId="3" borderId="20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21" fillId="3" borderId="14" xfId="0" applyFont="1" applyFill="1" applyBorder="1" applyAlignment="1" applyProtection="1">
      <alignment horizontal="center" wrapText="1"/>
      <protection locked="0" hidden="1"/>
    </xf>
    <xf numFmtId="0" fontId="22" fillId="3" borderId="15" xfId="0" applyFont="1" applyFill="1" applyBorder="1" applyAlignment="1" applyProtection="1">
      <alignment horizontal="center" wrapText="1"/>
      <protection locked="0" hidden="1"/>
    </xf>
    <xf numFmtId="0" fontId="29" fillId="5" borderId="6" xfId="0" applyFont="1" applyFill="1" applyBorder="1" applyAlignment="1">
      <alignment horizontal="center"/>
    </xf>
    <xf numFmtId="0" fontId="25" fillId="5" borderId="10" xfId="0" applyFont="1" applyFill="1" applyBorder="1" applyAlignment="1">
      <alignment horizontal="center" wrapText="1"/>
    </xf>
    <xf numFmtId="2" fontId="24" fillId="5" borderId="6" xfId="0" applyNumberFormat="1" applyFont="1" applyFill="1" applyBorder="1" applyAlignment="1">
      <alignment horizontal="center"/>
    </xf>
    <xf numFmtId="0" fontId="25" fillId="5" borderId="18" xfId="0" applyFont="1" applyFill="1" applyBorder="1" applyAlignment="1">
      <alignment horizontal="center" wrapText="1"/>
    </xf>
    <xf numFmtId="2" fontId="24" fillId="5" borderId="7" xfId="0" applyNumberFormat="1" applyFont="1" applyFill="1" applyBorder="1" applyAlignment="1">
      <alignment horizontal="center"/>
    </xf>
    <xf numFmtId="164" fontId="31" fillId="5" borderId="6" xfId="0" applyNumberFormat="1" applyFont="1" applyFill="1" applyBorder="1" applyAlignment="1">
      <alignment horizontal="center"/>
    </xf>
    <xf numFmtId="164" fontId="24" fillId="5" borderId="6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wrapText="1"/>
    </xf>
    <xf numFmtId="0" fontId="11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1" fillId="3" borderId="16" xfId="0" applyFont="1" applyFill="1" applyBorder="1" applyAlignment="1" applyProtection="1">
      <alignment horizontal="center" wrapText="1"/>
      <protection hidden="1"/>
    </xf>
    <xf numFmtId="0" fontId="11" fillId="3" borderId="17" xfId="0" applyFont="1" applyFill="1" applyBorder="1" applyAlignment="1" applyProtection="1">
      <alignment horizont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FF9999"/>
      <color rgb="FFFFCCFF"/>
      <color rgb="FF00CCFF"/>
      <color rgb="FF66CCFF"/>
      <color rgb="FFCCCCFF"/>
      <color rgb="FF99CCFF"/>
      <color rgb="FFCCECFF"/>
      <color rgb="FF66FF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Link="Extras!$A$19" fmlaRange="Extras!$A$2:$A$18" noThreeD="1" se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152400</xdr:rowOff>
        </xdr:from>
        <xdr:to>
          <xdr:col>3</xdr:col>
          <xdr:colOff>95250</xdr:colOff>
          <xdr:row>13</xdr:row>
          <xdr:rowOff>161925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27"/>
  <sheetViews>
    <sheetView tabSelected="1" workbookViewId="0">
      <selection activeCell="D4" sqref="D4"/>
    </sheetView>
  </sheetViews>
  <sheetFormatPr defaultRowHeight="12.75" x14ac:dyDescent="0.2"/>
  <cols>
    <col min="1" max="1" width="38.7109375" style="1" customWidth="1"/>
    <col min="2" max="2" width="47.42578125" style="1" customWidth="1"/>
    <col min="3" max="3" width="23.28515625" style="12" customWidth="1"/>
    <col min="4" max="4" width="25" style="6" customWidth="1"/>
    <col min="5" max="5" width="9.42578125" style="1" hidden="1" customWidth="1"/>
    <col min="6" max="16384" width="9.140625" style="1"/>
  </cols>
  <sheetData>
    <row r="1" spans="1:5" ht="22.5" x14ac:dyDescent="0.3">
      <c r="A1" s="41" t="s">
        <v>25</v>
      </c>
      <c r="B1" s="42"/>
      <c r="C1" s="43"/>
      <c r="D1" s="44"/>
    </row>
    <row r="2" spans="1:5" ht="18.75" customHeight="1" x14ac:dyDescent="0.3">
      <c r="A2" s="45" t="s">
        <v>18</v>
      </c>
      <c r="B2" s="46"/>
      <c r="C2" s="47" t="s">
        <v>30</v>
      </c>
      <c r="D2" s="50" t="s">
        <v>33</v>
      </c>
    </row>
    <row r="3" spans="1:5" ht="15.75" x14ac:dyDescent="0.25">
      <c r="A3" s="9" t="s">
        <v>19</v>
      </c>
      <c r="B3" s="7" t="s">
        <v>20</v>
      </c>
      <c r="C3" s="47"/>
      <c r="D3" s="51"/>
      <c r="E3" s="2"/>
    </row>
    <row r="4" spans="1:5" ht="15.75" x14ac:dyDescent="0.25">
      <c r="A4" s="9"/>
      <c r="B4" s="7"/>
      <c r="C4" s="17"/>
      <c r="D4" s="20">
        <v>70</v>
      </c>
      <c r="E4" s="2"/>
    </row>
    <row r="5" spans="1:5" ht="15.75" x14ac:dyDescent="0.25">
      <c r="A5" s="10" t="s">
        <v>21</v>
      </c>
      <c r="B5" s="8" t="s">
        <v>22</v>
      </c>
      <c r="C5" s="22">
        <v>20</v>
      </c>
      <c r="D5" s="18"/>
    </row>
    <row r="6" spans="1:5" ht="15.75" x14ac:dyDescent="0.25">
      <c r="A6" s="10" t="s">
        <v>23</v>
      </c>
      <c r="B6" s="8" t="s">
        <v>24</v>
      </c>
      <c r="C6" s="22">
        <v>90</v>
      </c>
      <c r="D6" s="19" t="s">
        <v>44</v>
      </c>
    </row>
    <row r="7" spans="1:5" ht="15.75" x14ac:dyDescent="0.25">
      <c r="A7" s="10" t="s">
        <v>31</v>
      </c>
      <c r="B7" s="8" t="s">
        <v>32</v>
      </c>
      <c r="C7" s="23">
        <f xml:space="preserve"> 0.5*(C5+C6)+273</f>
        <v>328</v>
      </c>
      <c r="D7" s="21">
        <f>IF(C4="Y",C7,D4+273)</f>
        <v>343</v>
      </c>
    </row>
    <row r="8" spans="1:5" ht="15.75" customHeight="1" x14ac:dyDescent="0.25">
      <c r="A8" s="48" t="s">
        <v>38</v>
      </c>
      <c r="B8" s="49"/>
      <c r="C8" s="24">
        <f xml:space="preserve"> IF(C4="Y",1,0)</f>
        <v>0</v>
      </c>
      <c r="D8" s="25">
        <f>IF(ISBLANK(D4)=TRUE,1,0)</f>
        <v>0</v>
      </c>
    </row>
    <row r="9" spans="1:5" ht="16.5" customHeight="1" x14ac:dyDescent="0.25">
      <c r="A9" s="26" t="s">
        <v>46</v>
      </c>
      <c r="B9" s="31">
        <f>B12/B13</f>
        <v>2.027539295435498E-5</v>
      </c>
      <c r="C9" s="39" t="s">
        <v>45</v>
      </c>
      <c r="D9" s="40"/>
    </row>
    <row r="10" spans="1:5" ht="15" x14ac:dyDescent="0.25">
      <c r="A10" s="27" t="s">
        <v>39</v>
      </c>
      <c r="B10" s="28">
        <f>IF(Extras!$A$19=1,Extras!$B$2,IF(Extras!$A$19=2,Extras!$B$3,IF(Extras!$A$19=3,Extras!$B$4,IF(Extras!$A$19=4,Extras!$B$5,IF(Extras!$A$19=5,Extras!$B$6,IF(Extras!$A$19=6,Extras!$B$7,IF(Extras!$A$19=7,Extras!$B$8,IF(Extras!$A$19=8,Extras!$B$9))))))))+IF(Extras!$A$19=9,Extras!$B$10)+IF(Extras!$A$19=10, Extras!$B$11)+IF(Extras!$A$19=11, Extras!$B$12)+IF(Extras!$A$19=12, Extras!$B$13)+IF(Extras!$A$19=13, Extras!$B$14)+IF(Extras!$A$19=14, Extras!$B$15) + IF(Extras!$A$19=15, Extras!$B$16)+IF(Extras!$A$19=16, Extras!$B$17)+IF(Extras!$A$19=17, Extras!$B$18)</f>
        <v>2.9566420881645582E-2</v>
      </c>
      <c r="C10" s="39"/>
      <c r="D10" s="40"/>
      <c r="E10" s="2"/>
    </row>
    <row r="11" spans="1:5" ht="17.25" x14ac:dyDescent="0.3">
      <c r="A11" s="27" t="s">
        <v>40</v>
      </c>
      <c r="B11" s="28">
        <f>IF(Extras!$A$19=1,Extras!$C$2,IF(Extras!$A$19=2,Extras!$C$3,IF(Extras!$A$19=3,Extras!$C$4,IF(Extras!$A$19=4,Extras!$C$5,IF(Extras!$A$19=5,Extras!$C$6,IF(Extras!$A$19=6,Extras!$C$7,IF(Extras!$A$19=7,Extras!$C$8,IF(Extras!$A$19=8,Extras!$C$9))))))))+IF(Extras!$A$19=9,Extras!$C$10)+IF(Extras!$A$19=10, Extras!$C$11)+IF(Extras!$A$19=11, Extras!$C$12)+IF(Extras!$A$19=12, Extras!$C$13)+IF(Extras!$A$19=13, Extras!$C$14)+IF(Extras!$A$19=14, Extras!$C$15) + IF(Extras!$A$19=15, Extras!$C$16)+IF(Extras!$A$19=16, Extras!$C$17)+IF(Extras!$A$19=17, Extras!$C$18)</f>
        <v>1008.5988510293183</v>
      </c>
      <c r="C11" s="39"/>
      <c r="D11" s="40"/>
    </row>
    <row r="12" spans="1:5" ht="15.75" x14ac:dyDescent="0.25">
      <c r="A12" s="27" t="s">
        <v>41</v>
      </c>
      <c r="B12" s="32">
        <f>IF(Extras!$A$19=1,Extras!$D$2,IF(Extras!$A$19=2,Extras!$D$3,IF(Extras!$A$19=3,Extras!$D$4,IF(Extras!$A$19=4,Extras!$D$5,IF(Extras!$A$19=5,Extras!$D$6,IF(Extras!$A$19=6,Extras!$D$7,IF(Extras!$A$19=7,Extras!$D$8,IF(Extras!$A$19=8,Extras!$D$9))))))))+IF(Extras!$A$19=9,Extras!$D$10)+IF(Extras!$A$19=10, Extras!$D$11)+IF(Extras!$A$19=11, Extras!$D$12)+IF(Extras!$A$19=12, Extras!$D$13)+IF(Extras!$A$19=13, Extras!$D$14)+IF(Extras!$A$19=14, Extras!$D$15) + IF(Extras!$A$19=15, Extras!$D$16)+IF(Extras!$A$19=16, Extras!$D$17)+IF(Extras!$A$19=17, Extras!$D$18)</f>
        <v>2.0517421017780291E-5</v>
      </c>
      <c r="C12" s="33" t="s">
        <v>26</v>
      </c>
      <c r="D12" s="34"/>
    </row>
    <row r="13" spans="1:5" ht="15" x14ac:dyDescent="0.25">
      <c r="A13" s="27" t="s">
        <v>42</v>
      </c>
      <c r="B13" s="28">
        <f>IF(Extras!$A$19=1,Extras!$E$2,IF(Extras!$A$19=2,Extras!$E$3,IF(Extras!$A$19=3,Extras!$E$4,IF(Extras!$A$19=4,Extras!$E$5,IF(Extras!$A$19=5,Extras!$E$6,IF(Extras!$A$19=6,Extras!$E$7,IF(Extras!$A$19=7,Extras!$E$8,IF(Extras!$A$19=8,Extras!$E$9))))))))+IF(Extras!$A$19=9,Extras!$E$10)+IF(Extras!$A$19=10, Extras!$E$11)+IF(Extras!$A$19=11, Extras!$E$12)+IF(Extras!$A$19=12, Extras!$E$13)+IF(Extras!$A$19=13, Extras!$E$14)+IF(Extras!$A$19=14, Extras!$E$15) + IF(Extras!$A$19=15, Extras!$E$16)+IF(Extras!$A$19=16, Extras!$E$17)+IF(Extras!$A$19=17, Extras!$E$18)</f>
        <v>1.0119370344126093</v>
      </c>
      <c r="C13" s="35"/>
      <c r="D13" s="36"/>
    </row>
    <row r="14" spans="1:5" ht="15.75" thickBot="1" x14ac:dyDescent="0.3">
      <c r="A14" s="29" t="s">
        <v>43</v>
      </c>
      <c r="B14" s="30">
        <f>IF(Extras!$A$19=1,Extras!$F$2,IF(Extras!$A$19=2,Extras!$F$3,IF(Extras!$A$19=3,Extras!$F$4,IF(Extras!$A$19=4,Extras!$F$5,IF(Extras!$A$19=5,Extras!$F$6,IF(Extras!$A$19=6,Extras!$F$7,IF(Extras!$A$19=7,Extras!$F$8,IF(Extras!$A$19=8,Extras!$F$9))))))))+IF(Extras!$A$19=9,Extras!$F$10)+IF(Extras!$A$19=10, Extras!$F$11)+IF(Extras!$A$19=11, Extras!$F$12)+IF(Extras!$A$19=12, Extras!$F$13)+IF(Extras!$A$19=13, Extras!$F$14)+IF(Extras!$A$19=14, Extras!$F$15) + IF(Extras!$A$19=15, Extras!$F$16)+IF(Extras!$A$19=16, Extras!$F$17)+IF(Extras!$A$19=17, Extras!$F$18)</f>
        <v>0.69991046083851283</v>
      </c>
      <c r="C14" s="37"/>
      <c r="D14" s="38"/>
    </row>
    <row r="20" spans="1:4" x14ac:dyDescent="0.2">
      <c r="A20" s="3"/>
      <c r="B20" s="3"/>
      <c r="C20" s="11"/>
      <c r="D20" s="5"/>
    </row>
    <row r="21" spans="1:4" x14ac:dyDescent="0.2">
      <c r="A21" s="3"/>
      <c r="B21" s="3"/>
      <c r="C21" s="11"/>
      <c r="D21" s="5"/>
    </row>
    <row r="22" spans="1:4" x14ac:dyDescent="0.2">
      <c r="A22" s="3"/>
      <c r="B22" s="3"/>
      <c r="C22" s="11"/>
      <c r="D22" s="5"/>
    </row>
    <row r="23" spans="1:4" x14ac:dyDescent="0.2">
      <c r="A23" s="3"/>
      <c r="B23" s="3"/>
      <c r="C23" s="11"/>
      <c r="D23" s="5"/>
    </row>
    <row r="24" spans="1:4" x14ac:dyDescent="0.2">
      <c r="A24" s="3"/>
      <c r="B24" s="3"/>
      <c r="C24" s="11"/>
      <c r="D24" s="5"/>
    </row>
    <row r="25" spans="1:4" x14ac:dyDescent="0.2">
      <c r="A25" s="3"/>
      <c r="B25" s="3"/>
      <c r="C25" s="11"/>
      <c r="D25" s="5"/>
    </row>
    <row r="26" spans="1:4" x14ac:dyDescent="0.2">
      <c r="A26" s="3"/>
      <c r="B26" s="3"/>
      <c r="C26" s="11"/>
      <c r="D26" s="4"/>
    </row>
    <row r="27" spans="1:4" x14ac:dyDescent="0.2">
      <c r="A27" s="3"/>
      <c r="B27" s="3"/>
      <c r="C27" s="11"/>
      <c r="D27" s="4"/>
    </row>
  </sheetData>
  <mergeCells count="8">
    <mergeCell ref="C12:D12"/>
    <mergeCell ref="C13:D14"/>
    <mergeCell ref="C9:D11"/>
    <mergeCell ref="A1:D1"/>
    <mergeCell ref="A2:B2"/>
    <mergeCell ref="C2:C3"/>
    <mergeCell ref="A8:B8"/>
    <mergeCell ref="D2:D3"/>
  </mergeCells>
  <phoneticPr fontId="0" type="noConversion"/>
  <dataValidations count="2">
    <dataValidation type="textLength" operator="equal" allowBlank="1" showInputMessage="1" showErrorMessage="1" promptTitle="Delete D4!" prompt="Make sure you delete D4 before you enter Y here." sqref="C4">
      <formula1>D8</formula1>
    </dataValidation>
    <dataValidation type="whole" allowBlank="1" showInputMessage="1" showErrorMessage="1" errorTitle="Try again!" error="Delete Y on the left and then try again!" promptTitle="Delete Y on the left!" prompt="Delete Y on the left before entering any temperature." sqref="D4">
      <formula1>-273*ABS(C8-1)</formula1>
      <formula2>1000*ABS(C8-1)</formula2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>
                <anchor moveWithCells="1">
                  <from>
                    <xdr:col>2</xdr:col>
                    <xdr:colOff>9525</xdr:colOff>
                    <xdr:row>12</xdr:row>
                    <xdr:rowOff>152400</xdr:rowOff>
                  </from>
                  <to>
                    <xdr:col>3</xdr:col>
                    <xdr:colOff>95250</xdr:colOff>
                    <xdr:row>13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9"/>
  <sheetViews>
    <sheetView workbookViewId="0">
      <selection activeCell="H26" sqref="H26"/>
    </sheetView>
  </sheetViews>
  <sheetFormatPr defaultRowHeight="12.75" x14ac:dyDescent="0.2"/>
  <cols>
    <col min="1" max="1" width="22.7109375" style="13" customWidth="1"/>
    <col min="2" max="2" width="12.42578125" style="13" bestFit="1" customWidth="1"/>
    <col min="3" max="3" width="16.140625" style="13" customWidth="1"/>
    <col min="4" max="4" width="13.140625" style="13" bestFit="1" customWidth="1"/>
    <col min="5" max="5" width="9.28515625" style="13" bestFit="1" customWidth="1"/>
    <col min="6" max="6" width="13.140625" style="13" bestFit="1" customWidth="1"/>
    <col min="7" max="7" width="9.28515625" style="13" bestFit="1" customWidth="1"/>
    <col min="8" max="16384" width="9.140625" style="13"/>
  </cols>
  <sheetData>
    <row r="1" spans="1:7" ht="15.75" x14ac:dyDescent="0.3">
      <c r="A1" s="14"/>
      <c r="B1" s="16" t="s">
        <v>27</v>
      </c>
      <c r="C1" s="16" t="s">
        <v>35</v>
      </c>
      <c r="D1" s="16" t="s">
        <v>28</v>
      </c>
      <c r="E1" s="16" t="s">
        <v>37</v>
      </c>
      <c r="F1" s="16" t="s">
        <v>1</v>
      </c>
      <c r="G1" s="16" t="s">
        <v>3</v>
      </c>
    </row>
    <row r="2" spans="1:7" x14ac:dyDescent="0.2">
      <c r="A2" s="14"/>
      <c r="B2" s="14"/>
      <c r="C2" s="14"/>
      <c r="D2" s="14"/>
      <c r="E2" s="14"/>
      <c r="F2" s="14"/>
      <c r="G2" s="16">
        <f>'Fluid Properties Calculator'!D7</f>
        <v>343</v>
      </c>
    </row>
    <row r="3" spans="1:7" x14ac:dyDescent="0.2">
      <c r="A3" s="14" t="s">
        <v>11</v>
      </c>
      <c r="B3" s="14">
        <f>-0.00719331+(0.00118869)*G$2^0.5+(0.000042988)*G$2</f>
        <v>2.9566420881645582E-2</v>
      </c>
      <c r="C3" s="14">
        <f>297.303+(126.386)*G$2^0.5+(-7.54029*G$2)+0.150637*G$2^(3/2)</f>
        <v>1008.5988510293183</v>
      </c>
      <c r="D3" s="15">
        <f>(0.00625687+(0.00153069*G$2^0.5)+(-0.0000210769*G$2))^3</f>
        <v>2.0517421017780291E-5</v>
      </c>
      <c r="E3" s="14">
        <f>6.81368+(-0.51573)*G$2^0.5+(0.0109321)*G$2</f>
        <v>1.0119370344126093</v>
      </c>
      <c r="F3" s="14">
        <f t="shared" ref="F3:F18" si="0">D3*C3/B3</f>
        <v>0.69991046083851283</v>
      </c>
      <c r="G3" s="14"/>
    </row>
    <row r="4" spans="1:7" ht="15.75" x14ac:dyDescent="0.3">
      <c r="A4" s="14" t="s">
        <v>34</v>
      </c>
      <c r="B4" s="14">
        <f>-0.00202595+(-0.000485225)*G$2^0.5+(0.0000905949)*G$2</f>
        <v>2.0061607940620788E-2</v>
      </c>
      <c r="C4" s="14">
        <f>22.0999+(59.6828)*G$2^0.5+(-0.678364)*G$2</f>
        <v>894.7619724360402</v>
      </c>
      <c r="D4" s="15">
        <f>(0.00818801+(0.00109054*G$2^0.5)+(-0.00000821403*G$2))^3</f>
        <v>1.6713754746480057E-5</v>
      </c>
      <c r="E4" s="14">
        <f>9.08765+(-0.638091*G$2^0.5)+(0.0124355)*G$2</f>
        <v>1.53541580120039</v>
      </c>
      <c r="F4" s="14">
        <f t="shared" si="0"/>
        <v>0.74544534057472767</v>
      </c>
      <c r="G4" s="14"/>
    </row>
    <row r="5" spans="1:7" x14ac:dyDescent="0.2">
      <c r="A5" s="14" t="s">
        <v>6</v>
      </c>
      <c r="B5" s="14">
        <f>0.1586+(0.00007133)*G$2^0.5+(-0.00007693)*G$2</f>
        <v>0.13353406008712765</v>
      </c>
      <c r="C5" s="14">
        <f>1072.18+(-27.4671)*G$2^0.5+(4.44)*G$2</f>
        <v>2086.4021891470047</v>
      </c>
      <c r="D5" s="15">
        <f>(4.86287+(-0.640153*G$2^0.5)+0.0286278*G$2+(-0.000429409*G$2^(3/2)))^3</f>
        <v>9.5879520711765541E-4</v>
      </c>
      <c r="E5" s="14">
        <f>1038.73+(0.9223)*G$2^0.5+(-0.726)*G$2</f>
        <v>806.79323503936416</v>
      </c>
      <c r="F5" s="14">
        <f t="shared" si="0"/>
        <v>14.980690452823046</v>
      </c>
      <c r="G5" s="14"/>
    </row>
    <row r="6" spans="1:7" x14ac:dyDescent="0.2">
      <c r="A6" s="14" t="s">
        <v>4</v>
      </c>
      <c r="B6" s="14">
        <f>0.183482+(-0.00123141)*G$22^0.5+(-0.0000613542)*G$22</f>
        <v>0.13963147704629367</v>
      </c>
      <c r="C6" s="14">
        <f>1286.63+(-71.4665)*G$2^0.5+(6.20997)*G$2</f>
        <v>2093.0716074946172</v>
      </c>
      <c r="D6" s="15">
        <f>10^(9274+(-2437.83*G$2^0.5)+256.145*G$2+(-13.4449*G$2^(3/2))+0.352491*G$2^2+(-0.00369285)*G$2^(5/2))</f>
        <v>2.2449596001819869E-2</v>
      </c>
      <c r="E6" s="14">
        <f>1021.18+(4.2243)*G$2^0.5+(-0.703867)*G$2</f>
        <v>857.9887498433111</v>
      </c>
      <c r="F6" s="14">
        <f t="shared" si="0"/>
        <v>336.51876342721175</v>
      </c>
      <c r="G6" s="14"/>
    </row>
    <row r="7" spans="1:7" x14ac:dyDescent="0.2">
      <c r="A7" s="14" t="s">
        <v>10</v>
      </c>
      <c r="B7" s="14">
        <f>-0.797513+(0.110425)*G$2^0.5+(-0.00287622)*G$2</f>
        <v>0.26104315967015213</v>
      </c>
      <c r="C7" s="14">
        <f>1159.23+(-8.2399)*G$2^0.5+(4.66769)*G$2</f>
        <v>2607.6425864037124</v>
      </c>
      <c r="D7" s="15">
        <f>(716.119+(-154.425*G$2^0.5)+12.5104*G$2+(-0.451017)*G$2^(3/2)+0.00610317*G$2^2)^3</f>
        <v>4.4578504881152472E-3</v>
      </c>
      <c r="E7" s="14">
        <f>1457.87+(-15.91)*G$2^0.5+(-0.238222)*G$2</f>
        <v>1081.5025304867365</v>
      </c>
      <c r="F7" s="14">
        <f t="shared" si="0"/>
        <v>44.530876776538832</v>
      </c>
      <c r="G7" s="14"/>
    </row>
    <row r="8" spans="1:7" x14ac:dyDescent="0.2">
      <c r="A8" s="14" t="s">
        <v>14</v>
      </c>
      <c r="B8" s="14">
        <f>-1.56126+(0.2163377)*G$2^0.5+(-0.0056602)*G$2</f>
        <v>0.50392167385388675</v>
      </c>
      <c r="C8" s="14">
        <f>1047.43+(202.095)*G$2^0.5+(-2.7069)*G$2</f>
        <v>3861.8150784671898</v>
      </c>
      <c r="D8" s="15">
        <f>(107.562+(-22.4664*G$2^0.5)+1.76552*G$2+(-0.0617784)*G$2^(3/2)+0.000811582*G$2^2)^3</f>
        <v>7.1669972071674193E-4</v>
      </c>
      <c r="E8" s="14">
        <f>600.115+(68.6483)*G$2^0.5+(-2.51702)*G$2</f>
        <v>1008.1614480914876</v>
      </c>
      <c r="F8" s="14">
        <f t="shared" si="0"/>
        <v>5.4924444250033524</v>
      </c>
      <c r="G8" s="14"/>
    </row>
    <row r="9" spans="1:7" x14ac:dyDescent="0.2">
      <c r="A9" s="14" t="s">
        <v>15</v>
      </c>
      <c r="B9" s="14">
        <f>-1.12878+(0.151667)*G$2^0.5+(-0.0035556)*G$2</f>
        <v>0.46056134866663312</v>
      </c>
      <c r="C9" s="14">
        <f>4302.06+(-186.873)*G$2^0.5+(7.45367)*G$2</f>
        <v>3397.7324167319871</v>
      </c>
      <c r="D9" s="15">
        <f>(3.23858+(-0.310287*G$2^0.5)+(0.00761038*G$2))^3</f>
        <v>1.0720025662656746E-3</v>
      </c>
      <c r="E9" s="14">
        <f>1416.3+(-22.2397)*G$2^0.5+(0.0703129)*G$2</f>
        <v>1028.5323166712176</v>
      </c>
      <c r="F9" s="14">
        <f t="shared" si="0"/>
        <v>7.9085617600473359</v>
      </c>
      <c r="G9" s="14"/>
    </row>
    <row r="10" spans="1:7" x14ac:dyDescent="0.2">
      <c r="A10" s="14" t="s">
        <v>2</v>
      </c>
      <c r="B10" s="14">
        <f>0.111+(0.00758)*G$2^0.5+(-0.000313)*G$2</f>
        <v>0.14402456456508719</v>
      </c>
      <c r="C10" s="14">
        <f>-336.62+(120.68)*G$2^0.5+(0.194)*G$2</f>
        <v>1964.9468775349237</v>
      </c>
      <c r="D10" s="15">
        <f>10^(37.154+(-3.89514*G$2^0.5)+(0.095177*G$2))</f>
        <v>4.5783466004849999E-3</v>
      </c>
      <c r="E10" s="14">
        <f>1101+(7.673)*G$2^0.5+(-0.8996)*G$2</f>
        <v>934.54314866859022</v>
      </c>
      <c r="F10" s="14">
        <f t="shared" si="0"/>
        <v>62.463010279264488</v>
      </c>
      <c r="G10" s="14"/>
    </row>
    <row r="11" spans="1:7" x14ac:dyDescent="0.2">
      <c r="A11" s="14" t="s">
        <v>12</v>
      </c>
      <c r="B11" s="14">
        <f>0.174+(-0.003758)*G$22^0.5+(-0.0001506)*G$22</f>
        <v>5.2745066011134864E-2</v>
      </c>
      <c r="C11" s="14">
        <f>525.713+(-25.7344)*G$22^0.5+(3.11947)*G$22</f>
        <v>1119.0834522237756</v>
      </c>
      <c r="D11" s="15">
        <f>(0.49+(-0.03867*G$22^0.5)+(0.0008361*G$22))^3</f>
        <v>2.2258773865030168E-4</v>
      </c>
      <c r="E11" s="14">
        <f>-11367.9+(1577.84)*G$22^0.5+(-48.239)*G$22</f>
        <v>1308.1287405510811</v>
      </c>
      <c r="F11" s="14">
        <f t="shared" si="0"/>
        <v>4.7226077020906096</v>
      </c>
      <c r="G11" s="14"/>
    </row>
    <row r="12" spans="1:7" x14ac:dyDescent="0.2">
      <c r="A12" s="14" t="s">
        <v>13</v>
      </c>
      <c r="B12" s="14">
        <f>0.241233+(-0.00264178)*G$2^0.5+(-0.0000350195)*G$2</f>
        <v>0.1802948612101905</v>
      </c>
      <c r="C12" s="14">
        <f>565.232+(16.4843)*G$2^0.5+(4.07038)*G$2</f>
        <v>2266.6658483588744</v>
      </c>
      <c r="D12" s="15">
        <f>(0.565766+(-0.0438361*G$2^0.5)+(0.000929345*G$2))^3</f>
        <v>3.83850687050342E-4</v>
      </c>
      <c r="E12" s="14">
        <f>1466.47+(-46.3569)*G$2^0.5+(0.282203)*G$2</f>
        <v>704.72382633676898</v>
      </c>
      <c r="F12" s="14">
        <f t="shared" si="0"/>
        <v>4.8257683960929398</v>
      </c>
      <c r="G12" s="14"/>
    </row>
    <row r="13" spans="1:7" x14ac:dyDescent="0.2">
      <c r="A13" s="14" t="s">
        <v>7</v>
      </c>
      <c r="B13" s="14">
        <f>0.197182+(0.0000801211)*G$2^0.5+(-0.0000955805)*G$2</f>
        <v>0.16588175203758257</v>
      </c>
      <c r="C13" s="14">
        <f>-510.371+(134.076)*G$2^0.5+(0.649226)*G$2</f>
        <v>2195.4357874760722</v>
      </c>
      <c r="D13" s="15">
        <f>(4.86287+(-0.640153*G$2^0.5)+0.0286278*G$2+(-0.000429409*G$2^(3/2)))^3</f>
        <v>9.5879520711765541E-4</v>
      </c>
      <c r="E13" s="14">
        <f>1170.02+(-11.55011)*G$2^0.5+(-0.31374)*G$2</f>
        <v>848.49614927191828</v>
      </c>
      <c r="F13" s="14">
        <f t="shared" si="0"/>
        <v>12.689601385990459</v>
      </c>
      <c r="G13" s="14"/>
    </row>
    <row r="14" spans="1:7" x14ac:dyDescent="0.2">
      <c r="A14" s="14" t="s">
        <v>8</v>
      </c>
      <c r="B14" s="14">
        <f>0.186325+(-0.00252274)*G$2^0.5+(-0.0000407022)*G$2</f>
        <v>0.12564234676267441</v>
      </c>
      <c r="C14" s="14">
        <f>86.6947+(44.7617)*G$2^0.5+(2.43846)*G$2</f>
        <v>1752.0847652233592</v>
      </c>
      <c r="D14" s="15">
        <f>(250.537+(-46.9296*G$2^0.5)+3.28642*G$2+(-0.101907)*G$2^(3/2)+0.00118036*G$2^2)^3</f>
        <v>2.7362874442116367E-3</v>
      </c>
      <c r="E14" s="14">
        <f>1267.82+(-3.59809)*G$2^0.5+(-0.605724)*G$2</f>
        <v>993.41910865620116</v>
      </c>
      <c r="F14" s="14">
        <f t="shared" si="0"/>
        <v>38.157577184792167</v>
      </c>
      <c r="G14" s="14"/>
    </row>
    <row r="15" spans="1:7" x14ac:dyDescent="0.2">
      <c r="A15" s="14" t="s">
        <v>16</v>
      </c>
      <c r="B15" s="14">
        <f>0.178947+(-0.00267278)*G$2^0.5+(-0.0000065788)*G$2</f>
        <v>0.12718989327568947</v>
      </c>
      <c r="C15" s="14">
        <f>237.467+(66.7114)*G$2^0.5+(1.73041)*G$2</f>
        <v>2066.5100480906804</v>
      </c>
      <c r="D15" s="15">
        <f>10^(128.959+(-18.4209*G$2^0.5)+(0.868622*G$2)+(-0.0137992*G$2^(3/2)))</f>
        <v>1.1961644378805602E-2</v>
      </c>
      <c r="E15" s="14">
        <f>1159.7+(-11.0605)*G$2^0.5+(-0.359005)*G$2</f>
        <v>831.71795836779063</v>
      </c>
      <c r="F15" s="14">
        <f t="shared" si="0"/>
        <v>194.34608885872726</v>
      </c>
      <c r="G15" s="14"/>
    </row>
    <row r="16" spans="1:7" x14ac:dyDescent="0.2">
      <c r="A16" s="14" t="s">
        <v>5</v>
      </c>
      <c r="B16" s="14">
        <f>0.178947+(-0.00267278)*G$2^0.5+(-0.0000065788)*G$2</f>
        <v>0.12718989327568947</v>
      </c>
      <c r="C16" s="14">
        <f>237.467+(66.7114)*G$2^0.5+(1.73041)*G$2</f>
        <v>2066.5100480906804</v>
      </c>
      <c r="D16" s="15">
        <f>10^(2507.74+(-511.658*G$2^0.5)+39.1611*G$2+(-1.33299*G$2^(3/2))+0.0170163*G$2^2)</f>
        <v>1.4399655984449002E-2</v>
      </c>
      <c r="E16" s="14">
        <f>1159.7+(-11.0605)*G$2^0.5+(-0.359005)*G$2</f>
        <v>831.71795836779063</v>
      </c>
      <c r="F16" s="14">
        <f t="shared" si="0"/>
        <v>233.95753400321937</v>
      </c>
      <c r="G16" s="14"/>
    </row>
    <row r="17" spans="1:7" x14ac:dyDescent="0.2">
      <c r="A17" s="14" t="s">
        <v>17</v>
      </c>
      <c r="B17" s="14">
        <f>0.178947+(-0.00267278)*G$2^0.5+(-0.0000065788)*G$2</f>
        <v>0.12718989327568947</v>
      </c>
      <c r="C17" s="14">
        <f>237.467+(66.7114)*G$2^0.5+(1.73041)*G$2</f>
        <v>2066.5100480906804</v>
      </c>
      <c r="D17" s="15">
        <f>10^(198.598+(-29.6011*G$2^0.5)+(1.46836*G$2)+(-0.0245473*G$2^(3/2)))</f>
        <v>1.2301759484173424E-2</v>
      </c>
      <c r="E17" s="14">
        <f>1159.7+(-11.0605)*G$2^0.5+(-0.359005)*G$2</f>
        <v>831.71795836779063</v>
      </c>
      <c r="F17" s="14">
        <f t="shared" si="0"/>
        <v>199.87208832809205</v>
      </c>
      <c r="G17" s="14"/>
    </row>
    <row r="18" spans="1:7" x14ac:dyDescent="0.2">
      <c r="A18" s="14" t="s">
        <v>9</v>
      </c>
      <c r="B18" s="14">
        <f>-2.76131+(0.340118)*G$2^0.5+(-0.00838245)*G$2</f>
        <v>0.66258316091666547</v>
      </c>
      <c r="C18" s="14">
        <f>3805070+(-1028080)*G$2^0.5+(111160)*G$2+(-6005.26*G$2^(3/2))+162.081*G$2^2+(-1.7482*G$2^(5/2))</f>
        <v>4066.7964511797763</v>
      </c>
      <c r="D18" s="15">
        <f>(31.6371+(-6.37804*G$2^0.5)+0.485827*G$2+(-0.016519)*G$2^(3/2)+0.000211278*G$2^2)^3</f>
        <v>3.9462695664670133E-4</v>
      </c>
      <c r="E18" s="14">
        <f>-342.584+(164.103)*G$2^0.5+(-5.01225)*G$2</f>
        <v>977.44434179742825</v>
      </c>
      <c r="F18" s="14">
        <f t="shared" si="0"/>
        <v>2.4221374787285428</v>
      </c>
      <c r="G18" s="14"/>
    </row>
    <row r="19" spans="1:7" x14ac:dyDescent="0.2">
      <c r="A19" s="14">
        <v>2</v>
      </c>
      <c r="B19" s="14"/>
      <c r="C19" s="14"/>
      <c r="D19" s="14"/>
      <c r="E19" s="14"/>
      <c r="F19" s="14"/>
      <c r="G19" s="14"/>
    </row>
    <row r="20" spans="1:7" x14ac:dyDescent="0.2">
      <c r="A20" s="14">
        <v>7</v>
      </c>
      <c r="B20" s="14"/>
      <c r="C20" s="14"/>
      <c r="D20" s="14"/>
      <c r="E20" s="14"/>
      <c r="F20" s="14"/>
      <c r="G20" s="14"/>
    </row>
    <row r="21" spans="1:7" ht="15.75" x14ac:dyDescent="0.3">
      <c r="A21" s="14" t="s">
        <v>0</v>
      </c>
      <c r="B21" s="16" t="s">
        <v>27</v>
      </c>
      <c r="C21" s="16" t="s">
        <v>35</v>
      </c>
      <c r="D21" s="16" t="s">
        <v>29</v>
      </c>
      <c r="E21" s="16" t="s">
        <v>36</v>
      </c>
      <c r="F21" s="16" t="s">
        <v>1</v>
      </c>
      <c r="G21" s="16" t="s">
        <v>3</v>
      </c>
    </row>
    <row r="22" spans="1:7" x14ac:dyDescent="0.2">
      <c r="A22" s="14"/>
      <c r="B22" s="14"/>
      <c r="C22" s="14"/>
      <c r="D22" s="14"/>
      <c r="E22" s="14"/>
      <c r="F22" s="14"/>
      <c r="G22" s="16">
        <f>'Fluid Properties Calculator'!D7</f>
        <v>343</v>
      </c>
    </row>
    <row r="23" spans="1:7" x14ac:dyDescent="0.2">
      <c r="A23" s="14" t="s">
        <v>11</v>
      </c>
      <c r="B23" s="14">
        <f>-0.00719331+(0.00118869)*G$22^0.5+(0.000042988)*G$22</f>
        <v>2.9566420881645582E-2</v>
      </c>
      <c r="C23" s="14">
        <f>297.303+(126.386)*G$22^0.5+(-7.54029*G$22)+0.150637*G$22^(3/2)</f>
        <v>1008.5988510293183</v>
      </c>
      <c r="D23" s="15">
        <f>(0.00625687+(0.00153069*G$22^0.5)+(-0.0000210769*G$22))^3</f>
        <v>2.0517421017780291E-5</v>
      </c>
      <c r="E23" s="14">
        <f>6.81368+(-0.51573)*G$22^0.5+(0.0109321)*G$22</f>
        <v>1.0119370344126093</v>
      </c>
      <c r="F23" s="14">
        <f t="shared" ref="F23:F38" si="1">D23*C23/B23</f>
        <v>0.69991046083851283</v>
      </c>
      <c r="G23" s="14"/>
    </row>
    <row r="24" spans="1:7" ht="15.75" x14ac:dyDescent="0.3">
      <c r="A24" s="14" t="s">
        <v>34</v>
      </c>
      <c r="B24" s="14">
        <f>-0.00202595+(-0.000485225)*G$22^0.5+(0.0000905949)*G$22</f>
        <v>2.0061607940620788E-2</v>
      </c>
      <c r="C24" s="14">
        <f>22.0999+(59.6828)*G$22^0.5+(-0.678364)*G$22</f>
        <v>894.7619724360402</v>
      </c>
      <c r="D24" s="15">
        <f>(0.00818801+(0.00109054*G$22^0.5)+(-0.00000821403*G$22))^3</f>
        <v>1.6713754746480057E-5</v>
      </c>
      <c r="E24" s="14">
        <f>9.08765+(-0.638091*G$22^0.5)+(0.0124355)*G$22</f>
        <v>1.53541580120039</v>
      </c>
      <c r="F24" s="14">
        <f t="shared" si="1"/>
        <v>0.74544534057472767</v>
      </c>
      <c r="G24" s="14"/>
    </row>
    <row r="25" spans="1:7" x14ac:dyDescent="0.2">
      <c r="A25" s="14" t="s">
        <v>6</v>
      </c>
      <c r="B25" s="14">
        <f>0.1586+(0.00007133)*G$22^0.5+(-0.00007693)*G$22</f>
        <v>0.13353406008712765</v>
      </c>
      <c r="C25" s="14">
        <f>1072.18+(-27.4671)*G$2^0.5+(4.44)*G$2</f>
        <v>2086.4021891470047</v>
      </c>
      <c r="D25" s="15">
        <f>(4.86287+(-0.640153*G$22^0.5)+0.0286278*G$22+(-0.000429409*G$22^(3/2)))^3</f>
        <v>9.5879520711765541E-4</v>
      </c>
      <c r="E25" s="14">
        <f>1038.73+(0.9223)*G$22^0.5+(-0.726)*G$22</f>
        <v>806.79323503936416</v>
      </c>
      <c r="F25" s="14">
        <f t="shared" si="1"/>
        <v>14.980690452823046</v>
      </c>
      <c r="G25" s="14"/>
    </row>
    <row r="26" spans="1:7" x14ac:dyDescent="0.2">
      <c r="A26" s="14" t="s">
        <v>4</v>
      </c>
      <c r="B26" s="14">
        <f>0.183482+(-0.00123141)*G$22^0.5+(-0.0000613542)*G$22</f>
        <v>0.13963147704629367</v>
      </c>
      <c r="C26" s="14">
        <f>1286.63+(-71.4665)*G$22^0.5+(6.20997)*G$22</f>
        <v>2093.0716074946172</v>
      </c>
      <c r="D26" s="15">
        <f>10^(9274+(-2437.83*G$22^0.5)+256.145*G$22+(-13.4449*G$22^(3/2))+0.352491*G$22^2+(-0.00369285)*G$22^(5/2))</f>
        <v>2.2449596001819869E-2</v>
      </c>
      <c r="E26" s="14">
        <f>1021.18+(4.2243)*G$22^0.5+(-0.703867)*G$22</f>
        <v>857.9887498433111</v>
      </c>
      <c r="F26" s="14">
        <f t="shared" si="1"/>
        <v>336.51876342721175</v>
      </c>
      <c r="G26" s="14"/>
    </row>
    <row r="27" spans="1:7" x14ac:dyDescent="0.2">
      <c r="A27" s="14" t="s">
        <v>10</v>
      </c>
      <c r="B27" s="14">
        <f>-0.797513+(0.110425)*G$22^0.5+(-0.00287622)*G$22</f>
        <v>0.26104315967015213</v>
      </c>
      <c r="C27" s="14">
        <f>1159.23+(-8.2399)*G$22^0.5+(4.66769)*G$22</f>
        <v>2607.6425864037124</v>
      </c>
      <c r="D27" s="15">
        <f>(716.119+(-154.425*G$22^0.5)+12.5104*G$22+(-0.451017)*G$22^(3/2)+0.00610317*G$22^2)^3</f>
        <v>4.4578504881152472E-3</v>
      </c>
      <c r="E27" s="14">
        <f>1457.87+(-15.91)*G$22^0.5+(-0.238222)*G$22</f>
        <v>1081.5025304867365</v>
      </c>
      <c r="F27" s="14">
        <f t="shared" si="1"/>
        <v>44.530876776538832</v>
      </c>
      <c r="G27" s="14"/>
    </row>
    <row r="28" spans="1:7" x14ac:dyDescent="0.2">
      <c r="A28" s="14" t="s">
        <v>14</v>
      </c>
      <c r="B28" s="14">
        <f>-1.56126+(0.2163377)*G$22^0.5+(-0.0056602)*G$22</f>
        <v>0.50392167385388675</v>
      </c>
      <c r="C28" s="14">
        <f>1047.43+(202.095)*G$22^0.5+(-2.7069)*G$22</f>
        <v>3861.8150784671898</v>
      </c>
      <c r="D28" s="15">
        <f>(107.562+(-22.4664*G$22^0.5)+1.76552*G$22+(-0.0617784)*G$22^(3/2)+0.000811582*G$22^2)^3</f>
        <v>7.1669972071674193E-4</v>
      </c>
      <c r="E28" s="14">
        <f>600.115+(68.6483)*G$22^0.5+(-2.51702)*G$22</f>
        <v>1008.1614480914876</v>
      </c>
      <c r="F28" s="14">
        <f t="shared" si="1"/>
        <v>5.4924444250033524</v>
      </c>
      <c r="G28" s="14"/>
    </row>
    <row r="29" spans="1:7" x14ac:dyDescent="0.2">
      <c r="A29" s="14" t="s">
        <v>15</v>
      </c>
      <c r="B29" s="14">
        <f>-1.12878+(0.151667)*G$22^0.5+(-0.0035556)*G$22</f>
        <v>0.46056134866663312</v>
      </c>
      <c r="C29" s="14">
        <f>4302.06+(-186.873)*G$22^0.5+(7.45367)*G$22</f>
        <v>3397.7324167319871</v>
      </c>
      <c r="D29" s="15">
        <f>(3.23858+(-0.310287*G$22^0.5)+(0.00761038*G$22))^3</f>
        <v>1.0720025662656746E-3</v>
      </c>
      <c r="E29" s="14">
        <f>1416.3+(-22.2397)*G$22^0.5+(0.0703129)*G$22</f>
        <v>1028.5323166712176</v>
      </c>
      <c r="F29" s="14">
        <f t="shared" si="1"/>
        <v>7.9085617600473359</v>
      </c>
      <c r="G29" s="14"/>
    </row>
    <row r="30" spans="1:7" x14ac:dyDescent="0.2">
      <c r="A30" s="14" t="s">
        <v>2</v>
      </c>
      <c r="B30" s="14">
        <f>0.111+(0.00758)*G$22^0.5+(-0.000313)*G$22</f>
        <v>0.14402456456508719</v>
      </c>
      <c r="C30" s="14">
        <f>-336.62+(120.68)*G$22^0.5+(0.194)*G$22</f>
        <v>1964.9468775349237</v>
      </c>
      <c r="D30" s="15">
        <f>10^(37.154+(-3.89514*G$22^0.5)+(0.095177*G$22))</f>
        <v>4.5783466004849999E-3</v>
      </c>
      <c r="E30" s="14">
        <f>1101+(7.673)*G$22^0.5+(-0.8996)*G$22</f>
        <v>934.54314866859022</v>
      </c>
      <c r="F30" s="14">
        <f t="shared" si="1"/>
        <v>62.463010279264488</v>
      </c>
      <c r="G30" s="14"/>
    </row>
    <row r="31" spans="1:7" x14ac:dyDescent="0.2">
      <c r="A31" s="14" t="s">
        <v>12</v>
      </c>
      <c r="B31" s="14">
        <f>0.174+(-0.003758)*G$22^0.5+(-0.0001506)*G$22</f>
        <v>5.2745066011134864E-2</v>
      </c>
      <c r="C31" s="14">
        <f>525.713+(-25.7344)*G$22^0.5+(3.11947)*G$22</f>
        <v>1119.0834522237756</v>
      </c>
      <c r="D31" s="15">
        <f>(0.49+(-0.03867*G$22^0.5)+(0.0008361*G$22))^3</f>
        <v>2.2258773865030168E-4</v>
      </c>
      <c r="E31" s="14">
        <f>-11367.9+(1577.84)*G$22^0.5+(-48.239)*G$22</f>
        <v>1308.1287405510811</v>
      </c>
      <c r="F31" s="14">
        <f t="shared" si="1"/>
        <v>4.7226077020906096</v>
      </c>
      <c r="G31" s="14"/>
    </row>
    <row r="32" spans="1:7" x14ac:dyDescent="0.2">
      <c r="A32" s="14" t="s">
        <v>13</v>
      </c>
      <c r="B32" s="14">
        <f>0.241233+(-0.00264178)*G$22^0.5+(-0.0000350195)*G$22</f>
        <v>0.1802948612101905</v>
      </c>
      <c r="C32" s="14">
        <f>565.232+(16.4843)*G$22^0.5+(4.07038)*G$22</f>
        <v>2266.6658483588744</v>
      </c>
      <c r="D32" s="15">
        <f>(0.565766+(-0.0438361*G$22^0.5)+(0.000929345*G$22))^3</f>
        <v>3.83850687050342E-4</v>
      </c>
      <c r="E32" s="14">
        <f>1466.47+(-46.3569)*G$22^0.5+(0.282203)*G$22</f>
        <v>704.72382633676898</v>
      </c>
      <c r="F32" s="14">
        <f t="shared" si="1"/>
        <v>4.8257683960929398</v>
      </c>
      <c r="G32" s="14"/>
    </row>
    <row r="33" spans="1:7" x14ac:dyDescent="0.2">
      <c r="A33" s="14" t="s">
        <v>7</v>
      </c>
      <c r="B33" s="14">
        <f>0.197182+(0.0000801211)*G$22^0.5+(-0.0000955805)*G$22</f>
        <v>0.16588175203758257</v>
      </c>
      <c r="C33" s="14">
        <f>-510.371+(134.076)*G$22^0.5+(0.649226)*G$22</f>
        <v>2195.4357874760722</v>
      </c>
      <c r="D33" s="15">
        <f>(4.86287+(-0.640153*G$22^0.5)+0.0286278*G$22+(-0.000429409*G$22^(3/2)))^3</f>
        <v>9.5879520711765541E-4</v>
      </c>
      <c r="E33" s="14">
        <f>1170.02+(-11.55011)*G$22^0.5+(-0.31374)*G$22</f>
        <v>848.49614927191828</v>
      </c>
      <c r="F33" s="14">
        <f t="shared" si="1"/>
        <v>12.689601385990459</v>
      </c>
      <c r="G33" s="14"/>
    </row>
    <row r="34" spans="1:7" x14ac:dyDescent="0.2">
      <c r="A34" s="14" t="s">
        <v>8</v>
      </c>
      <c r="B34" s="14">
        <f>0.186325+(-0.00252274)*G$22^0.5+(-0.0000407022)*G$22</f>
        <v>0.12564234676267441</v>
      </c>
      <c r="C34" s="14">
        <f>86.6947+(44.7617)*G$22^0.5+(2.43846)*G$22</f>
        <v>1752.0847652233592</v>
      </c>
      <c r="D34" s="15">
        <f>(250.537+(-46.9296*G$22^0.5)+3.28642*G$22+(-0.101907)*G$22^(3/2)+0.00118036*G$22^2)^3</f>
        <v>2.7362874442116367E-3</v>
      </c>
      <c r="E34" s="14">
        <f>1267.82+(-3.59809)*G$22^0.5+(-0.605724)*G$22</f>
        <v>993.41910865620116</v>
      </c>
      <c r="F34" s="14">
        <f t="shared" si="1"/>
        <v>38.157577184792167</v>
      </c>
      <c r="G34" s="14"/>
    </row>
    <row r="35" spans="1:7" x14ac:dyDescent="0.2">
      <c r="A35" s="14" t="s">
        <v>16</v>
      </c>
      <c r="B35" s="14">
        <f>0.178947+(-0.00267278)*G$22^0.5+(-0.0000065788)*G$22</f>
        <v>0.12718989327568947</v>
      </c>
      <c r="C35" s="14">
        <f>237.467+(66.7114)*G$22^0.5+(1.73041)*G$22</f>
        <v>2066.5100480906804</v>
      </c>
      <c r="D35" s="15">
        <f>10^(128.959+(-18.4209*G$22^0.5)+(0.868622*G$22)+(-0.0137992*G$22^(3/2)))</f>
        <v>1.1961644378805602E-2</v>
      </c>
      <c r="E35" s="14">
        <f>1159.7+(-11.0605)*G$22^0.5+(-0.359005)*G$22</f>
        <v>831.71795836779063</v>
      </c>
      <c r="F35" s="14">
        <f t="shared" si="1"/>
        <v>194.34608885872726</v>
      </c>
      <c r="G35" s="14"/>
    </row>
    <row r="36" spans="1:7" x14ac:dyDescent="0.2">
      <c r="A36" s="14" t="s">
        <v>5</v>
      </c>
      <c r="B36" s="14">
        <f>0.178947+(-0.00267278)*G$22^0.5+(-0.0000065788)*G$22</f>
        <v>0.12718989327568947</v>
      </c>
      <c r="C36" s="14">
        <f>237.467+(66.7114)*G$22^0.5+(1.73041)*G$22</f>
        <v>2066.5100480906804</v>
      </c>
      <c r="D36" s="15">
        <f>10^(2507.74+(-511.658*G$22^0.5)+39.1611*G$22+(-1.33299*G$22^(3/2))+0.0170163*G$22^2)</f>
        <v>1.4399655984449002E-2</v>
      </c>
      <c r="E36" s="14">
        <f>1159.7+(-11.0605)*G$22^0.5+(-0.359005)*G$22</f>
        <v>831.71795836779063</v>
      </c>
      <c r="F36" s="14">
        <f t="shared" si="1"/>
        <v>233.95753400321937</v>
      </c>
      <c r="G36" s="14"/>
    </row>
    <row r="37" spans="1:7" x14ac:dyDescent="0.2">
      <c r="A37" s="14" t="s">
        <v>17</v>
      </c>
      <c r="B37" s="14">
        <f>0.178947+(-0.00267278)*G$22^0.5+(-0.0000065788)*G$22</f>
        <v>0.12718989327568947</v>
      </c>
      <c r="C37" s="14">
        <f>237.467+(66.7114)*G$22^0.5+(1.73041)*G$22</f>
        <v>2066.5100480906804</v>
      </c>
      <c r="D37" s="15">
        <f>10^(198.598+(-29.6011*G$22^0.5)+(1.46836*G$22)+(-0.0245473*G$22^(3/2)))</f>
        <v>1.2301759484173424E-2</v>
      </c>
      <c r="E37" s="14">
        <f>1159.7+(-11.0605)*G$22^0.5+(-0.359005)*G$22</f>
        <v>831.71795836779063</v>
      </c>
      <c r="F37" s="14">
        <f t="shared" si="1"/>
        <v>199.87208832809205</v>
      </c>
      <c r="G37" s="14"/>
    </row>
    <row r="38" spans="1:7" x14ac:dyDescent="0.2">
      <c r="A38" s="14" t="s">
        <v>9</v>
      </c>
      <c r="B38" s="14">
        <f>-2.76131+(0.340118)*G$22^0.5+(-0.00838245)*G$22</f>
        <v>0.66258316091666547</v>
      </c>
      <c r="C38" s="14">
        <f>3805070+(-1028080)*G$22^0.5+(111160)*G$22+(-6005.26*G$22^(3/2))+162.081*G$22^2+(-1.7482*G$22^(5/2))</f>
        <v>4066.7964511797763</v>
      </c>
      <c r="D38" s="15">
        <f>(31.6371+(-6.37804*G$22^0.5)+0.485827*G$22+(-0.016519)*G$22^(3/2)+0.000211278*G$22^2)^3</f>
        <v>3.9462695664670133E-4</v>
      </c>
      <c r="E38" s="14">
        <f>-342.584+(164.103)*G$22^0.5+(-5.01225)*G$22</f>
        <v>977.44434179742825</v>
      </c>
      <c r="F38" s="14">
        <f t="shared" si="1"/>
        <v>2.4221374787285428</v>
      </c>
      <c r="G38" s="14"/>
    </row>
    <row r="39" spans="1:7" x14ac:dyDescent="0.2">
      <c r="A39" s="14">
        <v>16</v>
      </c>
      <c r="B39" s="14"/>
      <c r="C39" s="14"/>
      <c r="D39" s="14"/>
      <c r="E39" s="14"/>
      <c r="F39" s="14"/>
      <c r="G39" s="14"/>
    </row>
  </sheetData>
  <sortState ref="A23:F38">
    <sortCondition ref="A23"/>
  </sortState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Fluid Properties Calculator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Ashish Karn</dc:creator>
  <cp:lastModifiedBy>Ashish Karn</cp:lastModifiedBy>
  <cp:lastPrinted>2001-06-04T18:46:53Z</cp:lastPrinted>
  <dcterms:created xsi:type="dcterms:W3CDTF">2001-06-01T12:16:46Z</dcterms:created>
  <dcterms:modified xsi:type="dcterms:W3CDTF">2019-04-19T05:55:57Z</dcterms:modified>
</cp:coreProperties>
</file>