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BR9" i="1" l="1"/>
  <c r="BQ9" i="1"/>
  <c r="BO9" i="1"/>
  <c r="BN9" i="1"/>
  <c r="BL9" i="1"/>
  <c r="BK9" i="1"/>
  <c r="BI9" i="1"/>
  <c r="BH9" i="1"/>
  <c r="BF9" i="1"/>
  <c r="BE9" i="1"/>
  <c r="BC9" i="1"/>
  <c r="BB9" i="1"/>
  <c r="BZ9" i="1" s="1"/>
  <c r="AZ9" i="1"/>
  <c r="AY9" i="1"/>
  <c r="CA9" i="1" s="1"/>
  <c r="AW9" i="1"/>
  <c r="AV9" i="1"/>
  <c r="AT9" i="1"/>
  <c r="AS9" i="1"/>
  <c r="AQ9" i="1"/>
  <c r="AP9" i="1"/>
  <c r="AN9" i="1"/>
  <c r="AM9" i="1"/>
  <c r="BY9" i="1" s="1"/>
  <c r="AK9" i="1"/>
  <c r="AJ9" i="1"/>
  <c r="AH9" i="1"/>
  <c r="AG9" i="1"/>
  <c r="AE9" i="1"/>
  <c r="AD9" i="1"/>
  <c r="AB9" i="1"/>
  <c r="AA9" i="1"/>
  <c r="Y9" i="1"/>
  <c r="X9" i="1"/>
  <c r="V9" i="1"/>
  <c r="U9" i="1"/>
  <c r="BT9" i="1" s="1"/>
  <c r="S9" i="1"/>
  <c r="R9" i="1"/>
  <c r="BU9" i="1" s="1"/>
  <c r="P9" i="1"/>
  <c r="O9" i="1"/>
  <c r="M9" i="1"/>
  <c r="L9" i="1"/>
  <c r="J9" i="1"/>
  <c r="I9" i="1"/>
  <c r="G9" i="1"/>
  <c r="CC9" i="1" s="1"/>
  <c r="F9" i="1"/>
  <c r="BV9" i="1" s="1"/>
  <c r="BS9" i="1" l="1"/>
  <c r="BW9" i="1" s="1"/>
  <c r="BX9" i="1"/>
  <c r="CB9" i="1" s="1"/>
</calcChain>
</file>

<file path=xl/sharedStrings.xml><?xml version="1.0" encoding="utf-8"?>
<sst xmlns="http://schemas.openxmlformats.org/spreadsheetml/2006/main" count="117" uniqueCount="102">
  <si>
    <t>Base Score Metrics</t>
  </si>
  <si>
    <t>Temporal Score Metrics</t>
  </si>
  <si>
    <t>Environmental Score Metrics</t>
  </si>
  <si>
    <t>Base Scores</t>
  </si>
  <si>
    <t>Temporal</t>
  </si>
  <si>
    <t>Environmental</t>
  </si>
  <si>
    <t>Overall</t>
  </si>
  <si>
    <t>Findings / Contrôle</t>
  </si>
  <si>
    <t>Type d'actif
 ou de service</t>
  </si>
  <si>
    <t>Domaine</t>
  </si>
  <si>
    <t>Attack Vector (AV)</t>
  </si>
  <si>
    <t>Numerical Value (AV)</t>
  </si>
  <si>
    <t>Metric Value (AV)</t>
  </si>
  <si>
    <t>Attack Complexity (AC)</t>
  </si>
  <si>
    <t>Numerical Value (AC)</t>
  </si>
  <si>
    <t>Metric Value (AC)</t>
  </si>
  <si>
    <t>Privileges Required (PR)</t>
  </si>
  <si>
    <t>Numerical Value (PR)</t>
  </si>
  <si>
    <t>User Interaction (UI)</t>
  </si>
  <si>
    <t>Numerical Value (UI)</t>
  </si>
  <si>
    <t>Metric Value (UI)</t>
  </si>
  <si>
    <t>Scope (S)</t>
  </si>
  <si>
    <t>Numerical Value (S)</t>
  </si>
  <si>
    <t>Metric Value (S)</t>
  </si>
  <si>
    <t>Confidentiality Impact (C)</t>
  </si>
  <si>
    <t>Numerical Value (C)</t>
  </si>
  <si>
    <t>Metric Value (C)</t>
  </si>
  <si>
    <t>Integrity Impact (I)</t>
  </si>
  <si>
    <t>Numerical Value (I)</t>
  </si>
  <si>
    <t>Metric Value (I)</t>
  </si>
  <si>
    <t>Availability Impact (A)</t>
  </si>
  <si>
    <t>Numerical Value (A)</t>
  </si>
  <si>
    <t>Metric Value (A)</t>
  </si>
  <si>
    <t>Exploitability (E)</t>
  </si>
  <si>
    <t>Numerical Value ( E )</t>
  </si>
  <si>
    <t>Metric Value ( E )</t>
  </si>
  <si>
    <t>Remediation Level (RL)</t>
  </si>
  <si>
    <t>Numerical Value ( RL )</t>
  </si>
  <si>
    <t>Metric Value ( RL )</t>
  </si>
  <si>
    <t>Report Confidence (RC)</t>
  </si>
  <si>
    <t>Numerical Value ( RC )</t>
  </si>
  <si>
    <t>Metric Value ( RC )</t>
  </si>
  <si>
    <t>Attack Vector (MAV)</t>
  </si>
  <si>
    <t>Numerical Value (MAV)</t>
  </si>
  <si>
    <t>Metric Value (MAV)</t>
  </si>
  <si>
    <t>Attack Complexity (MAC)</t>
  </si>
  <si>
    <t>Numerical Value (MAC)</t>
  </si>
  <si>
    <t>Metric Value (MAC)</t>
  </si>
  <si>
    <t>Privileges Required (MPR)</t>
  </si>
  <si>
    <t>Numerical Value (MPR)</t>
  </si>
  <si>
    <t>Metric Value (MPR)</t>
  </si>
  <si>
    <t>User Interaction (MUI)</t>
  </si>
  <si>
    <t>Numerical Value (MUI)</t>
  </si>
  <si>
    <t>Metric Value (MUI)</t>
  </si>
  <si>
    <t>Scope (MS)</t>
  </si>
  <si>
    <t>Numerical Value (MS)</t>
  </si>
  <si>
    <t>Metric Value (MS)</t>
  </si>
  <si>
    <t>Confidentiality Impact (MC)</t>
  </si>
  <si>
    <t>Numerical Value (MC)</t>
  </si>
  <si>
    <t>Metric Value (MC)</t>
  </si>
  <si>
    <t>Integrity Impact (MI)</t>
  </si>
  <si>
    <t>Numerical Value (MI)</t>
  </si>
  <si>
    <t>Metric Value (MI)</t>
  </si>
  <si>
    <t>Availability Impact (MA)</t>
  </si>
  <si>
    <t>Numerical Value (MA)</t>
  </si>
  <si>
    <t>Metric Value (MA)</t>
  </si>
  <si>
    <t>Confidentiality Requirement (CR)</t>
  </si>
  <si>
    <t>Numerical Value (CR)</t>
  </si>
  <si>
    <t>Metric Value (CR)</t>
  </si>
  <si>
    <t>Integrity Requirement (IR)</t>
  </si>
  <si>
    <t>Numerical Value (IR)</t>
  </si>
  <si>
    <t>Metric Value (IR)</t>
  </si>
  <si>
    <t>Availability Requirement (AR)</t>
  </si>
  <si>
    <t>Numerical Value (AR)</t>
  </si>
  <si>
    <t>Metric Value (AR)</t>
  </si>
  <si>
    <t xml:space="preserve">Base </t>
  </si>
  <si>
    <t>i_mul</t>
  </si>
  <si>
    <t>Impact</t>
  </si>
  <si>
    <t>Exploitability</t>
  </si>
  <si>
    <t>m_e_subsc</t>
  </si>
  <si>
    <t>m_i_mul</t>
  </si>
  <si>
    <t>Modifier Impact</t>
  </si>
  <si>
    <t>Vector</t>
  </si>
  <si>
    <t>Overview</t>
  </si>
  <si>
    <t>Proof of Concept</t>
  </si>
  <si>
    <t>Remediation</t>
  </si>
  <si>
    <t>References</t>
  </si>
  <si>
    <t>HTTPS</t>
  </si>
  <si>
    <t>Firewall</t>
  </si>
  <si>
    <t>Conformité</t>
  </si>
  <si>
    <t>Physical</t>
  </si>
  <si>
    <t>Low</t>
  </si>
  <si>
    <t>High</t>
  </si>
  <si>
    <t>None</t>
  </si>
  <si>
    <t>Changed</t>
  </si>
  <si>
    <t>Proof Of Concept</t>
  </si>
  <si>
    <t>Unavailable</t>
  </si>
  <si>
    <t>Reasonable</t>
  </si>
  <si>
    <t>Network</t>
  </si>
  <si>
    <t>Required</t>
  </si>
  <si>
    <t>Medium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</si>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</sst>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.000\ _€_-;\-* #,##0.0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indexed="8"/>
      <name val="Arial"/>
      <family val="2"/>
    </font>
    <font>
      <b/>
      <sz val="12"/>
      <color theme="0" tint="-4.9989318521683403E-2"/>
      <name val="Calibri"/>
      <family val="2"/>
      <scheme val="minor"/>
    </font>
    <font>
      <b/>
      <sz val="11"/>
      <color indexed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8"/>
      </patternFill>
    </fill>
    <fill>
      <patternFill patternType="solid">
        <fgColor theme="5" tint="0.79998168889431442"/>
        <bgColor indexed="8"/>
      </patternFill>
    </fill>
    <fill>
      <patternFill patternType="solid">
        <fgColor theme="9" tint="0.79998168889431442"/>
        <bgColor indexed="8"/>
      </patternFill>
    </fill>
    <fill>
      <patternFill patternType="solid">
        <fgColor theme="7" tint="0.79998168889431442"/>
        <bgColor indexed="8"/>
      </patternFill>
    </fill>
    <fill>
      <patternFill patternType="solid">
        <fgColor theme="9" tint="0.59999389629810485"/>
        <bgColor indexed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7" tint="0.39997558519241921"/>
        <bgColor indexed="8"/>
      </patternFill>
    </fill>
    <fill>
      <patternFill patternType="solid">
        <fgColor theme="5" tint="0.39997558519241921"/>
        <bgColor indexed="8"/>
      </patternFill>
    </fill>
    <fill>
      <patternFill patternType="solid">
        <fgColor theme="9" tint="-0.249977111117893"/>
        <bgColor indexed="8"/>
      </patternFill>
    </fill>
    <fill>
      <patternFill patternType="solid">
        <fgColor theme="3" tint="0.39997558519241921"/>
        <bgColor indexed="8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86BF"/>
      </right>
      <top style="medium">
        <color indexed="64"/>
      </top>
      <bottom style="medium">
        <color indexed="64"/>
      </bottom>
      <diagonal/>
    </border>
    <border>
      <left/>
      <right style="thin">
        <color rgb="FF0086BF"/>
      </right>
      <top style="medium">
        <color indexed="64"/>
      </top>
      <bottom style="medium">
        <color indexed="64"/>
      </bottom>
      <diagonal/>
    </border>
    <border>
      <left style="thin">
        <color rgb="FF0086BF"/>
      </left>
      <right style="thin">
        <color rgb="FF0086B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B0F0"/>
      </left>
      <right style="thin">
        <color rgb="FF00B0F0"/>
      </right>
      <top style="medium">
        <color indexed="64"/>
      </top>
      <bottom style="medium">
        <color indexed="64"/>
      </bottom>
      <diagonal/>
    </border>
    <border>
      <left style="thin">
        <color rgb="FF0086B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86BF"/>
      </right>
      <top/>
      <bottom style="thin">
        <color rgb="FF0086BF"/>
      </bottom>
      <diagonal/>
    </border>
    <border>
      <left style="thin">
        <color rgb="FF0086BF"/>
      </left>
      <right style="thin">
        <color rgb="FF0086BF"/>
      </right>
      <top/>
      <bottom style="thin">
        <color rgb="FF0086BF"/>
      </bottom>
      <diagonal/>
    </border>
    <border>
      <left style="thin">
        <color rgb="FF0086BF"/>
      </left>
      <right/>
      <top/>
      <bottom style="thin">
        <color rgb="FF0086BF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86BF"/>
      </right>
      <top/>
      <bottom style="thin">
        <color rgb="FF0086BF"/>
      </bottom>
      <diagonal/>
    </border>
    <border>
      <left style="thin">
        <color rgb="FF0086BF"/>
      </left>
      <right style="medium">
        <color indexed="64"/>
      </right>
      <top/>
      <bottom style="thin">
        <color rgb="FF0086BF"/>
      </bottom>
      <diagonal/>
    </border>
    <border>
      <left style="medium">
        <color indexed="64"/>
      </left>
      <right style="medium">
        <color indexed="64"/>
      </right>
      <top/>
      <bottom style="thin">
        <color rgb="FF0086BF"/>
      </bottom>
      <diagonal/>
    </border>
    <border>
      <left style="medium">
        <color indexed="64"/>
      </left>
      <right/>
      <top/>
      <bottom style="thin">
        <color rgb="FF0086B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86B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86BF"/>
      </bottom>
      <diagonal/>
    </border>
    <border>
      <left/>
      <right style="medium">
        <color indexed="64"/>
      </right>
      <top/>
      <bottom style="thin">
        <color rgb="FF0086BF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rgb="FF0086BF"/>
      </top>
      <bottom style="thin">
        <color rgb="FF0086BF"/>
      </bottom>
      <diagonal/>
    </border>
    <border>
      <left style="thin">
        <color indexed="64"/>
      </left>
      <right style="thin">
        <color indexed="64"/>
      </right>
      <top/>
      <bottom style="thin">
        <color rgb="FF0086BF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Fill="1" applyBorder="1" applyAlignment="1">
      <alignment horizontal="left" vertical="center" wrapText="1"/>
    </xf>
    <xf numFmtId="44" fontId="3" fillId="0" borderId="0" xfId="2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44" fontId="3" fillId="3" borderId="10" xfId="2" applyFont="1" applyFill="1" applyBorder="1" applyAlignment="1">
      <alignment horizontal="center" vertical="center"/>
    </xf>
    <xf numFmtId="44" fontId="3" fillId="3" borderId="11" xfId="2" applyFont="1" applyFill="1" applyBorder="1" applyAlignment="1">
      <alignment horizontal="center" vertical="center"/>
    </xf>
    <xf numFmtId="44" fontId="3" fillId="3" borderId="12" xfId="2" applyFont="1" applyFill="1" applyBorder="1" applyAlignment="1">
      <alignment horizontal="center" vertical="center"/>
    </xf>
    <xf numFmtId="44" fontId="3" fillId="3" borderId="13" xfId="2" applyFont="1" applyFill="1" applyBorder="1" applyAlignment="1">
      <alignment horizontal="center" vertical="center"/>
    </xf>
    <xf numFmtId="44" fontId="3" fillId="3" borderId="2" xfId="2" applyFont="1" applyFill="1" applyBorder="1" applyAlignment="1">
      <alignment horizontal="center" vertical="center"/>
    </xf>
    <xf numFmtId="44" fontId="3" fillId="4" borderId="14" xfId="2" applyFont="1" applyFill="1" applyBorder="1" applyAlignment="1">
      <alignment horizontal="center" vertical="center"/>
    </xf>
    <xf numFmtId="44" fontId="3" fillId="5" borderId="11" xfId="2" applyFont="1" applyFill="1" applyBorder="1" applyAlignment="1">
      <alignment horizontal="center" vertical="center"/>
    </xf>
    <xf numFmtId="44" fontId="3" fillId="5" borderId="2" xfId="2" applyFont="1" applyFill="1" applyBorder="1" applyAlignment="1">
      <alignment horizontal="center" vertical="center"/>
    </xf>
    <xf numFmtId="44" fontId="3" fillId="5" borderId="13" xfId="2" applyFont="1" applyFill="1" applyBorder="1" applyAlignment="1">
      <alignment horizontal="center" vertical="center"/>
    </xf>
    <xf numFmtId="44" fontId="3" fillId="5" borderId="12" xfId="2" applyFont="1" applyFill="1" applyBorder="1" applyAlignment="1">
      <alignment horizontal="center" vertical="center"/>
    </xf>
    <xf numFmtId="44" fontId="3" fillId="5" borderId="15" xfId="2" applyFont="1" applyFill="1" applyBorder="1" applyAlignment="1">
      <alignment horizontal="center" vertical="center"/>
    </xf>
    <xf numFmtId="44" fontId="3" fillId="5" borderId="9" xfId="2" applyFont="1" applyFill="1" applyBorder="1" applyAlignment="1">
      <alignment horizontal="center" vertical="center"/>
    </xf>
    <xf numFmtId="44" fontId="3" fillId="6" borderId="10" xfId="2" applyFont="1" applyFill="1" applyBorder="1" applyAlignment="1">
      <alignment horizontal="center" vertical="center"/>
    </xf>
    <xf numFmtId="44" fontId="3" fillId="6" borderId="11" xfId="2" applyFont="1" applyFill="1" applyBorder="1" applyAlignment="1">
      <alignment horizontal="center" vertical="center"/>
    </xf>
    <xf numFmtId="44" fontId="3" fillId="6" borderId="12" xfId="2" applyFont="1" applyFill="1" applyBorder="1" applyAlignment="1">
      <alignment horizontal="center" vertical="center"/>
    </xf>
    <xf numFmtId="44" fontId="3" fillId="6" borderId="15" xfId="2" applyFont="1" applyFill="1" applyBorder="1" applyAlignment="1">
      <alignment horizontal="center" vertical="center"/>
    </xf>
    <xf numFmtId="44" fontId="3" fillId="4" borderId="10" xfId="2" applyFont="1" applyFill="1" applyBorder="1" applyAlignment="1">
      <alignment horizontal="left" vertical="center"/>
    </xf>
    <xf numFmtId="44" fontId="3" fillId="7" borderId="1" xfId="2" applyFont="1" applyFill="1" applyBorder="1" applyAlignment="1">
      <alignment horizontal="center" vertical="center"/>
    </xf>
    <xf numFmtId="44" fontId="3" fillId="7" borderId="13" xfId="2" applyFont="1" applyFill="1" applyBorder="1" applyAlignment="1">
      <alignment horizontal="center" vertical="center"/>
    </xf>
    <xf numFmtId="44" fontId="3" fillId="7" borderId="2" xfId="2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44" fontId="3" fillId="10" borderId="16" xfId="2" applyFont="1" applyFill="1" applyBorder="1" applyAlignment="1">
      <alignment horizontal="left" vertical="center"/>
    </xf>
    <xf numFmtId="44" fontId="3" fillId="10" borderId="17" xfId="2" applyFont="1" applyFill="1" applyBorder="1" applyAlignment="1">
      <alignment horizontal="left" vertical="center"/>
    </xf>
    <xf numFmtId="44" fontId="3" fillId="10" borderId="18" xfId="2" applyFont="1" applyFill="1" applyBorder="1" applyAlignment="1">
      <alignment horizontal="left" vertical="center"/>
    </xf>
    <xf numFmtId="44" fontId="3" fillId="3" borderId="19" xfId="2" applyFont="1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44" fontId="3" fillId="4" borderId="19" xfId="2" applyFont="1" applyFill="1" applyBorder="1" applyAlignment="1">
      <alignment horizontal="left" vertical="center"/>
    </xf>
    <xf numFmtId="44" fontId="3" fillId="5" borderId="19" xfId="2" applyFont="1" applyFill="1" applyBorder="1" applyAlignment="1">
      <alignment horizontal="left" vertical="center"/>
    </xf>
    <xf numFmtId="164" fontId="5" fillId="11" borderId="20" xfId="1" applyNumberFormat="1" applyFont="1" applyFill="1" applyBorder="1" applyAlignment="1">
      <alignment horizontal="left" vertical="center"/>
    </xf>
    <xf numFmtId="165" fontId="3" fillId="10" borderId="20" xfId="1" applyNumberFormat="1" applyFont="1" applyFill="1" applyBorder="1" applyAlignment="1">
      <alignment horizontal="left" vertical="center"/>
    </xf>
    <xf numFmtId="164" fontId="5" fillId="6" borderId="17" xfId="1" applyNumberFormat="1" applyFont="1" applyFill="1" applyBorder="1" applyAlignment="1">
      <alignment horizontal="left" vertical="center"/>
    </xf>
    <xf numFmtId="164" fontId="5" fillId="6" borderId="21" xfId="1" applyNumberFormat="1" applyFont="1" applyFill="1" applyBorder="1" applyAlignment="1">
      <alignment horizontal="left" vertical="center"/>
    </xf>
    <xf numFmtId="164" fontId="5" fillId="12" borderId="22" xfId="1" applyNumberFormat="1" applyFont="1" applyFill="1" applyBorder="1" applyAlignment="1">
      <alignment horizontal="left" vertical="center"/>
    </xf>
    <xf numFmtId="164" fontId="5" fillId="13" borderId="23" xfId="1" applyNumberFormat="1" applyFont="1" applyFill="1" applyBorder="1" applyAlignment="1">
      <alignment horizontal="left" vertical="center"/>
    </xf>
    <xf numFmtId="165" fontId="3" fillId="10" borderId="24" xfId="1" applyNumberFormat="1" applyFont="1" applyFill="1" applyBorder="1" applyAlignment="1">
      <alignment horizontal="left" vertical="center"/>
    </xf>
    <xf numFmtId="164" fontId="5" fillId="7" borderId="25" xfId="1" applyNumberFormat="1" applyFont="1" applyFill="1" applyBorder="1" applyAlignment="1">
      <alignment horizontal="left" vertical="center"/>
    </xf>
    <xf numFmtId="164" fontId="5" fillId="14" borderId="26" xfId="1" applyNumberFormat="1" applyFont="1" applyFill="1" applyBorder="1" applyAlignment="1">
      <alignment horizontal="left" vertical="center"/>
    </xf>
    <xf numFmtId="44" fontId="3" fillId="10" borderId="25" xfId="2" applyFont="1" applyFill="1" applyBorder="1" applyAlignment="1">
      <alignment horizontal="left" vertical="center"/>
    </xf>
    <xf numFmtId="44" fontId="3" fillId="10" borderId="22" xfId="2" applyFont="1" applyFill="1" applyBorder="1" applyAlignment="1">
      <alignment horizontal="left" vertical="center"/>
    </xf>
    <xf numFmtId="44" fontId="3" fillId="10" borderId="27" xfId="2" applyFont="1" applyFill="1" applyBorder="1" applyAlignment="1">
      <alignment horizontal="left" vertical="center"/>
    </xf>
    <xf numFmtId="44" fontId="3" fillId="3" borderId="28" xfId="2" applyFont="1" applyFill="1" applyBorder="1" applyAlignment="1">
      <alignment horizontal="left" vertical="center"/>
    </xf>
    <xf numFmtId="44" fontId="3" fillId="4" borderId="28" xfId="2" applyFont="1" applyFill="1" applyBorder="1" applyAlignment="1">
      <alignment horizontal="left" vertical="center"/>
    </xf>
    <xf numFmtId="44" fontId="3" fillId="5" borderId="28" xfId="2" applyFont="1" applyFill="1" applyBorder="1" applyAlignment="1">
      <alignment horizontal="left" vertical="center"/>
    </xf>
    <xf numFmtId="44" fontId="3" fillId="6" borderId="20" xfId="2" applyFont="1" applyFill="1" applyBorder="1" applyAlignment="1">
      <alignment horizontal="left" vertical="center"/>
    </xf>
    <xf numFmtId="44" fontId="3" fillId="6" borderId="17" xfId="2" applyFont="1" applyFill="1" applyBorder="1" applyAlignment="1">
      <alignment horizontal="left" vertical="center"/>
    </xf>
    <xf numFmtId="44" fontId="3" fillId="6" borderId="21" xfId="2" applyFont="1" applyFill="1" applyBorder="1" applyAlignment="1">
      <alignment horizontal="left" vertical="center"/>
    </xf>
    <xf numFmtId="44" fontId="3" fillId="4" borderId="22" xfId="2" applyFont="1" applyFill="1" applyBorder="1" applyAlignment="1">
      <alignment horizontal="left" vertical="center"/>
    </xf>
    <xf numFmtId="44" fontId="3" fillId="7" borderId="16" xfId="2" applyFont="1" applyFill="1" applyBorder="1" applyAlignment="1">
      <alignment horizontal="left" vertical="center"/>
    </xf>
    <xf numFmtId="44" fontId="3" fillId="7" borderId="25" xfId="2" applyFont="1" applyFill="1" applyBorder="1" applyAlignment="1">
      <alignment horizontal="left" vertical="center"/>
    </xf>
    <xf numFmtId="44" fontId="3" fillId="7" borderId="18" xfId="2" applyFont="1" applyFill="1" applyBorder="1" applyAlignment="1">
      <alignment horizontal="left" vertical="center"/>
    </xf>
    <xf numFmtId="44" fontId="3" fillId="3" borderId="29" xfId="2" applyFont="1" applyFill="1" applyBorder="1" applyAlignment="1">
      <alignment horizontal="left" vertical="center"/>
    </xf>
    <xf numFmtId="44" fontId="3" fillId="3" borderId="30" xfId="2" applyFont="1" applyFill="1" applyBorder="1" applyAlignment="1">
      <alignment horizontal="left" vertical="center"/>
    </xf>
    <xf numFmtId="0" fontId="0" fillId="0" borderId="31" xfId="0" applyBorder="1"/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G18"/>
  <sheetViews>
    <sheetView tabSelected="1" workbookViewId="0">
      <selection sqref="A1:XFD1048576"/>
    </sheetView>
  </sheetViews>
  <sheetFormatPr baseColWidth="10" defaultColWidth="11.42578125" defaultRowHeight="15" outlineLevelCol="4" x14ac:dyDescent="0.25"/>
  <cols>
    <col min="1" max="1" width="4" customWidth="1"/>
    <col min="2" max="2" width="36.85546875" customWidth="1"/>
    <col min="3" max="3" width="31.85546875" customWidth="1"/>
    <col min="4" max="4" width="23.7109375" bestFit="1" customWidth="1"/>
    <col min="5" max="5" width="21.7109375" customWidth="1" outlineLevel="1"/>
    <col min="6" max="6" width="20.42578125" hidden="1" customWidth="1" outlineLevel="2"/>
    <col min="7" max="7" width="21.7109375" hidden="1" customWidth="1" outlineLevel="2"/>
    <col min="8" max="8" width="24.140625" customWidth="1" outlineLevel="1" collapsed="1"/>
    <col min="9" max="10" width="24.140625" hidden="1" customWidth="1" outlineLevel="2"/>
    <col min="11" max="11" width="25.7109375" customWidth="1" outlineLevel="1" collapsed="1"/>
    <col min="12" max="13" width="25.7109375" hidden="1" customWidth="1" outlineLevel="2"/>
    <col min="14" max="14" width="21" customWidth="1" outlineLevel="1" collapsed="1"/>
    <col min="15" max="16" width="21" hidden="1" customWidth="1" outlineLevel="2"/>
    <col min="17" max="17" width="12.85546875" customWidth="1" outlineLevel="1" collapsed="1"/>
    <col min="18" max="18" width="13.5703125" hidden="1" customWidth="1" outlineLevel="2"/>
    <col min="19" max="19" width="11.85546875" hidden="1" customWidth="1" outlineLevel="2"/>
    <col min="20" max="20" width="26" customWidth="1" outlineLevel="1" collapsed="1"/>
    <col min="21" max="22" width="26" hidden="1" customWidth="1" outlineLevel="2"/>
    <col min="23" max="23" width="19" customWidth="1" outlineLevel="1" collapsed="1"/>
    <col min="24" max="25" width="19" hidden="1" customWidth="1" outlineLevel="2"/>
    <col min="26" max="26" width="19" customWidth="1" outlineLevel="1" collapsed="1"/>
    <col min="27" max="27" width="19" hidden="1" customWidth="1" outlineLevel="3"/>
    <col min="28" max="28" width="22.42578125" hidden="1" customWidth="1" outlineLevel="3" collapsed="1"/>
    <col min="29" max="29" width="20.85546875" customWidth="1" outlineLevel="2" collapsed="1"/>
    <col min="30" max="31" width="20.85546875" hidden="1" customWidth="1" outlineLevel="3"/>
    <col min="32" max="32" width="24.5703125" customWidth="1" outlineLevel="2" collapsed="1"/>
    <col min="33" max="34" width="24.5703125" hidden="1" customWidth="1" outlineLevel="3"/>
    <col min="35" max="35" width="24.5703125" customWidth="1" outlineLevel="2" collapsed="1"/>
    <col min="36" max="36" width="26.85546875" hidden="1" customWidth="1" outlineLevel="4"/>
    <col min="37" max="37" width="29.140625" hidden="1" customWidth="1" outlineLevel="3" collapsed="1"/>
    <col min="38" max="38" width="32.85546875" customWidth="1" outlineLevel="2" collapsed="1"/>
    <col min="39" max="40" width="32.85546875" hidden="1" customWidth="1" outlineLevel="3"/>
    <col min="41" max="41" width="24.140625" customWidth="1" outlineLevel="2" collapsed="1"/>
    <col min="42" max="43" width="24.140625" hidden="1" customWidth="1" outlineLevel="3"/>
    <col min="44" max="44" width="25.7109375" customWidth="1" outlineLevel="2" collapsed="1"/>
    <col min="45" max="46" width="25.7109375" hidden="1" customWidth="1" outlineLevel="3"/>
    <col min="47" max="47" width="21" customWidth="1" outlineLevel="2" collapsed="1"/>
    <col min="48" max="49" width="21" hidden="1" customWidth="1" outlineLevel="3"/>
    <col min="50" max="50" width="14.140625" customWidth="1" outlineLevel="2" collapsed="1"/>
    <col min="51" max="52" width="11.85546875" hidden="1" customWidth="1" outlineLevel="3"/>
    <col min="53" max="53" width="24" customWidth="1" outlineLevel="2" collapsed="1"/>
    <col min="54" max="55" width="24" hidden="1" customWidth="1" outlineLevel="3"/>
    <col min="56" max="56" width="19" customWidth="1" outlineLevel="2" collapsed="1"/>
    <col min="57" max="58" width="19" hidden="1" customWidth="1" outlineLevel="3"/>
    <col min="59" max="59" width="20.7109375" customWidth="1" outlineLevel="2" collapsed="1"/>
    <col min="60" max="61" width="20.7109375" hidden="1" customWidth="1" outlineLevel="3"/>
    <col min="62" max="62" width="33.5703125" customWidth="1" outlineLevel="2" collapsed="1"/>
    <col min="63" max="64" width="33.5703125" hidden="1" customWidth="1" outlineLevel="3"/>
    <col min="65" max="65" width="26.5703125" customWidth="1" outlineLevel="2" collapsed="1"/>
    <col min="66" max="67" width="26.5703125" hidden="1" customWidth="1" outlineLevel="3"/>
    <col min="68" max="68" width="26.5703125" customWidth="1" outlineLevel="2" collapsed="1"/>
    <col min="69" max="69" width="26.5703125" hidden="1" customWidth="1" outlineLevel="3"/>
    <col min="70" max="70" width="32.42578125" hidden="1" customWidth="1" outlineLevel="3" collapsed="1"/>
    <col min="71" max="71" width="10.140625" customWidth="1" outlineLevel="2" collapsed="1"/>
    <col min="72" max="72" width="10.140625" customWidth="1" outlineLevel="1"/>
    <col min="73" max="73" width="11.42578125" customWidth="1" outlineLevel="1"/>
    <col min="74" max="74" width="12.7109375" customWidth="1" outlineLevel="1"/>
    <col min="75" max="75" width="12" customWidth="1" outlineLevel="1"/>
    <col min="76" max="76" width="16.5703125" customWidth="1" outlineLevel="1"/>
    <col min="77" max="78" width="16.5703125" hidden="1" customWidth="1" outlineLevel="2"/>
    <col min="79" max="79" width="15.140625" customWidth="1" outlineLevel="1" collapsed="1"/>
    <col min="80" max="80" width="14.28515625" customWidth="1"/>
    <col min="81" max="81" width="125.42578125" customWidth="1"/>
    <col min="82" max="82" width="19.5703125" customWidth="1"/>
    <col min="83" max="83" width="21.140625" customWidth="1"/>
    <col min="84" max="84" width="12.42578125" bestFit="1" customWidth="1"/>
    <col min="85" max="85" width="17.5703125" customWidth="1"/>
  </cols>
  <sheetData>
    <row r="2" spans="2:85" x14ac:dyDescent="0.25">
      <c r="B2" s="1"/>
      <c r="C2" s="2"/>
    </row>
    <row r="3" spans="2:85" x14ac:dyDescent="0.25">
      <c r="B3" s="3"/>
      <c r="C3" s="3"/>
    </row>
    <row r="4" spans="2:85" x14ac:dyDescent="0.25">
      <c r="B4" s="2"/>
      <c r="C4" s="2"/>
    </row>
    <row r="5" spans="2:85" ht="15.75" thickBot="1" x14ac:dyDescent="0.3">
      <c r="B5" s="2"/>
      <c r="C5" s="2"/>
    </row>
    <row r="6" spans="2:85" s="4" customFormat="1" ht="16.5" thickBot="1" x14ac:dyDescent="0.3">
      <c r="B6" s="2"/>
      <c r="C6" s="2"/>
      <c r="E6" s="5" t="s">
        <v>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/>
      <c r="AC6" s="8" t="s">
        <v>1</v>
      </c>
      <c r="AD6" s="8"/>
      <c r="AE6" s="8"/>
      <c r="AF6" s="8"/>
      <c r="AG6" s="8"/>
      <c r="AH6" s="8"/>
      <c r="AI6" s="8"/>
      <c r="AJ6" s="8"/>
      <c r="AK6" s="9"/>
      <c r="AL6" s="10" t="s">
        <v>2</v>
      </c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1"/>
      <c r="BS6" s="12" t="s">
        <v>3</v>
      </c>
      <c r="BT6" s="10"/>
      <c r="BU6" s="10"/>
      <c r="BV6" s="11"/>
      <c r="BW6" s="13" t="s">
        <v>4</v>
      </c>
      <c r="BX6" s="5" t="s">
        <v>5</v>
      </c>
      <c r="BY6" s="6"/>
      <c r="BZ6" s="6"/>
      <c r="CA6" s="7"/>
      <c r="CB6" s="14" t="s">
        <v>6</v>
      </c>
    </row>
    <row r="7" spans="2:85" s="4" customFormat="1" ht="16.5" thickBot="1" x14ac:dyDescent="0.3">
      <c r="E7" s="1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7"/>
      <c r="AC7" s="15"/>
      <c r="AD7" s="16"/>
      <c r="AE7" s="16"/>
      <c r="AF7" s="16"/>
      <c r="AG7" s="16"/>
      <c r="AH7" s="16"/>
      <c r="AI7" s="16"/>
      <c r="AJ7" s="16"/>
      <c r="AK7" s="17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9"/>
      <c r="BS7" s="18"/>
      <c r="BT7" s="19"/>
      <c r="BU7" s="19"/>
      <c r="BV7" s="20"/>
      <c r="BW7" s="20"/>
      <c r="BX7" s="5"/>
      <c r="BY7" s="6"/>
      <c r="BZ7" s="6"/>
      <c r="CA7" s="6"/>
      <c r="CB7" s="13"/>
      <c r="CC7" s="14"/>
    </row>
    <row r="8" spans="2:85" ht="30.75" thickBot="1" x14ac:dyDescent="0.3">
      <c r="B8" s="21" t="s">
        <v>7</v>
      </c>
      <c r="C8" s="22" t="s">
        <v>8</v>
      </c>
      <c r="D8" s="22" t="s">
        <v>9</v>
      </c>
      <c r="E8" s="23" t="s">
        <v>10</v>
      </c>
      <c r="F8" s="24" t="s">
        <v>11</v>
      </c>
      <c r="G8" s="24" t="s">
        <v>12</v>
      </c>
      <c r="H8" s="25" t="s">
        <v>13</v>
      </c>
      <c r="I8" s="24" t="s">
        <v>14</v>
      </c>
      <c r="J8" s="24" t="s">
        <v>15</v>
      </c>
      <c r="K8" s="25" t="s">
        <v>16</v>
      </c>
      <c r="L8" s="24" t="s">
        <v>17</v>
      </c>
      <c r="M8" s="24" t="s">
        <v>15</v>
      </c>
      <c r="N8" s="25" t="s">
        <v>18</v>
      </c>
      <c r="O8" s="24" t="s">
        <v>19</v>
      </c>
      <c r="P8" s="24" t="s">
        <v>20</v>
      </c>
      <c r="Q8" s="25" t="s">
        <v>21</v>
      </c>
      <c r="R8" s="24" t="s">
        <v>22</v>
      </c>
      <c r="S8" s="24" t="s">
        <v>23</v>
      </c>
      <c r="T8" s="25" t="s">
        <v>24</v>
      </c>
      <c r="U8" s="24" t="s">
        <v>25</v>
      </c>
      <c r="V8" s="24" t="s">
        <v>26</v>
      </c>
      <c r="W8" s="25" t="s">
        <v>27</v>
      </c>
      <c r="X8" s="24" t="s">
        <v>28</v>
      </c>
      <c r="Y8" s="24" t="s">
        <v>29</v>
      </c>
      <c r="Z8" s="26" t="s">
        <v>30</v>
      </c>
      <c r="AA8" s="24" t="s">
        <v>31</v>
      </c>
      <c r="AB8" s="27" t="s">
        <v>32</v>
      </c>
      <c r="AC8" s="28" t="s">
        <v>33</v>
      </c>
      <c r="AD8" s="28" t="s">
        <v>34</v>
      </c>
      <c r="AE8" s="28" t="s">
        <v>35</v>
      </c>
      <c r="AF8" s="28" t="s">
        <v>36</v>
      </c>
      <c r="AG8" s="28" t="s">
        <v>37</v>
      </c>
      <c r="AH8" s="28" t="s">
        <v>38</v>
      </c>
      <c r="AI8" s="28" t="s">
        <v>39</v>
      </c>
      <c r="AJ8" s="28" t="s">
        <v>40</v>
      </c>
      <c r="AK8" s="28" t="s">
        <v>41</v>
      </c>
      <c r="AL8" s="29" t="s">
        <v>42</v>
      </c>
      <c r="AM8" s="30" t="s">
        <v>43</v>
      </c>
      <c r="AN8" s="31" t="s">
        <v>44</v>
      </c>
      <c r="AO8" s="30" t="s">
        <v>45</v>
      </c>
      <c r="AP8" s="30" t="s">
        <v>46</v>
      </c>
      <c r="AQ8" s="31" t="s">
        <v>47</v>
      </c>
      <c r="AR8" s="32" t="s">
        <v>48</v>
      </c>
      <c r="AS8" s="30" t="s">
        <v>49</v>
      </c>
      <c r="AT8" s="31" t="s">
        <v>50</v>
      </c>
      <c r="AU8" s="32" t="s">
        <v>51</v>
      </c>
      <c r="AV8" s="30" t="s">
        <v>52</v>
      </c>
      <c r="AW8" s="31" t="s">
        <v>53</v>
      </c>
      <c r="AX8" s="32" t="s">
        <v>54</v>
      </c>
      <c r="AY8" s="30" t="s">
        <v>55</v>
      </c>
      <c r="AZ8" s="31" t="s">
        <v>56</v>
      </c>
      <c r="BA8" s="32" t="s">
        <v>57</v>
      </c>
      <c r="BB8" s="30" t="s">
        <v>58</v>
      </c>
      <c r="BC8" s="31" t="s">
        <v>59</v>
      </c>
      <c r="BD8" s="32" t="s">
        <v>60</v>
      </c>
      <c r="BE8" s="30" t="s">
        <v>61</v>
      </c>
      <c r="BF8" s="31" t="s">
        <v>62</v>
      </c>
      <c r="BG8" s="32" t="s">
        <v>63</v>
      </c>
      <c r="BH8" s="30" t="s">
        <v>64</v>
      </c>
      <c r="BI8" s="31" t="s">
        <v>65</v>
      </c>
      <c r="BJ8" s="32" t="s">
        <v>66</v>
      </c>
      <c r="BK8" s="30" t="s">
        <v>67</v>
      </c>
      <c r="BL8" s="31" t="s">
        <v>68</v>
      </c>
      <c r="BM8" s="32" t="s">
        <v>69</v>
      </c>
      <c r="BN8" s="30" t="s">
        <v>70</v>
      </c>
      <c r="BO8" s="31" t="s">
        <v>71</v>
      </c>
      <c r="BP8" s="33" t="s">
        <v>72</v>
      </c>
      <c r="BQ8" s="30" t="s">
        <v>73</v>
      </c>
      <c r="BR8" s="34" t="s">
        <v>74</v>
      </c>
      <c r="BS8" s="35" t="s">
        <v>75</v>
      </c>
      <c r="BT8" s="36" t="s">
        <v>76</v>
      </c>
      <c r="BU8" s="37" t="s">
        <v>77</v>
      </c>
      <c r="BV8" s="38" t="s">
        <v>78</v>
      </c>
      <c r="BW8" s="39" t="s">
        <v>4</v>
      </c>
      <c r="BX8" s="40" t="s">
        <v>5</v>
      </c>
      <c r="BY8" s="41" t="s">
        <v>79</v>
      </c>
      <c r="BZ8" s="42" t="s">
        <v>80</v>
      </c>
      <c r="CA8" s="43" t="s">
        <v>81</v>
      </c>
      <c r="CB8" s="44" t="s">
        <v>6</v>
      </c>
      <c r="CC8" s="13" t="s">
        <v>82</v>
      </c>
      <c r="CD8" s="13" t="s">
        <v>83</v>
      </c>
      <c r="CE8" s="13" t="s">
        <v>84</v>
      </c>
      <c r="CF8" s="13" t="s">
        <v>85</v>
      </c>
      <c r="CG8" s="13" t="s">
        <v>86</v>
      </c>
    </row>
    <row r="9" spans="2:85" x14ac:dyDescent="0.25">
      <c r="B9" s="45" t="s">
        <v>87</v>
      </c>
      <c r="C9" s="46" t="s">
        <v>88</v>
      </c>
      <c r="D9" s="47" t="s">
        <v>89</v>
      </c>
      <c r="E9" s="48" t="s">
        <v>90</v>
      </c>
      <c r="F9" s="49">
        <f>IF(E9="Network",0.85,IF(E9="Adjacent Network",0.62,IF(E9="Local",0.55,IF(E9="Physical",0.2))))</f>
        <v>0.2</v>
      </c>
      <c r="G9" s="49" t="str">
        <f>IF(E9="Network","AV:N",IF(E9="Adjacent Network","AV:A",IF(E9="Local","AV:L","AV:P")))</f>
        <v>AV:P</v>
      </c>
      <c r="H9" s="48" t="s">
        <v>91</v>
      </c>
      <c r="I9" s="49">
        <f>IF(H9="Low",0.77,0.44)</f>
        <v>0.77</v>
      </c>
      <c r="J9" s="49" t="str">
        <f>IF(H9="Low","AC:L","AC:H")</f>
        <v>AC:L</v>
      </c>
      <c r="K9" s="48" t="s">
        <v>92</v>
      </c>
      <c r="L9" s="49">
        <f>IF(AND(K9="Low",Q9="Unchanged"),0.62,IF(AND(K9="Low",Q9="Changed"),0.68,IF(AND(K9="High",Q9="Unchanged"),0.27,IF(AND(K9="High",Q9="Changed"),0.5,0.85))))</f>
        <v>0.5</v>
      </c>
      <c r="M9" s="49" t="str">
        <f>IF(K9="None","PR:N",IF(K9="Low","PR:L","PR:H"))</f>
        <v>PR:H</v>
      </c>
      <c r="N9" s="48" t="s">
        <v>93</v>
      </c>
      <c r="O9" s="49">
        <f>IF(N9="None",0.85,0.62)</f>
        <v>0.85</v>
      </c>
      <c r="P9" s="49" t="str">
        <f>IF(N9="None","UI:N","UI:R")</f>
        <v>UI:N</v>
      </c>
      <c r="Q9" s="48" t="s">
        <v>94</v>
      </c>
      <c r="R9" s="49">
        <f>IF(Q9="Unchanged",6.42,7.52)</f>
        <v>7.52</v>
      </c>
      <c r="S9" s="49" t="str">
        <f>IF(Q9="Unchanged","S:U","S:C")</f>
        <v>S:C</v>
      </c>
      <c r="T9" s="48" t="s">
        <v>91</v>
      </c>
      <c r="U9" s="49">
        <f>IF(T9="None",0,IF(T9="Low",0.22,0.56))</f>
        <v>0.22</v>
      </c>
      <c r="V9" s="49" t="str">
        <f>IF(T9="None","C:N",IF(T9="Low","C:L","C:H"))</f>
        <v>C:L</v>
      </c>
      <c r="W9" s="48" t="s">
        <v>93</v>
      </c>
      <c r="X9" s="49">
        <f>IF(W9="None",0,IF(W9="Low",0.22,0.56))</f>
        <v>0</v>
      </c>
      <c r="Y9" s="49" t="str">
        <f>IF(W9="None","I:N",IF(W9="Low","I:L","I:H"))</f>
        <v>I:N</v>
      </c>
      <c r="Z9" s="48" t="s">
        <v>93</v>
      </c>
      <c r="AA9" s="49">
        <f>IF(Z9="None",0,IF(Z9="Low",0.22,0.56))</f>
        <v>0</v>
      </c>
      <c r="AB9" s="49" t="str">
        <f>IF(Z9="None","A:N",IF(Z9="Low","A:L","A:H"))</f>
        <v>A:N</v>
      </c>
      <c r="AC9" s="50" t="s">
        <v>95</v>
      </c>
      <c r="AD9" s="49">
        <f>IF(AC9="Not Defined",1,IF(AC9="High",1,IF(AC9="Functional",0.97,IF(AC9="Proof Of Concept",0.94,0.91))))</f>
        <v>0.94</v>
      </c>
      <c r="AE9" s="49" t="str">
        <f>IF(AC9="Not Defined","E:X",IF(AC9="High","E:H",IF(AC9="Functional","E:F",IF(AC9="Proof Of Concept","E:P","E:U"))))</f>
        <v>E:P</v>
      </c>
      <c r="AF9" s="50" t="s">
        <v>96</v>
      </c>
      <c r="AG9" s="49">
        <f>IF(AF9="Not Defined",1,IF(AF9="Unavailable",1,IF(AF9="Workaround",0.97,IF(AF9="Temporary Fix",0.94,0.91))))</f>
        <v>1</v>
      </c>
      <c r="AH9" s="49" t="str">
        <f>IF(AF9="Not Defined","RL:X",IF(AF9="Official Fix","RL:O",IF(AF9="Temporary Fix","RL:T",IF(AF9="Workaround","RL:W","RL:U"))))</f>
        <v>RL:U</v>
      </c>
      <c r="AI9" s="50" t="s">
        <v>97</v>
      </c>
      <c r="AJ9" s="49">
        <f>IF(AI9="Not Defined",1,IF(AI9="Confirmed",1,IF(AI9="Reasonable",0.96,0.92)))</f>
        <v>0.96</v>
      </c>
      <c r="AK9" s="49" t="str">
        <f>IF(AI9="Not Defined","RC:X",IF(AI9="Unknown","RC:U",IF(AI9="Reasonable","RC:R","RC:C")))</f>
        <v>RC:R</v>
      </c>
      <c r="AL9" s="51" t="s">
        <v>98</v>
      </c>
      <c r="AM9" s="49">
        <f>IF(AL9="Network",0.85,IF(AL9="Adjacent Network",0.62,IF(AL9="Local",0.55,IF(AL9="Physical",0.2,1))))</f>
        <v>0.85</v>
      </c>
      <c r="AN9" s="49" t="str">
        <f>IF(AL9="Network","MAV:N",IF(AL9="Adjacent Network","MAV:A",IF(AL9="Local","MAV:L",IF(AL9="Physical","MAV:P","MAV:X"))))</f>
        <v>MAV:N</v>
      </c>
      <c r="AO9" s="51" t="s">
        <v>91</v>
      </c>
      <c r="AP9" s="49">
        <f>IF(AO9="Low",0.77,IF(AO9="High",0.44,1))</f>
        <v>0.77</v>
      </c>
      <c r="AQ9" s="49" t="str">
        <f>IF(AO9="Low","MAC:L",IF(AO9="High","MAC:H","MAC:X"))</f>
        <v>MAC:L</v>
      </c>
      <c r="AR9" s="51" t="s">
        <v>92</v>
      </c>
      <c r="AS9" s="49">
        <f>IF(AR9=AX9,1,IF(AND(AR9="Low",AX9="Not Defined"),1,IF(AND(AR9="Low",AX9="Unchanged"),0.62,IF(AND(AR9="Low",AX9="Changed"),0.68,IF(AND(AR9="High",AX9="Not Defined"),1,IF(AND(AR9="High",AX9="Unchanged"),0.27,IF(AND(AR9="High",AX9="Changed"),0.5,IF(AND(AR9="None",AX9="Not Defined"),1,IF(AND(AR9="Not Defined",AX9="Changed"),1,IF(AND(AR9="Not Defined",AX9="Unchanged"),1,0.85))))))))))</f>
        <v>0.5</v>
      </c>
      <c r="AT9" s="49" t="str">
        <f>IF(AR9="None","MPR:N",IF(AR9="Low","MPR:L",IF(AR9="High","MPR:H","MPR:X")))</f>
        <v>MPR:H</v>
      </c>
      <c r="AU9" s="51" t="s">
        <v>99</v>
      </c>
      <c r="AV9" s="49">
        <f>IF(AU9="None",0.85,IF(AU9="Required",0.62,1))</f>
        <v>0.62</v>
      </c>
      <c r="AW9" s="49" t="str">
        <f>IF(AU9="None","MUI:N",IF(AU9="Required","MUI:R","MUI:X"))</f>
        <v>MUI:R</v>
      </c>
      <c r="AX9" s="51" t="s">
        <v>94</v>
      </c>
      <c r="AY9" s="49">
        <f>IF(AX9="Unchanged",6.42,IF(AX9="Changed",7.52,1))</f>
        <v>7.52</v>
      </c>
      <c r="AZ9" s="49" t="str">
        <f>IF(AX9="Unchanged","MS:U",IF(AX9="Changed","MS:C","MS:X"))</f>
        <v>MS:C</v>
      </c>
      <c r="BA9" s="51" t="s">
        <v>92</v>
      </c>
      <c r="BB9" s="49">
        <f>IF(BA9="None",0,IF(BA9="Low",0.22,IF(BA9="High",0.56,1)))</f>
        <v>0.56000000000000005</v>
      </c>
      <c r="BC9" s="49" t="str">
        <f>IF(BA9="None","MC:N",IF(BA9="Low","MC:L",IF(BA9="High","MC:H","MC:X")))</f>
        <v>MC:H</v>
      </c>
      <c r="BD9" s="51" t="s">
        <v>92</v>
      </c>
      <c r="BE9" s="49">
        <f>IF(BD9="None",0,IF(BD9="Low",0.22,IF(BD9="High",0.56,1)))</f>
        <v>0.56000000000000005</v>
      </c>
      <c r="BF9" s="49" t="str">
        <f>IF(BD9="None","MI:N",IF(BD9="Low","MI:L",IF(BD9="High","MI:H","MI:X")))</f>
        <v>MI:H</v>
      </c>
      <c r="BG9" s="51" t="s">
        <v>92</v>
      </c>
      <c r="BH9" s="49">
        <f>IF(BG9="None",0,IF(BG9="Low",0.22,IF(BG9="High",0.56,1)))</f>
        <v>0.56000000000000005</v>
      </c>
      <c r="BI9" s="49" t="str">
        <f>IF(BG9="None","MA:N",IF(BG9="Low","MA:L",IF(BG9="High","MA:H","MA:X")))</f>
        <v>MA:H</v>
      </c>
      <c r="BJ9" s="51" t="s">
        <v>100</v>
      </c>
      <c r="BK9" s="49">
        <f>IF(BJ9="Medium",1,IF(BJ9="Low",0.5,IF(BJ9="High",1.5,1)))</f>
        <v>1</v>
      </c>
      <c r="BL9" s="49" t="str">
        <f>IF(BJ9="Not Defined","CR:X",IF(BJ9="Low","CR:L",IF(BJ9="High","CR:H","CR:M")))</f>
        <v>CR:M</v>
      </c>
      <c r="BM9" s="51" t="s">
        <v>100</v>
      </c>
      <c r="BN9" s="49">
        <f>IF(BM9="Medium",1,IF(BM9="Low",0.5,IF(BM9="High",1.5,1)))</f>
        <v>1</v>
      </c>
      <c r="BO9" s="49" t="str">
        <f>IF(BM9="Not Defined","IR:X",IF(BM9="Low","IR:L",IF(BM9="High","IR:H","IR:M")))</f>
        <v>IR:M</v>
      </c>
      <c r="BP9" s="51" t="s">
        <v>92</v>
      </c>
      <c r="BQ9" s="49">
        <f>IF(BP9="Medium",1,IF(BP9="Low",0.5,IF(BP9="High",1.5,1)))</f>
        <v>1.5</v>
      </c>
      <c r="BR9" s="49" t="str">
        <f>IF(BP9="Not Defined","AR:X",IF(BP9="Low","AR:L",IF(BP9="High","AR:H","AR:M")))</f>
        <v>AR:H</v>
      </c>
      <c r="BS9" s="52">
        <f>IF(BU9&lt;=0,0,IF(Q9="Unchanged",MIN(BV9+BU9,10),MIN((BV9+BU9)*1.08,10)))</f>
        <v>2.1322645198849841</v>
      </c>
      <c r="BT9" s="53">
        <f>(1-((1-U9)*(1-X9)*(1-AA9)))</f>
        <v>0.21999999999999997</v>
      </c>
      <c r="BU9" s="54">
        <f>(IF(Q9="unchanged",R9*BT9,R9*(BT9-0.029)-3.25*POWER(BT9-0.02,15)))</f>
        <v>1.4363199998935039</v>
      </c>
      <c r="BV9" s="55">
        <f>8.22*F9*I9*L9*O9</f>
        <v>0.537999</v>
      </c>
      <c r="BW9" s="56">
        <f>ROUNDUP(BS9*AD9*AG9*AJ9,1)</f>
        <v>2</v>
      </c>
      <c r="BX9" s="57">
        <f>IF(CA9&lt;=0,0,IF(AX9="Unchanged",(ROUNDUP(MIN(BY9+CA9,10),1)*AD9*AG9*AJ9),(ROUNDUP(MIN((BY9+CA9)*1.08,10),1)*AD9*AG9*AJ9)))</f>
        <v>7.5801599999999993</v>
      </c>
      <c r="BY9" s="58">
        <f>8.22*AM9*AP9*AS9*AV9</f>
        <v>1.6677969000000001</v>
      </c>
      <c r="BZ9" s="58">
        <f>MIN((1-(1-BB9*BK9)*(1-BE9*BN9)*(1-BH9*BQ9)),0.915)</f>
        <v>0.91500000000000004</v>
      </c>
      <c r="CA9" s="59">
        <f>IF(AX9="Unchanged",AY9*BZ9,AY9*(BZ9-0.029)-3.25*POWER(BZ9-0.02,15))</f>
        <v>6.0472188187989406</v>
      </c>
      <c r="CB9" s="60">
        <f>ROUNDUP((BX9*10)/10,1)</f>
        <v>7.6</v>
      </c>
      <c r="CC9" s="61" t="str">
        <f>CONCATENATE("CVSS:3.0/",G9,"/",J9,"/",M9,"/",P9,"/",S9,"/",V9,"/",Y9,"/",AB9,"/",AE9,"/",AH9,"/",AK9,"/",BL9,"/",BO9,"/",BR9,"/",AN9,"/",AQ9,"/",AT9,"/",AW9,"/",AZ9,"/",BC9,"/",BI9)</f>
        <v>CVSS:3.0/AV:P/AC:L/PR:H/UI:N/S:C/C:L/I:N/A:N/E:P/RL:U/RC:R/CR:M/IR:M/AR:H/MAV:N/MAC:L/MPR:H/MUI:R/MS:C/MC:H/MA:H</v>
      </c>
      <c r="CD9" s="62"/>
      <c r="CE9" s="61"/>
      <c r="CF9" s="62"/>
      <c r="CG9" s="63"/>
    </row>
    <row r="10" spans="2:85" x14ac:dyDescent="0.25">
      <c r="B10" s="45"/>
      <c r="C10" s="46"/>
      <c r="D10" s="47"/>
      <c r="E10" s="48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 t="s">
        <v>101</v>
      </c>
      <c r="AB10" s="64"/>
      <c r="AC10" s="65"/>
      <c r="AD10" s="65"/>
      <c r="AE10" s="65"/>
      <c r="AF10" s="65"/>
      <c r="AG10" s="65"/>
      <c r="AH10" s="65"/>
      <c r="AI10" s="65"/>
      <c r="AJ10" s="65"/>
      <c r="AK10" s="65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7"/>
      <c r="BT10" s="67"/>
      <c r="BU10" s="68"/>
      <c r="BV10" s="69"/>
      <c r="BW10" s="70"/>
      <c r="BX10" s="71"/>
      <c r="BY10" s="72"/>
      <c r="BZ10" s="72"/>
      <c r="CA10" s="73"/>
      <c r="CB10" s="74"/>
      <c r="CC10" s="61"/>
      <c r="CD10" s="62"/>
      <c r="CE10" s="61"/>
      <c r="CF10" s="62"/>
      <c r="CG10" s="63"/>
    </row>
    <row r="11" spans="2:85" x14ac:dyDescent="0.25">
      <c r="B11" s="45"/>
      <c r="C11" s="46"/>
      <c r="D11" s="47"/>
      <c r="E11" s="48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5"/>
      <c r="AD11" s="65"/>
      <c r="AE11" s="65"/>
      <c r="AF11" s="65"/>
      <c r="AG11" s="65"/>
      <c r="AH11" s="65"/>
      <c r="AI11" s="65"/>
      <c r="AJ11" s="65"/>
      <c r="AK11" s="65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7"/>
      <c r="BT11" s="67"/>
      <c r="BU11" s="68"/>
      <c r="BV11" s="69"/>
      <c r="BW11" s="70"/>
      <c r="BX11" s="71"/>
      <c r="BY11" s="72"/>
      <c r="BZ11" s="72"/>
      <c r="CA11" s="73"/>
      <c r="CB11" s="75"/>
      <c r="CC11" s="61"/>
      <c r="CD11" s="62"/>
      <c r="CE11" s="61"/>
      <c r="CF11" s="62"/>
      <c r="CG11" s="63"/>
    </row>
    <row r="12" spans="2:85" x14ac:dyDescent="0.25">
      <c r="B12" s="45"/>
      <c r="C12" s="46"/>
      <c r="D12" s="47"/>
      <c r="E12" s="48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5"/>
      <c r="AD12" s="65"/>
      <c r="AE12" s="65"/>
      <c r="AF12" s="65"/>
      <c r="AG12" s="65"/>
      <c r="AH12" s="65"/>
      <c r="AI12" s="65"/>
      <c r="AJ12" s="65"/>
      <c r="AK12" s="65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7"/>
      <c r="BT12" s="67"/>
      <c r="BU12" s="68"/>
      <c r="BV12" s="69"/>
      <c r="BW12" s="70"/>
      <c r="BX12" s="71"/>
      <c r="BY12" s="72"/>
      <c r="BZ12" s="72"/>
      <c r="CA12" s="73"/>
      <c r="CB12" s="75"/>
      <c r="CC12" s="61"/>
      <c r="CD12" s="62"/>
      <c r="CE12" s="61"/>
      <c r="CF12" s="62"/>
      <c r="CG12" s="63"/>
    </row>
    <row r="13" spans="2:85" x14ac:dyDescent="0.25">
      <c r="B13" s="45"/>
      <c r="C13" s="46"/>
      <c r="D13" s="47"/>
      <c r="E13" s="48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5"/>
      <c r="AD13" s="65"/>
      <c r="AE13" s="65"/>
      <c r="AF13" s="65"/>
      <c r="AG13" s="65"/>
      <c r="AH13" s="65"/>
      <c r="AI13" s="65"/>
      <c r="AJ13" s="65"/>
      <c r="AK13" s="65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7"/>
      <c r="BT13" s="67"/>
      <c r="BU13" s="68"/>
      <c r="BV13" s="69"/>
      <c r="BW13" s="70"/>
      <c r="BX13" s="71"/>
      <c r="BY13" s="72"/>
      <c r="BZ13" s="72"/>
      <c r="CA13" s="73"/>
      <c r="CB13" s="75"/>
      <c r="CC13" s="61"/>
      <c r="CD13" s="62"/>
      <c r="CE13" s="61"/>
      <c r="CF13" s="62"/>
      <c r="CG13" s="63"/>
    </row>
    <row r="18" spans="81:81" x14ac:dyDescent="0.25">
      <c r="CC18" s="76"/>
    </row>
  </sheetData>
  <mergeCells count="10">
    <mergeCell ref="E7:AB7"/>
    <mergeCell ref="AC7:AK7"/>
    <mergeCell ref="AL7:BR7"/>
    <mergeCell ref="BX7:CA7"/>
    <mergeCell ref="B3:C3"/>
    <mergeCell ref="E6:AB6"/>
    <mergeCell ref="AC6:AK6"/>
    <mergeCell ref="AL6:BR6"/>
    <mergeCell ref="BS6:BV6"/>
    <mergeCell ref="BX6:CA6"/>
  </mergeCells>
  <dataValidations count="2">
    <dataValidation type="list" allowBlank="1" showInputMessage="1" showErrorMessage="1" sqref="AU9">
      <formula1>"Not Defined,Required,None"</formula1>
    </dataValidation>
    <dataValidation type="list" allowBlank="1" showInputMessage="1" showErrorMessage="1" sqref="AX9">
      <formula1>"Not Defined,Unchanged,Changed"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[1]Valeurs!#REF!</xm:f>
          </x14:formula1>
          <xm:sqref>AI9</xm:sqref>
        </x14:dataValidation>
        <x14:dataValidation type="list" allowBlank="1" showInputMessage="1" showErrorMessage="1">
          <x14:formula1>
            <xm:f>[1]Valeurs!#REF!</xm:f>
          </x14:formula1>
          <xm:sqref>AF9</xm:sqref>
        </x14:dataValidation>
        <x14:dataValidation type="list" allowBlank="1" showInputMessage="1" showErrorMessage="1">
          <x14:formula1>
            <xm:f>[1]Valeurs!#REF!</xm:f>
          </x14:formula1>
          <xm:sqref>AC9</xm:sqref>
        </x14:dataValidation>
        <x14:dataValidation type="list" allowBlank="1" showInputMessage="1" showErrorMessage="1">
          <x14:formula1>
            <xm:f>[1]Valeurs!#REF!</xm:f>
          </x14:formula1>
          <xm:sqref>AO9 AR9 BA9 BD9 BG9</xm:sqref>
        </x14:dataValidation>
        <x14:dataValidation type="list" allowBlank="1" showInputMessage="1" showErrorMessage="1">
          <x14:formula1>
            <xm:f>[1]Valeurs!#REF!</xm:f>
          </x14:formula1>
          <xm:sqref>AL9</xm:sqref>
        </x14:dataValidation>
        <x14:dataValidation type="list" allowBlank="1" showInputMessage="1" showErrorMessage="1">
          <x14:formula1>
            <xm:f>[1]Valeurs!#REF!</xm:f>
          </x14:formula1>
          <xm:sqref>C6 BJ9:BJ13 BK10:BL13</xm:sqref>
        </x14:dataValidation>
        <x14:dataValidation type="list" allowBlank="1" showInputMessage="1" showErrorMessage="1">
          <x14:formula1>
            <xm:f>[1]Valeurs!#REF!</xm:f>
          </x14:formula1>
          <xm:sqref>C5 BN10:BQ13 BM9:BM13</xm:sqref>
        </x14:dataValidation>
        <x14:dataValidation type="list" allowBlank="1" showInputMessage="1" showErrorMessage="1">
          <x14:formula1>
            <xm:f>[1]Valeurs!#REF!</xm:f>
          </x14:formula1>
          <xm:sqref>C4 BP9 BR10:BR13</xm:sqref>
        </x14:dataValidation>
        <x14:dataValidation type="list" allowBlank="1" showInputMessage="1" showErrorMessage="1">
          <x14:formula1>
            <xm:f>[1]Valeurs!#REF!</xm:f>
          </x14:formula1>
          <xm:sqref>D9:D13</xm:sqref>
        </x14:dataValidation>
        <x14:dataValidation type="list" allowBlank="1" showInputMessage="1" showErrorMessage="1">
          <x14:formula1>
            <xm:f>[1]Valeurs!#REF!</xm:f>
          </x14:formula1>
          <xm:sqref>C9:C13</xm:sqref>
        </x14:dataValidation>
        <x14:dataValidation type="list" allowBlank="1" showInputMessage="1" showErrorMessage="1">
          <x14:formula1>
            <xm:f>[1]Valeurs!#REF!</xm:f>
          </x14:formula1>
          <xm:sqref>Z9</xm:sqref>
        </x14:dataValidation>
        <x14:dataValidation type="list" allowBlank="1" showInputMessage="1" showErrorMessage="1">
          <x14:formula1>
            <xm:f>[1]Valeurs!#REF!</xm:f>
          </x14:formula1>
          <xm:sqref>W9</xm:sqref>
        </x14:dataValidation>
        <x14:dataValidation type="list" allowBlank="1" showInputMessage="1" showErrorMessage="1">
          <x14:formula1>
            <xm:f>[1]Valeurs!#REF!</xm:f>
          </x14:formula1>
          <xm:sqref>T9</xm:sqref>
        </x14:dataValidation>
        <x14:dataValidation type="list" allowBlank="1" showInputMessage="1" showErrorMessage="1">
          <x14:formula1>
            <xm:f>[1]Valeurs!#REF!</xm:f>
          </x14:formula1>
          <xm:sqref>Q9</xm:sqref>
        </x14:dataValidation>
        <x14:dataValidation type="list" allowBlank="1" showInputMessage="1" showErrorMessage="1">
          <x14:formula1>
            <xm:f>[1]Valeurs!#REF!</xm:f>
          </x14:formula1>
          <xm:sqref>N9</xm:sqref>
        </x14:dataValidation>
        <x14:dataValidation type="list" allowBlank="1" showInputMessage="1" showErrorMessage="1">
          <x14:formula1>
            <xm:f>[1]Valeurs!#REF!</xm:f>
          </x14:formula1>
          <xm:sqref>K9</xm:sqref>
        </x14:dataValidation>
        <x14:dataValidation type="list" allowBlank="1" showInputMessage="1" showErrorMessage="1">
          <x14:formula1>
            <xm:f>[1]Valeurs!#REF!</xm:f>
          </x14:formula1>
          <xm:sqref>H9</xm:sqref>
        </x14:dataValidation>
        <x14:dataValidation type="list" allowBlank="1" showInputMessage="1" showErrorMessage="1">
          <x14:formula1>
            <xm:f>[1]Valeurs!#REF!</xm:f>
          </x14:formula1>
          <xm:sqref>E9:E13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2019-10-10T15:42:33Z</dcterms:modified>
</cp:coreProperties>
</file>