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asalle\Documents\"/>
    </mc:Choice>
  </mc:AlternateContent>
  <bookViews>
    <workbookView xWindow="0" yWindow="0" windowWidth="18870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E27" i="1"/>
  <c r="E26" i="1"/>
  <c r="E25" i="1"/>
  <c r="E24" i="1"/>
  <c r="E23" i="1"/>
  <c r="E22" i="1"/>
  <c r="E21" i="1"/>
  <c r="E20" i="1"/>
  <c r="E19" i="1"/>
  <c r="E18" i="1"/>
  <c r="E17" i="1"/>
  <c r="D21" i="1"/>
  <c r="D27" i="1"/>
  <c r="D26" i="1"/>
  <c r="D25" i="1"/>
  <c r="D24" i="1"/>
  <c r="D23" i="1"/>
  <c r="D22" i="1"/>
  <c r="D19" i="1"/>
  <c r="D20" i="1"/>
  <c r="D18" i="1"/>
  <c r="D17" i="1"/>
  <c r="G24" i="1" l="1"/>
  <c r="G25" i="1" s="1"/>
  <c r="G23" i="1"/>
  <c r="G26" i="1" l="1"/>
  <c r="G27" i="1" s="1"/>
  <c r="C29" i="1" s="1"/>
  <c r="E14" i="1" l="1"/>
  <c r="E13" i="1"/>
  <c r="E9" i="1"/>
  <c r="E8" i="1"/>
  <c r="E7" i="1"/>
  <c r="E6" i="1"/>
  <c r="E5" i="1"/>
  <c r="E4" i="1"/>
  <c r="E3" i="1"/>
  <c r="E2" i="1"/>
  <c r="E12" i="1"/>
  <c r="D14" i="1"/>
  <c r="D13" i="1"/>
  <c r="D12" i="1"/>
  <c r="D6" i="1" l="1"/>
  <c r="D7" i="1" l="1"/>
  <c r="G6" i="1" s="1"/>
  <c r="G7" i="1" s="1"/>
  <c r="D9" i="1"/>
  <c r="D8" i="1"/>
  <c r="D5" i="1"/>
  <c r="D4" i="1"/>
  <c r="D3" i="1"/>
  <c r="D2" i="1"/>
  <c r="G5" i="1" l="1"/>
  <c r="G8" i="1" s="1"/>
  <c r="G9" i="1" s="1"/>
  <c r="G11" i="1" s="1"/>
</calcChain>
</file>

<file path=xl/sharedStrings.xml><?xml version="1.0" encoding="utf-8"?>
<sst xmlns="http://schemas.openxmlformats.org/spreadsheetml/2006/main" count="64" uniqueCount="45">
  <si>
    <t>Attack Vector</t>
  </si>
  <si>
    <t>Physical</t>
  </si>
  <si>
    <t>Attack Complexity</t>
  </si>
  <si>
    <t>Low</t>
  </si>
  <si>
    <t>High</t>
  </si>
  <si>
    <t>Privilege Required</t>
  </si>
  <si>
    <t>None</t>
  </si>
  <si>
    <t>User Interaction</t>
  </si>
  <si>
    <t>Scope</t>
  </si>
  <si>
    <t>Changed</t>
  </si>
  <si>
    <t>Availability impact</t>
  </si>
  <si>
    <t>Integrity Impact</t>
  </si>
  <si>
    <t>Vector:</t>
  </si>
  <si>
    <t>Confidentiality Imp</t>
  </si>
  <si>
    <t>e_subsc</t>
  </si>
  <si>
    <t>i_mul</t>
  </si>
  <si>
    <t>i_subsc</t>
  </si>
  <si>
    <t>Bsc</t>
  </si>
  <si>
    <t>Base Score</t>
  </si>
  <si>
    <t>Exploitability</t>
  </si>
  <si>
    <t>Remediation Level</t>
  </si>
  <si>
    <t>Report Confidence</t>
  </si>
  <si>
    <t>Proof Of Concept</t>
  </si>
  <si>
    <t>Unavailable</t>
  </si>
  <si>
    <t>Reasonable</t>
  </si>
  <si>
    <t>Environmental Score</t>
  </si>
  <si>
    <t>Temporal Score</t>
  </si>
  <si>
    <t>Base Score Metrics</t>
  </si>
  <si>
    <t>Temporal Score Metrics</t>
  </si>
  <si>
    <t>Environmental Score Metrics</t>
  </si>
  <si>
    <t>Privileges Required</t>
  </si>
  <si>
    <t>Confidentiality Impact</t>
  </si>
  <si>
    <t>Availability Impact</t>
  </si>
  <si>
    <t>Availability Requirement</t>
  </si>
  <si>
    <t>Confidentiality Requirement</t>
  </si>
  <si>
    <t>Integrity Requirement</t>
  </si>
  <si>
    <t>Network</t>
  </si>
  <si>
    <t>Required</t>
  </si>
  <si>
    <t xml:space="preserve"> </t>
  </si>
  <si>
    <t>Medium</t>
  </si>
  <si>
    <t>m_e_subsc</t>
  </si>
  <si>
    <t>m_i_subsc</t>
  </si>
  <si>
    <t>m_bsc</t>
  </si>
  <si>
    <t>m_i_mul</t>
  </si>
  <si>
    <t>Final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</si>
</sst>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3" fillId="0" borderId="1" xfId="1" applyFont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0" fillId="0" borderId="15" xfId="0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/>
    <xf numFmtId="0" fontId="1" fillId="0" borderId="13" xfId="0" applyFont="1" applyFill="1" applyBorder="1"/>
    <xf numFmtId="0" fontId="0" fillId="0" borderId="14" xfId="0" applyBorder="1"/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32" xfId="0" applyBorder="1"/>
    <xf numFmtId="0" fontId="0" fillId="3" borderId="2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0" fillId="4" borderId="21" xfId="0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36" xfId="0" applyBorder="1"/>
    <xf numFmtId="0" fontId="1" fillId="4" borderId="5" xfId="0" applyFont="1" applyFill="1" applyBorder="1"/>
    <xf numFmtId="0" fontId="1" fillId="0" borderId="35" xfId="0" applyFont="1" applyFill="1" applyBorder="1"/>
    <xf numFmtId="0" fontId="1" fillId="0" borderId="31" xfId="0" applyFont="1" applyBorder="1"/>
    <xf numFmtId="0" fontId="1" fillId="0" borderId="3" xfId="0" applyFont="1" applyBorder="1"/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/>
    <xf numFmtId="0" fontId="0" fillId="4" borderId="26" xfId="0" applyFill="1" applyBorder="1"/>
    <xf numFmtId="0" fontId="0" fillId="4" borderId="0" xfId="0" applyFill="1" applyBorder="1"/>
    <xf numFmtId="0" fontId="0" fillId="4" borderId="27" xfId="0" applyFill="1" applyBorder="1"/>
    <xf numFmtId="0" fontId="0" fillId="0" borderId="39" xfId="0" applyBorder="1"/>
    <xf numFmtId="0" fontId="0" fillId="0" borderId="40" xfId="0" applyBorder="1"/>
    <xf numFmtId="0" fontId="1" fillId="4" borderId="41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44"/>
  <sheetViews>
    <sheetView tabSelected="1" workbookViewId="0">
      <selection activeCell="I6" sqref="I6"/>
    </sheetView>
  </sheetViews>
  <sheetFormatPr baseColWidth="10" defaultRowHeight="15" x14ac:dyDescent="0.25"/>
  <cols>
    <col min="1" max="1" width="25.7109375" customWidth="1"/>
    <col min="2" max="2" width="27.5703125" customWidth="1"/>
    <col min="3" max="3" width="19.140625" customWidth="1"/>
    <col min="6" max="6" width="19.7109375" customWidth="1"/>
    <col min="14" max="14" width="11.42578125" customWidth="1"/>
  </cols>
  <sheetData>
    <row r="1" spans="1:14" ht="15.75" thickBot="1" x14ac:dyDescent="0.3">
      <c r="B1" s="23" t="s">
        <v>27</v>
      </c>
      <c r="C1" s="24"/>
      <c r="D1" s="24"/>
      <c r="E1" s="25"/>
      <c r="F1" s="34"/>
      <c r="G1" s="35"/>
    </row>
    <row r="2" spans="1:14" x14ac:dyDescent="0.25">
      <c r="B2" s="4" t="s">
        <v>0</v>
      </c>
      <c r="C2" s="3" t="s">
        <v>1</v>
      </c>
      <c r="D2" s="3">
        <f>IF(C2="Network",0.85,IF(C2="Adjacent Network",0.62,IF(C2="Local",0.55,IF(C2="Physical",0.2))))</f>
        <v>0.2</v>
      </c>
      <c r="E2" s="33" t="str">
        <f>IF(C2="Network","AV:N",IF(C2="Adjacent Network","AV:A",IF(C2="Local","AV:L","AV:P")))</f>
        <v>AV:P</v>
      </c>
      <c r="F2" s="36"/>
      <c r="G2" s="37"/>
      <c r="M2" s="27"/>
      <c r="N2" s="27"/>
    </row>
    <row r="3" spans="1:14" x14ac:dyDescent="0.25">
      <c r="B3" s="6" t="s">
        <v>2</v>
      </c>
      <c r="C3" s="2" t="s">
        <v>3</v>
      </c>
      <c r="D3" s="2">
        <f>IF(C3="Low",0.77,0.44)</f>
        <v>0.77</v>
      </c>
      <c r="E3" s="18" t="str">
        <f>IF(C3="Low","AC:L","AC:H")</f>
        <v>AC:L</v>
      </c>
      <c r="F3" s="36"/>
      <c r="G3" s="37"/>
    </row>
    <row r="4" spans="1:14" ht="15.75" thickBot="1" x14ac:dyDescent="0.3">
      <c r="B4" s="6" t="s">
        <v>5</v>
      </c>
      <c r="C4" s="2" t="s">
        <v>4</v>
      </c>
      <c r="D4" s="2">
        <f>IF(AND(C4="Low",C6="Unchanged"),0.62,IF(AND(C4="Low",C6="Changed"),0.68,IF(AND(C4="High",C6="Unchanged"),0.27,IF(AND(C4="High",C6="Changed"),0.5,0.85))))</f>
        <v>0.5</v>
      </c>
      <c r="E4" s="18" t="str">
        <f>IF(C4="None","PR:N",IF(C4="Low","PR:L","PR:H"))</f>
        <v>PR:H</v>
      </c>
      <c r="F4" s="38"/>
      <c r="G4" s="39"/>
    </row>
    <row r="5" spans="1:14" x14ac:dyDescent="0.25">
      <c r="B5" s="6" t="s">
        <v>7</v>
      </c>
      <c r="C5" s="2" t="s">
        <v>6</v>
      </c>
      <c r="D5" s="2">
        <f>IF(C5="None",0.85,0.62)</f>
        <v>0.85</v>
      </c>
      <c r="E5" s="18" t="str">
        <f>IF(C5="None","UI:N","UI:R")</f>
        <v>UI:N</v>
      </c>
      <c r="F5" s="19" t="s">
        <v>14</v>
      </c>
      <c r="G5" s="5">
        <f>8.22*D2*D3*D4*D5</f>
        <v>0.537999</v>
      </c>
    </row>
    <row r="6" spans="1:14" x14ac:dyDescent="0.25">
      <c r="B6" s="6" t="s">
        <v>8</v>
      </c>
      <c r="C6" s="2" t="s">
        <v>9</v>
      </c>
      <c r="D6" s="2">
        <f>IF(C6="Unchanged",6.42,7.52)</f>
        <v>7.52</v>
      </c>
      <c r="E6" s="18" t="str">
        <f>IF(C6="Unchanged","S:U","S:C")</f>
        <v>S:C</v>
      </c>
      <c r="F6" s="16" t="s">
        <v>15</v>
      </c>
      <c r="G6" s="7">
        <f>(1-((1-D7)*(1-D8)*(1-D9)))</f>
        <v>0.65680000000000005</v>
      </c>
    </row>
    <row r="7" spans="1:14" x14ac:dyDescent="0.25">
      <c r="B7" s="6" t="s">
        <v>13</v>
      </c>
      <c r="C7" s="2" t="s">
        <v>3</v>
      </c>
      <c r="D7" s="2">
        <f>IF(C7="None",0,IF(C7="Low",0.22,0.56))</f>
        <v>0.22</v>
      </c>
      <c r="E7" s="18" t="str">
        <f>IF(C7="None","C:N",IF(C7="Low","C:L","C:H"))</f>
        <v>C:L</v>
      </c>
      <c r="F7" s="16" t="s">
        <v>16</v>
      </c>
      <c r="G7" s="7">
        <f>IF(C6="Unchanged",D6*G6,D6*(G6-0.029)-3.25*POWER(G6-0.02,15))</f>
        <v>4.7173241070114784</v>
      </c>
    </row>
    <row r="8" spans="1:14" x14ac:dyDescent="0.25">
      <c r="B8" s="6" t="s">
        <v>11</v>
      </c>
      <c r="C8" s="2" t="s">
        <v>6</v>
      </c>
      <c r="D8" s="2">
        <f>IF(C8="None",0,IF(C8="Low",0.22,0.56))</f>
        <v>0</v>
      </c>
      <c r="E8" s="18" t="str">
        <f>IF(C8="None","I:N",IF(C8="Low","I:L","I:H"))</f>
        <v>I:N</v>
      </c>
      <c r="F8" s="16" t="s">
        <v>17</v>
      </c>
      <c r="G8" s="7">
        <f>IF(G7&lt;=0,0,IF(C6="Unchanged",MIN(G5+G7,10),MIN((G5+G7)*1.08,10)))</f>
        <v>5.6757489555723968</v>
      </c>
    </row>
    <row r="9" spans="1:14" ht="15.75" thickBot="1" x14ac:dyDescent="0.3">
      <c r="B9" s="8" t="s">
        <v>10</v>
      </c>
      <c r="C9" s="9" t="s">
        <v>4</v>
      </c>
      <c r="D9" s="9">
        <f>IF(C9="None",0,IF(C9="Low",0.22,0.56))</f>
        <v>0.56000000000000005</v>
      </c>
      <c r="E9" s="20" t="str">
        <f>IF(C9="None","A:N",IF(C9="Low","A:L","A:H"))</f>
        <v>A:H</v>
      </c>
      <c r="F9" s="43" t="s">
        <v>18</v>
      </c>
      <c r="G9" s="44">
        <f>ROUNDUP(G8*10/10,1)</f>
        <v>5.6999999999999993</v>
      </c>
    </row>
    <row r="10" spans="1:14" ht="15.75" thickBot="1" x14ac:dyDescent="0.3"/>
    <row r="11" spans="1:14" ht="15.75" thickBot="1" x14ac:dyDescent="0.3">
      <c r="B11" s="21" t="s">
        <v>28</v>
      </c>
      <c r="C11" s="22"/>
      <c r="D11" s="22"/>
      <c r="E11" s="26"/>
      <c r="F11" s="45" t="s">
        <v>26</v>
      </c>
      <c r="G11" s="46">
        <f>ROUNDUP(G9*D12*D13*D14,1)</f>
        <v>5.1999999999999993</v>
      </c>
    </row>
    <row r="12" spans="1:14" x14ac:dyDescent="0.25">
      <c r="B12" s="14" t="s">
        <v>19</v>
      </c>
      <c r="C12" s="3" t="s">
        <v>22</v>
      </c>
      <c r="D12" s="3">
        <f>IF(C12="Not Defined",1,IF(C12="High",1,IF(C12="Functional",0.97,IF(C12="Proof Of Concept",0.94,0.91))))</f>
        <v>0.94</v>
      </c>
      <c r="E12" s="17" t="str">
        <f>IF(C12="Not Defined","E:X",IF(C12="High","E:H",IF(C12="Functional","E:F",IF(C12="Proof Of Concept","E:P","E:U"))))</f>
        <v>E:P</v>
      </c>
      <c r="F12" s="47"/>
      <c r="G12" s="48"/>
    </row>
    <row r="13" spans="1:14" x14ac:dyDescent="0.25">
      <c r="B13" s="12" t="s">
        <v>20</v>
      </c>
      <c r="C13" s="11" t="s">
        <v>23</v>
      </c>
      <c r="D13" s="2">
        <f>IF(C13="Not Defined",1,IF(C13="Unavailable",1,IF(C13="Workaround",0.97,IF(C13="Temporary Fix",0.94,0.91))))</f>
        <v>1</v>
      </c>
      <c r="E13" s="18" t="str">
        <f>IF(C13="Not Defined","RL:X",IF(C13="Official Fix","RL:O",IF(C13="Temporary Fix","RL:T",IF(C13="Workaround","RL:W","RL:U"))))</f>
        <v>RL:U</v>
      </c>
      <c r="F13" s="47"/>
      <c r="G13" s="48"/>
    </row>
    <row r="14" spans="1:14" ht="15.75" thickBot="1" x14ac:dyDescent="0.3">
      <c r="B14" s="13" t="s">
        <v>21</v>
      </c>
      <c r="C14" s="9" t="s">
        <v>24</v>
      </c>
      <c r="D14" s="9">
        <f>IF(C14="Not Defined",1,IF(C14="Confirmed",1,IF(C14="Reasonable",0.96,0.92)))</f>
        <v>0.96</v>
      </c>
      <c r="E14" s="10" t="str">
        <f>IF(C14="Not Defined","RC:X",IF(C14="Unknown","RC:U",IF(C14="Reasonable","RC:R","RC:C")))</f>
        <v>RC:R</v>
      </c>
      <c r="F14" s="49"/>
      <c r="G14" s="50"/>
    </row>
    <row r="15" spans="1:14" ht="15.75" thickBot="1" x14ac:dyDescent="0.3"/>
    <row r="16" spans="1:14" ht="15.75" thickBot="1" x14ac:dyDescent="0.3">
      <c r="A16" s="1"/>
      <c r="B16" s="30" t="s">
        <v>29</v>
      </c>
      <c r="C16" s="31"/>
      <c r="D16" s="31"/>
      <c r="E16" s="32"/>
      <c r="F16" s="60"/>
      <c r="G16" s="40"/>
    </row>
    <row r="17" spans="1:13" x14ac:dyDescent="0.25">
      <c r="B17" s="28" t="s">
        <v>0</v>
      </c>
      <c r="C17" s="29" t="s">
        <v>36</v>
      </c>
      <c r="D17" s="29">
        <f>IF(C17="Network",0.85,IF(C17="Adjacent Network",0.62,IF(C17="Local",0.55,IF(C17="Physical",0.2,1))))</f>
        <v>0.85</v>
      </c>
      <c r="E17" s="15" t="str">
        <f>IF(C17="Network","MAV:N",IF(C17="Adjacent Network","MAV:A",IF(C17="Local","MAV:L",IF(C17="Physical","MAV:P","MAV:X"))))</f>
        <v>MAV:N</v>
      </c>
      <c r="F17" s="61"/>
      <c r="G17" s="41"/>
    </row>
    <row r="18" spans="1:13" x14ac:dyDescent="0.25">
      <c r="B18" s="12" t="s">
        <v>2</v>
      </c>
      <c r="C18" s="2" t="s">
        <v>3</v>
      </c>
      <c r="D18" s="2">
        <f>IF(C18="Low",0.77,IF(C18="High",0.44,1))</f>
        <v>0.77</v>
      </c>
      <c r="E18" s="7" t="str">
        <f>IF(C18="Low","MAC:L",IF(C18="High","MAC:H","MAC:X"))</f>
        <v>MAC:L</v>
      </c>
      <c r="F18" s="61"/>
      <c r="G18" s="41"/>
      <c r="M18" t="s">
        <v>38</v>
      </c>
    </row>
    <row r="19" spans="1:13" x14ac:dyDescent="0.25">
      <c r="B19" s="12" t="s">
        <v>30</v>
      </c>
      <c r="C19" s="2" t="s">
        <v>4</v>
      </c>
      <c r="D19" s="2">
        <f>IF(C19=C21,1,IF(AND(C19="Low",C21="Not Defined"),1,IF(AND(C19="Low",C21="Unchanged"),0.62,IF(AND(C19="Low",C21="Changed"),0.68,IF(AND(C19="High",C21="Not Defined"),1,IF(AND(C19="High",C21="Unchanged"),0.27,IF(AND(C19="High",C21="Changed"),0.5,IF(AND(C19="None",C21="Not Defined"),1,IF(AND(C19="Not Defined",C21="Changed"),1,IF(AND(C19="Not Defined",C21="Unchanged"),1,0.85))))))))))</f>
        <v>0.5</v>
      </c>
      <c r="E19" s="7" t="str">
        <f>IF(C19="None","MPR:N",IF(C19="Low","MPR:L",IF(C19="High","MPR:H","MPR:X")))</f>
        <v>MPR:H</v>
      </c>
      <c r="F19" s="61"/>
      <c r="G19" s="41"/>
    </row>
    <row r="20" spans="1:13" x14ac:dyDescent="0.25">
      <c r="B20" s="12" t="s">
        <v>7</v>
      </c>
      <c r="C20" s="2" t="s">
        <v>37</v>
      </c>
      <c r="D20" s="2">
        <f>IF(C20="None",0.85,IF(C20="Required",0.62,1))</f>
        <v>0.62</v>
      </c>
      <c r="E20" s="7" t="str">
        <f>IF(C20="None","MUI:N",IF(C20="Required","MUI:R","MUI:X"))</f>
        <v>MUI:R</v>
      </c>
      <c r="F20" s="61"/>
      <c r="G20" s="41" t="s">
        <v>38</v>
      </c>
    </row>
    <row r="21" spans="1:13" x14ac:dyDescent="0.25">
      <c r="B21" s="12" t="s">
        <v>8</v>
      </c>
      <c r="C21" s="2" t="s">
        <v>9</v>
      </c>
      <c r="D21" s="2">
        <f>IF(C21="Unchanged",6.42,IF(C21="Changed",7.52,1))</f>
        <v>7.52</v>
      </c>
      <c r="E21" s="7" t="str">
        <f>IF(C21="Unchanged","MS:U",IF(C21="Changed","MS:C","MS:X"))</f>
        <v>MS:C</v>
      </c>
      <c r="F21" s="61"/>
      <c r="G21" s="41"/>
    </row>
    <row r="22" spans="1:13" ht="15.75" thickBot="1" x14ac:dyDescent="0.3">
      <c r="A22" s="1"/>
      <c r="B22" s="12" t="s">
        <v>31</v>
      </c>
      <c r="C22" s="2" t="s">
        <v>4</v>
      </c>
      <c r="D22" s="2">
        <f>IF(C22="None",0,IF(C22="Low",0.22,IF(C22="High",0.56,1)))</f>
        <v>0.56000000000000005</v>
      </c>
      <c r="E22" s="7" t="str">
        <f>IF(C22="None","MC:N",IF(C22="Low","MC:L",IF(C22="High","MC:H","MC:X")))</f>
        <v>MC:H</v>
      </c>
      <c r="F22" s="62"/>
      <c r="G22" s="42"/>
    </row>
    <row r="23" spans="1:13" x14ac:dyDescent="0.25">
      <c r="B23" s="12" t="s">
        <v>11</v>
      </c>
      <c r="C23" s="2" t="s">
        <v>4</v>
      </c>
      <c r="D23" s="2">
        <f>IF(C23="None",0,IF(C23="Low",0.22,IF(C23="High",0.56,1)))</f>
        <v>0.56000000000000005</v>
      </c>
      <c r="E23" s="7" t="str">
        <f>IF(C23="None","MI:N",IF(C23="Low","MI:L",IF(C23="High","MI:H","MI:X")))</f>
        <v>MI:H</v>
      </c>
      <c r="F23" s="63" t="s">
        <v>40</v>
      </c>
      <c r="G23" s="5">
        <f>8.22*D17*D18*D19*D20</f>
        <v>1.6677969000000001</v>
      </c>
    </row>
    <row r="24" spans="1:13" x14ac:dyDescent="0.25">
      <c r="B24" s="12" t="s">
        <v>32</v>
      </c>
      <c r="C24" s="2" t="s">
        <v>4</v>
      </c>
      <c r="D24" s="2">
        <f>IF(C24="None",0,IF(C24="Low",0.22,IF(C24="High",0.56,1)))</f>
        <v>0.56000000000000005</v>
      </c>
      <c r="E24" s="7" t="str">
        <f>IF(C24="None","MA:N",IF(C24="Low","MA:L",IF(C24="High","MA:H","MA:X")))</f>
        <v>MA:H</v>
      </c>
      <c r="F24" s="59" t="s">
        <v>43</v>
      </c>
      <c r="G24" s="7">
        <f>MIN((1-(1-D22*D25)*(1-D23*D26)*(1-D24*D27)),0.915)</f>
        <v>0.91500000000000004</v>
      </c>
    </row>
    <row r="25" spans="1:13" x14ac:dyDescent="0.25">
      <c r="B25" s="12" t="s">
        <v>34</v>
      </c>
      <c r="C25" s="2" t="s">
        <v>39</v>
      </c>
      <c r="D25" s="2">
        <f>IF(C25="Medium",1,IF(C25="Low",0.5,IF(C25="High",1.5,1)))</f>
        <v>1</v>
      </c>
      <c r="E25" s="7" t="str">
        <f>IF(C25="Not Defined","CR:X",IF(C25="Low","CR:L",IF(C25="High","CR:H","CR:M")))</f>
        <v>CR:M</v>
      </c>
      <c r="F25" s="59" t="s">
        <v>41</v>
      </c>
      <c r="G25" s="7">
        <f>IF(C21="Unchanged",D21*G24,D21*(G24-0.029)-3.25*POWER(G24-0.02,15))</f>
        <v>6.0472188187989406</v>
      </c>
    </row>
    <row r="26" spans="1:13" ht="15.75" thickBot="1" x14ac:dyDescent="0.3">
      <c r="A26" s="1"/>
      <c r="B26" s="12" t="s">
        <v>35</v>
      </c>
      <c r="C26" s="2" t="s">
        <v>4</v>
      </c>
      <c r="D26" s="2">
        <f>IF(C26="Medium",1,IF(C26="Low",0.5,IF(C26="High",1.5,1)))</f>
        <v>1.5</v>
      </c>
      <c r="E26" s="7" t="str">
        <f>IF(C26="Not Defined","IR:X",IF(C26="Low","IR:L",IF(C26="High","IR:H","IR:M")))</f>
        <v>IR:H</v>
      </c>
      <c r="F26" s="64" t="s">
        <v>42</v>
      </c>
      <c r="G26" s="51">
        <f>IF(G25&lt;=0,0,IF(C21="Unchanged",(ROUNDUP(MIN(G23+G25,10),1)*D12*D13*D14),(ROUNDUP(MIN((G23+G25) *1.08,10),1) *D12*D13*D14)))</f>
        <v>7.5801599999999993</v>
      </c>
    </row>
    <row r="27" spans="1:13" ht="15.75" thickBot="1" x14ac:dyDescent="0.3">
      <c r="B27" s="13" t="s">
        <v>33</v>
      </c>
      <c r="C27" s="9" t="s">
        <v>3</v>
      </c>
      <c r="D27" s="9">
        <f>IF(C27="Medium",1,IF(C27="Low",0.5,IF(C27="High",1.5,1)))</f>
        <v>0.5</v>
      </c>
      <c r="E27" s="10" t="str">
        <f>IF(C27="Not Defined","AR:X",IF(C27="Low","AR:L",IF(C27="High","AR:H","AR:M")))</f>
        <v>AR:L</v>
      </c>
      <c r="F27" s="65" t="s">
        <v>25</v>
      </c>
      <c r="G27" s="52">
        <f>ROUNDUP((G26*10)/10,1)</f>
        <v>7.6</v>
      </c>
      <c r="H27" t="s">
        <v>38</v>
      </c>
    </row>
    <row r="28" spans="1:13" ht="15.75" thickBot="1" x14ac:dyDescent="0.3"/>
    <row r="29" spans="1:13" ht="15.75" thickBot="1" x14ac:dyDescent="0.3">
      <c r="B29" s="53" t="s">
        <v>44</v>
      </c>
      <c r="C29" s="54" t="str">
        <f>IF(G27=0,IF(G11&gt;=9,"CRITICAL",IF(G11&gt;=7,"HIGH",IF(G11&gt;=4,"Medium","Low"))),IF(G27&gt;=9,"CRITICAL",IF(G27&gt;=7,"HIGH",IF(G27&gt;=4,"Medium","Low"))))</f>
        <v>HIGH</v>
      </c>
    </row>
    <row r="30" spans="1:13" ht="15.75" thickBot="1" x14ac:dyDescent="0.3"/>
    <row r="31" spans="1:13" ht="15.75" thickBot="1" x14ac:dyDescent="0.3">
      <c r="A31" s="1"/>
      <c r="B31" s="55" t="s">
        <v>12</v>
      </c>
      <c r="C31" s="56" t="str">
        <f>CONCATENATE("CVSS:3.0/",E2,"/",E3,"/",E4,"/",E5,"/",E6,"/",E7,"/",E8,"/",E9,"/",E12,"/",E13,"/",E14,"/",E25,"/",E26,"/",E27,"/",E17,"/",E18,"/",E19,"/",E20,"/",E21,"/",E22,"/",E23,"/",E24)</f>
        <v>CVSS:3.0/AV:P/AC:L/PR:H/UI:N/S:C/C:L/I:N/A:H/E:P/RL:U/RC:R/CR:M/IR:H/AR:L/MAV:N/MAC:L/MPR:H/MUI:R/MS:C/MC:H/MI:H/MA:H</v>
      </c>
      <c r="D31" s="57"/>
      <c r="E31" s="57"/>
      <c r="F31" s="57"/>
      <c r="G31" s="57"/>
      <c r="H31" s="57"/>
      <c r="I31" s="57"/>
      <c r="J31" s="57"/>
      <c r="K31" s="58"/>
    </row>
    <row r="32" spans="1:13" x14ac:dyDescent="0.25">
      <c r="C32" t="s">
        <v>38</v>
      </c>
    </row>
    <row r="35" spans="1:1" x14ac:dyDescent="0.25">
      <c r="A35" s="1"/>
    </row>
    <row r="39" spans="1:1" x14ac:dyDescent="0.25">
      <c r="A39" s="1"/>
    </row>
    <row r="44" spans="1:1" x14ac:dyDescent="0.25">
      <c r="A44" s="1"/>
    </row>
  </sheetData>
  <mergeCells count="7">
    <mergeCell ref="C31:K31"/>
    <mergeCell ref="B1:E1"/>
    <mergeCell ref="B11:E11"/>
    <mergeCell ref="F1:G4"/>
    <mergeCell ref="B16:E16"/>
    <mergeCell ref="F11:F14"/>
    <mergeCell ref="G11:G14"/>
  </mergeCells>
  <dataValidations count="14">
    <dataValidation type="list" allowBlank="1" showInputMessage="1" showErrorMessage="1" sqref="C2">
      <formula1>"Network,Adjacent Network,Local,Physical"</formula1>
    </dataValidation>
    <dataValidation type="list" allowBlank="1" showInputMessage="1" showErrorMessage="1" sqref="C3">
      <formula1>"Low,High"</formula1>
    </dataValidation>
    <dataValidation type="list" allowBlank="1" showInputMessage="1" showErrorMessage="1" sqref="C6">
      <formula1>"Unchanged,Changed"</formula1>
    </dataValidation>
    <dataValidation type="list" allowBlank="1" showInputMessage="1" showErrorMessage="1" sqref="C4 C7:C9">
      <formula1>"None,Low,High"</formula1>
    </dataValidation>
    <dataValidation type="list" allowBlank="1" showInputMessage="1" showErrorMessage="1" sqref="C5">
      <formula1>"None,Required"</formula1>
    </dataValidation>
    <dataValidation type="list" allowBlank="1" showInputMessage="1" showErrorMessage="1" sqref="C12">
      <formula1>"Not Defined,High,Functional,Proof Of Concept,Unproven"</formula1>
    </dataValidation>
    <dataValidation type="list" allowBlank="1" showInputMessage="1" showErrorMessage="1" sqref="C13">
      <formula1>"Not Defined,Unavailable,Workaround,Temporary Fix,Official Fix"</formula1>
    </dataValidation>
    <dataValidation type="list" allowBlank="1" showInputMessage="1" showErrorMessage="1" sqref="C14">
      <formula1>"Not Defined,Confirmed,Reasonable,Unknown"</formula1>
    </dataValidation>
    <dataValidation type="list" allowBlank="1" showInputMessage="1" showErrorMessage="1" sqref="C17">
      <formula1>"Not Defined,Network,Adjacent Network,Local,Physical"</formula1>
    </dataValidation>
    <dataValidation type="list" allowBlank="1" showInputMessage="1" showErrorMessage="1" sqref="C18">
      <formula1>"Not Defined,Low,High"</formula1>
    </dataValidation>
    <dataValidation type="list" allowBlank="1" showInputMessage="1" showErrorMessage="1" sqref="C19 C22:C24">
      <formula1>"Not Defined,None,Low,High"</formula1>
    </dataValidation>
    <dataValidation type="list" allowBlank="1" showInputMessage="1" showErrorMessage="1" sqref="C20">
      <formula1>"Not Defined,None,Required"</formula1>
    </dataValidation>
    <dataValidation type="list" allowBlank="1" showInputMessage="1" showErrorMessage="1" sqref="C21">
      <formula1>"Not Defined,Unchanged,Changed"</formula1>
    </dataValidation>
    <dataValidation type="list" allowBlank="1" showInputMessage="1" showErrorMessage="1" sqref="C25:C27">
      <formula1>"Not Defined,Low,Medium,High"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 Trésor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LASALLE Adrien</dc:creator>
  <cp:lastModifiedBy>LASALLE Adrien</cp:lastModifiedBy>
  <dcterms:created xsi:type="dcterms:W3CDTF">2019-10-09T14:39:33Z</dcterms:created>
  <dcterms:modified xsi:type="dcterms:W3CDTF">2019-10-10T11:29:36Z</dcterms:modified>
</cp:coreProperties>
</file>