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тегории товаров" sheetId="1" r:id="rId4"/>
    <sheet state="visible" name="неделя 10" sheetId="2" r:id="rId5"/>
    <sheet state="visible" name="Сводная таблица 1" sheetId="3" r:id="rId6"/>
    <sheet state="visible" name="Задачи к тесту" sheetId="4" r:id="rId7"/>
    <sheet state="hidden" name="Себестоимость" sheetId="5" r:id="rId8"/>
  </sheets>
  <definedNames>
    <definedName hidden="1" localSheetId="1" name="Z_0189228A_91C6_49FE_B08C_2652F47CA9D4_.wvu.FilterData">'неделя 10'!$A$3:$K$491</definedName>
  </definedNames>
  <calcPr/>
  <customWorkbookViews>
    <customWorkbookView activeSheetId="0" maximized="1" windowHeight="0" windowWidth="0" guid="{0189228A-91C6-49FE-B08C-2652F47CA9D4}" name="Фильтр 1"/>
  </customWorkbookViews>
  <pivotCaches>
    <pivotCache cacheId="0" r:id="rId9"/>
  </pivotCaches>
</workbook>
</file>

<file path=xl/sharedStrings.xml><?xml version="1.0" encoding="utf-8"?>
<sst xmlns="http://schemas.openxmlformats.org/spreadsheetml/2006/main" count="3976" uniqueCount="239">
  <si>
    <t>Стратегия по категории за неделю</t>
  </si>
  <si>
    <r>
      <rPr>
        <rFont val="Arial"/>
        <b/>
        <color theme="1"/>
        <sz val="13.0"/>
      </rPr>
      <t xml:space="preserve">10 неделя </t>
    </r>
    <r>
      <rPr>
        <rFont val="Arial"/>
        <b val="0"/>
        <color theme="1"/>
        <sz val="13.0"/>
      </rPr>
      <t>(01.03- 07.03)</t>
    </r>
  </si>
  <si>
    <t>Текущая средняя себеста</t>
  </si>
  <si>
    <t>Заказы артикул шт</t>
  </si>
  <si>
    <t>Темп заказов (шт в день)</t>
  </si>
  <si>
    <t>Средний чек (за одну продажу)</t>
  </si>
  <si>
    <t>Продажи шт артикул</t>
  </si>
  <si>
    <t>Темп продаж (шт в день)</t>
  </si>
  <si>
    <t>Продажи деньги артикул</t>
  </si>
  <si>
    <t>Себестоимость продаж</t>
  </si>
  <si>
    <r>
      <rPr>
        <rFont val="Arial"/>
        <b/>
        <color rgb="FF46BDC6"/>
        <sz val="10.0"/>
      </rPr>
      <t xml:space="preserve">MUP </t>
    </r>
    <r>
      <rPr>
        <rFont val="Arial"/>
        <b val="0"/>
        <color rgb="FF000000"/>
        <sz val="10.0"/>
      </rPr>
      <t>(сумма по продажам руб. деленная на сумму по себестоимости руб. )</t>
    </r>
  </si>
  <si>
    <t>Поступления</t>
  </si>
  <si>
    <t>Остаток на 08.03</t>
  </si>
  <si>
    <t>Себестоимость остатка</t>
  </si>
  <si>
    <t>Хвати на дней</t>
  </si>
  <si>
    <t>% Валовой прибыли с 1 продажи</t>
  </si>
  <si>
    <t>% Сборов</t>
  </si>
  <si>
    <t>% Налога</t>
  </si>
  <si>
    <t>% Себестоимости от продаж</t>
  </si>
  <si>
    <t>артикул</t>
  </si>
  <si>
    <t>ID</t>
  </si>
  <si>
    <t>Все категории</t>
  </si>
  <si>
    <t>Худи женское</t>
  </si>
  <si>
    <t>SLOT</t>
  </si>
  <si>
    <t>H00343SLW</t>
  </si>
  <si>
    <t>H00348SLW</t>
  </si>
  <si>
    <t>H00344SLW</t>
  </si>
  <si>
    <t>H40357SLW</t>
  </si>
  <si>
    <t>H403863SLW</t>
  </si>
  <si>
    <t>H40359SLW</t>
  </si>
  <si>
    <t>H00345SLW</t>
  </si>
  <si>
    <t>H00347SLW</t>
  </si>
  <si>
    <t>H00346SLW</t>
  </si>
  <si>
    <t>H40376SLW</t>
  </si>
  <si>
    <t>H40358SLW</t>
  </si>
  <si>
    <t>H40389SLW</t>
  </si>
  <si>
    <t>H403864SLW</t>
  </si>
  <si>
    <t>H403888SLWслива</t>
  </si>
  <si>
    <t>H40373SLW</t>
  </si>
  <si>
    <t>H40400SLW</t>
  </si>
  <si>
    <t>H403888SLWхаки</t>
  </si>
  <si>
    <t>H00349SLW</t>
  </si>
  <si>
    <t>H40372SLW</t>
  </si>
  <si>
    <t>H403888SLW</t>
  </si>
  <si>
    <t>H40374SLW</t>
  </si>
  <si>
    <t>H403885SLW</t>
  </si>
  <si>
    <t>H00343SLWпесочный</t>
  </si>
  <si>
    <t>Худи мужские</t>
  </si>
  <si>
    <t>H003H40356SLM</t>
  </si>
  <si>
    <t>H40377SLM</t>
  </si>
  <si>
    <t>H40383SLM</t>
  </si>
  <si>
    <t>H40390SLMхаки</t>
  </si>
  <si>
    <t>H40390SLMслива</t>
  </si>
  <si>
    <t>H40391SLM</t>
  </si>
  <si>
    <t>H00350SLMпесочный</t>
  </si>
  <si>
    <t>H00350SLM</t>
  </si>
  <si>
    <t>H00352SLM</t>
  </si>
  <si>
    <t>H00354SLM</t>
  </si>
  <si>
    <t>H00353SLM</t>
  </si>
  <si>
    <t>H00351SLM</t>
  </si>
  <si>
    <t>H40387SLM</t>
  </si>
  <si>
    <t>H40361SLM</t>
  </si>
  <si>
    <t>H40386SLM</t>
  </si>
  <si>
    <t>H40390SLMпудра</t>
  </si>
  <si>
    <t>H003H40355SLM</t>
  </si>
  <si>
    <t>H40375SLM</t>
  </si>
  <si>
    <t>H40384SLM</t>
  </si>
  <si>
    <t>H40390SLM</t>
  </si>
  <si>
    <t>H40379SLM</t>
  </si>
  <si>
    <t xml:space="preserve"> </t>
  </si>
  <si>
    <t>Отчёт по данным поставщика «Мостовой Антон Геннадьевич ИП» с 01.03.2021 по 07.03.2021 сформирован 09.03.2021 15:30:34. Склад: все</t>
  </si>
  <si>
    <t>Заказано</t>
  </si>
  <si>
    <t>Выкупленные товары</t>
  </si>
  <si>
    <t>Бренд</t>
  </si>
  <si>
    <t>Предмет</t>
  </si>
  <si>
    <t>Сезон</t>
  </si>
  <si>
    <t>Коллекция</t>
  </si>
  <si>
    <t>Наименование</t>
  </si>
  <si>
    <t>Артикул поставщика</t>
  </si>
  <si>
    <t>Номенклатура</t>
  </si>
  <si>
    <t>Баркод</t>
  </si>
  <si>
    <t>Размер</t>
  </si>
  <si>
    <t>Контракт</t>
  </si>
  <si>
    <t>Склад</t>
  </si>
  <si>
    <t>шт</t>
  </si>
  <si>
    <t>себестоимость</t>
  </si>
  <si>
    <t>Выкупили, шт</t>
  </si>
  <si>
    <t>Выкупили, руб</t>
  </si>
  <si>
    <t>Текущий остаток, шт</t>
  </si>
  <si>
    <t>Жилеты</t>
  </si>
  <si>
    <t>круглогодичный</t>
  </si>
  <si>
    <t>Безрукавка от SLOT: Утепленный жилет</t>
  </si>
  <si>
    <t>V41021SLW</t>
  </si>
  <si>
    <t>M</t>
  </si>
  <si>
    <t>2600-5923 Агентский</t>
  </si>
  <si>
    <t>Подольск</t>
  </si>
  <si>
    <t>S</t>
  </si>
  <si>
    <t>Склад Екатеринбург</t>
  </si>
  <si>
    <t>Мантии</t>
  </si>
  <si>
    <t>Мантия утепленная с начесом/ подарок для мужчин</t>
  </si>
  <si>
    <t>MA00306SLM</t>
  </si>
  <si>
    <t>XL</t>
  </si>
  <si>
    <t>Договор Оферта № 2020/05/13 от 13.05.2020</t>
  </si>
  <si>
    <t>V41021V41026SLW</t>
  </si>
  <si>
    <t>Склад Новосибирск</t>
  </si>
  <si>
    <t>V40021SLML</t>
  </si>
  <si>
    <t>Костюмы спортивные</t>
  </si>
  <si>
    <t>Костюм худи и брюки/Костюм спортивный женский утепленный с начесом/на флисе/Костюм женский из футера</t>
  </si>
  <si>
    <t>фиолетовый</t>
  </si>
  <si>
    <t>Анораки</t>
  </si>
  <si>
    <t>Анорак</t>
  </si>
  <si>
    <t>AN40327SLM</t>
  </si>
  <si>
    <t>XXXL</t>
  </si>
  <si>
    <t>Склад Краснодар</t>
  </si>
  <si>
    <t>Костюм худи и брюки/Костюм спортивный мужской утепленный с начесом/на флисе/Костюм мужской из футера</t>
  </si>
  <si>
    <t>KO40387SLMчерный</t>
  </si>
  <si>
    <t>Склад Хабаровск</t>
  </si>
  <si>
    <t>демисезон</t>
  </si>
  <si>
    <t>Жилет с капюшоном</t>
  </si>
  <si>
    <t>V41023SLW3SLW</t>
  </si>
  <si>
    <t>XXS</t>
  </si>
  <si>
    <t>V40025SLM</t>
  </si>
  <si>
    <t>L</t>
  </si>
  <si>
    <t>V41021V20020W</t>
  </si>
  <si>
    <t>Свитшоты</t>
  </si>
  <si>
    <t>Свитшот оверсайз</t>
  </si>
  <si>
    <t>SV40370SLM</t>
  </si>
  <si>
    <t>46-52</t>
  </si>
  <si>
    <t>F</t>
  </si>
  <si>
    <t>Брюки</t>
  </si>
  <si>
    <t>Брюки карго</t>
  </si>
  <si>
    <t>BR00331SLM</t>
  </si>
  <si>
    <t>30/34</t>
  </si>
  <si>
    <t>Брюки джоггеры</t>
  </si>
  <si>
    <t>JO00311SLM</t>
  </si>
  <si>
    <t>XS</t>
  </si>
  <si>
    <t>Худи</t>
  </si>
  <si>
    <t>Худи оверсайз</t>
  </si>
  <si>
    <t>40-54</t>
  </si>
  <si>
    <t>V4102120W</t>
  </si>
  <si>
    <t>XXL</t>
  </si>
  <si>
    <t>V40022SLM</t>
  </si>
  <si>
    <t>V40026SLM</t>
  </si>
  <si>
    <t>Склад Санкт-Петербург</t>
  </si>
  <si>
    <t>KO40385SLWпудра</t>
  </si>
  <si>
    <t>Договор Агентский № 2018/01/09 от 09.01.2018</t>
  </si>
  <si>
    <t>Склад Казань</t>
  </si>
  <si>
    <t>Платья</t>
  </si>
  <si>
    <t>Платье-худи с капюшоном</t>
  </si>
  <si>
    <t>PL40358SLW</t>
  </si>
  <si>
    <t>Мужской анорак</t>
  </si>
  <si>
    <t>AN00327SLM</t>
  </si>
  <si>
    <t>Шорты</t>
  </si>
  <si>
    <t>лето</t>
  </si>
  <si>
    <t>Мужские шорты Карго</t>
  </si>
  <si>
    <t>SH00326SLM</t>
  </si>
  <si>
    <t>V60020M</t>
  </si>
  <si>
    <t>V40020M</t>
  </si>
  <si>
    <t>Пуховики</t>
  </si>
  <si>
    <t>Пуховик</t>
  </si>
  <si>
    <t>PX00346SLM</t>
  </si>
  <si>
    <t>Худи оверсайз мужской</t>
  </si>
  <si>
    <t>Склад Электросталь</t>
  </si>
  <si>
    <t>V50020M</t>
  </si>
  <si>
    <t>Пуховик удлиненный</t>
  </si>
  <si>
    <t>PX00349SLM</t>
  </si>
  <si>
    <t>PX00347SLM</t>
  </si>
  <si>
    <t>BR00308SLM</t>
  </si>
  <si>
    <t>30/32</t>
  </si>
  <si>
    <t>KO40387SLM</t>
  </si>
  <si>
    <t>Толстовки</t>
  </si>
  <si>
    <t>толстовка с капюшоном</t>
  </si>
  <si>
    <t>TO00307SLM</t>
  </si>
  <si>
    <t>H003H40391SLM</t>
  </si>
  <si>
    <t>46-54</t>
  </si>
  <si>
    <t>PL40359SLW</t>
  </si>
  <si>
    <t>V41023SLWV41024SLW</t>
  </si>
  <si>
    <t>SV40368SLW</t>
  </si>
  <si>
    <t>KO40386SLM</t>
  </si>
  <si>
    <t>KO40371SLW</t>
  </si>
  <si>
    <t>V40023SLM</t>
  </si>
  <si>
    <t>H003H00353SLM</t>
  </si>
  <si>
    <t>KO40385SLWрозовый</t>
  </si>
  <si>
    <t>SV40369SLM</t>
  </si>
  <si>
    <t>Брюки спортивные. Оверсайз</t>
  </si>
  <si>
    <t>BR40356SLW</t>
  </si>
  <si>
    <t>155-168</t>
  </si>
  <si>
    <t>168-175</t>
  </si>
  <si>
    <t>KO40385SLWкэмел</t>
  </si>
  <si>
    <t>Анорак женский</t>
  </si>
  <si>
    <t>AN00326SLW</t>
  </si>
  <si>
    <t>H003H00351SLM</t>
  </si>
  <si>
    <t>PX00350SLM</t>
  </si>
  <si>
    <t>KO40385SLWчерный</t>
  </si>
  <si>
    <t>H003H00354SLM</t>
  </si>
  <si>
    <t>PL40360SLW</t>
  </si>
  <si>
    <t>Свитшот женский классический | Женская толстовка, 100% хлопок, без принтов</t>
  </si>
  <si>
    <t>SM230WB</t>
  </si>
  <si>
    <t>V41023SLWV41022SLW</t>
  </si>
  <si>
    <t>JO00310SLM</t>
  </si>
  <si>
    <t>PX00345SLM</t>
  </si>
  <si>
    <t>V41021V10020W</t>
  </si>
  <si>
    <t>BR00309SLM</t>
  </si>
  <si>
    <t>29/32</t>
  </si>
  <si>
    <t>0200-5015 Агентский</t>
  </si>
  <si>
    <t>V41023SLWSLW</t>
  </si>
  <si>
    <t>SW190WB</t>
  </si>
  <si>
    <t>H003H00350SLM</t>
  </si>
  <si>
    <t>SV40365SLW</t>
  </si>
  <si>
    <t>V40024SLM</t>
  </si>
  <si>
    <t>H003H00352SLM</t>
  </si>
  <si>
    <t>29/34</t>
  </si>
  <si>
    <t>PX00344SLM</t>
  </si>
  <si>
    <t>H003H40361SLM</t>
  </si>
  <si>
    <t>AN40326SLW</t>
  </si>
  <si>
    <t>BR40355SLW</t>
  </si>
  <si>
    <t>H40378SLM</t>
  </si>
  <si>
    <t>Рюкзаки</t>
  </si>
  <si>
    <t>Рюкзак мужской городской</t>
  </si>
  <si>
    <t>RK00317SLU</t>
  </si>
  <si>
    <t>Мужской свитшот для геймеров с принтом I PAUSED MY GAME TO BE HERE</t>
  </si>
  <si>
    <t>SM302WB</t>
  </si>
  <si>
    <t>SV40366SLW</t>
  </si>
  <si>
    <t>31/32</t>
  </si>
  <si>
    <t>SV40367SLW</t>
  </si>
  <si>
    <t>Светоотражающие штаны рефлективные женские</t>
  </si>
  <si>
    <t>BR00325SLW</t>
  </si>
  <si>
    <t>BR00332SLM</t>
  </si>
  <si>
    <t>7403875213118</t>
  </si>
  <si>
    <t>7403985211028</t>
  </si>
  <si>
    <t>SUM заказов</t>
  </si>
  <si>
    <t>SUM продажа</t>
  </si>
  <si>
    <t>SUM деньги</t>
  </si>
  <si>
    <t>SUM поступления</t>
  </si>
  <si>
    <t>SUM остаток</t>
  </si>
  <si>
    <t>Итого</t>
  </si>
  <si>
    <t>Заполнить 2 категории во вкладке "Категории товаров", основываясь на вкладке "неделя 10"</t>
  </si>
  <si>
    <t>Желтым выделено то, что берется из вкладки "неделя 10". (за основу  берется ID)</t>
  </si>
  <si>
    <t>Остальное считается по формулам (заполнить)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</si>
</sst>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[$ ₽]"/>
    <numFmt numFmtId="165" formatCode="0.0"/>
  </numFmts>
  <fonts count="52">
    <font>
      <sz val="10.0"/>
      <color rgb="FF000000"/>
      <name val="Arial"/>
      <scheme val="minor"/>
    </font>
    <font>
      <sz val="10.0"/>
      <color theme="1"/>
      <name val="Arial"/>
    </font>
    <font/>
    <font>
      <b/>
      <sz val="13.0"/>
      <color theme="1"/>
      <name val="Arial"/>
    </font>
    <font>
      <sz val="9.0"/>
      <color theme="1"/>
      <name val="Arial"/>
    </font>
    <font>
      <b/>
      <sz val="9.0"/>
      <color rgb="FF990000"/>
      <name val="Arial"/>
    </font>
    <font>
      <sz val="12.0"/>
      <color rgb="FF000000"/>
      <name val="Arial"/>
    </font>
    <font>
      <sz val="11.0"/>
      <color theme="1"/>
      <name val="Arial"/>
    </font>
    <font>
      <b/>
      <sz val="9.0"/>
      <color rgb="FF0B5394"/>
      <name val="Arial"/>
    </font>
    <font>
      <b/>
      <sz val="9.0"/>
      <color rgb="FF38761D"/>
      <name val="Arial"/>
    </font>
    <font>
      <b/>
      <sz val="9.0"/>
      <color rgb="FF6D9EEB"/>
      <name val="Arial"/>
    </font>
    <font>
      <b/>
      <sz val="10.0"/>
      <color rgb="FF46BDC6"/>
      <name val="Arial"/>
    </font>
    <font>
      <sz val="10.0"/>
      <color rgb="FF000000"/>
      <name val="Arial"/>
    </font>
    <font>
      <sz val="12.0"/>
      <color rgb="FFFF00FF"/>
      <name val="Arial"/>
    </font>
    <font>
      <sz val="12.0"/>
      <color rgb="FF9900FF"/>
      <name val="Arial"/>
    </font>
    <font>
      <sz val="12.0"/>
      <color theme="1"/>
      <name val="Arial"/>
    </font>
    <font>
      <b/>
      <sz val="18.0"/>
      <color theme="1"/>
      <name val="Arial"/>
    </font>
    <font>
      <b/>
      <sz val="16.0"/>
      <color rgb="FF990000"/>
      <name val="Arial"/>
    </font>
    <font>
      <b/>
      <sz val="12.0"/>
      <color rgb="FF000000"/>
      <name val="Arial"/>
    </font>
    <font>
      <b/>
      <sz val="16.0"/>
      <color rgb="FF0B5394"/>
      <name val="Arial"/>
    </font>
    <font>
      <b/>
      <sz val="9.0"/>
      <color rgb="FF000000"/>
      <name val="Arial"/>
    </font>
    <font>
      <b/>
      <sz val="14.0"/>
      <color rgb="FF46BDC6"/>
      <name val="Arial"/>
    </font>
    <font>
      <sz val="10.0"/>
      <color rgb="FF9900FF"/>
      <name val="Arial"/>
    </font>
    <font>
      <b/>
      <sz val="14.0"/>
      <color theme="1"/>
      <name val="Arial"/>
    </font>
    <font>
      <b/>
      <sz val="10.0"/>
      <color theme="1"/>
      <name val="Arial"/>
    </font>
    <font>
      <b/>
      <sz val="14.0"/>
      <color rgb="FF990000"/>
      <name val="Arial"/>
    </font>
    <font>
      <b/>
      <sz val="14.0"/>
      <color rgb="FF000000"/>
      <name val="Arial"/>
    </font>
    <font>
      <b/>
      <sz val="14.0"/>
      <color rgb="FF0B5394"/>
      <name val="Arial"/>
    </font>
    <font>
      <b/>
      <sz val="14.0"/>
      <color rgb="FF38761D"/>
      <name val="Arial"/>
    </font>
    <font>
      <b/>
      <sz val="14.0"/>
      <color rgb="FF6D9EEB"/>
      <name val="Arial"/>
    </font>
    <font>
      <b/>
      <sz val="14.0"/>
      <color rgb="FFFF00FF"/>
      <name val="Arial"/>
    </font>
    <font>
      <b/>
      <sz val="12.0"/>
      <color theme="1"/>
      <name val="Arial"/>
    </font>
    <font>
      <b/>
      <sz val="12.0"/>
      <color rgb="FF990000"/>
      <name val="Arial"/>
    </font>
    <font>
      <b/>
      <sz val="12.0"/>
      <color rgb="FF0B5394"/>
      <name val="Arial"/>
    </font>
    <font>
      <b/>
      <sz val="12.0"/>
      <color rgb="FF38761D"/>
      <name val="Arial"/>
    </font>
    <font>
      <b/>
      <sz val="12.0"/>
      <color rgb="FF6D9EEB"/>
      <name val="Arial"/>
    </font>
    <font>
      <b/>
      <sz val="12.0"/>
      <color rgb="FF46BDC6"/>
      <name val="Arial"/>
    </font>
    <font>
      <b/>
      <sz val="12.0"/>
      <color rgb="FFFF00FF"/>
      <name val="Arial"/>
    </font>
    <font>
      <b/>
      <sz val="12.0"/>
      <color rgb="FF9900FF"/>
      <name val="Arial"/>
    </font>
    <font>
      <sz val="11.0"/>
      <color rgb="FF000000"/>
      <name val="Arial"/>
    </font>
    <font>
      <sz val="10.0"/>
      <color rgb="FF990000"/>
      <name val="Arial"/>
    </font>
    <font>
      <b/>
      <sz val="10.0"/>
      <color rgb="FF6D9EEB"/>
      <name val="Arial"/>
    </font>
    <font>
      <sz val="10.0"/>
      <color rgb="FFFF00FF"/>
      <name val="Arial"/>
    </font>
    <font>
      <b/>
      <sz val="10.0"/>
      <color rgb="FF000000"/>
      <name val="Arial"/>
    </font>
    <font>
      <sz val="11.0"/>
      <color rgb="FF000000"/>
      <name val="Verdana"/>
    </font>
    <font>
      <sz val="12.0"/>
      <color rgb="FF000000"/>
      <name val="Verdana"/>
    </font>
    <font>
      <sz val="10.0"/>
      <color rgb="FF0B5394"/>
      <name val="Arial"/>
    </font>
    <font>
      <sz val="10.0"/>
      <color rgb="FF6D9EEB"/>
      <name val="Arial"/>
    </font>
    <font>
      <color theme="1"/>
      <name val="Arial"/>
    </font>
    <font>
      <b/>
      <sz val="12.0"/>
      <color theme="1"/>
      <name val="Verdana"/>
    </font>
    <font>
      <sz val="12.0"/>
      <color theme="1"/>
      <name val="Verdana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1"/>
    </xf>
    <xf borderId="5" fillId="3" fontId="5" numFmtId="1" xfId="0" applyAlignment="1" applyBorder="1" applyFill="1" applyFont="1" applyNumberFormat="1">
      <alignment horizontal="center" shrinkToFit="0" vertical="center" wrapText="1"/>
    </xf>
    <xf borderId="6" fillId="0" fontId="6" numFmtId="1" xfId="0" applyAlignment="1" applyBorder="1" applyFont="1" applyNumberFormat="1">
      <alignment horizontal="center" shrinkToFit="0" vertical="center" wrapText="1"/>
    </xf>
    <xf borderId="6" fillId="0" fontId="7" numFmtId="164" xfId="0" applyAlignment="1" applyBorder="1" applyFont="1" applyNumberFormat="1">
      <alignment horizontal="center" shrinkToFit="0" vertical="center" wrapText="1"/>
    </xf>
    <xf borderId="5" fillId="3" fontId="8" numFmtId="1" xfId="0" applyAlignment="1" applyBorder="1" applyFont="1" applyNumberFormat="1">
      <alignment horizontal="center" shrinkToFit="0" vertical="center" wrapText="1"/>
    </xf>
    <xf borderId="5" fillId="3" fontId="9" numFmtId="164" xfId="0" applyAlignment="1" applyBorder="1" applyFont="1" applyNumberFormat="1">
      <alignment horizontal="center" shrinkToFit="0" vertical="center" wrapText="1"/>
    </xf>
    <xf borderId="6" fillId="0" fontId="10" numFmtId="164" xfId="0" applyAlignment="1" applyBorder="1" applyFont="1" applyNumberFormat="1">
      <alignment horizontal="center" shrinkToFit="0" vertical="center" wrapText="1"/>
    </xf>
    <xf borderId="6" fillId="0" fontId="11" numFmtId="165" xfId="0" applyAlignment="1" applyBorder="1" applyFont="1" applyNumberFormat="1">
      <alignment horizontal="center" shrinkToFit="0" vertical="center" wrapText="1"/>
    </xf>
    <xf borderId="5" fillId="3" fontId="12" numFmtId="1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6" fillId="0" fontId="13" numFmtId="164" xfId="0" applyAlignment="1" applyBorder="1" applyFont="1" applyNumberFormat="1">
      <alignment horizontal="center" shrinkToFit="0" vertical="center" wrapText="1"/>
    </xf>
    <xf borderId="4" fillId="0" fontId="6" numFmtId="1" xfId="0" applyAlignment="1" applyBorder="1" applyFont="1" applyNumberFormat="1">
      <alignment horizontal="center" shrinkToFit="0" vertical="center" wrapText="1"/>
    </xf>
    <xf borderId="0" fillId="0" fontId="14" numFmtId="9" xfId="0" applyAlignment="1" applyFont="1" applyNumberFormat="1">
      <alignment horizontal="center" shrinkToFit="0" vertical="center" wrapText="1"/>
    </xf>
    <xf borderId="4" fillId="0" fontId="15" numFmtId="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6" numFmtId="1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1" numFmtId="165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4" fontId="16" numFmtId="0" xfId="0" applyAlignment="1" applyBorder="1" applyFill="1" applyFont="1">
      <alignment horizontal="center" vertical="center"/>
    </xf>
    <xf borderId="14" fillId="4" fontId="3" numFmtId="0" xfId="0" applyAlignment="1" applyBorder="1" applyFont="1">
      <alignment horizontal="center" shrinkToFit="0" vertical="center" wrapText="1"/>
    </xf>
    <xf borderId="7" fillId="4" fontId="1" numFmtId="164" xfId="0" applyAlignment="1" applyBorder="1" applyFont="1" applyNumberFormat="1">
      <alignment horizontal="center" shrinkToFit="0" vertical="center" wrapText="1"/>
    </xf>
    <xf borderId="15" fillId="4" fontId="17" numFmtId="1" xfId="0" applyAlignment="1" applyBorder="1" applyFont="1" applyNumberFormat="1">
      <alignment horizontal="center" shrinkToFit="0" vertical="center" wrapText="1"/>
    </xf>
    <xf borderId="15" fillId="4" fontId="18" numFmtId="1" xfId="0" applyAlignment="1" applyBorder="1" applyFont="1" applyNumberFormat="1">
      <alignment horizontal="center" shrinkToFit="0" vertical="center" wrapText="1"/>
    </xf>
    <xf borderId="15" fillId="4" fontId="7" numFmtId="164" xfId="0" applyAlignment="1" applyBorder="1" applyFont="1" applyNumberFormat="1">
      <alignment horizontal="center" shrinkToFit="0" vertical="center" wrapText="1"/>
    </xf>
    <xf borderId="15" fillId="4" fontId="19" numFmtId="1" xfId="0" applyAlignment="1" applyBorder="1" applyFont="1" applyNumberFormat="1">
      <alignment horizontal="center" shrinkToFit="0" vertical="center" wrapText="1"/>
    </xf>
    <xf borderId="15" fillId="4" fontId="20" numFmtId="1" xfId="0" applyAlignment="1" applyBorder="1" applyFont="1" applyNumberFormat="1">
      <alignment horizontal="center" shrinkToFit="0" vertical="center" wrapText="1"/>
    </xf>
    <xf borderId="15" fillId="4" fontId="9" numFmtId="164" xfId="0" applyAlignment="1" applyBorder="1" applyFont="1" applyNumberFormat="1">
      <alignment horizontal="center" shrinkToFit="0" vertical="center" wrapText="1"/>
    </xf>
    <xf borderId="15" fillId="4" fontId="10" numFmtId="164" xfId="0" applyAlignment="1" applyBorder="1" applyFont="1" applyNumberFormat="1">
      <alignment horizontal="center" shrinkToFit="0" vertical="center" wrapText="1"/>
    </xf>
    <xf borderId="15" fillId="4" fontId="21" numFmtId="165" xfId="0" applyAlignment="1" applyBorder="1" applyFont="1" applyNumberFormat="1">
      <alignment horizontal="center" shrinkToFit="0" vertical="center" wrapText="1"/>
    </xf>
    <xf borderId="15" fillId="4" fontId="6" numFmtId="1" xfId="0" applyAlignment="1" applyBorder="1" applyFont="1" applyNumberFormat="1">
      <alignment horizontal="center" shrinkToFit="0" vertical="center" wrapText="1"/>
    </xf>
    <xf borderId="15" fillId="4" fontId="13" numFmtId="0" xfId="0" applyAlignment="1" applyBorder="1" applyFont="1">
      <alignment horizontal="center" shrinkToFit="0" vertical="center" wrapText="1"/>
    </xf>
    <xf borderId="15" fillId="4" fontId="13" numFmtId="164" xfId="0" applyAlignment="1" applyBorder="1" applyFont="1" applyNumberFormat="1">
      <alignment horizontal="center" shrinkToFit="0" vertical="center" wrapText="1"/>
    </xf>
    <xf borderId="7" fillId="4" fontId="6" numFmtId="1" xfId="0" applyAlignment="1" applyBorder="1" applyFont="1" applyNumberFormat="1">
      <alignment horizontal="center" shrinkToFit="0" vertical="center" wrapText="1"/>
    </xf>
    <xf borderId="7" fillId="4" fontId="22" numFmtId="9" xfId="0" applyAlignment="1" applyBorder="1" applyFont="1" applyNumberFormat="1">
      <alignment horizontal="center" vertical="center"/>
    </xf>
    <xf borderId="7" fillId="4" fontId="1" numFmtId="9" xfId="0" applyAlignment="1" applyBorder="1" applyFont="1" applyNumberFormat="1">
      <alignment horizontal="center" vertical="center"/>
    </xf>
    <xf borderId="16" fillId="4" fontId="1" numFmtId="165" xfId="0" applyAlignment="1" applyBorder="1" applyFont="1" applyNumberFormat="1">
      <alignment horizontal="center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" fillId="5" fontId="23" numFmtId="0" xfId="0" applyAlignment="1" applyBorder="1" applyFill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7" fillId="5" fontId="24" numFmtId="0" xfId="0" applyAlignment="1" applyBorder="1" applyFont="1">
      <alignment horizontal="center" shrinkToFit="0" vertical="center" wrapText="1"/>
    </xf>
    <xf borderId="7" fillId="5" fontId="23" numFmtId="164" xfId="0" applyAlignment="1" applyBorder="1" applyFont="1" applyNumberFormat="1">
      <alignment horizontal="center" vertical="center"/>
    </xf>
    <xf borderId="7" fillId="5" fontId="25" numFmtId="1" xfId="0" applyAlignment="1" applyBorder="1" applyFont="1" applyNumberFormat="1">
      <alignment horizontal="center" vertical="center"/>
    </xf>
    <xf borderId="7" fillId="5" fontId="26" numFmtId="1" xfId="0" applyAlignment="1" applyBorder="1" applyFont="1" applyNumberFormat="1">
      <alignment horizontal="center" vertical="center"/>
    </xf>
    <xf borderId="7" fillId="5" fontId="23" numFmtId="0" xfId="0" applyAlignment="1" applyBorder="1" applyFont="1">
      <alignment horizontal="center" vertical="center"/>
    </xf>
    <xf borderId="7" fillId="5" fontId="27" numFmtId="1" xfId="0" applyAlignment="1" applyBorder="1" applyFont="1" applyNumberFormat="1">
      <alignment horizontal="center" vertical="center"/>
    </xf>
    <xf borderId="7" fillId="5" fontId="28" numFmtId="164" xfId="0" applyAlignment="1" applyBorder="1" applyFont="1" applyNumberFormat="1">
      <alignment horizontal="center" vertical="center"/>
    </xf>
    <xf borderId="7" fillId="5" fontId="29" numFmtId="164" xfId="0" applyAlignment="1" applyBorder="1" applyFont="1" applyNumberFormat="1">
      <alignment horizontal="center" vertical="center"/>
    </xf>
    <xf borderId="7" fillId="5" fontId="21" numFmtId="0" xfId="0" applyAlignment="1" applyBorder="1" applyFont="1">
      <alignment horizontal="center" vertical="center"/>
    </xf>
    <xf borderId="7" fillId="5" fontId="30" numFmtId="1" xfId="0" applyAlignment="1" applyBorder="1" applyFont="1" applyNumberFormat="1">
      <alignment horizontal="center" vertical="center"/>
    </xf>
    <xf borderId="7" fillId="5" fontId="30" numFmtId="164" xfId="0" applyAlignment="1" applyBorder="1" applyFont="1" applyNumberFormat="1">
      <alignment horizontal="center" vertical="center"/>
    </xf>
    <xf borderId="7" fillId="5" fontId="22" numFmtId="9" xfId="0" applyAlignment="1" applyBorder="1" applyFont="1" applyNumberFormat="1">
      <alignment horizontal="center" vertical="center"/>
    </xf>
    <xf borderId="7" fillId="5" fontId="1" numFmtId="9" xfId="0" applyAlignment="1" applyBorder="1" applyFont="1" applyNumberFormat="1">
      <alignment horizontal="center" vertical="center"/>
    </xf>
    <xf borderId="0" fillId="0" fontId="26" numFmtId="1" xfId="0" applyAlignment="1" applyFont="1" applyNumberFormat="1">
      <alignment horizontal="center" vertical="center"/>
    </xf>
    <xf borderId="0" fillId="0" fontId="31" numFmtId="165" xfId="0" applyAlignment="1" applyFont="1" applyNumberFormat="1">
      <alignment horizontal="center" vertical="center"/>
    </xf>
    <xf borderId="0" fillId="0" fontId="31" numFmtId="0" xfId="0" applyAlignment="1" applyFont="1">
      <alignment vertical="center"/>
    </xf>
    <xf borderId="1" fillId="6" fontId="31" numFmtId="0" xfId="0" applyAlignment="1" applyBorder="1" applyFill="1" applyFont="1">
      <alignment horizontal="center" vertical="center"/>
    </xf>
    <xf borderId="0" fillId="0" fontId="31" numFmtId="0" xfId="0" applyAlignment="1" applyFont="1">
      <alignment horizontal="center" vertical="center"/>
    </xf>
    <xf borderId="7" fillId="6" fontId="31" numFmtId="0" xfId="0" applyAlignment="1" applyBorder="1" applyFont="1">
      <alignment horizontal="center" vertical="center"/>
    </xf>
    <xf borderId="7" fillId="6" fontId="31" numFmtId="164" xfId="0" applyAlignment="1" applyBorder="1" applyFont="1" applyNumberFormat="1">
      <alignment horizontal="center" vertical="center"/>
    </xf>
    <xf borderId="7" fillId="6" fontId="32" numFmtId="1" xfId="0" applyAlignment="1" applyBorder="1" applyFont="1" applyNumberFormat="1">
      <alignment horizontal="center" vertical="center"/>
    </xf>
    <xf borderId="7" fillId="6" fontId="18" numFmtId="1" xfId="0" applyAlignment="1" applyBorder="1" applyFont="1" applyNumberFormat="1">
      <alignment horizontal="center" vertical="center"/>
    </xf>
    <xf borderId="7" fillId="6" fontId="33" numFmtId="1" xfId="0" applyAlignment="1" applyBorder="1" applyFont="1" applyNumberFormat="1">
      <alignment horizontal="center" vertical="center"/>
    </xf>
    <xf borderId="7" fillId="6" fontId="34" numFmtId="164" xfId="0" applyAlignment="1" applyBorder="1" applyFont="1" applyNumberFormat="1">
      <alignment horizontal="center" vertical="center"/>
    </xf>
    <xf borderId="7" fillId="6" fontId="35" numFmtId="164" xfId="0" applyAlignment="1" applyBorder="1" applyFont="1" applyNumberFormat="1">
      <alignment horizontal="center" vertical="center"/>
    </xf>
    <xf borderId="7" fillId="6" fontId="36" numFmtId="165" xfId="0" applyAlignment="1" applyBorder="1" applyFont="1" applyNumberFormat="1">
      <alignment horizontal="center" vertical="center"/>
    </xf>
    <xf borderId="7" fillId="6" fontId="37" numFmtId="1" xfId="0" applyAlignment="1" applyBorder="1" applyFont="1" applyNumberFormat="1">
      <alignment horizontal="center" vertical="center"/>
    </xf>
    <xf borderId="7" fillId="6" fontId="37" numFmtId="164" xfId="0" applyAlignment="1" applyBorder="1" applyFont="1" applyNumberFormat="1">
      <alignment horizontal="center" vertical="center"/>
    </xf>
    <xf borderId="7" fillId="6" fontId="38" numFmtId="9" xfId="0" applyAlignment="1" applyBorder="1" applyFont="1" applyNumberFormat="1">
      <alignment horizontal="center" vertical="center"/>
    </xf>
    <xf borderId="7" fillId="6" fontId="31" numFmtId="9" xfId="0" applyAlignment="1" applyBorder="1" applyFont="1" applyNumberFormat="1">
      <alignment horizontal="center" vertical="center"/>
    </xf>
    <xf borderId="0" fillId="0" fontId="18" numFmtId="1" xfId="0" applyAlignment="1" applyFont="1" applyNumberFormat="1">
      <alignment horizontal="center" vertical="center"/>
    </xf>
    <xf borderId="16" fillId="6" fontId="24" numFmtId="165" xfId="0" applyAlignment="1" applyBorder="1" applyFont="1" applyNumberFormat="1">
      <alignment horizontal="center" vertical="center"/>
    </xf>
    <xf borderId="16" fillId="6" fontId="24" numFmtId="0" xfId="0" applyAlignment="1" applyBorder="1" applyFont="1">
      <alignment vertical="center"/>
    </xf>
    <xf borderId="7" fillId="7" fontId="39" numFmtId="0" xfId="0" applyAlignment="1" applyBorder="1" applyFill="1" applyFont="1">
      <alignment horizontal="center" shrinkToFit="0" vertical="center" wrapText="1"/>
    </xf>
    <xf borderId="17" fillId="7" fontId="39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164" xfId="0" applyAlignment="1" applyBorder="1" applyFont="1" applyNumberFormat="1">
      <alignment horizontal="center" vertical="center"/>
    </xf>
    <xf borderId="7" fillId="8" fontId="40" numFmtId="1" xfId="0" applyAlignment="1" applyBorder="1" applyFill="1" applyFont="1" applyNumberFormat="1">
      <alignment horizontal="center" vertical="center"/>
    </xf>
    <xf borderId="7" fillId="8" fontId="12" numFmtId="165" xfId="0" applyAlignment="1" applyBorder="1" applyFont="1" applyNumberFormat="1">
      <alignment horizontal="center" vertical="center"/>
    </xf>
    <xf borderId="7" fillId="8" fontId="1" numFmtId="164" xfId="0" applyAlignment="1" applyBorder="1" applyFont="1" applyNumberFormat="1">
      <alignment horizontal="center" vertical="center"/>
    </xf>
    <xf borderId="7" fillId="7" fontId="12" numFmtId="1" xfId="0" applyAlignment="1" applyBorder="1" applyFont="1" applyNumberFormat="1">
      <alignment horizontal="center" vertical="center"/>
    </xf>
    <xf borderId="7" fillId="7" fontId="12" numFmtId="164" xfId="0" applyAlignment="1" applyBorder="1" applyFont="1" applyNumberFormat="1">
      <alignment horizontal="center"/>
    </xf>
    <xf borderId="7" fillId="8" fontId="41" numFmtId="164" xfId="0" applyAlignment="1" applyBorder="1" applyFont="1" applyNumberFormat="1">
      <alignment horizontal="center" vertical="center"/>
    </xf>
    <xf borderId="7" fillId="8" fontId="11" numFmtId="165" xfId="0" applyAlignment="1" applyBorder="1" applyFont="1" applyNumberFormat="1">
      <alignment horizontal="center" vertical="center"/>
    </xf>
    <xf borderId="7" fillId="7" fontId="12" numFmtId="1" xfId="0" applyAlignment="1" applyBorder="1" applyFont="1" applyNumberFormat="1">
      <alignment horizontal="center"/>
    </xf>
    <xf borderId="7" fillId="8" fontId="42" numFmtId="0" xfId="0" applyAlignment="1" applyBorder="1" applyFont="1">
      <alignment horizontal="center" vertical="center"/>
    </xf>
    <xf borderId="7" fillId="8" fontId="42" numFmtId="164" xfId="0" applyAlignment="1" applyBorder="1" applyFont="1" applyNumberFormat="1">
      <alignment horizontal="center" vertical="center"/>
    </xf>
    <xf borderId="7" fillId="8" fontId="12" numFmtId="1" xfId="0" applyAlignment="1" applyBorder="1" applyFont="1" applyNumberFormat="1">
      <alignment horizontal="center" vertical="center"/>
    </xf>
    <xf borderId="7" fillId="8" fontId="22" numFmtId="9" xfId="0" applyAlignment="1" applyBorder="1" applyFont="1" applyNumberFormat="1">
      <alignment horizontal="center" vertical="center"/>
    </xf>
    <xf borderId="7" fillId="8" fontId="1" numFmtId="9" xfId="0" applyAlignment="1" applyBorder="1" applyFont="1" applyNumberFormat="1">
      <alignment horizontal="center" vertical="center"/>
    </xf>
    <xf borderId="0" fillId="0" fontId="12" numFmtId="1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7" fillId="0" fontId="39" numFmtId="0" xfId="0" applyAlignment="1" applyBorder="1" applyFont="1">
      <alignment horizontal="center" shrinkToFit="0" vertical="center" wrapText="1"/>
    </xf>
    <xf borderId="7" fillId="0" fontId="22" numFmtId="9" xfId="0" applyAlignment="1" applyBorder="1" applyFont="1" applyNumberFormat="1">
      <alignment horizontal="center" vertical="center"/>
    </xf>
    <xf borderId="7" fillId="0" fontId="1" numFmtId="9" xfId="0" applyAlignment="1" applyBorder="1" applyFont="1" applyNumberFormat="1">
      <alignment horizontal="center" vertical="center"/>
    </xf>
    <xf borderId="7" fillId="7" fontId="1" numFmtId="0" xfId="0" applyAlignment="1" applyBorder="1" applyFont="1">
      <alignment horizontal="center" vertical="center"/>
    </xf>
    <xf borderId="0" fillId="0" fontId="43" numFmtId="0" xfId="0" applyAlignment="1" applyFon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vertical="center"/>
    </xf>
    <xf borderId="7" fillId="6" fontId="24" numFmtId="0" xfId="0" applyAlignment="1" applyBorder="1" applyFont="1">
      <alignment horizontal="center" vertical="center"/>
    </xf>
    <xf borderId="7" fillId="7" fontId="44" numFmtId="0" xfId="0" applyAlignment="1" applyBorder="1" applyFont="1">
      <alignment horizontal="center" vertical="center"/>
    </xf>
    <xf borderId="7" fillId="6" fontId="22" numFmtId="9" xfId="0" applyAlignment="1" applyBorder="1" applyFont="1" applyNumberFormat="1">
      <alignment horizontal="center" vertical="center"/>
    </xf>
    <xf borderId="17" fillId="7" fontId="39" numFmtId="0" xfId="0" applyAlignment="1" applyBorder="1" applyFont="1">
      <alignment horizontal="center" readingOrder="0" shrinkToFit="0" vertical="center" wrapText="1"/>
    </xf>
    <xf borderId="7" fillId="7" fontId="39" numFmtId="0" xfId="0" applyAlignment="1" applyBorder="1" applyFont="1">
      <alignment horizontal="center" vertical="center"/>
    </xf>
    <xf borderId="7" fillId="7" fontId="6" numFmtId="0" xfId="0" applyAlignment="1" applyBorder="1" applyFont="1">
      <alignment horizontal="center" shrinkToFit="0" vertical="center" wrapText="1"/>
    </xf>
    <xf borderId="7" fillId="7" fontId="45" numFmtId="0" xfId="0" applyAlignment="1" applyBorder="1" applyFont="1">
      <alignment horizontal="center" vertical="center"/>
    </xf>
    <xf borderId="7" fillId="8" fontId="1" numFmtId="164" xfId="0" applyAlignment="1" applyBorder="1" applyFont="1" applyNumberFormat="1">
      <alignment horizontal="center" readingOrder="0" vertical="center"/>
    </xf>
    <xf borderId="7" fillId="8" fontId="41" numFmtId="164" xfId="0" applyAlignment="1" applyBorder="1" applyFont="1" applyNumberFormat="1">
      <alignment horizontal="center" readingOrder="0" vertical="center"/>
    </xf>
    <xf borderId="7" fillId="8" fontId="12" numFmtId="1" xfId="0" applyAlignment="1" applyBorder="1" applyFont="1" applyNumberFormat="1">
      <alignment horizontal="center" readingOrder="0" vertical="center"/>
    </xf>
    <xf borderId="16" fillId="7" fontId="39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46" numFmtId="1" xfId="0" applyAlignment="1" applyFont="1" applyNumberFormat="1">
      <alignment horizontal="center" vertical="center"/>
    </xf>
    <xf borderId="0" fillId="0" fontId="47" numFmtId="164" xfId="0" applyAlignment="1" applyFont="1" applyNumberFormat="1">
      <alignment horizontal="center" vertical="center"/>
    </xf>
    <xf borderId="0" fillId="0" fontId="12" numFmtId="1" xfId="0" applyAlignment="1" applyFont="1" applyNumberFormat="1">
      <alignment vertical="center"/>
    </xf>
    <xf borderId="0" fillId="0" fontId="42" numFmtId="0" xfId="0" applyAlignment="1" applyFont="1">
      <alignment horizontal="center" vertical="center"/>
    </xf>
    <xf borderId="0" fillId="0" fontId="42" numFmtId="164" xfId="0" applyAlignment="1" applyFont="1" applyNumberFormat="1">
      <alignment horizontal="center" vertical="center"/>
    </xf>
    <xf borderId="0" fillId="0" fontId="22" numFmtId="9" xfId="0" applyAlignment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0" fillId="0" fontId="1" numFmtId="0" xfId="0" applyFont="1"/>
    <xf borderId="16" fillId="3" fontId="24" numFmtId="0" xfId="0" applyAlignment="1" applyBorder="1" applyFont="1">
      <alignment horizontal="center"/>
    </xf>
    <xf borderId="0" fillId="0" fontId="48" numFmtId="0" xfId="0" applyAlignment="1" applyFont="1">
      <alignment horizontal="center" vertical="center"/>
    </xf>
    <xf borderId="0" fillId="3" fontId="1" numFmtId="0" xfId="0" applyAlignment="1" applyFont="1">
      <alignment horizontal="center"/>
    </xf>
    <xf borderId="0" fillId="0" fontId="49" numFmtId="0" xfId="0" applyFont="1"/>
    <xf borderId="0" fillId="3" fontId="49" numFmtId="0" xfId="0" applyAlignment="1" applyFont="1">
      <alignment horizontal="center"/>
    </xf>
    <xf borderId="0" fillId="0" fontId="49" numFmtId="0" xfId="0" applyAlignment="1" applyFont="1">
      <alignment horizontal="center" vertical="center"/>
    </xf>
    <xf borderId="0" fillId="3" fontId="50" numFmtId="0" xfId="0" applyAlignment="1" applyFont="1">
      <alignment horizontal="center"/>
    </xf>
    <xf borderId="0" fillId="0" fontId="50" numFmtId="0" xfId="0" applyAlignment="1" applyFont="1">
      <alignment horizontal="right"/>
    </xf>
    <xf borderId="0" fillId="0" fontId="50" numFmtId="0" xfId="0" applyAlignment="1" applyFont="1">
      <alignment horizontal="center" vertical="center"/>
    </xf>
    <xf borderId="7" fillId="0" fontId="50" numFmtId="0" xfId="0" applyAlignment="1" applyBorder="1" applyFont="1">
      <alignment horizontal="center" shrinkToFit="0" vertical="center" wrapText="0"/>
    </xf>
    <xf borderId="18" fillId="0" fontId="1" numFmtId="0" xfId="0" applyBorder="1" applyFont="1"/>
    <xf borderId="18" fillId="0" fontId="2" numFmtId="0" xfId="0" applyBorder="1" applyFont="1"/>
    <xf borderId="18" fillId="3" fontId="50" numFmtId="0" xfId="0" applyAlignment="1" applyBorder="1" applyFont="1">
      <alignment horizontal="center"/>
    </xf>
    <xf borderId="18" fillId="0" fontId="50" numFmtId="0" xfId="0" applyAlignment="1" applyBorder="1" applyFont="1">
      <alignment horizontal="right"/>
    </xf>
    <xf borderId="7" fillId="0" fontId="48" numFmtId="0" xfId="0" applyAlignment="1" applyBorder="1" applyFont="1">
      <alignment horizontal="center" vertical="center"/>
    </xf>
    <xf borderId="7" fillId="0" fontId="50" numFmtId="0" xfId="0" applyAlignment="1" applyBorder="1" applyFont="1">
      <alignment horizontal="center" vertical="center"/>
    </xf>
    <xf borderId="16" fillId="8" fontId="1" numFmtId="0" xfId="0" applyBorder="1" applyFont="1"/>
    <xf borderId="19" fillId="8" fontId="1" numFmtId="0" xfId="0" applyBorder="1" applyFont="1"/>
    <xf borderId="20" fillId="0" fontId="2" numFmtId="0" xfId="0" applyBorder="1" applyFont="1"/>
    <xf borderId="16" fillId="3" fontId="50" numFmtId="0" xfId="0" applyAlignment="1" applyBorder="1" applyFont="1">
      <alignment horizontal="center"/>
    </xf>
    <xf borderId="16" fillId="8" fontId="50" numFmtId="0" xfId="0" applyAlignment="1" applyBorder="1" applyFont="1">
      <alignment horizontal="right"/>
    </xf>
    <xf borderId="7" fillId="7" fontId="48" numFmtId="0" xfId="0" applyAlignment="1" applyBorder="1" applyFont="1">
      <alignment horizontal="center" vertical="center"/>
    </xf>
    <xf borderId="0" fillId="0" fontId="50" numFmtId="0" xfId="0" applyFont="1"/>
    <xf borderId="16" fillId="9" fontId="50" numFmtId="0" xfId="0" applyBorder="1" applyFill="1" applyFont="1"/>
    <xf borderId="0" fillId="0" fontId="50" numFmtId="0" xfId="0" applyAlignment="1" applyFont="1">
      <alignment horizontal="center"/>
    </xf>
    <xf borderId="0" fillId="3" fontId="48" numFmtId="0" xfId="0" applyFont="1"/>
    <xf borderId="0" fillId="0" fontId="51" numFmtId="0" xfId="0" applyFont="1"/>
    <xf borderId="0" fillId="0" fontId="1" numFmtId="0" xfId="0" applyAlignment="1" applyFont="1">
      <alignment horizontal="center"/>
    </xf>
    <xf borderId="4" fillId="0" fontId="23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vertical="center"/>
    </xf>
    <xf borderId="0" fillId="0" fontId="1" numFmtId="49" xfId="0" applyFont="1" applyNumberFormat="1"/>
    <xf borderId="0" fillId="0" fontId="1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491" sheet="неделя 10"/>
  </cacheSource>
  <cacheFields>
    <cacheField name=" ">
      <sharedItems containsMixedTypes="1" containsNumber="1" containsInteger="1">
        <n v="1.4601363E7"/>
        <s v="Отчёт по данным поставщика «Мостовой Антон Геннадьевич ИП» с 01.03.2021 по 07.03.2021 сформирован 09.03.2021 15:30:34. Склад: все"/>
        <s v="Бренд"/>
        <s v="SLOT"/>
      </sharedItems>
    </cacheField>
    <cacheField name=" 2" numFmtId="0">
      <sharedItems containsBlank="1">
        <m/>
        <s v="Предмет"/>
        <s v="Жилеты"/>
        <s v="Мантии"/>
        <s v="Костюмы спортивные"/>
        <s v="Анораки"/>
        <s v="Свитшоты"/>
        <s v="Брюки"/>
        <s v="Худи"/>
        <s v="Платья"/>
        <s v="Шорты"/>
        <s v="Пуховики"/>
        <s v="Толстовки"/>
        <s v="Рюкзаки"/>
      </sharedItems>
    </cacheField>
    <cacheField name=" 3" numFmtId="0">
      <sharedItems containsBlank="1">
        <m/>
        <s v="Сезон"/>
        <s v="круглогодичный"/>
        <s v="демисезон"/>
        <s v="лето"/>
      </sharedItems>
    </cacheField>
    <cacheField name=" 4" numFmtId="0">
      <sharedItems containsBlank="1">
        <m/>
        <s v="Коллекция"/>
      </sharedItems>
    </cacheField>
    <cacheField name=" 5" numFmtId="0">
      <sharedItems containsBlank="1">
        <m/>
        <s v="Наименование"/>
        <s v="Безрукавка от SLOT: Утепленный жилет"/>
        <s v="Мантия утепленная с начесом/ подарок для мужчин"/>
        <s v="Костюм худи и брюки/Костюм спортивный женский утепленный с начесом/на флисе/Костюм женский из футера"/>
        <s v="Анорак"/>
        <s v="Костюм худи и брюки/Костюм спортивный мужской утепленный с начесом/на флисе/Костюм мужской из футера"/>
        <s v="Жилет с капюшоном"/>
        <s v="Свитшот оверсайз"/>
        <s v="Брюки карго"/>
        <s v="Брюки джоггеры"/>
        <s v="Худи оверсайз"/>
        <s v="Худи"/>
        <s v="Платье-худи с капюшоном"/>
        <s v="Мужской анорак"/>
        <s v="Мужские шорты Карго"/>
        <s v="Пуховик"/>
        <s v="Худи оверсайз мужской"/>
        <s v="Пуховик удлиненный"/>
        <s v="толстовка с капюшоном"/>
        <s v="Брюки спортивные. Оверсайз"/>
        <s v="Анорак женский"/>
        <s v="Свитшот женский классический | Женская толстовка, 100% хлопок, без принтов"/>
        <s v="Рюкзак мужской городской"/>
        <s v="Мужской свитшот для геймеров с принтом I PAUSED MY GAME TO BE HERE"/>
        <s v="Светоотражающие штаны рефлективные женские"/>
      </sharedItems>
    </cacheField>
    <cacheField name=" 6" numFmtId="0">
      <sharedItems containsBlank="1">
        <m/>
        <s v="Артикул поставщика"/>
        <s v="V41021SLW"/>
        <s v="MA00306SLM"/>
        <s v="V41021V41026SLW"/>
        <s v="V40021SLML"/>
        <s v="фиолетовый"/>
        <s v="AN40327SLM"/>
        <s v="KO40387SLMчерный"/>
        <s v="V41023SLW3SLW"/>
        <s v="V40025SLM"/>
        <s v="V41021V20020W"/>
        <s v="SV40370SLM"/>
        <s v="BR00331SLM"/>
        <s v="JO00311SLM"/>
        <s v="H403885SLW"/>
        <s v="V4102120W"/>
        <s v="H40390SLMпудра"/>
        <s v="V40022SLM"/>
        <s v="V40026SLM"/>
        <s v="KO40385SLWпудра"/>
        <s v="H00350SLMпесочный"/>
        <s v="H403863SLW"/>
        <s v="PL40358SLW"/>
        <s v="AN00327SLM"/>
        <s v="SH00326SLM"/>
        <s v="V60020M"/>
        <s v="V40020M"/>
        <s v="PX00346SLM"/>
        <s v="H003H40355SLM"/>
        <s v="V50020M"/>
        <s v="PX00349SLM"/>
        <s v="H40390SLMслива"/>
        <s v="PX00347SLM"/>
        <s v="BR00308SLM"/>
        <s v="KO40387SLM"/>
        <s v="TO00307SLM"/>
        <s v="H003H40391SLM"/>
        <s v="H403888SLWхаки"/>
        <s v="PL40359SLW"/>
        <s v="H00346SLW"/>
        <s v="V41023SLWV41024SLW"/>
        <s v="H40359SLW"/>
        <s v="SV40368SLW"/>
        <s v="KO40386SLM"/>
        <s v="KO40371SLW"/>
        <s v="V40023SLM"/>
        <s v="H003H00353SLM"/>
        <s v="H40400SLW"/>
        <s v="H40390SLMхаки"/>
        <s v="KO40385SLWрозовый"/>
        <s v="SV40369SLM"/>
        <s v="H00344SLW"/>
        <s v="BR40356SLW"/>
        <s v="H40357SLW"/>
        <s v="H003H40356SLM"/>
        <s v="KO40385SLWкэмел"/>
        <s v="AN00326SLW"/>
        <s v="H003H00351SLM"/>
        <s v="PX00350SLM"/>
        <s v="KO40385SLWчерный"/>
        <s v="H003H00354SLM"/>
        <s v="PL40360SLW"/>
        <s v="SM230WB"/>
        <s v="V41023SLWV41022SLW"/>
        <s v="H40375SLM"/>
        <s v="H40387SLM"/>
        <s v="JO00310SLM"/>
        <s v="PX00345SLM"/>
        <s v="V41021V10020W"/>
        <s v="BR00309SLM"/>
        <s v="H40373SLW"/>
        <s v="V41023SLWSLW"/>
        <s v="H40390SLM"/>
        <s v="SW190WB"/>
        <s v="H003H00350SLM"/>
        <s v="H40376SLW"/>
        <s v="SV40365SLW"/>
        <s v="H00343SLWпесочный"/>
        <s v="V40024SLM"/>
        <s v="H003H00352SLM"/>
        <s v="H40358SLW"/>
        <s v="PX00344SLM"/>
        <s v="H003H40361SLM"/>
        <s v="AN40326SLW"/>
        <s v="H00348SLW"/>
        <s v="BR40355SLW"/>
        <s v="H40378SLM"/>
        <s v="RK00317SLU"/>
        <s v="H40374SLW"/>
        <s v="SM302WB"/>
        <s v="H403888SLWслива"/>
        <s v="SV40366SLW"/>
        <s v="H40372SLW"/>
        <s v="H40386SLM"/>
        <s v="H403888SLW"/>
        <s v="H40389SLW"/>
        <s v="H40379SLM"/>
        <s v="SV40367SLW"/>
        <s v="H40383SLM"/>
        <s v="H40384SLM"/>
        <s v="BR00325SLW"/>
        <s v="H00347SLW"/>
        <s v="H403864SLW"/>
        <s v="H00345SLW"/>
        <s v="H00349SLW"/>
        <s v="H00343SLW"/>
        <s v="BR00332SLM"/>
      </sharedItems>
    </cacheField>
    <cacheField name="ID">
      <sharedItems containsBlank="1" containsMixedTypes="1" containsNumber="1" containsInteger="1">
        <m/>
        <s v="Номенклатура"/>
        <n v="1.4930909E7"/>
        <n v="1.4967663E7"/>
        <n v="1.4930914E7"/>
        <n v="1.4936013E7"/>
        <n v="1.6963758E7"/>
        <n v="1.4788631E7"/>
        <n v="1.8074633E7"/>
        <n v="1.4930911E7"/>
        <n v="1.4936022E7"/>
        <n v="1.1210355E7"/>
        <n v="1.6073482E7"/>
        <n v="1.3176416E7"/>
        <n v="1.3178267E7"/>
        <n v="1.7615254E7"/>
        <n v="1.1210356E7"/>
        <n v="1.7615253E7"/>
        <n v="1.4936019E7"/>
        <n v="1.4936023E7"/>
        <n v="1.7615826E7"/>
        <n v="1.8923931E7"/>
        <n v="1.8460858E7"/>
        <n v="1.4620437E7"/>
        <n v="1.3922324E7"/>
        <n v="1.3515427E7"/>
        <n v="1.1210359E7"/>
        <n v="1.1210357E7"/>
        <n v="1.6123097E7"/>
        <n v="1.4601362E7"/>
        <n v="1.1210358E7"/>
        <n v="1.6123099E7"/>
        <n v="1.8583834E7"/>
        <n v="1.6123098E7"/>
        <n v="1.3176414E7"/>
        <n v="1.696376E7"/>
        <n v="1.4790928E7"/>
        <n v="1.9459471E7"/>
        <n v="1.8583837E7"/>
        <n v="1.4620438E7"/>
        <n v="1.3889287E7"/>
        <n v="1.4930912E7"/>
        <n v="1.5626659E7"/>
        <n v="1.6784332E7"/>
        <n v="1.6963759E7"/>
        <n v="1.6962867E7"/>
        <n v="1.493602E7"/>
        <n v="1.3889781E7"/>
        <n v="1.9454469E7"/>
        <n v="1.8583835E7"/>
        <n v="1.8693271E7"/>
        <n v="1.6851019E7"/>
        <n v="1.3889285E7"/>
        <n v="1.4069668E7"/>
        <n v="1.4601364E7"/>
        <n v="1.4601363E7"/>
        <n v="1.7615825E7"/>
        <n v="1.3922087E7"/>
        <n v="1.3889779E7"/>
        <n v="1.61231E7"/>
        <n v="1.8074632E7"/>
        <n v="1.3889782E7"/>
        <n v="1.4620439E7"/>
        <n v="1.1210349E7"/>
        <n v="1.493091E7"/>
        <n v="1.6458321E7"/>
        <n v="1.7615252E7"/>
        <n v="1.3178266E7"/>
        <n v="1.6123096E7"/>
        <n v="1.1210354E7"/>
        <n v="1.3176415E7"/>
        <n v="1.6458319E7"/>
        <n v="1.4930913E7"/>
        <n v="1.8075948E7"/>
        <n v="1.1210352E7"/>
        <n v="1.3889778E7"/>
        <n v="1.6458322E7"/>
        <n v="1.6851018E7"/>
        <n v="1.8923894E7"/>
        <n v="1.4936021E7"/>
        <n v="1.388978E7"/>
        <n v="1.4601365E7"/>
        <n v="1.6123095E7"/>
        <n v="1.562666E7"/>
        <n v="1.478863E7"/>
        <n v="1.3889289E7"/>
        <n v="1.4069667E7"/>
        <n v="1.6630653E7"/>
        <n v="1.3169131E7"/>
        <n v="1.645832E7"/>
        <n v="1.1817888E7"/>
        <n v="1.8583836E7"/>
        <n v="1.6073481E7"/>
        <n v="1.6458318E7"/>
        <n v="1.7615251E7"/>
        <n v="1.7615255E7"/>
        <n v="1.807595E7"/>
        <n v="1.6307225E7"/>
        <n v="1.7782149E7"/>
        <n v="1.8460857E7"/>
        <n v="1.8075947E7"/>
        <n v="1.3178265E7"/>
        <n v="1.3889288E7"/>
        <n v="1.8075949E7"/>
        <n v="1.3889286E7"/>
        <n v="1.388929E7"/>
        <n v="1.3889284E7"/>
        <n v="1.3176417E7"/>
      </sharedItems>
    </cacheField>
    <cacheField name=" 7">
      <sharedItems containsBlank="1" containsMixedTypes="1" containsNumber="1" containsInteger="1">
        <m/>
        <s v="Баркод"/>
        <n v="7.410214807204E12"/>
        <n v="7.4102146072E12"/>
        <n v="7.003065206205E12"/>
        <n v="7.410264609209E12"/>
        <n v="7.400214607201E12"/>
        <n v="7.40385440311E12"/>
        <n v="7.403275609207E12"/>
        <n v="7.403934415125E12"/>
        <n v="7.410234207206E12"/>
        <n v="7.400255007206E12"/>
        <n v="7.200205000017E12"/>
        <n v="7.200205200011E12"/>
        <n v="7.403705210201E12"/>
        <n v="7.003313006205E12"/>
        <n v="7.003114406204E12"/>
        <n v="7.403855410117E12"/>
        <n v="7.300205400005E12"/>
        <n v="7.300204800004E12"/>
        <n v="7.403915230112E12"/>
        <n v="7.400225607207E12"/>
        <n v="7.410264209201E12"/>
        <n v="7.400265409205E12"/>
        <n v="7.403894207129E12"/>
        <n v="7.400224607208E12"/>
        <n v="7.403975229125E12"/>
        <n v="7.4002646092E12"/>
        <n v="7.403635409201E12"/>
        <n v="7.403584208207E12"/>
        <n v="7.003274806203E12"/>
        <n v="7.003262906205E12"/>
        <n v="7.600205400006E12"/>
        <n v="7.410215407205E12"/>
        <n v="7.400205200008E12"/>
        <n v="7.003464609201E12"/>
        <n v="7.403555208205E12"/>
        <n v="7.500204800008E12"/>
        <n v="7.400215207202E12"/>
        <n v="7.003495609201E12"/>
        <n v="7.403955229121E12"/>
        <n v="7.003475409203E12"/>
        <n v="7.400265209201E12"/>
        <n v="7.400205400002E12"/>
        <n v="7.003083006207E12"/>
        <n v="7.403874403114E12"/>
        <n v="7.003065006201E12"/>
        <n v="7.003075006208E12"/>
        <n v="7.003074806205E12"/>
        <n v="7.003064606204E12"/>
        <n v="7.400215407206E12"/>
        <n v="7.300204400006E12"/>
        <n v="7.403985211028E12"/>
        <n v="7.403945429128E12"/>
        <n v="7.400225407203E12"/>
        <n v="7.403594208204E12"/>
        <n v="7.400265609209E12"/>
        <n v="7.003465406205E12"/>
        <n v="7.410244207203E12"/>
        <n v="7.403935015126E12"/>
        <n v="7.400225207209E12"/>
        <n v="7.403595409204E12"/>
        <n v="7.403685410202E12"/>
        <n v="7.500205200005E12"/>
        <n v="7.400265009207E12"/>
        <n v="7.403864603111E12"/>
        <n v="7.600204800005E12"/>
        <n v="7.403894407123E12"/>
        <n v="7.403714410203E12"/>
        <n v="7.003263306202E12"/>
        <n v="7.400234607205E12"/>
        <n v="7.003263106208E12"/>
        <n v="7.403864803115E12"/>
        <n v="7.003535406203E12"/>
        <n v="2.040054882007E12"/>
        <n v="7.403854803118E12"/>
        <n v="7.403965229128E12"/>
        <n v="7.3002046E12"/>
        <n v="7.403914608127E12"/>
        <n v="7.403695210205E12"/>
        <n v="7.003445406201E12"/>
        <n v="7.003064806208E12"/>
        <n v="7.4035644072E12"/>
        <n v="7.403715010204E12"/>
        <n v="7.403714610207E12"/>
        <n v="7.200204400009E12"/>
        <n v="7.403584408201E12"/>
        <n v="7.003263606203E12"/>
        <n v="7.403575408203E12"/>
        <n v="7.403565208202E12"/>
        <n v="7.400215007208E12"/>
        <n v="7.403564607204E12"/>
        <n v="7.200204200005E12"/>
        <n v="7.403904207125E12"/>
        <n v="7.003075206202E12"/>
        <n v="7.003264206204E12"/>
        <n v="7.403714810201E12"/>
        <n v="7.003515406209E12"/>
        <n v="7.20020460001E12"/>
        <n v="7.003505409203E12"/>
        <n v="7.403944615126E12"/>
        <n v="7.403894807121E12"/>
        <n v="7.400205600006E12"/>
        <n v="7.403855003111E12"/>
        <n v="7.0035454062E12"/>
        <n v="7.403604408204E12"/>
        <n v="7.003505609207E12"/>
        <n v="7.230420000004E12"/>
        <n v="7.003474809202E12"/>
        <n v="7.403914808121E12"/>
        <n v="7.410224807201E12"/>
        <n v="7.403594408208E12"/>
        <n v="7.403594808206E12"/>
        <n v="7.403595008209E12"/>
        <n v="7.403755210206E12"/>
        <n v="7.403875213118E12"/>
        <n v="7.4102344072E12"/>
        <n v="7.003475209209E12"/>
        <n v="7.003105406206E12"/>
        <n v="7.003455609203E12"/>
        <n v="7.100204200015E12"/>
        <n v="7.003092906208E12"/>
        <n v="7.400254807203E12"/>
        <n v="7.410224207209E12"/>
        <n v="7.400204800001E12"/>
        <n v="7.403735410206E12"/>
        <n v="7.410255407203E12"/>
        <n v="7.403905218113E12"/>
        <n v="7.190420000001E12"/>
        <n v="7.403875003115E12"/>
        <n v="7.410214207206E12"/>
        <n v="7.403854603114E12"/>
        <n v="7.003505406202E12"/>
        <n v="7.403765410207E12"/>
        <n v="7.4002156072E12"/>
        <n v="7.403655410201E12"/>
        <n v="7.403955429125E12"/>
        <n v="7.400245607201E12"/>
        <n v="7.500205400009E12"/>
        <n v="7.400255607208E12"/>
        <n v="7.003475609207E12"/>
        <n v="7.003093006204E12"/>
        <n v="7.0034656092E12"/>
        <n v="7.410224607207E12"/>
        <n v="7.4036042082E12"/>
        <n v="7.4002552072E12"/>
        <n v="7.403604808202E12"/>
        <n v="7.403914208129E12"/>
        <n v="7.410254607208E12"/>
        <n v="7.003525406206E12"/>
        <n v="7.403904607123E12"/>
        <n v="7.4035854082E12"/>
        <n v="7.600205200002E12"/>
        <n v="7.6002056E12"/>
        <n v="7.400264809204E12"/>
        <n v="7.003312906209E12"/>
        <n v="7.003263006201E12"/>
        <n v="7.410224407203E12"/>
        <n v="7.003445609206E12"/>
        <n v="7.230440000008E12"/>
        <n v="7.403615209203E12"/>
        <n v="7.403264209203E12"/>
        <n v="7.403904407129E12"/>
        <n v="7.003485406209E12"/>
        <n v="7.410245007208E12"/>
        <n v="7.403554407203E12"/>
        <n v="7.403785210207E12"/>
        <n v="7.003172506205E12"/>
        <n v="7.403914408123E12"/>
        <n v="7.410244407207E12"/>
        <n v="7.410225007204E12"/>
        <n v="7.403584608205E12"/>
        <n v="7.40394481512E12"/>
        <n v="7.403745410203E12"/>
        <n v="7.600204600001E12"/>
        <n v="7.003495409207E12"/>
        <n v="7.302520320006E12"/>
        <n v="7.410255207209E12"/>
        <n v="7.403935429121E12"/>
        <n v="7.403904807127E12"/>
        <n v="7.403934815123E12"/>
        <n v="7.600205000008E12"/>
        <n v="7.400245207203E12"/>
        <n v="7.003082906201E12"/>
        <n v="7.400244607202E12"/>
        <n v="7.003115406203E12"/>
        <n v="7.190440000005E12"/>
        <n v="7.403665410208E12"/>
        <n v="7.403725410209E12"/>
        <n v="7.403944215128E12"/>
        <n v="7.40386521011E12"/>
        <n v="7.403885413119E12"/>
        <n v="7.403894607127E12"/>
        <n v="7.403264409207E12"/>
        <n v="7.403895418111E12"/>
        <n v="7.400214807205E12"/>
        <n v="7.003474609208E12"/>
        <n v="7.003093106201E12"/>
        <n v="7.400254607209E12"/>
        <n v="7.403795210204E12"/>
        <n v="7.403675410205E12"/>
        <n v="7.200205400015E12"/>
        <n v="7.403835210201E12"/>
        <n v="7.403845210208E12"/>
        <n v="7.003254406201E12"/>
        <n v="7.003494609202E12"/>
        <n v="7.003475406202E12"/>
        <n v="7.403944415122E12"/>
        <n v="7.403934615129E12"/>
        <n v="7.300205000007E12"/>
        <n v="7.200204800014E12"/>
        <n v="7.403594608202E12"/>
        <n v="7.403585008202E12"/>
        <n v="7.403864403117E12"/>
        <n v="7.403645409208E12"/>
        <n v="7.300204200002E12"/>
        <n v="7.403584808209E12"/>
        <n v="7.300205200001E12"/>
        <n v="7.410225207208E12"/>
        <n v="7.003074606201E12"/>
        <n v="7.410234607204E12"/>
        <n v="7.403865003118E12"/>
        <n v="7.003455406208E12"/>
        <n v="7.003495406206E12"/>
        <n v="7.003435406204E12"/>
        <n v="7.400224807202E12"/>
        <n v="7.500205600003E12"/>
        <n v="7.410215007207E12"/>
        <n v="7.500204600004E12"/>
        <n v="7.003323006202E12"/>
        <n v="7.003322906206E12"/>
        <s v="7403875213118"/>
        <s v="7403985211028"/>
      </sharedItems>
    </cacheField>
    <cacheField name=" 8">
      <sharedItems containsBlank="1" containsMixedTypes="1" containsNumber="1" containsInteger="1">
        <m/>
        <s v="Размер"/>
        <s v="M"/>
        <s v="S"/>
        <s v="XL"/>
        <s v="XXXL"/>
        <s v="XXS"/>
        <s v="L"/>
        <s v="46-52"/>
        <s v="30/34"/>
        <s v="XS"/>
        <s v="40-54"/>
        <s v="XXL"/>
        <n v="29.0"/>
        <s v="30/32"/>
        <s v="46-54"/>
        <n v="33.0"/>
        <n v="31.0"/>
        <s v="155-168"/>
        <n v="36.0"/>
        <s v="168-175"/>
        <s v="29/32"/>
        <s v="29/34"/>
        <n v="30.0"/>
        <n v="0.0"/>
        <s v="31/32"/>
      </sharedItems>
    </cacheField>
    <cacheField name=" 9" numFmtId="0">
      <sharedItems containsBlank="1">
        <m/>
        <s v="Контракт"/>
        <s v="2600-5923 Агентский"/>
        <s v="Договор Оферта № 2020/05/13 от 13.05.2020"/>
        <s v="Договор Агентский № 2018/01/09 от 09.01.2018"/>
        <s v="0200-5015 Агентский"/>
      </sharedItems>
    </cacheField>
    <cacheField name=" 10" numFmtId="0">
      <sharedItems containsBlank="1">
        <m/>
        <s v="Склад"/>
        <s v="Подольск"/>
        <s v="Склад Екатеринбург"/>
        <s v="Склад Новосибирск"/>
        <s v="Склад Краснодар"/>
        <s v="Склад Хабаровск"/>
        <s v="Склад Санкт-Петербург"/>
        <s v="Склад Казань"/>
        <s v="Склад Электросталь"/>
      </sharedItems>
    </cacheField>
    <cacheField name=" 11">
      <sharedItems containsBlank="1" containsMixedTypes="1" containsNumber="1" containsInteger="1">
        <m/>
        <s v="Поступления"/>
        <s v="шт"/>
        <n v="0.0"/>
        <n v="1.0"/>
      </sharedItems>
    </cacheField>
    <cacheField name=" 12">
      <sharedItems containsBlank="1" containsMixedTypes="1" containsNumber="1" containsInteger="1">
        <m/>
        <s v="себестоимость"/>
        <n v="0.0"/>
        <n v="8060.0"/>
      </sharedItems>
    </cacheField>
    <cacheField name=" 13">
      <sharedItems containsBlank="1" containsMixedTypes="1" containsNumber="1" containsInteger="1">
        <m/>
        <s v="Заказано"/>
        <s v="шт"/>
        <n v="1.0"/>
        <n v="0.0"/>
        <n v="6.0"/>
        <n v="2.0"/>
        <n v="3.0"/>
        <s v="F"/>
        <n v="13.0"/>
        <n v="7.0"/>
        <n v="5.0"/>
        <n v="4.0"/>
        <n v="19.0"/>
        <n v="8.0"/>
        <n v="10.0"/>
        <n v="22.0"/>
        <n v="14.0"/>
        <n v="34.0"/>
        <n v="11.0"/>
        <n v="17.0"/>
        <n v="21.0"/>
        <n v="23.0"/>
        <n v="12.0"/>
        <n v="9.0"/>
        <n v="20.0"/>
        <n v="16.0"/>
        <n v="28.0"/>
        <n v="26.0"/>
        <n v="42.0"/>
      </sharedItems>
    </cacheField>
    <cacheField name=" 14">
      <sharedItems containsBlank="1" containsMixedTypes="1" containsNumber="1">
        <m/>
        <s v="себестоимость"/>
        <n v="3468.0"/>
        <n v="0.0"/>
        <n v="10301.21"/>
        <n v="6936.0"/>
        <n v="1905.9"/>
        <n v="3699.07"/>
        <n v="8240.07"/>
        <n v="1342.32"/>
        <n v="4021.8"/>
        <n v="11276.8"/>
        <n v="1500.67"/>
        <n v="33436.1"/>
        <n v="17069.17"/>
        <n v="7631.79"/>
        <n v="16648.09"/>
        <n v="17774.77"/>
        <n v="4470.28"/>
        <n v="2484.48"/>
        <n v="5717.7"/>
        <n v="7261.16"/>
        <n v="1695.62"/>
        <n v="5428.56"/>
        <n v="31199.42"/>
        <n v="14558.94"/>
        <n v="2797.04"/>
        <n v="17543.25"/>
        <n v="2391.77"/>
        <n v="4269.2"/>
        <n v="18283.47"/>
        <n v="1644.04"/>
        <n v="15504.42"/>
        <n v="6267.01"/>
        <n v="3646.14"/>
        <n v="1815.29"/>
        <n v="5232.31"/>
        <n v="2110.11"/>
        <n v="6439.38"/>
        <n v="2011.54"/>
        <n v="1875.16"/>
        <n v="3554.7"/>
        <n v="1690.65"/>
        <n v="1708.24"/>
        <n v="4847.55"/>
        <n v="3416.48"/>
        <n v="10229.55"/>
        <n v="17931.99"/>
        <n v="12501.08"/>
        <n v="1356.5"/>
        <n v="2926.12"/>
        <n v="33258.3"/>
        <n v="4254.12"/>
        <n v="4095.04"/>
        <n v="22465.78"/>
        <n v="990.95"/>
        <n v="3017.66"/>
        <n v="9166.3"/>
        <n v="4017.78"/>
        <n v="12903.28"/>
        <n v="5594.08"/>
        <n v="12289.68"/>
        <n v="5099.49"/>
        <n v="3385.67"/>
        <n v="1816.87"/>
        <n v="16611.18"/>
        <n v="26226.64"/>
        <n v="8858.19"/>
        <n v="4481.37"/>
        <n v="3409.85"/>
        <n v="2395.21"/>
        <n v="1192.12"/>
        <n v="1520.21"/>
        <n v="53619.58"/>
        <n v="5383.55"/>
        <n v="8192.18"/>
        <n v="24570.27"/>
        <n v="3008.69"/>
        <n v="9417.46"/>
        <n v="1597.93"/>
        <n v="10882.5"/>
        <n v="2776.94"/>
        <n v="8910.92"/>
        <n v="1761.46"/>
        <n v="27025.33"/>
        <n v="1867.56"/>
        <n v="3627.5"/>
        <n v="4944.96"/>
        <n v="7255.0"/>
        <n v="6762.6"/>
        <n v="8347.24"/>
        <n v="1619.89"/>
        <n v="5506.61"/>
        <n v="2781.54"/>
        <n v="12516.93"/>
        <n v="4390.79"/>
        <n v="2146.46"/>
        <n v="2858.8"/>
        <n v="3405.26"/>
        <n v="34222.6"/>
        <n v="11407.93"/>
        <n v="7222.54"/>
        <n v="11013.22"/>
        <n v="3249.8"/>
        <n v="11067.1"/>
        <n v="12266.69"/>
        <n v="1083.49"/>
        <n v="30956.72"/>
        <n v="5730.65"/>
        <n v="2166.98"/>
        <n v="1790.17"/>
        <n v="1199.59"/>
        <n v="15467.09"/>
        <n v="1973.78"/>
        <n v="2940.3"/>
        <n v="1202.35"/>
        <n v="25720.85"/>
        <n v="3679.65"/>
        <n v="2363.59"/>
        <n v="5690.33"/>
        <n v="29412.07"/>
        <n v="1937.61"/>
        <n v="31466.02"/>
        <n v="1441.96"/>
        <n v="2803.81"/>
        <n v="1017.37"/>
        <n v="1312.24"/>
        <n v="3135.99"/>
        <n v="4226.86"/>
        <n v="1377.05"/>
        <n v="27135.08"/>
        <n v="15824.32"/>
        <n v="6458.71"/>
        <n v="1702.63"/>
        <n v="3992.66"/>
        <n v="2454.3"/>
        <n v="17246.55"/>
        <n v="2467.97"/>
        <n v="18059.25"/>
        <n v="1447.04"/>
        <n v="1951.9"/>
        <n v="1276.27"/>
        <n v="4867.69"/>
        <n v="33005.74"/>
        <n v="20377.39"/>
        <n v="1875.17"/>
        <n v="3937.86"/>
        <n v="1381.16"/>
        <n v="6518.7"/>
        <n v="9130.4"/>
        <n v="1388.47"/>
        <n v="12362.4"/>
        <n v="1470.15"/>
        <n v="2704.27"/>
        <n v="5862.44"/>
        <n v="24604.95"/>
        <n v="3311.68"/>
        <n v="9907.74"/>
        <n v="4931.32"/>
        <n v="2536.11"/>
        <n v="8677.99"/>
        <n v="1450.64"/>
        <n v="20484.48"/>
        <n v="2472.48"/>
        <n v="42020.64"/>
        <n v="1246.88"/>
        <n v="3237.09"/>
        <n v="7039.39"/>
        <n v="13126.69"/>
        <n v="17969.8"/>
        <n v="21043.5"/>
        <n v="22553.6"/>
        <n v="994.5"/>
        <n v="1865.38"/>
        <n v="7296.3"/>
        <n v="38247.91"/>
        <n v="1705.03"/>
        <n v="1356.26"/>
        <n v="10353.5"/>
        <n v="36392.6"/>
        <n v="7024.03"/>
        <n v="6988.03"/>
        <n v="15439.76"/>
        <n v="9439.9"/>
        <n v="2745.27"/>
        <n v="1547.2"/>
        <n v="5868.24"/>
        <n v="64387.08"/>
        <n v="2910.39"/>
        <n v="16307.46"/>
        <n v="11071.6"/>
        <n v="1467.06"/>
        <n v="2594.38"/>
        <n v="9052.98"/>
        <n v="3901.5"/>
        <n v="3772.61"/>
      </sharedItems>
    </cacheField>
    <cacheField name=" 15">
      <sharedItems containsBlank="1" containsMixedTypes="1" containsNumber="1" containsInteger="1">
        <m/>
        <s v="Выкупленные товары"/>
        <s v="Выкупили, шт"/>
        <n v="1.0"/>
        <n v="4.0"/>
        <n v="0.0"/>
        <n v="7.0"/>
        <n v="3.0"/>
        <n v="6.0"/>
        <n v="5.0"/>
        <n v="17.0"/>
        <n v="2.0"/>
        <n v="8.0"/>
        <n v="-1.0"/>
        <n v="14.0"/>
        <n v="16.0"/>
        <n v="27.0"/>
        <n v="20.0"/>
        <n v="19.0"/>
        <n v="10.0"/>
        <n v="9.0"/>
        <n v="12.0"/>
        <n v="11.0"/>
        <n v="32.0"/>
      </sharedItems>
    </cacheField>
    <cacheField name=" 16">
      <sharedItems containsBlank="1" containsMixedTypes="1" containsNumber="1">
        <m/>
        <s v="Выкупили, руб"/>
        <n v="3468.0"/>
        <n v="3901.5"/>
        <n v="7350.62"/>
        <n v="0.0"/>
        <n v="1761.46"/>
        <n v="-413.6"/>
        <n v="1342.32"/>
        <n v="4021.8"/>
        <n v="1599.36"/>
        <n v="9959.01"/>
        <n v="4470.26"/>
        <n v="10229.55"/>
        <n v="20894.43"/>
        <n v="7468.6"/>
        <n v="1815.29"/>
        <n v="1695.62"/>
        <n v="29056.05"/>
        <n v="1542.75"/>
        <n v="5880.95"/>
        <n v="4292.92"/>
        <n v="2391.77"/>
        <n v="6385.81"/>
        <n v="12806.66"/>
        <n v="16297.78"/>
        <n v="2110.11"/>
        <n v="6893.71"/>
        <n v="3554.7"/>
        <n v="1967.07"/>
        <n v="5592.15"/>
        <n v="4005.6"/>
        <n v="1356.5"/>
        <n v="10249.12"/>
        <n v="-1270.15"/>
        <n v="1463.06"/>
        <n v="22108.44"/>
        <n v="3656.83"/>
        <n v="27492.94"/>
        <n v="5667.0"/>
        <n v="990.95"/>
        <n v="15070.67"/>
        <n v="202.51"/>
        <n v="12980.52"/>
        <n v="3385.67"/>
        <n v="-1774.89"/>
        <n v="-948.19"/>
        <n v="11655.25"/>
        <n v="32349.81"/>
        <n v="6335.72"/>
        <n v="166.23"/>
        <n v="1520.21"/>
        <n v="32313.8"/>
        <n v="5642.38"/>
        <n v="3240.52"/>
        <n v="20552.49"/>
        <n v="3167.86"/>
        <n v="11433.22"/>
        <n v="3627.5"/>
        <n v="2776.94"/>
        <n v="-836.64"/>
        <n v="1609.83"/>
        <n v="1520.39"/>
        <n v="3628.4"/>
        <n v="27960.94"/>
        <n v="7176.15"/>
        <n v="1619.89"/>
        <n v="2313.74"/>
        <n v="2936.07"/>
        <n v="227.82"/>
        <n v="4538.23"/>
        <n v="2659.5"/>
        <n v="2825.72"/>
        <n v="27610.79"/>
        <n v="3339.9"/>
        <n v="12466.92"/>
        <n v="5506.61"/>
        <n v="3249.8"/>
        <n v="10564.11"/>
        <n v="1199.59"/>
        <n v="6919.8"/>
        <n v="30613.83"/>
        <n v="4479.35"/>
        <n v="6849.24"/>
        <n v="1973.78"/>
        <n v="2110.39"/>
        <n v="14878.74"/>
        <n v="3679.65"/>
        <n v="2429.33"/>
        <n v="14297.0"/>
        <n v="3875.22"/>
        <n v="25515.64"/>
        <n v="3135.99"/>
        <n v="2185.46"/>
        <n v="1377.05"/>
        <n v="20691.06"/>
        <n v="3728.1"/>
        <n v="2231.19"/>
        <n v="1996.33"/>
        <n v="1502.32"/>
        <n v="2704.27"/>
        <n v="3246.75"/>
        <n v="2185.51"/>
        <n v="1702.63"/>
        <n v="-3272.4"/>
        <n v="6392.85"/>
        <n v="3083.91"/>
        <n v="16638.31"/>
        <n v="14356.42"/>
        <n v="2011.54"/>
        <n v="2184.27"/>
        <n v="1276.27"/>
        <n v="2395.21"/>
        <n v="27680.78"/>
        <n v="3226.61"/>
        <n v="16818.06"/>
        <n v="1383.75"/>
        <n v="2062.69"/>
        <n v="2910.3"/>
        <n v="6190.1"/>
        <n v="2472.48"/>
        <n v="15737.95"/>
        <n v="6536.45"/>
        <n v="2781.54"/>
        <n v="6226.89"/>
        <n v="1450.64"/>
        <n v="13136.8"/>
        <n v="1627.54"/>
        <n v="-2454.3"/>
        <n v="25328.87"/>
        <n v="4932.71"/>
        <n v="-1218.07"/>
        <n v="2760.96"/>
        <n v="9711.29"/>
        <n v="6697.85"/>
        <n v="11208.48"/>
        <n v="14970.0"/>
        <n v="11671.1"/>
        <n v="1620.26"/>
        <n v="2343.89"/>
        <n v="7807.11"/>
        <n v="24853.6"/>
        <n v="2055.3"/>
        <n v="1356.26"/>
        <n v="8376.43"/>
        <n v="3772.61"/>
        <n v="7570.45"/>
        <n v="5408.54"/>
        <n v="20127.77"/>
        <n v="6108.45"/>
        <n v="5765.75"/>
        <n v="1388.47"/>
        <n v="3409.85"/>
        <n v="9749.4"/>
        <n v="1864.05"/>
        <n v="2745.27"/>
        <n v="4481.37"/>
        <n v="1547.2"/>
        <n v="4564.18"/>
        <n v="50229.26"/>
        <n v="5478.38"/>
        <n v="472.68"/>
        <n v="8200.16"/>
        <n v="6035.32"/>
        <n v="1506.61"/>
        <n v="1802.03"/>
        <n v="1701.92"/>
      </sharedItems>
    </cacheField>
    <cacheField name=" 17">
      <sharedItems containsBlank="1" containsMixedTypes="1" containsNumber="1" containsInteger="1">
        <m/>
        <s v="Текущий остаток, шт"/>
        <n v="0.0"/>
        <n v="15.0"/>
        <n v="4.0"/>
        <n v="35.0"/>
        <n v="2.0"/>
        <n v="5.0"/>
        <n v="1.0"/>
        <n v="3.0"/>
        <n v="6.0"/>
        <n v="230.0"/>
        <n v="116.0"/>
        <n v="14.0"/>
        <n v="21.0"/>
        <n v="312.0"/>
        <n v="11.0"/>
        <n v="9.0"/>
        <n v="89.0"/>
        <n v="12.0"/>
        <n v="84.0"/>
        <n v="61.0"/>
        <n v="26.0"/>
        <n v="8.0"/>
        <n v="33.0"/>
        <n v="18.0"/>
        <n v="78.0"/>
        <n v="184.0"/>
        <n v="27.0"/>
        <n v="197.0"/>
        <n v="209.0"/>
        <n v="152.0"/>
        <n v="17.0"/>
        <n v="30.0"/>
        <n v="102.0"/>
        <n v="25.0"/>
        <n v="175.0"/>
        <n v="40.0"/>
        <n v="130.0"/>
        <n v="28.0"/>
        <n v="7.0"/>
        <n v="117.0"/>
        <n v="143.0"/>
        <n v="47.0"/>
        <n v="16.0"/>
        <n v="64.0"/>
        <n v="36.0"/>
        <n v="183.0"/>
        <n v="29.0"/>
        <n v="124.0"/>
        <n v="48.0"/>
        <n v="71.0"/>
        <n v="41.0"/>
        <n v="285.0"/>
        <n v="43.0"/>
        <n v="112.0"/>
        <n v="150.0"/>
        <n v="45.0"/>
        <n v="193.0"/>
        <n v="278.0"/>
        <n v="31.0"/>
        <n v="22.0"/>
        <n v="168.0"/>
        <n v="81.0"/>
        <n v="134.0"/>
        <n v="44.0"/>
        <n v="69.0"/>
        <n v="67.0"/>
        <n v="126.0"/>
        <n v="127.0"/>
        <n v="20.0"/>
        <n v="173.0"/>
        <n v="298.0"/>
        <n v="221.0"/>
        <n v="19.0"/>
        <n v="37.0"/>
        <n v="80.0"/>
        <n v="280.0"/>
        <n v="475.0"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F110" firstHeaderRow="0" firstDataRow="2" firstDataCol="0"/>
  <pivotFields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4" compact="0" outline="0" multipleItemSelectionAllowed="1" showAll="0">
      <items>
        <item x="0"/>
        <item x="1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ID" axis="axisRow" compact="0" outline="0" multipleItemSelectionAllowed="1" showAll="0" sortType="ascending">
      <items>
        <item x="0"/>
        <item x="63"/>
        <item x="74"/>
        <item x="69"/>
        <item x="11"/>
        <item x="16"/>
        <item x="27"/>
        <item x="30"/>
        <item x="26"/>
        <item x="90"/>
        <item x="88"/>
        <item x="34"/>
        <item x="70"/>
        <item x="13"/>
        <item x="107"/>
        <item x="101"/>
        <item x="67"/>
        <item x="14"/>
        <item x="25"/>
        <item x="106"/>
        <item x="52"/>
        <item x="104"/>
        <item x="40"/>
        <item x="102"/>
        <item x="85"/>
        <item x="105"/>
        <item x="75"/>
        <item x="58"/>
        <item x="80"/>
        <item x="47"/>
        <item x="61"/>
        <item x="57"/>
        <item x="24"/>
        <item x="86"/>
        <item x="53"/>
        <item x="29"/>
        <item x="55"/>
        <item x="54"/>
        <item x="81"/>
        <item x="23"/>
        <item x="39"/>
        <item x="62"/>
        <item x="84"/>
        <item x="7"/>
        <item x="36"/>
        <item x="2"/>
        <item x="64"/>
        <item x="9"/>
        <item x="41"/>
        <item x="72"/>
        <item x="4"/>
        <item x="5"/>
        <item x="18"/>
        <item x="46"/>
        <item x="79"/>
        <item x="10"/>
        <item x="19"/>
        <item x="3"/>
        <item x="42"/>
        <item x="83"/>
        <item x="92"/>
        <item x="12"/>
        <item x="82"/>
        <item x="68"/>
        <item x="28"/>
        <item x="33"/>
        <item x="31"/>
        <item x="59"/>
        <item x="97"/>
        <item x="93"/>
        <item x="71"/>
        <item x="89"/>
        <item x="65"/>
        <item x="76"/>
        <item x="87"/>
        <item x="43"/>
        <item x="77"/>
        <item x="51"/>
        <item x="45"/>
        <item x="6"/>
        <item x="44"/>
        <item x="35"/>
        <item x="94"/>
        <item x="66"/>
        <item x="17"/>
        <item x="15"/>
        <item x="95"/>
        <item x="56"/>
        <item x="20"/>
        <item x="98"/>
        <item x="60"/>
        <item x="8"/>
        <item x="100"/>
        <item x="73"/>
        <item x="103"/>
        <item x="96"/>
        <item x="99"/>
        <item x="22"/>
        <item x="32"/>
        <item x="49"/>
        <item x="91"/>
        <item x="38"/>
        <item x="50"/>
        <item x="78"/>
        <item x="21"/>
        <item x="48"/>
        <item x="37"/>
        <item x="1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11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12" compact="0" outline="0" multipleItemSelectionAllowed="1" showAll="0">
      <items>
        <item x="0"/>
        <item x="1"/>
        <item x="2"/>
        <item x="3"/>
        <item t="default"/>
      </items>
    </pivotField>
    <pivotField name=" 1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 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 1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 1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 17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6"/>
  </rowFields>
  <colFields>
    <field x="-2"/>
  </colFields>
  <dataFields>
    <dataField name="SUM заказов" fld="13" baseField="0"/>
    <dataField name="SUM продажа" fld="15" baseField="0"/>
    <dataField name="SUM деньги" fld="16" baseField="0"/>
    <dataField name="SUM поступления" fld="11" baseField="0"/>
    <dataField name="SUM остаток" fld="1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0" outlineLevelCol="2" outlineLevelRow="2"/>
  <cols>
    <col customWidth="1" min="1" max="1" width="6.38"/>
    <col customWidth="1" min="2" max="2" width="18.0"/>
    <col customWidth="1" min="3" max="3" width="11.25"/>
    <col customWidth="1" min="4" max="4" width="6.0"/>
    <col customWidth="1" min="5" max="5" width="13.5"/>
    <col customWidth="1" min="6" max="6" width="10.75" outlineLevel="1"/>
    <col customWidth="1" min="7" max="7" width="6.75" outlineLevel="1"/>
    <col customWidth="1" min="8" max="8" width="8.75" outlineLevel="2"/>
    <col customWidth="1" min="9" max="9" width="11.75" outlineLevel="1"/>
    <col customWidth="1" min="10" max="10" width="6.63" outlineLevel="1"/>
    <col customWidth="1" min="11" max="11" width="10.75" outlineLevel="2"/>
    <col customWidth="1" min="12" max="12" width="10.5" outlineLevel="1"/>
    <col customWidth="1" min="13" max="13" width="14.13" outlineLevel="1"/>
    <col customWidth="1" min="14" max="14" width="16.0" outlineLevel="1"/>
    <col customWidth="1" min="15" max="15" width="9.63" outlineLevel="1"/>
    <col customWidth="1" min="16" max="16" width="7.5" outlineLevel="1"/>
    <col customWidth="1" min="17" max="17" width="13.13" outlineLevel="2"/>
    <col customWidth="1" min="18" max="18" width="8.13" outlineLevel="1"/>
    <col customWidth="1" min="19" max="19" width="10.0"/>
    <col customWidth="1" min="20" max="21" width="6.63"/>
    <col customWidth="1" min="22" max="22" width="14.75"/>
    <col customWidth="1" min="23" max="26" width="6.63"/>
    <col customWidth="1" min="27" max="36" width="9.63"/>
  </cols>
  <sheetData>
    <row r="1" ht="15.75" customHeight="1">
      <c r="A1" s="1" t="s">
        <v>0</v>
      </c>
      <c r="B1" s="2"/>
      <c r="C1" s="3"/>
      <c r="D1" s="4"/>
      <c r="E1" s="5" t="s">
        <v>1</v>
      </c>
      <c r="F1" s="6" t="s">
        <v>2</v>
      </c>
      <c r="G1" s="7" t="s">
        <v>3</v>
      </c>
      <c r="H1" s="8" t="s">
        <v>4</v>
      </c>
      <c r="I1" s="9" t="s">
        <v>5</v>
      </c>
      <c r="J1" s="10" t="s">
        <v>6</v>
      </c>
      <c r="K1" s="8" t="s">
        <v>7</v>
      </c>
      <c r="L1" s="11" t="s">
        <v>8</v>
      </c>
      <c r="M1" s="12" t="s">
        <v>9</v>
      </c>
      <c r="N1" s="13" t="s">
        <v>10</v>
      </c>
      <c r="O1" s="14" t="s">
        <v>11</v>
      </c>
      <c r="P1" s="15" t="s">
        <v>12</v>
      </c>
      <c r="Q1" s="16" t="s">
        <v>13</v>
      </c>
      <c r="R1" s="17" t="s">
        <v>14</v>
      </c>
      <c r="S1" s="18" t="s">
        <v>15</v>
      </c>
      <c r="T1" s="19" t="s">
        <v>16</v>
      </c>
      <c r="U1" s="19" t="s">
        <v>17</v>
      </c>
      <c r="V1" s="20" t="s">
        <v>18</v>
      </c>
      <c r="W1" s="21"/>
      <c r="X1" s="21"/>
      <c r="Y1" s="21"/>
      <c r="Z1" s="21"/>
      <c r="AA1" s="22"/>
      <c r="AB1" s="23"/>
      <c r="AC1" s="23"/>
      <c r="AD1" s="23"/>
      <c r="AE1" s="23"/>
      <c r="AF1" s="23"/>
      <c r="AG1" s="23"/>
      <c r="AH1" s="23"/>
      <c r="AI1" s="23"/>
      <c r="AJ1" s="23"/>
    </row>
    <row r="2" ht="15.75" customHeight="1">
      <c r="A2" s="24"/>
      <c r="B2" s="24"/>
      <c r="C2" s="1"/>
      <c r="D2" s="4"/>
      <c r="E2" s="25"/>
      <c r="F2" s="25"/>
      <c r="G2" s="26"/>
      <c r="H2" s="27"/>
      <c r="I2" s="27"/>
      <c r="J2" s="26"/>
      <c r="K2" s="27"/>
      <c r="L2" s="26"/>
      <c r="M2" s="27"/>
      <c r="N2" s="27"/>
      <c r="O2" s="26"/>
      <c r="P2" s="26"/>
      <c r="Q2" s="27"/>
      <c r="R2" s="25"/>
      <c r="T2" s="25"/>
      <c r="U2" s="25"/>
      <c r="V2" s="25"/>
      <c r="W2" s="21"/>
      <c r="X2" s="21"/>
      <c r="Y2" s="21"/>
      <c r="Z2" s="21"/>
      <c r="AA2" s="22"/>
      <c r="AB2" s="23"/>
      <c r="AC2" s="23"/>
      <c r="AD2" s="23"/>
      <c r="AE2" s="23"/>
      <c r="AF2" s="23"/>
      <c r="AG2" s="23"/>
      <c r="AH2" s="23"/>
      <c r="AI2" s="23"/>
      <c r="AJ2" s="23"/>
    </row>
    <row r="3" ht="45.75" customHeight="1">
      <c r="A3" s="24"/>
      <c r="B3" s="24" t="s">
        <v>19</v>
      </c>
      <c r="C3" s="1" t="s">
        <v>20</v>
      </c>
      <c r="D3" s="4"/>
      <c r="E3" s="28"/>
      <c r="F3" s="28"/>
      <c r="G3" s="29"/>
      <c r="H3" s="30"/>
      <c r="I3" s="30"/>
      <c r="J3" s="29"/>
      <c r="K3" s="30"/>
      <c r="L3" s="29"/>
      <c r="M3" s="30"/>
      <c r="N3" s="30"/>
      <c r="O3" s="29"/>
      <c r="P3" s="29"/>
      <c r="Q3" s="30"/>
      <c r="R3" s="28"/>
      <c r="T3" s="28"/>
      <c r="U3" s="28"/>
      <c r="V3" s="28"/>
      <c r="W3" s="21"/>
      <c r="X3" s="21"/>
      <c r="Y3" s="21"/>
      <c r="Z3" s="21"/>
      <c r="AA3" s="31"/>
      <c r="AB3" s="32"/>
      <c r="AC3" s="32"/>
      <c r="AD3" s="32"/>
      <c r="AE3" s="32"/>
      <c r="AF3" s="32"/>
      <c r="AG3" s="32"/>
      <c r="AH3" s="32"/>
      <c r="AI3" s="32"/>
      <c r="AJ3" s="32"/>
    </row>
    <row r="4" ht="21.75" customHeight="1">
      <c r="A4" s="33" t="s">
        <v>21</v>
      </c>
      <c r="B4" s="2"/>
      <c r="C4" s="3"/>
      <c r="D4" s="4"/>
      <c r="E4" s="34"/>
      <c r="F4" s="35"/>
      <c r="G4" s="36"/>
      <c r="H4" s="37"/>
      <c r="I4" s="38"/>
      <c r="J4" s="39"/>
      <c r="K4" s="40"/>
      <c r="L4" s="41"/>
      <c r="M4" s="42"/>
      <c r="N4" s="43"/>
      <c r="O4" s="44"/>
      <c r="P4" s="45"/>
      <c r="Q4" s="46"/>
      <c r="R4" s="47"/>
      <c r="S4" s="48"/>
      <c r="T4" s="49"/>
      <c r="U4" s="49"/>
      <c r="V4" s="49"/>
      <c r="W4" s="21"/>
      <c r="X4" s="21"/>
      <c r="Y4" s="21"/>
      <c r="Z4" s="21"/>
      <c r="AA4" s="50"/>
      <c r="AB4" s="51"/>
      <c r="AC4" s="51"/>
      <c r="AD4" s="51"/>
      <c r="AE4" s="51"/>
      <c r="AF4" s="51"/>
      <c r="AG4" s="51"/>
      <c r="AH4" s="51"/>
      <c r="AI4" s="51"/>
      <c r="AJ4" s="51"/>
    </row>
    <row r="5" ht="21.75" customHeight="1">
      <c r="A5" s="52" t="s">
        <v>22</v>
      </c>
      <c r="B5" s="2"/>
      <c r="C5" s="3"/>
      <c r="D5" s="53"/>
      <c r="E5" s="54"/>
      <c r="F5" s="55"/>
      <c r="G5" s="56"/>
      <c r="H5" s="57"/>
      <c r="I5" s="58"/>
      <c r="J5" s="59"/>
      <c r="K5" s="57"/>
      <c r="L5" s="60"/>
      <c r="M5" s="61"/>
      <c r="N5" s="62"/>
      <c r="O5" s="57"/>
      <c r="P5" s="63"/>
      <c r="Q5" s="64"/>
      <c r="R5" s="57"/>
      <c r="S5" s="65"/>
      <c r="T5" s="66"/>
      <c r="U5" s="66"/>
      <c r="V5" s="66"/>
      <c r="W5" s="67"/>
      <c r="X5" s="67"/>
      <c r="Y5" s="67"/>
      <c r="Z5" s="67"/>
      <c r="AA5" s="68"/>
      <c r="AB5" s="69"/>
      <c r="AC5" s="69"/>
      <c r="AD5" s="69"/>
      <c r="AE5" s="69"/>
      <c r="AF5" s="69"/>
      <c r="AG5" s="69"/>
      <c r="AH5" s="69"/>
      <c r="AI5" s="69"/>
      <c r="AJ5" s="69"/>
    </row>
    <row r="6" ht="21.75" customHeight="1" outlineLevel="1">
      <c r="A6" s="70" t="s">
        <v>23</v>
      </c>
      <c r="B6" s="2"/>
      <c r="C6" s="3"/>
      <c r="D6" s="71"/>
      <c r="E6" s="72"/>
      <c r="F6" s="73">
        <f>AVERAGE(F7:F29)</f>
        <v>886.4347826</v>
      </c>
      <c r="G6" s="74">
        <f t="shared" ref="G6:M6" si="1">SUM(G7:G29)</f>
        <v>388</v>
      </c>
      <c r="H6" s="75">
        <f t="shared" si="1"/>
        <v>55.42857143</v>
      </c>
      <c r="I6" s="73">
        <f t="shared" si="1"/>
        <v>33465.51611</v>
      </c>
      <c r="J6" s="76">
        <f t="shared" si="1"/>
        <v>278</v>
      </c>
      <c r="K6" s="75">
        <f t="shared" si="1"/>
        <v>39.71428571</v>
      </c>
      <c r="L6" s="77">
        <f t="shared" si="1"/>
        <v>412689.28</v>
      </c>
      <c r="M6" s="78">
        <f t="shared" si="1"/>
        <v>13077.51611</v>
      </c>
      <c r="N6" s="79">
        <f>IFERROR(L6/M6,)</f>
        <v>31.55716089</v>
      </c>
      <c r="O6" s="75">
        <f t="shared" ref="O6:Q6" si="2">SUM(O7:O29)</f>
        <v>1</v>
      </c>
      <c r="P6" s="80">
        <f t="shared" si="2"/>
        <v>3675</v>
      </c>
      <c r="Q6" s="81">
        <f t="shared" si="2"/>
        <v>2400457.916</v>
      </c>
      <c r="R6" s="75"/>
      <c r="S6" s="82">
        <f t="shared" ref="S6:S29" si="3">100%-T6-U6-V6</f>
        <v>0.38</v>
      </c>
      <c r="T6" s="83">
        <v>0.25</v>
      </c>
      <c r="U6" s="83">
        <v>0.06</v>
      </c>
      <c r="V6" s="83">
        <f t="shared" ref="V6:V29" si="4">T6+U6</f>
        <v>0.31</v>
      </c>
      <c r="W6" s="84"/>
      <c r="X6" s="84"/>
      <c r="Y6" s="84"/>
      <c r="Z6" s="84"/>
      <c r="AA6" s="85"/>
      <c r="AB6" s="86"/>
      <c r="AC6" s="86"/>
      <c r="AD6" s="86"/>
      <c r="AE6" s="86"/>
      <c r="AF6" s="86"/>
      <c r="AG6" s="86"/>
      <c r="AH6" s="86"/>
      <c r="AI6" s="86"/>
      <c r="AJ6" s="86"/>
    </row>
    <row r="7" ht="21.75" customHeight="1" outlineLevel="2">
      <c r="A7" s="24" t="str">
        <f>IMAGE("https://images.wbstatic.net/c516x688/new/13880000/13889284-1.jpg")</f>
        <v/>
      </c>
      <c r="B7" s="87" t="s">
        <v>24</v>
      </c>
      <c r="C7" s="88">
        <v>1.3889284E7</v>
      </c>
      <c r="D7" s="32"/>
      <c r="E7" s="89"/>
      <c r="F7" s="90">
        <v>860.0</v>
      </c>
      <c r="G7" s="91">
        <f>VLOOKUP(C7,'Сводная таблица 1'!$A$3:$F$108,2,FALSE)</f>
        <v>42</v>
      </c>
      <c r="H7" s="92">
        <f t="shared" ref="H7:H29" si="5">G7/7</f>
        <v>6</v>
      </c>
      <c r="I7" s="93">
        <f t="shared" ref="I7:I29" si="6">L7/J7</f>
        <v>1567.753636</v>
      </c>
      <c r="J7" s="94">
        <f>VLOOKUP(C7,'Сводная таблица 1'!$A$3:$F$108,3,FALSE)</f>
        <v>33</v>
      </c>
      <c r="K7" s="92">
        <f t="shared" ref="K7:K29" si="7">J7/7</f>
        <v>4.714285714</v>
      </c>
      <c r="L7" s="95">
        <f>VLOOKUP(C7,'Сводная таблица 1'!$A$3:$F$108,4,FALSE)</f>
        <v>51735.87</v>
      </c>
      <c r="M7" s="96">
        <f t="shared" ref="M7:M29" si="8">I7-F7</f>
        <v>707.7536364</v>
      </c>
      <c r="N7" s="97">
        <f t="shared" ref="N7:N29" si="9">L7/F7</f>
        <v>60.15798837</v>
      </c>
      <c r="O7" s="98">
        <f>VLOOKUP(C7,'Сводная таблица 1'!$A$3:$F$108,5,FALSE)</f>
        <v>0</v>
      </c>
      <c r="P7" s="99">
        <f>VLOOKUP(C7,'Сводная таблица 1'!$A$3:$F$108,6,FALSE)</f>
        <v>280</v>
      </c>
      <c r="Q7" s="100">
        <f t="shared" ref="Q7:Q29" si="10">P7*M7</f>
        <v>198171.0182</v>
      </c>
      <c r="R7" s="101">
        <f t="shared" ref="R7:R29" si="11">P7/K7</f>
        <v>59.39393939</v>
      </c>
      <c r="S7" s="102">
        <f t="shared" si="3"/>
        <v>0.38</v>
      </c>
      <c r="T7" s="103">
        <v>0.25</v>
      </c>
      <c r="U7" s="103">
        <v>0.06</v>
      </c>
      <c r="V7" s="103">
        <f t="shared" si="4"/>
        <v>0.31</v>
      </c>
      <c r="W7" s="104"/>
      <c r="X7" s="104"/>
      <c r="Y7" s="104"/>
      <c r="Z7" s="104"/>
      <c r="AA7" s="22"/>
      <c r="AB7" s="105"/>
      <c r="AC7" s="105"/>
      <c r="AD7" s="105"/>
      <c r="AE7" s="105"/>
      <c r="AF7" s="105"/>
      <c r="AG7" s="105"/>
      <c r="AH7" s="105"/>
      <c r="AI7" s="105"/>
      <c r="AJ7" s="105"/>
    </row>
    <row r="8" ht="21.75" customHeight="1" outlineLevel="2">
      <c r="A8" s="24" t="str">
        <f>IMAGE("https://images.wbstatic.net/c516x688/new/13880000/13889289-1.jpg")</f>
        <v/>
      </c>
      <c r="B8" s="106" t="s">
        <v>25</v>
      </c>
      <c r="C8" s="88">
        <v>1.3889289E7</v>
      </c>
      <c r="D8" s="32"/>
      <c r="E8" s="89"/>
      <c r="F8" s="90">
        <v>879.0</v>
      </c>
      <c r="G8" s="91">
        <f>VLOOKUP(C8,'Сводная таблица 1'!$A$3:$F$108,2,FALSE)</f>
        <v>20</v>
      </c>
      <c r="H8" s="92">
        <f t="shared" si="5"/>
        <v>2.857142857</v>
      </c>
      <c r="I8" s="93">
        <f t="shared" si="6"/>
        <v>1982.898</v>
      </c>
      <c r="J8" s="94">
        <f>VLOOKUP(C8,'Сводная таблица 1'!$A$3:$F$108,3,FALSE)</f>
        <v>15</v>
      </c>
      <c r="K8" s="92">
        <f t="shared" si="7"/>
        <v>2.142857143</v>
      </c>
      <c r="L8" s="95">
        <f>VLOOKUP(C8,'Сводная таблица 1'!$A$3:$F$108,4,FALSE)</f>
        <v>29743.47</v>
      </c>
      <c r="M8" s="96">
        <f t="shared" si="8"/>
        <v>1103.898</v>
      </c>
      <c r="N8" s="97">
        <f t="shared" si="9"/>
        <v>33.83784983</v>
      </c>
      <c r="O8" s="98">
        <f>VLOOKUP(C8,'Сводная таблица 1'!$A$3:$F$108,5,FALSE)</f>
        <v>0</v>
      </c>
      <c r="P8" s="99">
        <f>VLOOKUP(C8,'Сводная таблица 1'!$A$3:$F$108,6,FALSE)</f>
        <v>193</v>
      </c>
      <c r="Q8" s="100">
        <f t="shared" si="10"/>
        <v>213052.314</v>
      </c>
      <c r="R8" s="101">
        <f t="shared" si="11"/>
        <v>90.06666667</v>
      </c>
      <c r="S8" s="107">
        <f t="shared" si="3"/>
        <v>0.38</v>
      </c>
      <c r="T8" s="108">
        <v>0.25</v>
      </c>
      <c r="U8" s="108">
        <v>0.06</v>
      </c>
      <c r="V8" s="103">
        <f t="shared" si="4"/>
        <v>0.31</v>
      </c>
      <c r="W8" s="104"/>
      <c r="X8" s="104"/>
      <c r="Y8" s="104"/>
      <c r="Z8" s="104"/>
      <c r="AA8" s="22"/>
      <c r="AB8" s="105"/>
      <c r="AC8" s="105"/>
      <c r="AD8" s="105"/>
      <c r="AE8" s="105"/>
      <c r="AF8" s="105"/>
      <c r="AG8" s="105"/>
      <c r="AH8" s="105"/>
      <c r="AI8" s="105"/>
      <c r="AJ8" s="105"/>
    </row>
    <row r="9" ht="21.75" customHeight="1" outlineLevel="2">
      <c r="A9" s="24" t="str">
        <f>IMAGE("https://images.wbstatic.net/c516x688/new/13880000/13889285-1.jpg")</f>
        <v/>
      </c>
      <c r="B9" s="106" t="s">
        <v>26</v>
      </c>
      <c r="C9" s="88">
        <v>1.3889285E7</v>
      </c>
      <c r="D9" s="32"/>
      <c r="E9" s="89"/>
      <c r="F9" s="90">
        <v>942.0</v>
      </c>
      <c r="G9" s="91">
        <f>VLOOKUP(C9,'Сводная таблица 1'!$A$3:$F$108,2,FALSE)</f>
        <v>35</v>
      </c>
      <c r="H9" s="92">
        <f t="shared" si="5"/>
        <v>5</v>
      </c>
      <c r="I9" s="93">
        <f t="shared" si="6"/>
        <v>1615.69</v>
      </c>
      <c r="J9" s="94">
        <f>VLOOKUP(C9,'Сводная таблица 1'!$A$3:$F$108,3,FALSE)</f>
        <v>20</v>
      </c>
      <c r="K9" s="92">
        <f t="shared" si="7"/>
        <v>2.857142857</v>
      </c>
      <c r="L9" s="95">
        <f>VLOOKUP(C9,'Сводная таблица 1'!$A$3:$F$108,4,FALSE)</f>
        <v>32313.8</v>
      </c>
      <c r="M9" s="96">
        <f t="shared" si="8"/>
        <v>673.69</v>
      </c>
      <c r="N9" s="97">
        <f t="shared" si="9"/>
        <v>34.30339703</v>
      </c>
      <c r="O9" s="98">
        <f>VLOOKUP(C9,'Сводная таблица 1'!$A$3:$F$108,5,FALSE)</f>
        <v>0</v>
      </c>
      <c r="P9" s="99">
        <f>VLOOKUP(C9,'Сводная таблица 1'!$A$3:$F$108,6,FALSE)</f>
        <v>175</v>
      </c>
      <c r="Q9" s="100">
        <f t="shared" si="10"/>
        <v>117895.75</v>
      </c>
      <c r="R9" s="101">
        <f t="shared" si="11"/>
        <v>61.25</v>
      </c>
      <c r="S9" s="107">
        <f t="shared" si="3"/>
        <v>0.38</v>
      </c>
      <c r="T9" s="108">
        <v>0.25</v>
      </c>
      <c r="U9" s="108">
        <v>0.06</v>
      </c>
      <c r="V9" s="103">
        <f t="shared" si="4"/>
        <v>0.31</v>
      </c>
      <c r="W9" s="104"/>
      <c r="X9" s="104"/>
      <c r="Y9" s="104"/>
      <c r="Z9" s="104"/>
      <c r="AA9" s="22"/>
      <c r="AB9" s="105"/>
      <c r="AC9" s="105"/>
      <c r="AD9" s="105"/>
      <c r="AE9" s="105"/>
      <c r="AF9" s="105"/>
      <c r="AG9" s="105"/>
      <c r="AH9" s="105"/>
      <c r="AI9" s="105"/>
      <c r="AJ9" s="105"/>
    </row>
    <row r="10" ht="21.75" customHeight="1" outlineLevel="2">
      <c r="A10" s="109" t="str">
        <f>IMAGE("https://images.wbstatic.net/c516x688/new/14600000/14601364-1.jpg")</f>
        <v/>
      </c>
      <c r="B10" s="87" t="s">
        <v>27</v>
      </c>
      <c r="C10" s="88">
        <v>1.4601364E7</v>
      </c>
      <c r="D10" s="32"/>
      <c r="E10" s="89"/>
      <c r="F10" s="90">
        <v>854.0</v>
      </c>
      <c r="G10" s="91">
        <f>VLOOKUP(C10,'Сводная таблица 1'!$A$3:$F$108,2,FALSE)</f>
        <v>25</v>
      </c>
      <c r="H10" s="92">
        <f t="shared" si="5"/>
        <v>3.571428571</v>
      </c>
      <c r="I10" s="93">
        <f t="shared" si="6"/>
        <v>1480.531429</v>
      </c>
      <c r="J10" s="94">
        <f>VLOOKUP(C10,'Сводная таблица 1'!$A$3:$F$108,3,FALSE)</f>
        <v>21</v>
      </c>
      <c r="K10" s="92">
        <f t="shared" si="7"/>
        <v>3</v>
      </c>
      <c r="L10" s="95">
        <f>VLOOKUP(C10,'Сводная таблица 1'!$A$3:$F$108,4,FALSE)</f>
        <v>31091.16</v>
      </c>
      <c r="M10" s="96">
        <f t="shared" si="8"/>
        <v>626.5314286</v>
      </c>
      <c r="N10" s="97">
        <f t="shared" si="9"/>
        <v>36.40651054</v>
      </c>
      <c r="O10" s="98">
        <f>VLOOKUP(C10,'Сводная таблица 1'!$A$3:$F$108,5,FALSE)</f>
        <v>0</v>
      </c>
      <c r="P10" s="99">
        <f>VLOOKUP(C10,'Сводная таблица 1'!$A$3:$F$108,6,FALSE)</f>
        <v>207</v>
      </c>
      <c r="Q10" s="100">
        <f t="shared" si="10"/>
        <v>129692.0057</v>
      </c>
      <c r="R10" s="101">
        <f t="shared" si="11"/>
        <v>69</v>
      </c>
      <c r="S10" s="107">
        <f t="shared" si="3"/>
        <v>0.38</v>
      </c>
      <c r="T10" s="108">
        <v>0.25</v>
      </c>
      <c r="U10" s="108">
        <v>0.06</v>
      </c>
      <c r="V10" s="103">
        <f t="shared" si="4"/>
        <v>0.31</v>
      </c>
      <c r="W10" s="104"/>
      <c r="X10" s="104"/>
      <c r="Y10" s="104"/>
      <c r="Z10" s="104"/>
      <c r="AA10" s="22"/>
      <c r="AB10" s="105"/>
      <c r="AC10" s="105"/>
      <c r="AD10" s="105"/>
      <c r="AE10" s="105"/>
      <c r="AF10" s="105"/>
      <c r="AG10" s="105"/>
      <c r="AH10" s="105"/>
      <c r="AI10" s="105"/>
      <c r="AJ10" s="105"/>
    </row>
    <row r="11" ht="21.75" customHeight="1" outlineLevel="2">
      <c r="A11" s="109" t="str">
        <f>IMAGE("https://images.wbstatic.net/big/new/18460000/18460858-1.jpg")</f>
        <v/>
      </c>
      <c r="B11" s="87" t="s">
        <v>28</v>
      </c>
      <c r="C11" s="88">
        <v>1.8460858E7</v>
      </c>
      <c r="D11" s="32"/>
      <c r="E11" s="89"/>
      <c r="F11" s="90">
        <v>877.0</v>
      </c>
      <c r="G11" s="91">
        <f>VLOOKUP(C11,'Сводная таблица 1'!$A$3:$F$108,2,FALSE)</f>
        <v>19</v>
      </c>
      <c r="H11" s="92">
        <f t="shared" si="5"/>
        <v>2.714285714</v>
      </c>
      <c r="I11" s="93">
        <f t="shared" si="6"/>
        <v>1709.179412</v>
      </c>
      <c r="J11" s="94">
        <f>VLOOKUP(C11,'Сводная таблица 1'!$A$3:$F$108,3,FALSE)</f>
        <v>17</v>
      </c>
      <c r="K11" s="92">
        <f t="shared" si="7"/>
        <v>2.428571429</v>
      </c>
      <c r="L11" s="95">
        <f>VLOOKUP(C11,'Сводная таблица 1'!$A$3:$F$108,4,FALSE)</f>
        <v>29056.05</v>
      </c>
      <c r="M11" s="96">
        <f t="shared" si="8"/>
        <v>832.1794118</v>
      </c>
      <c r="N11" s="97">
        <f t="shared" si="9"/>
        <v>33.13118586</v>
      </c>
      <c r="O11" s="98">
        <f>VLOOKUP(C11,'Сводная таблица 1'!$A$3:$F$108,5,FALSE)</f>
        <v>0</v>
      </c>
      <c r="P11" s="99">
        <f>VLOOKUP(C11,'Сводная таблица 1'!$A$3:$F$108,6,FALSE)</f>
        <v>313</v>
      </c>
      <c r="Q11" s="100">
        <f t="shared" si="10"/>
        <v>260472.1559</v>
      </c>
      <c r="R11" s="101">
        <f t="shared" si="11"/>
        <v>128.8823529</v>
      </c>
      <c r="S11" s="107">
        <f t="shared" si="3"/>
        <v>0.38</v>
      </c>
      <c r="T11" s="108">
        <v>0.25</v>
      </c>
      <c r="U11" s="108">
        <v>0.06</v>
      </c>
      <c r="V11" s="103">
        <f t="shared" si="4"/>
        <v>0.31</v>
      </c>
      <c r="W11" s="104"/>
      <c r="X11" s="104"/>
      <c r="Y11" s="104"/>
      <c r="Z11" s="104"/>
      <c r="AA11" s="22"/>
      <c r="AB11" s="105"/>
      <c r="AC11" s="105"/>
      <c r="AD11" s="105"/>
      <c r="AE11" s="105"/>
      <c r="AF11" s="105"/>
      <c r="AG11" s="105"/>
      <c r="AH11" s="105"/>
      <c r="AI11" s="105"/>
      <c r="AJ11" s="105"/>
    </row>
    <row r="12" ht="21.75" customHeight="1" outlineLevel="2">
      <c r="A12" s="24" t="str">
        <f>IMAGE("https://img1.wbstatic.net/big/new/15620000/15626659-1.jpg")</f>
        <v/>
      </c>
      <c r="B12" s="106" t="s">
        <v>29</v>
      </c>
      <c r="C12" s="88">
        <v>1.5626659E7</v>
      </c>
      <c r="D12" s="32"/>
      <c r="E12" s="89"/>
      <c r="F12" s="90">
        <v>864.0</v>
      </c>
      <c r="G12" s="91">
        <f>VLOOKUP(C12,'Сводная таблица 1'!$A$3:$F$108,2,FALSE)</f>
        <v>14</v>
      </c>
      <c r="H12" s="92">
        <f t="shared" si="5"/>
        <v>2</v>
      </c>
      <c r="I12" s="93">
        <f t="shared" si="6"/>
        <v>1718.30875</v>
      </c>
      <c r="J12" s="94">
        <f>VLOOKUP(C12,'Сводная таблица 1'!$A$3:$F$108,3,FALSE)</f>
        <v>16</v>
      </c>
      <c r="K12" s="92">
        <f t="shared" si="7"/>
        <v>2.285714286</v>
      </c>
      <c r="L12" s="95">
        <f>VLOOKUP(C12,'Сводная таблица 1'!$A$3:$F$108,4,FALSE)</f>
        <v>27492.94</v>
      </c>
      <c r="M12" s="96">
        <f t="shared" si="8"/>
        <v>854.30875</v>
      </c>
      <c r="N12" s="97">
        <f t="shared" si="9"/>
        <v>31.82053241</v>
      </c>
      <c r="O12" s="98">
        <f>VLOOKUP(C12,'Сводная таблица 1'!$A$3:$F$108,5,FALSE)</f>
        <v>0</v>
      </c>
      <c r="P12" s="99">
        <f>VLOOKUP(C12,'Сводная таблица 1'!$A$3:$F$108,6,FALSE)</f>
        <v>209</v>
      </c>
      <c r="Q12" s="100">
        <f t="shared" si="10"/>
        <v>178550.5288</v>
      </c>
      <c r="R12" s="101">
        <f t="shared" si="11"/>
        <v>91.4375</v>
      </c>
      <c r="S12" s="107">
        <f t="shared" si="3"/>
        <v>0.38</v>
      </c>
      <c r="T12" s="108">
        <v>0.25</v>
      </c>
      <c r="U12" s="108">
        <v>0.06</v>
      </c>
      <c r="V12" s="103">
        <f t="shared" si="4"/>
        <v>0.31</v>
      </c>
      <c r="W12" s="104"/>
      <c r="X12" s="104"/>
      <c r="Y12" s="104"/>
      <c r="Z12" s="104"/>
      <c r="AA12" s="22"/>
      <c r="AB12" s="105"/>
      <c r="AC12" s="105"/>
      <c r="AD12" s="105"/>
      <c r="AE12" s="105"/>
      <c r="AF12" s="105"/>
      <c r="AG12" s="105"/>
      <c r="AH12" s="105"/>
      <c r="AI12" s="105"/>
      <c r="AJ12" s="105"/>
    </row>
    <row r="13" ht="21.75" customHeight="1" outlineLevel="2">
      <c r="A13" s="24" t="str">
        <f>IMAGE("https://images.wbstatic.net/c516x688/new/13880000/13889286-1.jpg")</f>
        <v/>
      </c>
      <c r="B13" s="106" t="s">
        <v>30</v>
      </c>
      <c r="C13" s="88">
        <v>1.3889286E7</v>
      </c>
      <c r="D13" s="32"/>
      <c r="E13" s="89"/>
      <c r="F13" s="90">
        <v>923.0</v>
      </c>
      <c r="G13" s="91">
        <f>VLOOKUP(C13,'Сводная таблица 1'!$A$3:$F$108,2,FALSE)</f>
        <v>8</v>
      </c>
      <c r="H13" s="92">
        <f t="shared" si="5"/>
        <v>1.142857143</v>
      </c>
      <c r="I13" s="93">
        <f t="shared" si="6"/>
        <v>1656.41375</v>
      </c>
      <c r="J13" s="94">
        <f>VLOOKUP(C13,'Сводная таблица 1'!$A$3:$F$108,3,FALSE)</f>
        <v>8</v>
      </c>
      <c r="K13" s="92">
        <f t="shared" si="7"/>
        <v>1.142857143</v>
      </c>
      <c r="L13" s="95">
        <f>VLOOKUP(C13,'Сводная таблица 1'!$A$3:$F$108,4,FALSE)</f>
        <v>13251.31</v>
      </c>
      <c r="M13" s="96">
        <f t="shared" si="8"/>
        <v>733.41375</v>
      </c>
      <c r="N13" s="97">
        <f t="shared" si="9"/>
        <v>14.35678223</v>
      </c>
      <c r="O13" s="98">
        <f>VLOOKUP(C13,'Сводная таблица 1'!$A$3:$F$108,5,FALSE)</f>
        <v>0</v>
      </c>
      <c r="P13" s="99">
        <f>VLOOKUP(C13,'Сводная таблица 1'!$A$3:$F$108,6,FALSE)</f>
        <v>475</v>
      </c>
      <c r="Q13" s="100">
        <f t="shared" si="10"/>
        <v>348371.5313</v>
      </c>
      <c r="R13" s="101">
        <f t="shared" si="11"/>
        <v>415.625</v>
      </c>
      <c r="S13" s="107">
        <f t="shared" si="3"/>
        <v>0.38</v>
      </c>
      <c r="T13" s="108">
        <v>0.25</v>
      </c>
      <c r="U13" s="108">
        <v>0.06</v>
      </c>
      <c r="V13" s="103">
        <f t="shared" si="4"/>
        <v>0.31</v>
      </c>
      <c r="W13" s="104"/>
      <c r="X13" s="104"/>
      <c r="Y13" s="104"/>
      <c r="Z13" s="104"/>
      <c r="AA13" s="22"/>
      <c r="AB13" s="105"/>
      <c r="AC13" s="105"/>
      <c r="AD13" s="105"/>
      <c r="AE13" s="105"/>
      <c r="AF13" s="105"/>
      <c r="AG13" s="105"/>
      <c r="AH13" s="105"/>
      <c r="AI13" s="105"/>
      <c r="AJ13" s="105"/>
    </row>
    <row r="14" ht="21.75" customHeight="1" outlineLevel="2">
      <c r="A14" s="109" t="str">
        <f>IMAGE("https://images.wbstatic.net/big/new/13880000/13889288-1.jpg")</f>
        <v/>
      </c>
      <c r="B14" s="87" t="s">
        <v>31</v>
      </c>
      <c r="C14" s="88">
        <v>1.3889288E7</v>
      </c>
      <c r="D14" s="32"/>
      <c r="E14" s="89"/>
      <c r="F14" s="90">
        <v>909.0</v>
      </c>
      <c r="G14" s="91">
        <f>VLOOKUP(C14,'Сводная таблица 1'!$A$3:$F$108,2,FALSE)</f>
        <v>27</v>
      </c>
      <c r="H14" s="92">
        <f t="shared" si="5"/>
        <v>3.857142857</v>
      </c>
      <c r="I14" s="93">
        <f t="shared" si="6"/>
        <v>1432.268667</v>
      </c>
      <c r="J14" s="94">
        <f>VLOOKUP(C14,'Сводная таблица 1'!$A$3:$F$108,3,FALSE)</f>
        <v>15</v>
      </c>
      <c r="K14" s="92">
        <f t="shared" si="7"/>
        <v>2.142857143</v>
      </c>
      <c r="L14" s="95">
        <f>VLOOKUP(C14,'Сводная таблица 1'!$A$3:$F$108,4,FALSE)</f>
        <v>21484.03</v>
      </c>
      <c r="M14" s="96">
        <f t="shared" si="8"/>
        <v>523.2686667</v>
      </c>
      <c r="N14" s="97">
        <f t="shared" si="9"/>
        <v>23.63479648</v>
      </c>
      <c r="O14" s="98">
        <f>VLOOKUP(C14,'Сводная таблица 1'!$A$3:$F$108,5,FALSE)</f>
        <v>0</v>
      </c>
      <c r="P14" s="99">
        <f>VLOOKUP(C14,'Сводная таблица 1'!$A$3:$F$108,6,FALSE)</f>
        <v>298</v>
      </c>
      <c r="Q14" s="100">
        <f t="shared" si="10"/>
        <v>155934.0627</v>
      </c>
      <c r="R14" s="101">
        <f t="shared" si="11"/>
        <v>139.0666667</v>
      </c>
      <c r="S14" s="107">
        <f t="shared" si="3"/>
        <v>0.38</v>
      </c>
      <c r="T14" s="108">
        <v>0.25</v>
      </c>
      <c r="U14" s="108">
        <v>0.06</v>
      </c>
      <c r="V14" s="103">
        <f t="shared" si="4"/>
        <v>0.31</v>
      </c>
      <c r="W14" s="104"/>
      <c r="X14" s="104"/>
      <c r="Y14" s="104"/>
      <c r="Z14" s="104"/>
      <c r="AA14" s="22"/>
      <c r="AB14" s="105"/>
      <c r="AC14" s="105"/>
      <c r="AD14" s="105"/>
      <c r="AE14" s="105"/>
      <c r="AF14" s="105"/>
      <c r="AG14" s="105"/>
      <c r="AH14" s="105"/>
      <c r="AI14" s="105"/>
      <c r="AJ14" s="105"/>
    </row>
    <row r="15" ht="21.75" customHeight="1" outlineLevel="2">
      <c r="A15" s="109" t="str">
        <f>IMAGE("https://images.wbstatic.net/big/new/13880000/13889287-1.jpg")</f>
        <v/>
      </c>
      <c r="B15" s="87" t="s">
        <v>32</v>
      </c>
      <c r="C15" s="88">
        <v>1.3889287E7</v>
      </c>
      <c r="D15" s="32"/>
      <c r="E15" s="89"/>
      <c r="F15" s="90">
        <v>837.0</v>
      </c>
      <c r="G15" s="91">
        <f>VLOOKUP(C15,'Сводная таблица 1'!$A$3:$F$108,2,FALSE)</f>
        <v>24</v>
      </c>
      <c r="H15" s="92">
        <f t="shared" si="5"/>
        <v>3.428571429</v>
      </c>
      <c r="I15" s="93">
        <f t="shared" si="6"/>
        <v>1571.433333</v>
      </c>
      <c r="J15" s="94">
        <f>VLOOKUP(C15,'Сводная таблица 1'!$A$3:$F$108,3,FALSE)</f>
        <v>15</v>
      </c>
      <c r="K15" s="92">
        <f t="shared" si="7"/>
        <v>2.142857143</v>
      </c>
      <c r="L15" s="95">
        <f>VLOOKUP(C15,'Сводная таблица 1'!$A$3:$F$108,4,FALSE)</f>
        <v>23571.5</v>
      </c>
      <c r="M15" s="96">
        <f t="shared" si="8"/>
        <v>734.4333333</v>
      </c>
      <c r="N15" s="97">
        <f t="shared" si="9"/>
        <v>28.16188769</v>
      </c>
      <c r="O15" s="98">
        <f>VLOOKUP(C15,'Сводная таблица 1'!$A$3:$F$108,5,FALSE)</f>
        <v>0</v>
      </c>
      <c r="P15" s="99">
        <f>VLOOKUP(C15,'Сводная таблица 1'!$A$3:$F$108,6,FALSE)</f>
        <v>197</v>
      </c>
      <c r="Q15" s="100">
        <f t="shared" si="10"/>
        <v>144683.3667</v>
      </c>
      <c r="R15" s="101">
        <f t="shared" si="11"/>
        <v>91.93333333</v>
      </c>
      <c r="S15" s="107">
        <f t="shared" si="3"/>
        <v>0.38</v>
      </c>
      <c r="T15" s="108">
        <v>0.25</v>
      </c>
      <c r="U15" s="108">
        <v>0.06</v>
      </c>
      <c r="V15" s="103">
        <f t="shared" si="4"/>
        <v>0.31</v>
      </c>
      <c r="W15" s="104"/>
      <c r="X15" s="104"/>
      <c r="Y15" s="104"/>
      <c r="Z15" s="104"/>
      <c r="AA15" s="22"/>
      <c r="AB15" s="105"/>
      <c r="AC15" s="105"/>
      <c r="AD15" s="105"/>
      <c r="AE15" s="105"/>
      <c r="AF15" s="105"/>
      <c r="AG15" s="105"/>
      <c r="AH15" s="105"/>
      <c r="AI15" s="105"/>
      <c r="AJ15" s="105"/>
    </row>
    <row r="16" ht="21.75" customHeight="1" outlineLevel="2">
      <c r="A16" s="109" t="str">
        <f>IMAGE("https://images.wbstatic.net/big/new/16450000/16458322-1.jpg")</f>
        <v/>
      </c>
      <c r="B16" s="87" t="s">
        <v>33</v>
      </c>
      <c r="C16" s="88">
        <v>1.6458322E7</v>
      </c>
      <c r="D16" s="32"/>
      <c r="E16" s="89"/>
      <c r="F16" s="90">
        <v>873.0</v>
      </c>
      <c r="G16" s="91">
        <f>VLOOKUP(C16,'Сводная таблица 1'!$A$3:$F$108,2,FALSE)</f>
        <v>25</v>
      </c>
      <c r="H16" s="92">
        <f t="shared" si="5"/>
        <v>3.571428571</v>
      </c>
      <c r="I16" s="93">
        <f t="shared" si="6"/>
        <v>1306.170833</v>
      </c>
      <c r="J16" s="94">
        <f>VLOOKUP(C16,'Сводная таблица 1'!$A$3:$F$108,3,FALSE)</f>
        <v>12</v>
      </c>
      <c r="K16" s="92">
        <f t="shared" si="7"/>
        <v>1.714285714</v>
      </c>
      <c r="L16" s="95">
        <f>VLOOKUP(C16,'Сводная таблица 1'!$A$3:$F$108,4,FALSE)</f>
        <v>15674.05</v>
      </c>
      <c r="M16" s="96">
        <f t="shared" si="8"/>
        <v>433.1708333</v>
      </c>
      <c r="N16" s="97">
        <f t="shared" si="9"/>
        <v>17.95423826</v>
      </c>
      <c r="O16" s="98">
        <f>VLOOKUP(C16,'Сводная таблица 1'!$A$3:$F$108,5,FALSE)</f>
        <v>0</v>
      </c>
      <c r="P16" s="99">
        <f>VLOOKUP(C16,'Сводная таблица 1'!$A$3:$F$108,6,FALSE)</f>
        <v>8</v>
      </c>
      <c r="Q16" s="100">
        <f t="shared" si="10"/>
        <v>3465.366667</v>
      </c>
      <c r="R16" s="101">
        <f t="shared" si="11"/>
        <v>4.666666667</v>
      </c>
      <c r="S16" s="107">
        <f t="shared" si="3"/>
        <v>0.38</v>
      </c>
      <c r="T16" s="108">
        <v>0.25</v>
      </c>
      <c r="U16" s="108">
        <v>0.06</v>
      </c>
      <c r="V16" s="103">
        <f t="shared" si="4"/>
        <v>0.31</v>
      </c>
      <c r="W16" s="104"/>
      <c r="X16" s="104"/>
      <c r="Y16" s="104"/>
      <c r="Z16" s="104"/>
      <c r="AA16" s="22"/>
      <c r="AB16" s="105"/>
      <c r="AC16" s="105"/>
      <c r="AD16" s="105"/>
      <c r="AE16" s="105"/>
      <c r="AF16" s="105"/>
      <c r="AG16" s="105"/>
      <c r="AH16" s="105"/>
      <c r="AI16" s="105"/>
      <c r="AJ16" s="105"/>
    </row>
    <row r="17" ht="21.75" customHeight="1" outlineLevel="2">
      <c r="A17" s="109" t="str">
        <f>IMAGE("https://images.wbstatic.net/big/new/14600000/14601365-1.jpg")</f>
        <v/>
      </c>
      <c r="B17" s="87" t="s">
        <v>34</v>
      </c>
      <c r="C17" s="88">
        <v>1.4601365E7</v>
      </c>
      <c r="D17" s="32"/>
      <c r="E17" s="89"/>
      <c r="F17" s="90">
        <v>967.0</v>
      </c>
      <c r="G17" s="91">
        <f>VLOOKUP(C17,'Сводная таблица 1'!$A$3:$F$108,2,FALSE)</f>
        <v>11</v>
      </c>
      <c r="H17" s="92">
        <f t="shared" si="5"/>
        <v>1.571428571</v>
      </c>
      <c r="I17" s="93">
        <f t="shared" si="6"/>
        <v>1598.2125</v>
      </c>
      <c r="J17" s="94">
        <f>VLOOKUP(C17,'Сводная таблица 1'!$A$3:$F$108,3,FALSE)</f>
        <v>4</v>
      </c>
      <c r="K17" s="92">
        <f t="shared" si="7"/>
        <v>0.5714285714</v>
      </c>
      <c r="L17" s="95">
        <f>VLOOKUP(C17,'Сводная таблица 1'!$A$3:$F$108,4,FALSE)</f>
        <v>6392.85</v>
      </c>
      <c r="M17" s="96">
        <f t="shared" si="8"/>
        <v>631.2125</v>
      </c>
      <c r="N17" s="97">
        <f t="shared" si="9"/>
        <v>6.611013444</v>
      </c>
      <c r="O17" s="98">
        <f>VLOOKUP(C17,'Сводная таблица 1'!$A$3:$F$108,5,FALSE)</f>
        <v>0</v>
      </c>
      <c r="P17" s="99">
        <f>VLOOKUP(C17,'Сводная таблица 1'!$A$3:$F$108,6,FALSE)</f>
        <v>113</v>
      </c>
      <c r="Q17" s="100">
        <f t="shared" si="10"/>
        <v>71327.0125</v>
      </c>
      <c r="R17" s="101">
        <f t="shared" si="11"/>
        <v>197.75</v>
      </c>
      <c r="S17" s="107">
        <f t="shared" si="3"/>
        <v>0.38</v>
      </c>
      <c r="T17" s="108">
        <v>0.25</v>
      </c>
      <c r="U17" s="108">
        <v>0.06</v>
      </c>
      <c r="V17" s="103">
        <f t="shared" si="4"/>
        <v>0.31</v>
      </c>
      <c r="W17" s="104"/>
      <c r="X17" s="104"/>
      <c r="Y17" s="104"/>
      <c r="Z17" s="104"/>
      <c r="AA17" s="22"/>
      <c r="AB17" s="110"/>
      <c r="AE17" s="105"/>
      <c r="AF17" s="105"/>
      <c r="AG17" s="105"/>
      <c r="AH17" s="105"/>
      <c r="AI17" s="105"/>
      <c r="AJ17" s="105"/>
    </row>
    <row r="18" ht="21.75" customHeight="1" outlineLevel="2">
      <c r="A18" s="109" t="str">
        <f>IMAGE("https://images.wbstatic.net/tm/new/18070000/18075950-1.jpg")</f>
        <v/>
      </c>
      <c r="B18" s="87" t="s">
        <v>35</v>
      </c>
      <c r="C18" s="88">
        <v>1.807595E7</v>
      </c>
      <c r="D18" s="32"/>
      <c r="E18" s="89"/>
      <c r="F18" s="90">
        <v>860.0</v>
      </c>
      <c r="G18" s="91">
        <f>VLOOKUP(C18,'Сводная таблица 1'!$A$3:$F$108,2,FALSE)</f>
        <v>10</v>
      </c>
      <c r="H18" s="92">
        <f t="shared" si="5"/>
        <v>1.428571429</v>
      </c>
      <c r="I18" s="93">
        <f t="shared" si="6"/>
        <v>1339.57</v>
      </c>
      <c r="J18" s="94">
        <f>VLOOKUP(C18,'Сводная таблица 1'!$A$3:$F$108,3,FALSE)</f>
        <v>5</v>
      </c>
      <c r="K18" s="92">
        <f t="shared" si="7"/>
        <v>0.7142857143</v>
      </c>
      <c r="L18" s="95">
        <f>VLOOKUP(C18,'Сводная таблица 1'!$A$3:$F$108,4,FALSE)</f>
        <v>6697.85</v>
      </c>
      <c r="M18" s="96">
        <f t="shared" si="8"/>
        <v>479.57</v>
      </c>
      <c r="N18" s="97">
        <f t="shared" si="9"/>
        <v>7.788197674</v>
      </c>
      <c r="O18" s="98">
        <f>VLOOKUP(C18,'Сводная таблица 1'!$A$3:$F$108,5,FALSE)</f>
        <v>0</v>
      </c>
      <c r="P18" s="99">
        <f>VLOOKUP(C18,'Сводная таблица 1'!$A$3:$F$108,6,FALSE)</f>
        <v>68</v>
      </c>
      <c r="Q18" s="100">
        <f t="shared" si="10"/>
        <v>32610.76</v>
      </c>
      <c r="R18" s="101">
        <f t="shared" si="11"/>
        <v>95.2</v>
      </c>
      <c r="S18" s="107">
        <f t="shared" si="3"/>
        <v>0.38</v>
      </c>
      <c r="T18" s="108">
        <v>0.25</v>
      </c>
      <c r="U18" s="108">
        <v>0.06</v>
      </c>
      <c r="V18" s="103">
        <f t="shared" si="4"/>
        <v>0.31</v>
      </c>
      <c r="W18" s="104"/>
      <c r="X18" s="104"/>
      <c r="Y18" s="104"/>
      <c r="Z18" s="104"/>
      <c r="AA18" s="22"/>
      <c r="AB18" s="111"/>
      <c r="AC18" s="111"/>
      <c r="AD18" s="111"/>
      <c r="AE18" s="111"/>
      <c r="AF18" s="105"/>
      <c r="AG18" s="105"/>
      <c r="AH18" s="105"/>
      <c r="AI18" s="105"/>
      <c r="AJ18" s="105"/>
    </row>
    <row r="19" ht="21.75" customHeight="1" outlineLevel="2">
      <c r="A19" s="109" t="str">
        <f>IMAGE("https://images.wbstatic.net/big/new/18070000/18075949-1.jpg")</f>
        <v/>
      </c>
      <c r="B19" s="87" t="s">
        <v>36</v>
      </c>
      <c r="C19" s="88">
        <v>1.8075949E7</v>
      </c>
      <c r="D19" s="32"/>
      <c r="E19" s="89"/>
      <c r="F19" s="90">
        <v>877.0</v>
      </c>
      <c r="G19" s="91">
        <f>VLOOKUP(C19,'Сводная таблица 1'!$A$3:$F$108,2,FALSE)</f>
        <v>5</v>
      </c>
      <c r="H19" s="92">
        <f t="shared" si="5"/>
        <v>0.7142857143</v>
      </c>
      <c r="I19" s="93">
        <f t="shared" si="6"/>
        <v>1527.1125</v>
      </c>
      <c r="J19" s="94">
        <f>VLOOKUP(C19,'Сводная таблица 1'!$A$3:$F$108,3,FALSE)</f>
        <v>4</v>
      </c>
      <c r="K19" s="92">
        <f t="shared" si="7"/>
        <v>0.5714285714</v>
      </c>
      <c r="L19" s="95">
        <f>VLOOKUP(C19,'Сводная таблица 1'!$A$3:$F$108,4,FALSE)</f>
        <v>6108.45</v>
      </c>
      <c r="M19" s="96">
        <f t="shared" si="8"/>
        <v>650.1125</v>
      </c>
      <c r="N19" s="97">
        <f t="shared" si="9"/>
        <v>6.965165336</v>
      </c>
      <c r="O19" s="98">
        <f>VLOOKUP(C19,'Сводная таблица 1'!$A$3:$F$108,5,FALSE)</f>
        <v>1</v>
      </c>
      <c r="P19" s="99">
        <f>VLOOKUP(C19,'Сводная таблица 1'!$A$3:$F$108,6,FALSE)</f>
        <v>221</v>
      </c>
      <c r="Q19" s="100">
        <f t="shared" si="10"/>
        <v>143674.8625</v>
      </c>
      <c r="R19" s="101">
        <f t="shared" si="11"/>
        <v>386.75</v>
      </c>
      <c r="S19" s="107">
        <f t="shared" si="3"/>
        <v>0.38</v>
      </c>
      <c r="T19" s="108">
        <v>0.25</v>
      </c>
      <c r="U19" s="108">
        <v>0.06</v>
      </c>
      <c r="V19" s="103">
        <f t="shared" si="4"/>
        <v>0.31</v>
      </c>
      <c r="W19" s="104"/>
      <c r="X19" s="104"/>
      <c r="Y19" s="104"/>
      <c r="Z19" s="104"/>
      <c r="AA19" s="22"/>
      <c r="AB19" s="104"/>
      <c r="AC19" s="104"/>
      <c r="AD19" s="104"/>
      <c r="AE19" s="104"/>
      <c r="AF19" s="105"/>
      <c r="AG19" s="105"/>
      <c r="AH19" s="105"/>
      <c r="AI19" s="105"/>
      <c r="AJ19" s="105"/>
    </row>
    <row r="20" ht="21.75" customHeight="1" outlineLevel="2">
      <c r="A20" s="109" t="str">
        <f>IMAGE("https://images.wbstatic.net/big/new/18580000/18583836-1.jpg")</f>
        <v/>
      </c>
      <c r="B20" s="87" t="s">
        <v>37</v>
      </c>
      <c r="C20" s="88">
        <v>1.8583836E7</v>
      </c>
      <c r="D20" s="32"/>
      <c r="E20" s="89"/>
      <c r="F20" s="90">
        <v>885.0</v>
      </c>
      <c r="G20" s="91">
        <f>VLOOKUP(C20,'Сводная таблица 1'!$A$3:$F$108,2,FALSE)</f>
        <v>6</v>
      </c>
      <c r="H20" s="92">
        <f t="shared" si="5"/>
        <v>0.8571428571</v>
      </c>
      <c r="I20" s="93">
        <f t="shared" si="6"/>
        <v>1634.1125</v>
      </c>
      <c r="J20" s="94">
        <f>VLOOKUP(C20,'Сводная таблица 1'!$A$3:$F$108,3,FALSE)</f>
        <v>4</v>
      </c>
      <c r="K20" s="92">
        <f t="shared" si="7"/>
        <v>0.5714285714</v>
      </c>
      <c r="L20" s="95">
        <f>VLOOKUP(C20,'Сводная таблица 1'!$A$3:$F$108,4,FALSE)</f>
        <v>6536.45</v>
      </c>
      <c r="M20" s="96">
        <f t="shared" si="8"/>
        <v>749.1125</v>
      </c>
      <c r="N20" s="97">
        <f t="shared" si="9"/>
        <v>7.385819209</v>
      </c>
      <c r="O20" s="98">
        <f>VLOOKUP(C20,'Сводная таблица 1'!$A$3:$F$108,5,FALSE)</f>
        <v>0</v>
      </c>
      <c r="P20" s="99">
        <f>VLOOKUP(C20,'Сводная таблица 1'!$A$3:$F$108,6,FALSE)</f>
        <v>169</v>
      </c>
      <c r="Q20" s="100">
        <f t="shared" si="10"/>
        <v>126600.0125</v>
      </c>
      <c r="R20" s="101">
        <f t="shared" si="11"/>
        <v>295.75</v>
      </c>
      <c r="S20" s="107">
        <f t="shared" si="3"/>
        <v>0.38</v>
      </c>
      <c r="T20" s="108">
        <v>0.25</v>
      </c>
      <c r="U20" s="108">
        <v>0.06</v>
      </c>
      <c r="V20" s="103">
        <f t="shared" si="4"/>
        <v>0.31</v>
      </c>
      <c r="W20" s="104"/>
      <c r="X20" s="104"/>
      <c r="Y20" s="104"/>
      <c r="Z20" s="104"/>
      <c r="AA20" s="22"/>
      <c r="AB20" s="104"/>
      <c r="AC20" s="104"/>
      <c r="AD20" s="104"/>
      <c r="AE20" s="104"/>
      <c r="AF20" s="105"/>
      <c r="AG20" s="105"/>
      <c r="AH20" s="105"/>
      <c r="AI20" s="105"/>
      <c r="AJ20" s="105"/>
    </row>
    <row r="21" ht="21.75" customHeight="1" outlineLevel="2">
      <c r="A21" s="109" t="str">
        <f>IMAGE("https://images.wbstatic.net/big/new/16450000/16458319-1.jpg")</f>
        <v/>
      </c>
      <c r="B21" s="87" t="s">
        <v>38</v>
      </c>
      <c r="C21" s="88">
        <v>1.6458319E7</v>
      </c>
      <c r="D21" s="32"/>
      <c r="E21" s="89"/>
      <c r="F21" s="90">
        <v>885.0</v>
      </c>
      <c r="G21" s="91">
        <f>VLOOKUP(C21,'Сводная таблица 1'!$A$3:$F$108,2,FALSE)</f>
        <v>22</v>
      </c>
      <c r="H21" s="92">
        <f t="shared" si="5"/>
        <v>3.142857143</v>
      </c>
      <c r="I21" s="93">
        <f t="shared" si="6"/>
        <v>1239.895</v>
      </c>
      <c r="J21" s="94">
        <f>VLOOKUP(C21,'Сводная таблица 1'!$A$3:$F$108,3,FALSE)</f>
        <v>12</v>
      </c>
      <c r="K21" s="92">
        <f t="shared" si="7"/>
        <v>1.714285714</v>
      </c>
      <c r="L21" s="95">
        <f>VLOOKUP(C21,'Сводная таблица 1'!$A$3:$F$108,4,FALSE)</f>
        <v>14878.74</v>
      </c>
      <c r="M21" s="96">
        <f t="shared" si="8"/>
        <v>354.895</v>
      </c>
      <c r="N21" s="97">
        <f t="shared" si="9"/>
        <v>16.81213559</v>
      </c>
      <c r="O21" s="98">
        <f>VLOOKUP(C21,'Сводная таблица 1'!$A$3:$F$108,5,FALSE)</f>
        <v>0</v>
      </c>
      <c r="P21" s="99">
        <f>VLOOKUP(C21,'Сводная таблица 1'!$A$3:$F$108,6,FALSE)</f>
        <v>71</v>
      </c>
      <c r="Q21" s="100">
        <f t="shared" si="10"/>
        <v>25197.545</v>
      </c>
      <c r="R21" s="101">
        <f t="shared" si="11"/>
        <v>41.41666667</v>
      </c>
      <c r="S21" s="107">
        <f t="shared" si="3"/>
        <v>0.38</v>
      </c>
      <c r="T21" s="108">
        <v>0.25</v>
      </c>
      <c r="U21" s="108">
        <v>0.06</v>
      </c>
      <c r="V21" s="103">
        <f t="shared" si="4"/>
        <v>0.31</v>
      </c>
      <c r="W21" s="104"/>
      <c r="X21" s="104"/>
      <c r="Y21" s="104"/>
      <c r="Z21" s="104"/>
      <c r="AA21" s="22"/>
      <c r="AB21" s="104"/>
      <c r="AC21" s="104"/>
      <c r="AD21" s="104"/>
      <c r="AE21" s="104"/>
      <c r="AF21" s="105"/>
      <c r="AG21" s="105"/>
      <c r="AH21" s="105"/>
      <c r="AI21" s="105"/>
      <c r="AJ21" s="105"/>
    </row>
    <row r="22" ht="21.75" customHeight="1" outlineLevel="2">
      <c r="A22" s="109" t="str">
        <f>IMAGE("https://images.wbstatic.net/c516x688/new/19450000/19454469-1.jpg")</f>
        <v/>
      </c>
      <c r="B22" s="87" t="s">
        <v>39</v>
      </c>
      <c r="C22" s="88">
        <v>1.9454469E7</v>
      </c>
      <c r="D22" s="32"/>
      <c r="E22" s="89"/>
      <c r="F22" s="90">
        <v>885.0</v>
      </c>
      <c r="G22" s="91">
        <f>VLOOKUP(C22,'Сводная таблица 1'!$A$3:$F$108,2,FALSE)</f>
        <v>24</v>
      </c>
      <c r="H22" s="92">
        <f t="shared" si="5"/>
        <v>3.428571429</v>
      </c>
      <c r="I22" s="93">
        <f t="shared" si="6"/>
        <v>1198.141111</v>
      </c>
      <c r="J22" s="94">
        <f>VLOOKUP(C22,'Сводная таблица 1'!$A$3:$F$108,3,FALSE)</f>
        <v>27</v>
      </c>
      <c r="K22" s="92">
        <f t="shared" si="7"/>
        <v>3.857142857</v>
      </c>
      <c r="L22" s="95">
        <f>VLOOKUP(C22,'Сводная таблица 1'!$A$3:$F$108,4,FALSE)</f>
        <v>32349.81</v>
      </c>
      <c r="M22" s="96">
        <f t="shared" si="8"/>
        <v>313.1411111</v>
      </c>
      <c r="N22" s="97">
        <f t="shared" si="9"/>
        <v>36.55345763</v>
      </c>
      <c r="O22" s="98">
        <f>VLOOKUP(C22,'Сводная таблица 1'!$A$3:$F$108,5,FALSE)</f>
        <v>0</v>
      </c>
      <c r="P22" s="99">
        <f>VLOOKUP(C22,'Сводная таблица 1'!$A$3:$F$108,6,FALSE)</f>
        <v>102</v>
      </c>
      <c r="Q22" s="100">
        <f t="shared" si="10"/>
        <v>31940.39333</v>
      </c>
      <c r="R22" s="101">
        <f t="shared" si="11"/>
        <v>26.44444444</v>
      </c>
      <c r="S22" s="107">
        <f t="shared" si="3"/>
        <v>0.38</v>
      </c>
      <c r="T22" s="108">
        <v>0.25</v>
      </c>
      <c r="U22" s="108">
        <v>0.06</v>
      </c>
      <c r="V22" s="103">
        <f t="shared" si="4"/>
        <v>0.31</v>
      </c>
      <c r="W22" s="104"/>
      <c r="X22" s="104"/>
      <c r="Y22" s="104"/>
      <c r="Z22" s="104"/>
      <c r="AA22" s="22"/>
      <c r="AB22" s="104"/>
      <c r="AC22" s="104"/>
      <c r="AD22" s="104"/>
      <c r="AE22" s="104"/>
      <c r="AF22" s="105"/>
      <c r="AG22" s="105"/>
      <c r="AH22" s="105"/>
      <c r="AI22" s="105"/>
      <c r="AJ22" s="105"/>
    </row>
    <row r="23" ht="21.75" customHeight="1" outlineLevel="2">
      <c r="A23" s="109" t="str">
        <f>IMAGE("https://images.wbstatic.net/big/new/18580000/18583837-1.jpg")</f>
        <v/>
      </c>
      <c r="B23" s="87" t="s">
        <v>40</v>
      </c>
      <c r="C23" s="88">
        <v>1.8583837E7</v>
      </c>
      <c r="D23" s="32"/>
      <c r="E23" s="89"/>
      <c r="F23" s="90">
        <v>885.0</v>
      </c>
      <c r="G23" s="91">
        <f>VLOOKUP(C23,'Сводная таблица 1'!$A$3:$F$108,2,FALSE)</f>
        <v>11</v>
      </c>
      <c r="H23" s="92">
        <f t="shared" si="5"/>
        <v>1.571428571</v>
      </c>
      <c r="I23" s="93">
        <f t="shared" si="6"/>
        <v>1296.212</v>
      </c>
      <c r="J23" s="94">
        <f>VLOOKUP(C23,'Сводная таблица 1'!$A$3:$F$108,3,FALSE)</f>
        <v>10</v>
      </c>
      <c r="K23" s="92">
        <f t="shared" si="7"/>
        <v>1.428571429</v>
      </c>
      <c r="L23" s="95">
        <f>VLOOKUP(C23,'Сводная таблица 1'!$A$3:$F$108,4,FALSE)</f>
        <v>12962.12</v>
      </c>
      <c r="M23" s="96">
        <f t="shared" si="8"/>
        <v>411.212</v>
      </c>
      <c r="N23" s="97">
        <f t="shared" si="9"/>
        <v>14.64646328</v>
      </c>
      <c r="O23" s="98">
        <f>VLOOKUP(C23,'Сводная таблица 1'!$A$3:$F$108,5,FALSE)</f>
        <v>0</v>
      </c>
      <c r="P23" s="99">
        <f>VLOOKUP(C23,'Сводная таблица 1'!$A$3:$F$108,6,FALSE)</f>
        <v>185</v>
      </c>
      <c r="Q23" s="100">
        <f t="shared" si="10"/>
        <v>76074.22</v>
      </c>
      <c r="R23" s="101">
        <f t="shared" si="11"/>
        <v>129.5</v>
      </c>
      <c r="S23" s="107">
        <f t="shared" si="3"/>
        <v>0.38</v>
      </c>
      <c r="T23" s="108">
        <v>0.25</v>
      </c>
      <c r="U23" s="108">
        <v>0.06</v>
      </c>
      <c r="V23" s="103">
        <f t="shared" si="4"/>
        <v>0.31</v>
      </c>
      <c r="W23" s="104"/>
      <c r="X23" s="104"/>
      <c r="Y23" s="104"/>
      <c r="Z23" s="104"/>
      <c r="AA23" s="22"/>
      <c r="AB23" s="104"/>
      <c r="AC23" s="104"/>
      <c r="AD23" s="104"/>
      <c r="AE23" s="104"/>
      <c r="AF23" s="105"/>
      <c r="AG23" s="105"/>
      <c r="AH23" s="105"/>
      <c r="AI23" s="105"/>
      <c r="AJ23" s="105"/>
    </row>
    <row r="24" ht="21.75" customHeight="1" outlineLevel="2">
      <c r="A24" s="109" t="str">
        <f>IMAGE("https://images.wbstatic.net/big/new/13880000/13889290-1.jpg")</f>
        <v/>
      </c>
      <c r="B24" s="87" t="s">
        <v>41</v>
      </c>
      <c r="C24" s="88">
        <v>1.388929E7</v>
      </c>
      <c r="D24" s="32"/>
      <c r="E24" s="89"/>
      <c r="F24" s="90">
        <v>967.0</v>
      </c>
      <c r="G24" s="91">
        <f>VLOOKUP(C24,'Сводная таблица 1'!$A$3:$F$108,2,FALSE)</f>
        <v>5</v>
      </c>
      <c r="H24" s="92">
        <f t="shared" si="5"/>
        <v>0.7142857143</v>
      </c>
      <c r="I24" s="93">
        <f t="shared" si="6"/>
        <v>1521.393333</v>
      </c>
      <c r="J24" s="94">
        <f>VLOOKUP(C24,'Сводная таблица 1'!$A$3:$F$108,3,FALSE)</f>
        <v>3</v>
      </c>
      <c r="K24" s="92">
        <f t="shared" si="7"/>
        <v>0.4285714286</v>
      </c>
      <c r="L24" s="95">
        <f>VLOOKUP(C24,'Сводная таблица 1'!$A$3:$F$108,4,FALSE)</f>
        <v>4564.18</v>
      </c>
      <c r="M24" s="96">
        <f t="shared" si="8"/>
        <v>554.3933333</v>
      </c>
      <c r="N24" s="97">
        <f t="shared" si="9"/>
        <v>4.719937952</v>
      </c>
      <c r="O24" s="98">
        <f>VLOOKUP(C24,'Сводная таблица 1'!$A$3:$F$108,5,FALSE)</f>
        <v>0</v>
      </c>
      <c r="P24" s="99">
        <f>VLOOKUP(C24,'Сводная таблица 1'!$A$3:$F$108,6,FALSE)</f>
        <v>80</v>
      </c>
      <c r="Q24" s="100">
        <f t="shared" si="10"/>
        <v>44351.46667</v>
      </c>
      <c r="R24" s="101">
        <f t="shared" si="11"/>
        <v>186.6666667</v>
      </c>
      <c r="S24" s="107">
        <f t="shared" si="3"/>
        <v>0.38</v>
      </c>
      <c r="T24" s="108">
        <v>0.25</v>
      </c>
      <c r="U24" s="108">
        <v>0.06</v>
      </c>
      <c r="V24" s="103">
        <f t="shared" si="4"/>
        <v>0.31</v>
      </c>
      <c r="W24" s="104"/>
      <c r="X24" s="104"/>
      <c r="Y24" s="104"/>
      <c r="Z24" s="104"/>
      <c r="AA24" s="22"/>
      <c r="AB24" s="104"/>
      <c r="AC24" s="104"/>
      <c r="AD24" s="104"/>
      <c r="AE24" s="104"/>
      <c r="AF24" s="105"/>
      <c r="AG24" s="105"/>
      <c r="AH24" s="105"/>
      <c r="AI24" s="105"/>
      <c r="AJ24" s="105"/>
    </row>
    <row r="25" ht="21.75" customHeight="1" outlineLevel="2">
      <c r="A25" s="109" t="str">
        <f>IMAGE("https://images.wbstatic.net/big/new/16450000/16458318-1.jpg")</f>
        <v/>
      </c>
      <c r="B25" s="87" t="s">
        <v>42</v>
      </c>
      <c r="C25" s="88">
        <v>1.6458318E7</v>
      </c>
      <c r="D25" s="32"/>
      <c r="E25" s="89"/>
      <c r="F25" s="90">
        <v>868.0</v>
      </c>
      <c r="G25" s="91">
        <f>VLOOKUP(C25,'Сводная таблица 1'!$A$3:$F$108,2,FALSE)</f>
        <v>17</v>
      </c>
      <c r="H25" s="92">
        <f t="shared" si="5"/>
        <v>2.428571429</v>
      </c>
      <c r="I25" s="93">
        <f t="shared" si="6"/>
        <v>1334.517273</v>
      </c>
      <c r="J25" s="94">
        <f>VLOOKUP(C25,'Сводная таблица 1'!$A$3:$F$108,3,FALSE)</f>
        <v>11</v>
      </c>
      <c r="K25" s="92">
        <f t="shared" si="7"/>
        <v>1.571428571</v>
      </c>
      <c r="L25" s="95">
        <f>VLOOKUP(C25,'Сводная таблица 1'!$A$3:$F$108,4,FALSE)</f>
        <v>14679.69</v>
      </c>
      <c r="M25" s="96">
        <f t="shared" si="8"/>
        <v>466.5172727</v>
      </c>
      <c r="N25" s="97">
        <f t="shared" si="9"/>
        <v>16.91208525</v>
      </c>
      <c r="O25" s="98">
        <f>VLOOKUP(C25,'Сводная таблица 1'!$A$3:$F$108,5,FALSE)</f>
        <v>0</v>
      </c>
      <c r="P25" s="99">
        <f>VLOOKUP(C25,'Сводная таблица 1'!$A$3:$F$108,6,FALSE)</f>
        <v>81</v>
      </c>
      <c r="Q25" s="100">
        <f t="shared" si="10"/>
        <v>37787.89909</v>
      </c>
      <c r="R25" s="101">
        <f t="shared" si="11"/>
        <v>51.54545455</v>
      </c>
      <c r="S25" s="107">
        <f t="shared" si="3"/>
        <v>0.38</v>
      </c>
      <c r="T25" s="108">
        <v>0.25</v>
      </c>
      <c r="U25" s="108">
        <v>0.06</v>
      </c>
      <c r="V25" s="103">
        <f t="shared" si="4"/>
        <v>0.31</v>
      </c>
      <c r="W25" s="104"/>
      <c r="X25" s="104"/>
      <c r="Y25" s="104"/>
      <c r="Z25" s="104"/>
      <c r="AA25" s="22"/>
      <c r="AB25" s="104"/>
      <c r="AC25" s="104"/>
      <c r="AD25" s="104"/>
      <c r="AE25" s="104"/>
      <c r="AF25" s="105"/>
      <c r="AG25" s="105"/>
      <c r="AH25" s="105"/>
      <c r="AI25" s="105"/>
      <c r="AJ25" s="105"/>
    </row>
    <row r="26" ht="21.75" customHeight="1" outlineLevel="2">
      <c r="A26" s="109" t="str">
        <f>IMAGE("https://images.wbstatic.net/big/new/17610000/17615255-1.jpg")</f>
        <v/>
      </c>
      <c r="B26" s="87" t="s">
        <v>43</v>
      </c>
      <c r="C26" s="88">
        <v>1.7615255E7</v>
      </c>
      <c r="D26" s="32"/>
      <c r="E26" s="89"/>
      <c r="F26" s="90">
        <v>883.0</v>
      </c>
      <c r="G26" s="91">
        <f>VLOOKUP(C26,'Сводная таблица 1'!$A$3:$F$108,2,FALSE)</f>
        <v>6</v>
      </c>
      <c r="H26" s="92">
        <f t="shared" si="5"/>
        <v>0.8571428571</v>
      </c>
      <c r="I26" s="93">
        <f t="shared" si="6"/>
        <v>1213.91125</v>
      </c>
      <c r="J26" s="94">
        <f>VLOOKUP(C26,'Сводная таблица 1'!$A$3:$F$108,3,FALSE)</f>
        <v>8</v>
      </c>
      <c r="K26" s="92">
        <f t="shared" si="7"/>
        <v>1.142857143</v>
      </c>
      <c r="L26" s="95">
        <f>VLOOKUP(C26,'Сводная таблица 1'!$A$3:$F$108,4,FALSE)</f>
        <v>9711.29</v>
      </c>
      <c r="M26" s="96">
        <f t="shared" si="8"/>
        <v>330.91125</v>
      </c>
      <c r="N26" s="97">
        <f t="shared" si="9"/>
        <v>10.99806342</v>
      </c>
      <c r="O26" s="98">
        <f>VLOOKUP(C26,'Сводная таблица 1'!$A$3:$F$108,5,FALSE)</f>
        <v>0</v>
      </c>
      <c r="P26" s="99">
        <f>VLOOKUP(C26,'Сводная таблица 1'!$A$3:$F$108,6,FALSE)</f>
        <v>72</v>
      </c>
      <c r="Q26" s="100">
        <f t="shared" si="10"/>
        <v>23825.61</v>
      </c>
      <c r="R26" s="101">
        <f t="shared" si="11"/>
        <v>63</v>
      </c>
      <c r="S26" s="107">
        <f t="shared" si="3"/>
        <v>0.38</v>
      </c>
      <c r="T26" s="108">
        <v>0.25</v>
      </c>
      <c r="U26" s="108">
        <v>0.06</v>
      </c>
      <c r="V26" s="103">
        <f t="shared" si="4"/>
        <v>0.31</v>
      </c>
      <c r="W26" s="104"/>
      <c r="X26" s="104"/>
      <c r="Y26" s="104"/>
      <c r="Z26" s="104"/>
      <c r="AA26" s="22"/>
      <c r="AB26" s="104"/>
      <c r="AC26" s="104"/>
      <c r="AD26" s="104"/>
      <c r="AE26" s="104"/>
      <c r="AF26" s="105"/>
      <c r="AG26" s="105"/>
      <c r="AH26" s="105"/>
      <c r="AI26" s="105"/>
      <c r="AJ26" s="105"/>
    </row>
    <row r="27" ht="21.75" customHeight="1" outlineLevel="2">
      <c r="A27" s="109" t="str">
        <f>IMAGE("https://images.wbstatic.net/big/new/16450000/16458320-1.jpg")</f>
        <v/>
      </c>
      <c r="B27" s="87" t="s">
        <v>44</v>
      </c>
      <c r="C27" s="88">
        <v>1.645832E7</v>
      </c>
      <c r="D27" s="32"/>
      <c r="E27" s="89"/>
      <c r="F27" s="90">
        <v>847.0</v>
      </c>
      <c r="G27" s="91">
        <f>VLOOKUP(C27,'Сводная таблица 1'!$A$3:$F$108,2,FALSE)</f>
        <v>20</v>
      </c>
      <c r="H27" s="92">
        <f t="shared" si="5"/>
        <v>2.857142857</v>
      </c>
      <c r="I27" s="93">
        <f t="shared" si="6"/>
        <v>1311.495833</v>
      </c>
      <c r="J27" s="94">
        <f>VLOOKUP(C27,'Сводная таблица 1'!$A$3:$F$108,3,FALSE)</f>
        <v>12</v>
      </c>
      <c r="K27" s="92">
        <f t="shared" si="7"/>
        <v>1.714285714</v>
      </c>
      <c r="L27" s="95">
        <f>VLOOKUP(C27,'Сводная таблица 1'!$A$3:$F$108,4,FALSE)</f>
        <v>15737.95</v>
      </c>
      <c r="M27" s="96">
        <f t="shared" si="8"/>
        <v>464.4958333</v>
      </c>
      <c r="N27" s="97">
        <f t="shared" si="9"/>
        <v>18.58081464</v>
      </c>
      <c r="O27" s="98">
        <f>VLOOKUP(C27,'Сводная таблица 1'!$A$3:$F$108,5,FALSE)</f>
        <v>0</v>
      </c>
      <c r="P27" s="99">
        <f>VLOOKUP(C27,'Сводная таблица 1'!$A$3:$F$108,6,FALSE)</f>
        <v>0</v>
      </c>
      <c r="Q27" s="100">
        <f t="shared" si="10"/>
        <v>0</v>
      </c>
      <c r="R27" s="101">
        <f t="shared" si="11"/>
        <v>0</v>
      </c>
      <c r="S27" s="107">
        <f t="shared" si="3"/>
        <v>0.38</v>
      </c>
      <c r="T27" s="108">
        <v>0.25</v>
      </c>
      <c r="U27" s="108">
        <v>0.06</v>
      </c>
      <c r="V27" s="103">
        <f t="shared" si="4"/>
        <v>0.31</v>
      </c>
      <c r="W27" s="104"/>
      <c r="X27" s="104"/>
      <c r="Y27" s="104"/>
      <c r="Z27" s="104"/>
      <c r="AA27" s="22"/>
      <c r="AB27" s="104"/>
      <c r="AC27" s="104"/>
      <c r="AD27" s="104"/>
      <c r="AE27" s="104"/>
      <c r="AF27" s="105"/>
      <c r="AG27" s="105"/>
      <c r="AH27" s="105"/>
      <c r="AI27" s="105"/>
      <c r="AJ27" s="105"/>
    </row>
    <row r="28" ht="21.75" customHeight="1" outlineLevel="2">
      <c r="A28" s="109" t="str">
        <f>IMAGE("https://images.wbstatic.net/big/new/17610000/17615254-2.jpg")</f>
        <v/>
      </c>
      <c r="B28" s="87" t="s">
        <v>45</v>
      </c>
      <c r="C28" s="88">
        <v>1.7615254E7</v>
      </c>
      <c r="D28" s="32"/>
      <c r="E28" s="89"/>
      <c r="F28" s="90">
        <v>876.0</v>
      </c>
      <c r="G28" s="91">
        <f>VLOOKUP(C28,'Сводная таблица 1'!$A$3:$F$108,2,FALSE)</f>
        <v>7</v>
      </c>
      <c r="H28" s="92">
        <f t="shared" si="5"/>
        <v>1</v>
      </c>
      <c r="I28" s="93">
        <f t="shared" si="6"/>
        <v>1117.565</v>
      </c>
      <c r="J28" s="94">
        <f>VLOOKUP(C28,'Сводная таблица 1'!$A$3:$F$108,3,FALSE)</f>
        <v>4</v>
      </c>
      <c r="K28" s="92">
        <f t="shared" si="7"/>
        <v>0.5714285714</v>
      </c>
      <c r="L28" s="95">
        <f>VLOOKUP(C28,'Сводная таблица 1'!$A$3:$F$108,4,FALSE)</f>
        <v>4470.26</v>
      </c>
      <c r="M28" s="96">
        <f t="shared" si="8"/>
        <v>241.565</v>
      </c>
      <c r="N28" s="97">
        <f t="shared" si="9"/>
        <v>5.10303653</v>
      </c>
      <c r="O28" s="98">
        <f>VLOOKUP(C28,'Сводная таблица 1'!$A$3:$F$108,5,FALSE)</f>
        <v>0</v>
      </c>
      <c r="P28" s="99">
        <f>VLOOKUP(C28,'Сводная таблица 1'!$A$3:$F$108,6,FALSE)</f>
        <v>117</v>
      </c>
      <c r="Q28" s="100">
        <f t="shared" si="10"/>
        <v>28263.105</v>
      </c>
      <c r="R28" s="101">
        <f t="shared" si="11"/>
        <v>204.75</v>
      </c>
      <c r="S28" s="107">
        <f t="shared" si="3"/>
        <v>0.38</v>
      </c>
      <c r="T28" s="108">
        <v>0.25</v>
      </c>
      <c r="U28" s="108">
        <v>0.06</v>
      </c>
      <c r="V28" s="103">
        <f t="shared" si="4"/>
        <v>0.31</v>
      </c>
      <c r="W28" s="104"/>
      <c r="X28" s="104"/>
      <c r="Y28" s="104"/>
      <c r="Z28" s="104"/>
      <c r="AA28" s="22"/>
      <c r="AB28" s="104"/>
      <c r="AC28" s="104"/>
      <c r="AD28" s="104"/>
      <c r="AE28" s="104"/>
      <c r="AF28" s="105"/>
      <c r="AG28" s="105"/>
      <c r="AH28" s="105"/>
      <c r="AI28" s="105"/>
      <c r="AJ28" s="105"/>
    </row>
    <row r="29" ht="21.75" customHeight="1" outlineLevel="2">
      <c r="A29" s="109" t="str">
        <f>IMAGE("https://images.wbstatic.net/big/new/18920000/18923894-1.jpg")</f>
        <v/>
      </c>
      <c r="B29" s="87" t="s">
        <v>46</v>
      </c>
      <c r="C29" s="88">
        <v>1.8923894E7</v>
      </c>
      <c r="D29" s="32"/>
      <c r="E29" s="89"/>
      <c r="F29" s="90">
        <v>885.0</v>
      </c>
      <c r="G29" s="91">
        <f>VLOOKUP(C29,'Сводная таблица 1'!$A$3:$F$108,2,FALSE)</f>
        <v>5</v>
      </c>
      <c r="H29" s="92">
        <f t="shared" si="5"/>
        <v>0.7142857143</v>
      </c>
      <c r="I29" s="93">
        <f t="shared" si="6"/>
        <v>1092.73</v>
      </c>
      <c r="J29" s="94">
        <f>VLOOKUP(C29,'Сводная таблица 1'!$A$3:$F$108,3,FALSE)</f>
        <v>2</v>
      </c>
      <c r="K29" s="92">
        <f t="shared" si="7"/>
        <v>0.2857142857</v>
      </c>
      <c r="L29" s="95">
        <f>VLOOKUP(C29,'Сводная таблица 1'!$A$3:$F$108,4,FALSE)</f>
        <v>2185.46</v>
      </c>
      <c r="M29" s="96">
        <f t="shared" si="8"/>
        <v>207.73</v>
      </c>
      <c r="N29" s="97">
        <f t="shared" si="9"/>
        <v>2.469446328</v>
      </c>
      <c r="O29" s="98">
        <f>VLOOKUP(C29,'Сводная таблица 1'!$A$3:$F$108,5,FALSE)</f>
        <v>0</v>
      </c>
      <c r="P29" s="99">
        <f>VLOOKUP(C29,'Сводная таблица 1'!$A$3:$F$108,6,FALSE)</f>
        <v>41</v>
      </c>
      <c r="Q29" s="100">
        <f t="shared" si="10"/>
        <v>8516.93</v>
      </c>
      <c r="R29" s="101">
        <f t="shared" si="11"/>
        <v>143.5</v>
      </c>
      <c r="S29" s="107">
        <f t="shared" si="3"/>
        <v>0.38</v>
      </c>
      <c r="T29" s="108">
        <v>0.25</v>
      </c>
      <c r="U29" s="108">
        <v>0.06</v>
      </c>
      <c r="V29" s="103">
        <f t="shared" si="4"/>
        <v>0.31</v>
      </c>
      <c r="W29" s="104"/>
      <c r="X29" s="104"/>
      <c r="Y29" s="104"/>
      <c r="Z29" s="104"/>
      <c r="AA29" s="22"/>
      <c r="AB29" s="104"/>
      <c r="AC29" s="104"/>
      <c r="AD29" s="104"/>
      <c r="AE29" s="104"/>
      <c r="AF29" s="105"/>
      <c r="AG29" s="105"/>
      <c r="AH29" s="105"/>
      <c r="AI29" s="105"/>
      <c r="AJ29" s="105"/>
    </row>
    <row r="30" ht="21.75" customHeight="1">
      <c r="A30" s="52" t="s">
        <v>47</v>
      </c>
      <c r="B30" s="2"/>
      <c r="C30" s="3"/>
      <c r="D30" s="53"/>
      <c r="E30" s="54"/>
      <c r="F30" s="55"/>
      <c r="G30" s="91"/>
      <c r="H30" s="92"/>
      <c r="I30" s="93"/>
      <c r="J30" s="94"/>
      <c r="K30" s="92"/>
      <c r="L30" s="95"/>
      <c r="M30" s="96"/>
      <c r="N30" s="97"/>
      <c r="O30" s="98"/>
      <c r="P30" s="99"/>
      <c r="Q30" s="100"/>
      <c r="R30" s="101"/>
      <c r="S30" s="65"/>
      <c r="T30" s="66"/>
      <c r="U30" s="66"/>
      <c r="V30" s="66"/>
      <c r="W30" s="67"/>
      <c r="X30" s="67"/>
      <c r="Y30" s="67"/>
      <c r="Z30" s="67"/>
      <c r="AA30" s="68"/>
      <c r="AB30" s="69"/>
      <c r="AC30" s="69"/>
      <c r="AD30" s="69"/>
      <c r="AE30" s="69"/>
      <c r="AF30" s="69"/>
      <c r="AG30" s="69"/>
      <c r="AH30" s="69"/>
      <c r="AI30" s="69"/>
      <c r="AJ30" s="69"/>
    </row>
    <row r="31" ht="21.75" customHeight="1" outlineLevel="1">
      <c r="A31" s="70" t="s">
        <v>23</v>
      </c>
      <c r="B31" s="2"/>
      <c r="C31" s="3"/>
      <c r="D31" s="112"/>
      <c r="E31" s="113"/>
      <c r="F31" s="73">
        <f>SUM(F32:F53)/COUNT(F32:F53)</f>
        <v>884</v>
      </c>
      <c r="G31" s="91"/>
      <c r="H31" s="92"/>
      <c r="I31" s="93"/>
      <c r="J31" s="94"/>
      <c r="K31" s="92"/>
      <c r="L31" s="95"/>
      <c r="M31" s="96"/>
      <c r="N31" s="97"/>
      <c r="O31" s="98"/>
      <c r="P31" s="99"/>
      <c r="Q31" s="100"/>
      <c r="R31" s="101"/>
      <c r="S31" s="82">
        <f t="shared" ref="S31:S53" si="12">100%-T31-U31-V31</f>
        <v>0.69</v>
      </c>
      <c r="T31" s="83">
        <v>0.25</v>
      </c>
      <c r="U31" s="83">
        <v>0.06</v>
      </c>
      <c r="V31" s="83"/>
      <c r="W31" s="84"/>
      <c r="X31" s="84"/>
      <c r="Y31" s="84"/>
      <c r="Z31" s="84"/>
      <c r="AA31" s="85"/>
      <c r="AB31" s="86"/>
      <c r="AC31" s="86"/>
      <c r="AD31" s="86"/>
      <c r="AE31" s="86"/>
      <c r="AF31" s="86"/>
      <c r="AG31" s="86"/>
      <c r="AH31" s="86"/>
      <c r="AI31" s="86"/>
      <c r="AJ31" s="86"/>
    </row>
    <row r="32" ht="21.75" customHeight="1" outlineLevel="2">
      <c r="A32" s="109" t="str">
        <f>IMAGE("https://images.wbstatic.net/big/new/14600000/14601363-1.jpg")</f>
        <v/>
      </c>
      <c r="B32" s="114" t="s">
        <v>48</v>
      </c>
      <c r="C32" s="88">
        <v>1.4601363E7</v>
      </c>
      <c r="D32" s="32"/>
      <c r="E32" s="89"/>
      <c r="F32" s="90">
        <v>967.0</v>
      </c>
      <c r="G32" s="91">
        <f>VLOOKUP(C32,'Сводная таблица 1'!$A$3:$F$108,2,FALSE)</f>
        <v>6</v>
      </c>
      <c r="H32" s="92">
        <f t="shared" ref="H32:H53" si="13">G32/7</f>
        <v>0.8571428571</v>
      </c>
      <c r="I32" s="93">
        <f t="shared" ref="I32:I51" si="14">L32/J32</f>
        <v>1814.2</v>
      </c>
      <c r="J32" s="94">
        <f>VLOOKUP(C32,'Сводная таблица 1'!$A$3:$F$108,3,FALSE)</f>
        <v>2</v>
      </c>
      <c r="K32" s="92">
        <f t="shared" ref="K32:K53" si="15">J32/7</f>
        <v>0.2857142857</v>
      </c>
      <c r="L32" s="95">
        <f>VLOOKUP(C32,'Сводная таблица 1'!$A$3:$F$108,4,FALSE)</f>
        <v>3628.4</v>
      </c>
      <c r="M32" s="96">
        <f t="shared" ref="M32:M51" si="16">I32-F32</f>
        <v>847.2</v>
      </c>
      <c r="N32" s="97">
        <f t="shared" ref="N32:N53" si="17">L32/F32</f>
        <v>3.752223371</v>
      </c>
      <c r="O32" s="98">
        <f>VLOOKUP(C32,'Сводная таблица 1'!$A$3:$F$108,5,FALSE)</f>
        <v>0</v>
      </c>
      <c r="P32" s="99">
        <f>VLOOKUP(C32,'Сводная таблица 1'!$A$3:$F$108,6,FALSE)</f>
        <v>120</v>
      </c>
      <c r="Q32" s="100">
        <f t="shared" ref="Q32:Q53" si="18">P32*M32</f>
        <v>101664</v>
      </c>
      <c r="R32" s="101">
        <f t="shared" ref="R32:R51" si="19">P32/K32</f>
        <v>420</v>
      </c>
      <c r="S32" s="115">
        <f t="shared" si="12"/>
        <v>0.38</v>
      </c>
      <c r="T32" s="108">
        <v>0.25</v>
      </c>
      <c r="U32" s="108">
        <v>0.06</v>
      </c>
      <c r="V32" s="108">
        <f t="shared" ref="V32:V53" si="20">T32+U32</f>
        <v>0.31</v>
      </c>
      <c r="W32" s="104"/>
      <c r="X32" s="104"/>
      <c r="Y32" s="104"/>
      <c r="Z32" s="104"/>
      <c r="AA32" s="22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ht="21.75" customHeight="1" outlineLevel="2">
      <c r="A33" s="109" t="str">
        <f>IMAGE("https://images.wbstatic.net/big/new/16450000/16458323-1.jpg")</f>
        <v/>
      </c>
      <c r="B33" s="87" t="s">
        <v>49</v>
      </c>
      <c r="C33" s="116">
        <v>1.6458323E7</v>
      </c>
      <c r="D33" s="32"/>
      <c r="E33" s="89"/>
      <c r="F33" s="90">
        <v>886.0</v>
      </c>
      <c r="G33" s="91" t="str">
        <f>VLOOKUP(C33,'Сводная таблица 1'!$A$3:$F$108,2,FALSE)</f>
        <v>#N/A</v>
      </c>
      <c r="H33" s="92" t="str">
        <f t="shared" si="13"/>
        <v>#N/A</v>
      </c>
      <c r="I33" s="93" t="str">
        <f t="shared" si="14"/>
        <v>#N/A</v>
      </c>
      <c r="J33" s="94" t="str">
        <f>VLOOKUP(C33,'Сводная таблица 1'!$A$3:$F$108,3,FALSE)</f>
        <v>#N/A</v>
      </c>
      <c r="K33" s="92" t="str">
        <f t="shared" si="15"/>
        <v>#N/A</v>
      </c>
      <c r="L33" s="95" t="str">
        <f>VLOOKUP(C33,'Сводная таблица 1'!$A$3:$F$108,4,FALSE)</f>
        <v>#N/A</v>
      </c>
      <c r="M33" s="96" t="str">
        <f t="shared" si="16"/>
        <v>#N/A</v>
      </c>
      <c r="N33" s="97" t="str">
        <f t="shared" si="17"/>
        <v>#N/A</v>
      </c>
      <c r="O33" s="98" t="str">
        <f>VLOOKUP(C33,'Сводная таблица 1'!$A$3:$F$108,5,FALSE)</f>
        <v>#N/A</v>
      </c>
      <c r="P33" s="99" t="str">
        <f>VLOOKUP(C33,'Сводная таблица 1'!$A$3:$F$108,6,FALSE)</f>
        <v>#N/A</v>
      </c>
      <c r="Q33" s="100" t="str">
        <f t="shared" si="18"/>
        <v>#N/A</v>
      </c>
      <c r="R33" s="101" t="str">
        <f t="shared" si="19"/>
        <v>#N/A</v>
      </c>
      <c r="S33" s="115">
        <f t="shared" si="12"/>
        <v>0.38</v>
      </c>
      <c r="T33" s="108">
        <v>0.25</v>
      </c>
      <c r="U33" s="108">
        <v>0.06</v>
      </c>
      <c r="V33" s="108">
        <f t="shared" si="20"/>
        <v>0.31</v>
      </c>
      <c r="W33" s="104"/>
      <c r="X33" s="104"/>
      <c r="Y33" s="104"/>
      <c r="Z33" s="104"/>
      <c r="AA33" s="22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ht="21.75" customHeight="1" outlineLevel="2">
      <c r="A34" s="109" t="str">
        <f>IMAGE("https://images.wbstatic.net/big/new/16630000/16630653-1.jpg")</f>
        <v/>
      </c>
      <c r="B34" s="87" t="s">
        <v>49</v>
      </c>
      <c r="C34" s="88">
        <v>1.6630653E7</v>
      </c>
      <c r="D34" s="32"/>
      <c r="E34" s="89"/>
      <c r="F34" s="90">
        <v>881.0</v>
      </c>
      <c r="G34" s="91">
        <f>VLOOKUP(C34,'Сводная таблица 1'!$A$3:$F$108,2,FALSE)</f>
        <v>1</v>
      </c>
      <c r="H34" s="92">
        <f t="shared" si="13"/>
        <v>0.1428571429</v>
      </c>
      <c r="I34" s="93">
        <f t="shared" si="14"/>
        <v>1455.15</v>
      </c>
      <c r="J34" s="94">
        <f>VLOOKUP(C34,'Сводная таблица 1'!$A$3:$F$108,3,FALSE)</f>
        <v>2</v>
      </c>
      <c r="K34" s="92">
        <f t="shared" si="15"/>
        <v>0.2857142857</v>
      </c>
      <c r="L34" s="95">
        <f>VLOOKUP(C34,'Сводная таблица 1'!$A$3:$F$108,4,FALSE)</f>
        <v>2910.3</v>
      </c>
      <c r="M34" s="96">
        <f t="shared" si="16"/>
        <v>574.15</v>
      </c>
      <c r="N34" s="97">
        <f t="shared" si="17"/>
        <v>3.303405221</v>
      </c>
      <c r="O34" s="98">
        <f>VLOOKUP(C34,'Сводная таблица 1'!$A$3:$F$108,5,FALSE)</f>
        <v>0</v>
      </c>
      <c r="P34" s="99">
        <f>VLOOKUP(C34,'Сводная таблица 1'!$A$3:$F$108,6,FALSE)</f>
        <v>28</v>
      </c>
      <c r="Q34" s="100">
        <f t="shared" si="18"/>
        <v>16076.2</v>
      </c>
      <c r="R34" s="101">
        <f t="shared" si="19"/>
        <v>98</v>
      </c>
      <c r="S34" s="115">
        <f t="shared" si="12"/>
        <v>0.38</v>
      </c>
      <c r="T34" s="108">
        <v>0.25</v>
      </c>
      <c r="U34" s="108">
        <v>0.06</v>
      </c>
      <c r="V34" s="108">
        <f t="shared" si="20"/>
        <v>0.31</v>
      </c>
      <c r="W34" s="104"/>
      <c r="X34" s="104"/>
      <c r="Y34" s="104"/>
      <c r="Z34" s="104"/>
      <c r="AA34" s="22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ht="21.75" customHeight="1" outlineLevel="2">
      <c r="A35" s="109" t="str">
        <f>IMAGE("https://images.wbstatic.net/big/new/18460000/18460857-1.jpg")</f>
        <v/>
      </c>
      <c r="B35" s="117" t="s">
        <v>50</v>
      </c>
      <c r="C35" s="88">
        <v>1.8460857E7</v>
      </c>
      <c r="D35" s="32"/>
      <c r="E35" s="89"/>
      <c r="F35" s="90">
        <v>877.0</v>
      </c>
      <c r="G35" s="91">
        <f>VLOOKUP(C35,'Сводная таблица 1'!$A$3:$F$108,2,FALSE)</f>
        <v>26</v>
      </c>
      <c r="H35" s="92">
        <f t="shared" si="13"/>
        <v>3.714285714</v>
      </c>
      <c r="I35" s="93">
        <f t="shared" si="14"/>
        <v>1557.285882</v>
      </c>
      <c r="J35" s="94">
        <f>VLOOKUP(C35,'Сводная таблица 1'!$A$3:$F$108,3,FALSE)</f>
        <v>17</v>
      </c>
      <c r="K35" s="92">
        <f t="shared" si="15"/>
        <v>2.428571429</v>
      </c>
      <c r="L35" s="95">
        <f>VLOOKUP(C35,'Сводная таблица 1'!$A$3:$F$108,4,FALSE)</f>
        <v>26473.86</v>
      </c>
      <c r="M35" s="96">
        <f t="shared" si="16"/>
        <v>680.2858824</v>
      </c>
      <c r="N35" s="97">
        <f t="shared" si="17"/>
        <v>30.18684151</v>
      </c>
      <c r="O35" s="98">
        <f>VLOOKUP(C35,'Сводная таблица 1'!$A$3:$F$108,5,FALSE)</f>
        <v>0</v>
      </c>
      <c r="P35" s="99">
        <f>VLOOKUP(C35,'Сводная таблица 1'!$A$3:$F$108,6,FALSE)</f>
        <v>64</v>
      </c>
      <c r="Q35" s="100">
        <f t="shared" si="18"/>
        <v>43538.29647</v>
      </c>
      <c r="R35" s="101">
        <f t="shared" si="19"/>
        <v>26.35294118</v>
      </c>
      <c r="S35" s="115">
        <f t="shared" si="12"/>
        <v>0.38</v>
      </c>
      <c r="T35" s="108">
        <v>0.25</v>
      </c>
      <c r="U35" s="108">
        <v>0.06</v>
      </c>
      <c r="V35" s="108">
        <f t="shared" si="20"/>
        <v>0.31</v>
      </c>
      <c r="W35" s="104"/>
      <c r="X35" s="104"/>
      <c r="Y35" s="104"/>
      <c r="Z35" s="104"/>
      <c r="AA35" s="22"/>
      <c r="AB35" s="105"/>
      <c r="AC35" s="105"/>
      <c r="AD35" s="105"/>
      <c r="AE35" s="105"/>
      <c r="AF35" s="105"/>
      <c r="AG35" s="105"/>
      <c r="AH35" s="105"/>
      <c r="AI35" s="105"/>
      <c r="AJ35" s="105"/>
    </row>
    <row r="36" ht="21.75" customHeight="1" outlineLevel="2">
      <c r="A36" s="109"/>
      <c r="B36" s="117" t="s">
        <v>51</v>
      </c>
      <c r="C36" s="88">
        <v>1.8583835E7</v>
      </c>
      <c r="D36" s="32"/>
      <c r="E36" s="89"/>
      <c r="F36" s="90">
        <v>885.0</v>
      </c>
      <c r="G36" s="91">
        <f>VLOOKUP(C36,'Сводная таблица 1'!$A$3:$F$108,2,FALSE)</f>
        <v>5</v>
      </c>
      <c r="H36" s="92">
        <f t="shared" si="13"/>
        <v>0.7142857143</v>
      </c>
      <c r="I36" s="93">
        <f t="shared" si="14"/>
        <v>1703.375</v>
      </c>
      <c r="J36" s="94">
        <f>VLOOKUP(C36,'Сводная таблица 1'!$A$3:$F$108,3,FALSE)</f>
        <v>2</v>
      </c>
      <c r="K36" s="92">
        <f t="shared" si="15"/>
        <v>0.2857142857</v>
      </c>
      <c r="L36" s="95">
        <f>VLOOKUP(C36,'Сводная таблица 1'!$A$3:$F$108,4,FALSE)</f>
        <v>3406.75</v>
      </c>
      <c r="M36" s="96">
        <f t="shared" si="16"/>
        <v>818.375</v>
      </c>
      <c r="N36" s="97">
        <f t="shared" si="17"/>
        <v>3.849435028</v>
      </c>
      <c r="O36" s="98">
        <f>VLOOKUP(C36,'Сводная таблица 1'!$A$3:$F$108,5,FALSE)</f>
        <v>0</v>
      </c>
      <c r="P36" s="99">
        <f>VLOOKUP(C36,'Сводная таблица 1'!$A$3:$F$108,6,FALSE)</f>
        <v>130</v>
      </c>
      <c r="Q36" s="100">
        <f t="shared" si="18"/>
        <v>106388.75</v>
      </c>
      <c r="R36" s="101">
        <f t="shared" si="19"/>
        <v>455</v>
      </c>
      <c r="S36" s="115">
        <f t="shared" si="12"/>
        <v>0.38</v>
      </c>
      <c r="T36" s="108">
        <v>0.25</v>
      </c>
      <c r="U36" s="108">
        <v>0.06</v>
      </c>
      <c r="V36" s="108">
        <f t="shared" si="20"/>
        <v>0.31</v>
      </c>
      <c r="W36" s="104"/>
      <c r="X36" s="104"/>
      <c r="Y36" s="104"/>
      <c r="Z36" s="104"/>
      <c r="AA36" s="22"/>
      <c r="AB36" s="105"/>
      <c r="AC36" s="105"/>
      <c r="AD36" s="105"/>
      <c r="AE36" s="105"/>
      <c r="AF36" s="105"/>
      <c r="AG36" s="105"/>
      <c r="AH36" s="105"/>
      <c r="AI36" s="105"/>
      <c r="AJ36" s="105"/>
    </row>
    <row r="37" ht="21.75" customHeight="1" outlineLevel="2">
      <c r="A37" s="109" t="str">
        <f>IMAGE("https://images.wbstatic.net/big/new/18580000/18583834-1.jpg")</f>
        <v/>
      </c>
      <c r="B37" s="117" t="s">
        <v>52</v>
      </c>
      <c r="C37" s="88">
        <v>1.8583834E7</v>
      </c>
      <c r="D37" s="32"/>
      <c r="E37" s="89"/>
      <c r="F37" s="90">
        <v>885.0</v>
      </c>
      <c r="G37" s="91">
        <f>VLOOKUP(C37,'Сводная таблица 1'!$A$3:$F$108,2,FALSE)</f>
        <v>4</v>
      </c>
      <c r="H37" s="92">
        <f t="shared" si="13"/>
        <v>0.5714285714</v>
      </c>
      <c r="I37" s="93">
        <f t="shared" si="14"/>
        <v>2110.11</v>
      </c>
      <c r="J37" s="94">
        <f>VLOOKUP(C37,'Сводная таблица 1'!$A$3:$F$108,3,FALSE)</f>
        <v>2</v>
      </c>
      <c r="K37" s="92">
        <f t="shared" si="15"/>
        <v>0.2857142857</v>
      </c>
      <c r="L37" s="95">
        <f>VLOOKUP(C37,'Сводная таблица 1'!$A$3:$F$108,4,FALSE)</f>
        <v>4220.22</v>
      </c>
      <c r="M37" s="96">
        <f t="shared" si="16"/>
        <v>1225.11</v>
      </c>
      <c r="N37" s="97">
        <f t="shared" si="17"/>
        <v>4.768610169</v>
      </c>
      <c r="O37" s="98">
        <f>VLOOKUP(C37,'Сводная таблица 1'!$A$3:$F$108,5,FALSE)</f>
        <v>0</v>
      </c>
      <c r="P37" s="99">
        <f>VLOOKUP(C37,'Сводная таблица 1'!$A$3:$F$108,6,FALSE)</f>
        <v>61</v>
      </c>
      <c r="Q37" s="100">
        <f t="shared" si="18"/>
        <v>74731.71</v>
      </c>
      <c r="R37" s="101">
        <f t="shared" si="19"/>
        <v>213.5</v>
      </c>
      <c r="S37" s="115">
        <f t="shared" si="12"/>
        <v>0.38</v>
      </c>
      <c r="T37" s="108">
        <v>0.25</v>
      </c>
      <c r="U37" s="108">
        <v>0.06</v>
      </c>
      <c r="V37" s="108">
        <f t="shared" si="20"/>
        <v>0.31</v>
      </c>
      <c r="W37" s="104"/>
      <c r="X37" s="104"/>
      <c r="Y37" s="104"/>
      <c r="Z37" s="104"/>
      <c r="AA37" s="22"/>
      <c r="AB37" s="105"/>
      <c r="AC37" s="105"/>
      <c r="AD37" s="105"/>
      <c r="AE37" s="105"/>
      <c r="AF37" s="105"/>
      <c r="AG37" s="105"/>
      <c r="AH37" s="105"/>
      <c r="AI37" s="105"/>
      <c r="AJ37" s="105"/>
    </row>
    <row r="38" ht="21.75" customHeight="1" outlineLevel="2">
      <c r="A38" s="109" t="str">
        <f>IMAGE("https://images.wbstatic.net/c516x688/new/19450000/19459471-1.jpg")</f>
        <v/>
      </c>
      <c r="B38" s="117" t="s">
        <v>53</v>
      </c>
      <c r="C38" s="88">
        <v>1.9459471E7</v>
      </c>
      <c r="D38" s="32"/>
      <c r="E38" s="89"/>
      <c r="F38" s="90">
        <v>885.0</v>
      </c>
      <c r="G38" s="91">
        <f>VLOOKUP(C38,'Сводная таблица 1'!$A$3:$F$108,2,FALSE)</f>
        <v>10</v>
      </c>
      <c r="H38" s="92">
        <f t="shared" si="13"/>
        <v>1.428571429</v>
      </c>
      <c r="I38" s="93">
        <f t="shared" si="14"/>
        <v>2002.8</v>
      </c>
      <c r="J38" s="94">
        <f>VLOOKUP(C38,'Сводная таблица 1'!$A$3:$F$108,3,FALSE)</f>
        <v>2</v>
      </c>
      <c r="K38" s="92">
        <f t="shared" si="15"/>
        <v>0.2857142857</v>
      </c>
      <c r="L38" s="95">
        <f>VLOOKUP(C38,'Сводная таблица 1'!$A$3:$F$108,4,FALSE)</f>
        <v>4005.6</v>
      </c>
      <c r="M38" s="96">
        <f t="shared" si="16"/>
        <v>1117.8</v>
      </c>
      <c r="N38" s="97">
        <f t="shared" si="17"/>
        <v>4.526101695</v>
      </c>
      <c r="O38" s="98">
        <f>VLOOKUP(C38,'Сводная таблица 1'!$A$3:$F$108,5,FALSE)</f>
        <v>0</v>
      </c>
      <c r="P38" s="99">
        <f>VLOOKUP(C38,'Сводная таблица 1'!$A$3:$F$108,6,FALSE)</f>
        <v>79</v>
      </c>
      <c r="Q38" s="100">
        <f t="shared" si="18"/>
        <v>88306.2</v>
      </c>
      <c r="R38" s="101">
        <f t="shared" si="19"/>
        <v>276.5</v>
      </c>
      <c r="S38" s="115">
        <f t="shared" si="12"/>
        <v>0.38</v>
      </c>
      <c r="T38" s="108">
        <v>0.25</v>
      </c>
      <c r="U38" s="108">
        <v>0.06</v>
      </c>
      <c r="V38" s="108">
        <f t="shared" si="20"/>
        <v>0.31</v>
      </c>
      <c r="W38" s="104"/>
      <c r="X38" s="104"/>
      <c r="Y38" s="104"/>
      <c r="Z38" s="104"/>
      <c r="AA38" s="22"/>
      <c r="AB38" s="105"/>
      <c r="AC38" s="105"/>
      <c r="AD38" s="105"/>
      <c r="AE38" s="105"/>
      <c r="AF38" s="105"/>
      <c r="AG38" s="105"/>
      <c r="AH38" s="105"/>
      <c r="AI38" s="105"/>
      <c r="AJ38" s="105"/>
    </row>
    <row r="39" ht="21.75" customHeight="1" outlineLevel="2">
      <c r="A39" s="109" t="str">
        <f>IMAGE("https://images.wbstatic.net/big/new/18920000/18923931-5.jpg")</f>
        <v/>
      </c>
      <c r="B39" s="117" t="s">
        <v>54</v>
      </c>
      <c r="C39" s="88">
        <v>1.8923931E7</v>
      </c>
      <c r="D39" s="32"/>
      <c r="E39" s="89"/>
      <c r="F39" s="90">
        <v>885.0</v>
      </c>
      <c r="G39" s="91">
        <f>VLOOKUP(C39,'Сводная таблица 1'!$A$3:$F$108,2,FALSE)</f>
        <v>2</v>
      </c>
      <c r="H39" s="92">
        <f t="shared" si="13"/>
        <v>0.2857142857</v>
      </c>
      <c r="I39" s="93">
        <f t="shared" si="14"/>
        <v>1695.62</v>
      </c>
      <c r="J39" s="94">
        <f>VLOOKUP(C39,'Сводная таблица 1'!$A$3:$F$108,3,FALSE)</f>
        <v>2</v>
      </c>
      <c r="K39" s="92">
        <f t="shared" si="15"/>
        <v>0.2857142857</v>
      </c>
      <c r="L39" s="95">
        <f>VLOOKUP(C39,'Сводная таблица 1'!$A$3:$F$108,4,FALSE)</f>
        <v>3391.24</v>
      </c>
      <c r="M39" s="96">
        <f t="shared" si="16"/>
        <v>810.62</v>
      </c>
      <c r="N39" s="97">
        <f t="shared" si="17"/>
        <v>3.831909605</v>
      </c>
      <c r="O39" s="98">
        <f>VLOOKUP(C39,'Сводная таблица 1'!$A$3:$F$108,5,FALSE)</f>
        <v>0</v>
      </c>
      <c r="P39" s="99">
        <f>VLOOKUP(C39,'Сводная таблица 1'!$A$3:$F$108,6,FALSE)</f>
        <v>2</v>
      </c>
      <c r="Q39" s="100">
        <f t="shared" si="18"/>
        <v>1621.24</v>
      </c>
      <c r="R39" s="101">
        <f t="shared" si="19"/>
        <v>7</v>
      </c>
      <c r="S39" s="115">
        <f t="shared" si="12"/>
        <v>0.38</v>
      </c>
      <c r="T39" s="108">
        <v>0.25</v>
      </c>
      <c r="U39" s="108">
        <v>0.06</v>
      </c>
      <c r="V39" s="108">
        <f t="shared" si="20"/>
        <v>0.31</v>
      </c>
      <c r="W39" s="104"/>
      <c r="X39" s="104"/>
      <c r="Y39" s="104"/>
      <c r="Z39" s="104"/>
      <c r="AA39" s="22"/>
      <c r="AB39" s="105"/>
      <c r="AC39" s="105"/>
      <c r="AD39" s="105"/>
      <c r="AE39" s="105"/>
      <c r="AF39" s="105"/>
      <c r="AG39" s="105"/>
      <c r="AH39" s="105"/>
      <c r="AI39" s="105"/>
      <c r="AJ39" s="105"/>
    </row>
    <row r="40" ht="21.75" customHeight="1" outlineLevel="2">
      <c r="A40" s="109"/>
      <c r="B40" s="87" t="s">
        <v>55</v>
      </c>
      <c r="C40" s="88">
        <v>1.3889778E7</v>
      </c>
      <c r="D40" s="32"/>
      <c r="E40" s="89"/>
      <c r="F40" s="90">
        <v>863.0</v>
      </c>
      <c r="G40" s="91">
        <f>VLOOKUP(C40,'Сводная таблица 1'!$A$3:$F$108,2,FALSE)</f>
        <v>12</v>
      </c>
      <c r="H40" s="92">
        <f t="shared" si="13"/>
        <v>1.714285714</v>
      </c>
      <c r="I40" s="93">
        <f t="shared" si="14"/>
        <v>2322.701818</v>
      </c>
      <c r="J40" s="94">
        <f>VLOOKUP(C40,'Сводная таблица 1'!$A$3:$F$108,3,FALSE)</f>
        <v>11</v>
      </c>
      <c r="K40" s="92">
        <f t="shared" si="15"/>
        <v>1.571428571</v>
      </c>
      <c r="L40" s="95">
        <f>VLOOKUP(C40,'Сводная таблица 1'!$A$3:$F$108,4,FALSE)</f>
        <v>25549.72</v>
      </c>
      <c r="M40" s="96">
        <f t="shared" si="16"/>
        <v>1459.701818</v>
      </c>
      <c r="N40" s="97">
        <f t="shared" si="17"/>
        <v>29.60570104</v>
      </c>
      <c r="O40" s="98">
        <f>VLOOKUP(C40,'Сводная таблица 1'!$A$3:$F$108,5,FALSE)</f>
        <v>0</v>
      </c>
      <c r="P40" s="99">
        <f>VLOOKUP(C40,'Сводная таблица 1'!$A$3:$F$108,6,FALSE)</f>
        <v>286</v>
      </c>
      <c r="Q40" s="100">
        <f t="shared" si="18"/>
        <v>417474.72</v>
      </c>
      <c r="R40" s="101">
        <f t="shared" si="19"/>
        <v>182</v>
      </c>
      <c r="S40" s="115">
        <f t="shared" si="12"/>
        <v>0.38</v>
      </c>
      <c r="T40" s="108">
        <v>0.25</v>
      </c>
      <c r="U40" s="108">
        <v>0.06</v>
      </c>
      <c r="V40" s="108">
        <f t="shared" si="20"/>
        <v>0.31</v>
      </c>
      <c r="W40" s="104"/>
      <c r="X40" s="104"/>
      <c r="Y40" s="104"/>
      <c r="Z40" s="104"/>
      <c r="AA40" s="22"/>
      <c r="AB40" s="105"/>
      <c r="AC40" s="105"/>
      <c r="AD40" s="105"/>
      <c r="AE40" s="105"/>
      <c r="AF40" s="105"/>
      <c r="AG40" s="105"/>
      <c r="AH40" s="105"/>
      <c r="AI40" s="105"/>
      <c r="AJ40" s="105"/>
    </row>
    <row r="41" ht="21.75" customHeight="1" outlineLevel="2">
      <c r="A41" s="109"/>
      <c r="B41" s="118" t="s">
        <v>56</v>
      </c>
      <c r="C41" s="88">
        <v>1.388978E7</v>
      </c>
      <c r="D41" s="32"/>
      <c r="E41" s="89"/>
      <c r="F41" s="90">
        <v>885.0</v>
      </c>
      <c r="G41" s="91">
        <f>VLOOKUP(C41,'Сводная таблица 1'!$A$3:$F$108,2,FALSE)</f>
        <v>9</v>
      </c>
      <c r="H41" s="92">
        <f t="shared" si="13"/>
        <v>1.285714286</v>
      </c>
      <c r="I41" s="93">
        <f t="shared" si="14"/>
        <v>2091.535556</v>
      </c>
      <c r="J41" s="94">
        <f>VLOOKUP(C41,'Сводная таблица 1'!$A$3:$F$108,3,FALSE)</f>
        <v>9</v>
      </c>
      <c r="K41" s="92">
        <f t="shared" si="15"/>
        <v>1.285714286</v>
      </c>
      <c r="L41" s="95">
        <f>VLOOKUP(C41,'Сводная таблица 1'!$A$3:$F$108,4,FALSE)</f>
        <v>18823.82</v>
      </c>
      <c r="M41" s="96">
        <f t="shared" si="16"/>
        <v>1206.535556</v>
      </c>
      <c r="N41" s="97">
        <f t="shared" si="17"/>
        <v>21.26985311</v>
      </c>
      <c r="O41" s="98">
        <f>VLOOKUP(C41,'Сводная таблица 1'!$A$3:$F$108,5,FALSE)</f>
        <v>0</v>
      </c>
      <c r="P41" s="99">
        <f>VLOOKUP(C41,'Сводная таблица 1'!$A$3:$F$108,6,FALSE)</f>
        <v>150</v>
      </c>
      <c r="Q41" s="100">
        <f t="shared" si="18"/>
        <v>180980.3333</v>
      </c>
      <c r="R41" s="101">
        <f t="shared" si="19"/>
        <v>116.6666667</v>
      </c>
      <c r="S41" s="115">
        <f t="shared" si="12"/>
        <v>0.38</v>
      </c>
      <c r="T41" s="108">
        <v>0.25</v>
      </c>
      <c r="U41" s="108">
        <v>0.06</v>
      </c>
      <c r="V41" s="108">
        <f t="shared" si="20"/>
        <v>0.31</v>
      </c>
      <c r="W41" s="104"/>
      <c r="X41" s="104"/>
      <c r="Y41" s="104"/>
      <c r="Z41" s="104"/>
      <c r="AA41" s="22"/>
      <c r="AB41" s="105"/>
      <c r="AC41" s="105"/>
      <c r="AD41" s="105"/>
      <c r="AE41" s="105"/>
      <c r="AF41" s="105"/>
      <c r="AG41" s="105"/>
      <c r="AH41" s="105"/>
      <c r="AI41" s="105"/>
      <c r="AJ41" s="105"/>
    </row>
    <row r="42" ht="21.75" customHeight="1" outlineLevel="2">
      <c r="A42" s="109"/>
      <c r="B42" s="87" t="s">
        <v>57</v>
      </c>
      <c r="C42" s="88">
        <v>1.3889782E7</v>
      </c>
      <c r="D42" s="32"/>
      <c r="E42" s="89"/>
      <c r="F42" s="90">
        <v>859.0</v>
      </c>
      <c r="G42" s="91">
        <f>VLOOKUP(C42,'Сводная таблица 1'!$A$3:$F$108,2,FALSE)</f>
        <v>13</v>
      </c>
      <c r="H42" s="92">
        <f t="shared" si="13"/>
        <v>1.857142857</v>
      </c>
      <c r="I42" s="93">
        <f t="shared" si="14"/>
        <v>2758.000833</v>
      </c>
      <c r="J42" s="94">
        <f>VLOOKUP(C42,'Сводная таблица 1'!$A$3:$F$108,3,FALSE)</f>
        <v>12</v>
      </c>
      <c r="K42" s="92">
        <f t="shared" si="15"/>
        <v>1.714285714</v>
      </c>
      <c r="L42" s="95">
        <f>VLOOKUP(C42,'Сводная таблица 1'!$A$3:$F$108,4,FALSE)</f>
        <v>33096.01</v>
      </c>
      <c r="M42" s="96">
        <f t="shared" si="16"/>
        <v>1899.000833</v>
      </c>
      <c r="N42" s="97">
        <f t="shared" si="17"/>
        <v>38.52853318</v>
      </c>
      <c r="O42" s="98">
        <f>VLOOKUP(C42,'Сводная таблица 1'!$A$3:$F$108,5,FALSE)</f>
        <v>0</v>
      </c>
      <c r="P42" s="99">
        <f>VLOOKUP(C42,'Сводная таблица 1'!$A$3:$F$108,6,FALSE)</f>
        <v>312</v>
      </c>
      <c r="Q42" s="100">
        <f t="shared" si="18"/>
        <v>592488.26</v>
      </c>
      <c r="R42" s="101">
        <f t="shared" si="19"/>
        <v>182</v>
      </c>
      <c r="S42" s="115">
        <f t="shared" si="12"/>
        <v>0.38</v>
      </c>
      <c r="T42" s="108">
        <v>0.25</v>
      </c>
      <c r="U42" s="108">
        <v>0.06</v>
      </c>
      <c r="V42" s="108">
        <f t="shared" si="20"/>
        <v>0.31</v>
      </c>
      <c r="W42" s="104"/>
      <c r="X42" s="104"/>
      <c r="Y42" s="104"/>
      <c r="Z42" s="104"/>
      <c r="AA42" s="22"/>
      <c r="AB42" s="105"/>
      <c r="AC42" s="105"/>
      <c r="AD42" s="105"/>
      <c r="AE42" s="105"/>
      <c r="AF42" s="105"/>
      <c r="AG42" s="105"/>
      <c r="AH42" s="105"/>
      <c r="AI42" s="105"/>
      <c r="AJ42" s="105"/>
    </row>
    <row r="43" ht="21.75" customHeight="1" outlineLevel="2">
      <c r="A43" s="109"/>
      <c r="B43" s="119" t="s">
        <v>58</v>
      </c>
      <c r="C43" s="88">
        <v>1.3889781E7</v>
      </c>
      <c r="D43" s="32"/>
      <c r="E43" s="89"/>
      <c r="F43" s="90">
        <v>878.0</v>
      </c>
      <c r="G43" s="91">
        <f>VLOOKUP(C43,'Сводная таблица 1'!$A$3:$F$108,2,FALSE)</f>
        <v>6</v>
      </c>
      <c r="H43" s="92">
        <f t="shared" si="13"/>
        <v>0.8571428571</v>
      </c>
      <c r="I43" s="93">
        <f t="shared" si="14"/>
        <v>2913.8125</v>
      </c>
      <c r="J43" s="94">
        <f>VLOOKUP(C43,'Сводная таблица 1'!$A$3:$F$108,3,FALSE)</f>
        <v>4</v>
      </c>
      <c r="K43" s="92">
        <f t="shared" si="15"/>
        <v>0.5714285714</v>
      </c>
      <c r="L43" s="95">
        <f>VLOOKUP(C43,'Сводная таблица 1'!$A$3:$F$108,4,FALSE)</f>
        <v>11655.25</v>
      </c>
      <c r="M43" s="96">
        <f t="shared" si="16"/>
        <v>2035.8125</v>
      </c>
      <c r="N43" s="97">
        <f t="shared" si="17"/>
        <v>13.27477221</v>
      </c>
      <c r="O43" s="98">
        <f>VLOOKUP(C43,'Сводная таблица 1'!$A$3:$F$108,5,FALSE)</f>
        <v>0</v>
      </c>
      <c r="P43" s="99">
        <f>VLOOKUP(C43,'Сводная таблица 1'!$A$3:$F$108,6,FALSE)</f>
        <v>31</v>
      </c>
      <c r="Q43" s="100">
        <f t="shared" si="18"/>
        <v>63110.1875</v>
      </c>
      <c r="R43" s="101">
        <f t="shared" si="19"/>
        <v>54.25</v>
      </c>
      <c r="S43" s="115">
        <f t="shared" si="12"/>
        <v>0.38</v>
      </c>
      <c r="T43" s="108">
        <v>0.25</v>
      </c>
      <c r="U43" s="108">
        <v>0.06</v>
      </c>
      <c r="V43" s="108">
        <f t="shared" si="20"/>
        <v>0.31</v>
      </c>
      <c r="W43" s="104"/>
      <c r="X43" s="104"/>
      <c r="Y43" s="104"/>
      <c r="Z43" s="104"/>
      <c r="AA43" s="22"/>
      <c r="AB43" s="105"/>
      <c r="AC43" s="105"/>
      <c r="AD43" s="105"/>
      <c r="AE43" s="105"/>
      <c r="AF43" s="105"/>
      <c r="AG43" s="105"/>
      <c r="AH43" s="105"/>
      <c r="AI43" s="105"/>
      <c r="AJ43" s="105"/>
    </row>
    <row r="44" ht="21.75" customHeight="1" outlineLevel="2">
      <c r="A44" s="109"/>
      <c r="B44" s="87" t="s">
        <v>59</v>
      </c>
      <c r="C44" s="88">
        <v>1.3889779E7</v>
      </c>
      <c r="D44" s="32"/>
      <c r="E44" s="89"/>
      <c r="F44" s="90">
        <v>925.0</v>
      </c>
      <c r="G44" s="91">
        <f>VLOOKUP(C44,'Сводная таблица 1'!$A$3:$F$108,2,FALSE)</f>
        <v>2</v>
      </c>
      <c r="H44" s="92">
        <f t="shared" si="13"/>
        <v>0.2857142857</v>
      </c>
      <c r="I44" s="93">
        <f t="shared" si="14"/>
        <v>2427.65</v>
      </c>
      <c r="J44" s="94">
        <f>VLOOKUP(C44,'Сводная таблица 1'!$A$3:$F$108,3,FALSE)</f>
        <v>2</v>
      </c>
      <c r="K44" s="92">
        <f t="shared" si="15"/>
        <v>0.2857142857</v>
      </c>
      <c r="L44" s="95">
        <f>VLOOKUP(C44,'Сводная таблица 1'!$A$3:$F$108,4,FALSE)</f>
        <v>4855.3</v>
      </c>
      <c r="M44" s="96">
        <f t="shared" si="16"/>
        <v>1502.65</v>
      </c>
      <c r="N44" s="97">
        <f t="shared" si="17"/>
        <v>5.248972973</v>
      </c>
      <c r="O44" s="98">
        <f>VLOOKUP(C44,'Сводная таблица 1'!$A$3:$F$108,5,FALSE)</f>
        <v>0</v>
      </c>
      <c r="P44" s="99">
        <f>VLOOKUP(C44,'Сводная таблица 1'!$A$3:$F$108,6,FALSE)</f>
        <v>184</v>
      </c>
      <c r="Q44" s="100">
        <f t="shared" si="18"/>
        <v>276487.6</v>
      </c>
      <c r="R44" s="101">
        <f t="shared" si="19"/>
        <v>644</v>
      </c>
      <c r="S44" s="115">
        <f t="shared" si="12"/>
        <v>0.38</v>
      </c>
      <c r="T44" s="108">
        <v>0.25</v>
      </c>
      <c r="U44" s="108">
        <v>0.06</v>
      </c>
      <c r="V44" s="108">
        <f t="shared" si="20"/>
        <v>0.31</v>
      </c>
      <c r="W44" s="104"/>
      <c r="X44" s="104"/>
      <c r="Y44" s="104"/>
      <c r="Z44" s="104"/>
      <c r="AA44" s="22"/>
      <c r="AB44" s="105"/>
      <c r="AC44" s="105"/>
      <c r="AD44" s="105"/>
      <c r="AE44" s="105"/>
      <c r="AF44" s="105"/>
      <c r="AG44" s="105"/>
      <c r="AH44" s="105"/>
      <c r="AI44" s="105"/>
      <c r="AJ44" s="105"/>
    </row>
    <row r="45" ht="21.75" customHeight="1" outlineLevel="2">
      <c r="A45" s="109" t="str">
        <f>IMAGE("https://images.wbstatic.net/big/new/17610000/17615252-1.jpg")</f>
        <v/>
      </c>
      <c r="B45" s="118" t="s">
        <v>60</v>
      </c>
      <c r="C45" s="88">
        <v>1.7615252E7</v>
      </c>
      <c r="D45" s="32"/>
      <c r="E45" s="89"/>
      <c r="F45" s="90">
        <v>883.0</v>
      </c>
      <c r="G45" s="91">
        <f>VLOOKUP(C45,'Сводная таблица 1'!$A$3:$F$108,2,FALSE)</f>
        <v>4</v>
      </c>
      <c r="H45" s="92">
        <f t="shared" si="13"/>
        <v>0.5714285714</v>
      </c>
      <c r="I45" s="93">
        <f t="shared" si="14"/>
        <v>1493.116667</v>
      </c>
      <c r="J45" s="94">
        <f>VLOOKUP(C45,'Сводная таблица 1'!$A$3:$F$108,3,FALSE)</f>
        <v>3</v>
      </c>
      <c r="K45" s="92">
        <f t="shared" si="15"/>
        <v>0.4285714286</v>
      </c>
      <c r="L45" s="95">
        <f>VLOOKUP(C45,'Сводная таблица 1'!$A$3:$F$108,4,FALSE)</f>
        <v>4479.35</v>
      </c>
      <c r="M45" s="96">
        <f t="shared" si="16"/>
        <v>610.1166667</v>
      </c>
      <c r="N45" s="97">
        <f t="shared" si="17"/>
        <v>5.072876557</v>
      </c>
      <c r="O45" s="98">
        <f>VLOOKUP(C45,'Сводная таблица 1'!$A$3:$F$108,5,FALSE)</f>
        <v>0</v>
      </c>
      <c r="P45" s="99">
        <f>VLOOKUP(C45,'Сводная таблица 1'!$A$3:$F$108,6,FALSE)</f>
        <v>49</v>
      </c>
      <c r="Q45" s="100">
        <f t="shared" si="18"/>
        <v>29895.71667</v>
      </c>
      <c r="R45" s="101">
        <f t="shared" si="19"/>
        <v>114.3333333</v>
      </c>
      <c r="S45" s="115">
        <f t="shared" si="12"/>
        <v>0.38</v>
      </c>
      <c r="T45" s="108">
        <v>0.25</v>
      </c>
      <c r="U45" s="108">
        <v>0.06</v>
      </c>
      <c r="V45" s="108">
        <f t="shared" si="20"/>
        <v>0.31</v>
      </c>
      <c r="W45" s="104"/>
      <c r="X45" s="104"/>
      <c r="Y45" s="104"/>
      <c r="Z45" s="104"/>
      <c r="AA45" s="22"/>
      <c r="AB45" s="105"/>
      <c r="AC45" s="105"/>
      <c r="AD45" s="105"/>
      <c r="AE45" s="105"/>
      <c r="AF45" s="105"/>
      <c r="AG45" s="105"/>
      <c r="AH45" s="105"/>
      <c r="AI45" s="105"/>
      <c r="AJ45" s="105"/>
    </row>
    <row r="46" ht="21.75" customHeight="1" outlineLevel="2">
      <c r="A46" s="109" t="str">
        <f>IMAGE("https://img2.wbstatic.net/big/new/15620000/15626660-1.jpg")</f>
        <v/>
      </c>
      <c r="B46" s="87" t="s">
        <v>61</v>
      </c>
      <c r="C46" s="88">
        <v>1.562666E7</v>
      </c>
      <c r="D46" s="32"/>
      <c r="E46" s="89"/>
      <c r="F46" s="90">
        <v>876.0</v>
      </c>
      <c r="G46" s="91">
        <f>VLOOKUP(C46,'Сводная таблица 1'!$A$3:$F$108,2,FALSE)</f>
        <v>11</v>
      </c>
      <c r="H46" s="92">
        <f t="shared" si="13"/>
        <v>1.571428571</v>
      </c>
      <c r="I46" s="93">
        <f t="shared" si="14"/>
        <v>2111.37</v>
      </c>
      <c r="J46" s="94">
        <f>VLOOKUP(C46,'Сводная таблица 1'!$A$3:$F$108,3,FALSE)</f>
        <v>9</v>
      </c>
      <c r="K46" s="92">
        <f t="shared" si="15"/>
        <v>1.285714286</v>
      </c>
      <c r="L46" s="95">
        <f>VLOOKUP(C46,'Сводная таблица 1'!$A$3:$F$108,4,FALSE)</f>
        <v>19002.33</v>
      </c>
      <c r="M46" s="96">
        <f t="shared" si="16"/>
        <v>1235.37</v>
      </c>
      <c r="N46" s="97">
        <f t="shared" si="17"/>
        <v>21.69215753</v>
      </c>
      <c r="O46" s="98">
        <f>VLOOKUP(C46,'Сводная таблица 1'!$A$3:$F$108,5,FALSE)</f>
        <v>0</v>
      </c>
      <c r="P46" s="99">
        <f>VLOOKUP(C46,'Сводная таблица 1'!$A$3:$F$108,6,FALSE)</f>
        <v>283</v>
      </c>
      <c r="Q46" s="100">
        <f t="shared" si="18"/>
        <v>349609.71</v>
      </c>
      <c r="R46" s="101">
        <f t="shared" si="19"/>
        <v>220.1111111</v>
      </c>
      <c r="S46" s="115">
        <f t="shared" si="12"/>
        <v>0.38</v>
      </c>
      <c r="T46" s="108">
        <v>0.25</v>
      </c>
      <c r="U46" s="108">
        <v>0.06</v>
      </c>
      <c r="V46" s="108">
        <f t="shared" si="20"/>
        <v>0.31</v>
      </c>
      <c r="W46" s="104"/>
      <c r="X46" s="104"/>
      <c r="Y46" s="104"/>
      <c r="Z46" s="104"/>
      <c r="AA46" s="22"/>
      <c r="AB46" s="105"/>
      <c r="AC46" s="105"/>
      <c r="AD46" s="105"/>
      <c r="AE46" s="105"/>
      <c r="AF46" s="105"/>
      <c r="AG46" s="105"/>
      <c r="AH46" s="105"/>
      <c r="AI46" s="105"/>
      <c r="AJ46" s="105"/>
    </row>
    <row r="47" ht="21.75" customHeight="1" outlineLevel="2">
      <c r="A47" s="109" t="str">
        <f>IMAGE("https://images.wbstatic.net/big/new/17610000/17615251-1.jpg")</f>
        <v/>
      </c>
      <c r="B47" s="87" t="s">
        <v>62</v>
      </c>
      <c r="C47" s="88">
        <v>1.7615251E7</v>
      </c>
      <c r="D47" s="32"/>
      <c r="E47" s="89"/>
      <c r="F47" s="90">
        <v>876.0</v>
      </c>
      <c r="G47" s="91">
        <f>VLOOKUP(C47,'Сводная таблица 1'!$A$3:$F$108,2,FALSE)</f>
        <v>2</v>
      </c>
      <c r="H47" s="92">
        <f t="shared" si="13"/>
        <v>0.2857142857</v>
      </c>
      <c r="I47" s="93">
        <f t="shared" si="14"/>
        <v>1644.236667</v>
      </c>
      <c r="J47" s="94">
        <f>VLOOKUP(C47,'Сводная таблица 1'!$A$3:$F$108,3,FALSE)</f>
        <v>3</v>
      </c>
      <c r="K47" s="92">
        <f t="shared" si="15"/>
        <v>0.4285714286</v>
      </c>
      <c r="L47" s="95">
        <f>VLOOKUP(C47,'Сводная таблица 1'!$A$3:$F$108,4,FALSE)</f>
        <v>4932.71</v>
      </c>
      <c r="M47" s="96">
        <f t="shared" si="16"/>
        <v>768.2366667</v>
      </c>
      <c r="N47" s="97">
        <f t="shared" si="17"/>
        <v>5.630947489</v>
      </c>
      <c r="O47" s="98">
        <f>VLOOKUP(C47,'Сводная таблица 1'!$A$3:$F$108,5,FALSE)</f>
        <v>0</v>
      </c>
      <c r="P47" s="99">
        <f>VLOOKUP(C47,'Сводная таблица 1'!$A$3:$F$108,6,FALSE)</f>
        <v>45</v>
      </c>
      <c r="Q47" s="100">
        <f t="shared" si="18"/>
        <v>34570.65</v>
      </c>
      <c r="R47" s="101">
        <f t="shared" si="19"/>
        <v>105</v>
      </c>
      <c r="S47" s="115">
        <f t="shared" si="12"/>
        <v>0.38</v>
      </c>
      <c r="T47" s="108">
        <v>0.25</v>
      </c>
      <c r="U47" s="108">
        <v>0.06</v>
      </c>
      <c r="V47" s="108">
        <f t="shared" si="20"/>
        <v>0.31</v>
      </c>
      <c r="W47" s="104"/>
      <c r="X47" s="104"/>
      <c r="Y47" s="104"/>
      <c r="Z47" s="104"/>
      <c r="AA47" s="22"/>
      <c r="AB47" s="105"/>
      <c r="AC47" s="105"/>
      <c r="AD47" s="105"/>
      <c r="AE47" s="105"/>
      <c r="AF47" s="105"/>
      <c r="AG47" s="105"/>
      <c r="AH47" s="105"/>
      <c r="AI47" s="105"/>
      <c r="AJ47" s="105"/>
    </row>
    <row r="48" ht="21.75" customHeight="1" outlineLevel="2">
      <c r="A48" s="109" t="str">
        <f>IMAGE("https://images.wbstatic.net/big/new/17610000/17615253-1.jpg")</f>
        <v/>
      </c>
      <c r="B48" s="87" t="s">
        <v>63</v>
      </c>
      <c r="C48" s="88">
        <v>1.7615253E7</v>
      </c>
      <c r="D48" s="32"/>
      <c r="E48" s="89"/>
      <c r="F48" s="90">
        <v>877.0</v>
      </c>
      <c r="G48" s="91">
        <f>VLOOKUP(C48,'Сводная таблица 1'!$A$3:$F$108,2,FALSE)</f>
        <v>3</v>
      </c>
      <c r="H48" s="92">
        <f t="shared" si="13"/>
        <v>0.4285714286</v>
      </c>
      <c r="I48" s="93">
        <f t="shared" si="14"/>
        <v>1493.72</v>
      </c>
      <c r="J48" s="94">
        <f>VLOOKUP(C48,'Сводная таблица 1'!$A$3:$F$108,3,FALSE)</f>
        <v>5</v>
      </c>
      <c r="K48" s="92">
        <f t="shared" si="15"/>
        <v>0.7142857143</v>
      </c>
      <c r="L48" s="95">
        <f>VLOOKUP(C48,'Сводная таблица 1'!$A$3:$F$108,4,FALSE)</f>
        <v>7468.6</v>
      </c>
      <c r="M48" s="96">
        <f t="shared" si="16"/>
        <v>616.72</v>
      </c>
      <c r="N48" s="97">
        <f t="shared" si="17"/>
        <v>8.516077537</v>
      </c>
      <c r="O48" s="98">
        <f>VLOOKUP(C48,'Сводная таблица 1'!$A$3:$F$108,5,FALSE)</f>
        <v>0</v>
      </c>
      <c r="P48" s="99">
        <f>VLOOKUP(C48,'Сводная таблица 1'!$A$3:$F$108,6,FALSE)</f>
        <v>14</v>
      </c>
      <c r="Q48" s="100">
        <f t="shared" si="18"/>
        <v>8634.08</v>
      </c>
      <c r="R48" s="101">
        <f t="shared" si="19"/>
        <v>19.6</v>
      </c>
      <c r="S48" s="115">
        <f t="shared" si="12"/>
        <v>0.38</v>
      </c>
      <c r="T48" s="108">
        <v>0.25</v>
      </c>
      <c r="U48" s="108">
        <v>0.0599999999999999</v>
      </c>
      <c r="V48" s="108">
        <f t="shared" si="20"/>
        <v>0.31</v>
      </c>
      <c r="W48" s="104"/>
      <c r="X48" s="104"/>
      <c r="Y48" s="104"/>
      <c r="Z48" s="104"/>
      <c r="AA48" s="22"/>
      <c r="AB48" s="105"/>
      <c r="AC48" s="105"/>
      <c r="AD48" s="105"/>
      <c r="AE48" s="105"/>
      <c r="AF48" s="105"/>
      <c r="AG48" s="105"/>
      <c r="AH48" s="105"/>
      <c r="AI48" s="105"/>
      <c r="AJ48" s="105"/>
    </row>
    <row r="49" ht="21.75" customHeight="1" outlineLevel="2">
      <c r="A49" s="109"/>
      <c r="B49" s="87" t="s">
        <v>64</v>
      </c>
      <c r="C49" s="88">
        <v>1.4601362E7</v>
      </c>
      <c r="D49" s="32"/>
      <c r="E49" s="89"/>
      <c r="F49" s="90">
        <v>885.0</v>
      </c>
      <c r="G49" s="91">
        <f>VLOOKUP(C49,'Сводная таблица 1'!$A$3:$F$108,2,FALSE)</f>
        <v>9</v>
      </c>
      <c r="H49" s="92">
        <f t="shared" si="13"/>
        <v>1.285714286</v>
      </c>
      <c r="I49" s="93">
        <f t="shared" si="14"/>
        <v>2328.254286</v>
      </c>
      <c r="J49" s="94">
        <f>VLOOKUP(C49,'Сводная таблица 1'!$A$3:$F$108,3,FALSE)</f>
        <v>7</v>
      </c>
      <c r="K49" s="92">
        <f t="shared" si="15"/>
        <v>1</v>
      </c>
      <c r="L49" s="95">
        <f>VLOOKUP(C49,'Сводная таблица 1'!$A$3:$F$108,4,FALSE)</f>
        <v>16297.78</v>
      </c>
      <c r="M49" s="96">
        <f t="shared" si="16"/>
        <v>1443.254286</v>
      </c>
      <c r="N49" s="97">
        <f t="shared" si="17"/>
        <v>18.41557062</v>
      </c>
      <c r="O49" s="98">
        <f>VLOOKUP(C49,'Сводная таблица 1'!$A$3:$F$108,5,FALSE)</f>
        <v>0</v>
      </c>
      <c r="P49" s="99">
        <f>VLOOKUP(C49,'Сводная таблица 1'!$A$3:$F$108,6,FALSE)</f>
        <v>173</v>
      </c>
      <c r="Q49" s="100">
        <f t="shared" si="18"/>
        <v>249682.9914</v>
      </c>
      <c r="R49" s="101">
        <f t="shared" si="19"/>
        <v>173</v>
      </c>
      <c r="S49" s="115">
        <f t="shared" si="12"/>
        <v>0.38</v>
      </c>
      <c r="T49" s="108">
        <v>0.25</v>
      </c>
      <c r="U49" s="108">
        <v>0.0599999999999999</v>
      </c>
      <c r="V49" s="108">
        <f t="shared" si="20"/>
        <v>0.31</v>
      </c>
      <c r="W49" s="104"/>
      <c r="X49" s="104"/>
      <c r="Y49" s="104"/>
      <c r="Z49" s="104"/>
      <c r="AA49" s="22"/>
      <c r="AB49" s="105"/>
      <c r="AC49" s="105"/>
      <c r="AD49" s="105"/>
      <c r="AE49" s="105"/>
      <c r="AF49" s="105"/>
      <c r="AG49" s="105"/>
      <c r="AH49" s="105"/>
      <c r="AI49" s="105"/>
      <c r="AJ49" s="105"/>
    </row>
    <row r="50" ht="21.75" customHeight="1" outlineLevel="2">
      <c r="A50" s="109"/>
      <c r="B50" s="118" t="s">
        <v>65</v>
      </c>
      <c r="C50" s="88">
        <v>1.6458321E7</v>
      </c>
      <c r="D50" s="32"/>
      <c r="E50" s="89"/>
      <c r="F50" s="90">
        <v>856.0</v>
      </c>
      <c r="G50" s="91">
        <f>VLOOKUP(C50,'Сводная таблица 1'!$A$3:$F$108,2,FALSE)</f>
        <v>19</v>
      </c>
      <c r="H50" s="92">
        <f t="shared" si="13"/>
        <v>2.714285714</v>
      </c>
      <c r="I50" s="93">
        <f t="shared" si="14"/>
        <v>1916.918235</v>
      </c>
      <c r="J50" s="94">
        <f>VLOOKUP(C50,'Сводная таблица 1'!$A$3:$F$108,3,FALSE)</f>
        <v>17</v>
      </c>
      <c r="K50" s="92">
        <f t="shared" si="15"/>
        <v>2.428571429</v>
      </c>
      <c r="L50" s="95">
        <f>VLOOKUP(C50,'Сводная таблица 1'!$A$3:$F$108,4,FALSE)</f>
        <v>32587.61</v>
      </c>
      <c r="M50" s="96">
        <f t="shared" si="16"/>
        <v>1060.918235</v>
      </c>
      <c r="N50" s="97">
        <f t="shared" si="17"/>
        <v>38.06963785</v>
      </c>
      <c r="O50" s="98">
        <f>VLOOKUP(C50,'Сводная таблица 1'!$A$3:$F$108,5,FALSE)</f>
        <v>0</v>
      </c>
      <c r="P50" s="99">
        <f>VLOOKUP(C50,'Сводная таблица 1'!$A$3:$F$108,6,FALSE)</f>
        <v>126</v>
      </c>
      <c r="Q50" s="100">
        <f t="shared" si="18"/>
        <v>133675.6976</v>
      </c>
      <c r="R50" s="101">
        <f t="shared" si="19"/>
        <v>51.88235294</v>
      </c>
      <c r="S50" s="115">
        <f t="shared" si="12"/>
        <v>0.38</v>
      </c>
      <c r="T50" s="108">
        <v>0.25</v>
      </c>
      <c r="U50" s="108">
        <v>0.0599999999999999</v>
      </c>
      <c r="V50" s="108">
        <f t="shared" si="20"/>
        <v>0.31</v>
      </c>
      <c r="W50" s="104"/>
      <c r="X50" s="104"/>
      <c r="Y50" s="104"/>
      <c r="Z50" s="104"/>
      <c r="AA50" s="22"/>
      <c r="AB50" s="105"/>
      <c r="AC50" s="105"/>
      <c r="AD50" s="105"/>
      <c r="AE50" s="105"/>
      <c r="AF50" s="105"/>
      <c r="AG50" s="105"/>
      <c r="AH50" s="105"/>
      <c r="AI50" s="105"/>
      <c r="AJ50" s="105"/>
    </row>
    <row r="51" ht="21.75" customHeight="1" outlineLevel="2">
      <c r="A51" s="109" t="str">
        <f>IMAGE("https://images.wbstatic.net/big/new/18070000/18075947-1.jpg")</f>
        <v/>
      </c>
      <c r="B51" s="118" t="s">
        <v>66</v>
      </c>
      <c r="C51" s="88">
        <v>1.8075947E7</v>
      </c>
      <c r="D51" s="32"/>
      <c r="E51" s="89"/>
      <c r="F51" s="90">
        <v>877.0</v>
      </c>
      <c r="G51" s="91">
        <f>VLOOKUP(C51,'Сводная таблица 1'!$A$3:$F$108,2,FALSE)</f>
        <v>4</v>
      </c>
      <c r="H51" s="92">
        <f t="shared" si="13"/>
        <v>0.5714285714</v>
      </c>
      <c r="I51" s="93">
        <f t="shared" si="14"/>
        <v>1972.482</v>
      </c>
      <c r="J51" s="94">
        <f>VLOOKUP(C51,'Сводная таблица 1'!$A$3:$F$108,3,FALSE)</f>
        <v>5</v>
      </c>
      <c r="K51" s="92">
        <f t="shared" si="15"/>
        <v>0.7142857143</v>
      </c>
      <c r="L51" s="95">
        <f>VLOOKUP(C51,'Сводная таблица 1'!$A$3:$F$108,4,FALSE)</f>
        <v>9862.41</v>
      </c>
      <c r="M51" s="96">
        <f t="shared" si="16"/>
        <v>1095.482</v>
      </c>
      <c r="N51" s="97">
        <f t="shared" si="17"/>
        <v>11.24562144</v>
      </c>
      <c r="O51" s="98">
        <f>VLOOKUP(C51,'Сводная таблица 1'!$A$3:$F$108,5,FALSE)</f>
        <v>0</v>
      </c>
      <c r="P51" s="99">
        <f>VLOOKUP(C51,'Сводная таблица 1'!$A$3:$F$108,6,FALSE)</f>
        <v>173</v>
      </c>
      <c r="Q51" s="100">
        <f t="shared" si="18"/>
        <v>189518.386</v>
      </c>
      <c r="R51" s="101">
        <f t="shared" si="19"/>
        <v>242.2</v>
      </c>
      <c r="S51" s="115">
        <f t="shared" si="12"/>
        <v>0.38</v>
      </c>
      <c r="T51" s="108">
        <v>0.25</v>
      </c>
      <c r="U51" s="108">
        <v>0.0599999999999999</v>
      </c>
      <c r="V51" s="108">
        <f t="shared" si="20"/>
        <v>0.31</v>
      </c>
      <c r="W51" s="104"/>
      <c r="X51" s="104"/>
      <c r="Y51" s="104"/>
      <c r="Z51" s="104"/>
      <c r="AA51" s="22"/>
      <c r="AB51" s="105"/>
      <c r="AC51" s="105"/>
      <c r="AD51" s="105"/>
      <c r="AE51" s="105"/>
      <c r="AF51" s="105"/>
      <c r="AG51" s="105"/>
      <c r="AH51" s="105"/>
      <c r="AI51" s="105"/>
      <c r="AJ51" s="105"/>
    </row>
    <row r="52" ht="21.75" customHeight="1" outlineLevel="2">
      <c r="A52" s="109" t="str">
        <f>IMAGE("https://images.wbstatic.net/tm/new/18070000/18075948-1.jpg")</f>
        <v/>
      </c>
      <c r="B52" s="118" t="s">
        <v>67</v>
      </c>
      <c r="C52" s="88">
        <v>1.8075948E7</v>
      </c>
      <c r="D52" s="32"/>
      <c r="E52" s="89"/>
      <c r="F52" s="90">
        <v>860.0</v>
      </c>
      <c r="G52" s="91">
        <f>VLOOKUP(C52,'Сводная таблица 1'!$A$3:$F$108,2,FALSE)</f>
        <v>1</v>
      </c>
      <c r="H52" s="92">
        <f t="shared" si="13"/>
        <v>0.1428571429</v>
      </c>
      <c r="I52" s="120">
        <v>0.0</v>
      </c>
      <c r="J52" s="94">
        <f>VLOOKUP(C52,'Сводная таблица 1'!$A$3:$F$108,3,FALSE)</f>
        <v>0</v>
      </c>
      <c r="K52" s="92">
        <f t="shared" si="15"/>
        <v>0</v>
      </c>
      <c r="L52" s="95">
        <f>VLOOKUP(C52,'Сводная таблица 1'!$A$3:$F$108,4,FALSE)</f>
        <v>0</v>
      </c>
      <c r="M52" s="121">
        <v>0.0</v>
      </c>
      <c r="N52" s="97">
        <f t="shared" si="17"/>
        <v>0</v>
      </c>
      <c r="O52" s="98">
        <f>VLOOKUP(C52,'Сводная таблица 1'!$A$3:$F$108,5,FALSE)</f>
        <v>0</v>
      </c>
      <c r="P52" s="99">
        <f>VLOOKUP(C52,'Сводная таблица 1'!$A$3:$F$108,6,FALSE)</f>
        <v>18</v>
      </c>
      <c r="Q52" s="100">
        <f t="shared" si="18"/>
        <v>0</v>
      </c>
      <c r="R52" s="122">
        <v>0.0</v>
      </c>
      <c r="S52" s="115">
        <f t="shared" si="12"/>
        <v>0.38</v>
      </c>
      <c r="T52" s="108">
        <v>0.25</v>
      </c>
      <c r="U52" s="108">
        <v>0.0599999999999999</v>
      </c>
      <c r="V52" s="108">
        <f t="shared" si="20"/>
        <v>0.31</v>
      </c>
      <c r="W52" s="104"/>
      <c r="X52" s="104"/>
      <c r="Y52" s="104"/>
      <c r="Z52" s="104"/>
      <c r="AA52" s="22"/>
      <c r="AB52" s="105"/>
      <c r="AC52" s="105"/>
      <c r="AD52" s="105"/>
      <c r="AE52" s="105"/>
      <c r="AF52" s="105"/>
      <c r="AG52" s="105"/>
      <c r="AH52" s="105"/>
      <c r="AI52" s="105"/>
      <c r="AJ52" s="105"/>
    </row>
    <row r="53" ht="21.75" customHeight="1" outlineLevel="2">
      <c r="A53" s="109" t="str">
        <f>IMAGE("https://images.wbstatic.net/big/new/16300000/16307225-1.jpg")</f>
        <v/>
      </c>
      <c r="B53" s="87" t="s">
        <v>68</v>
      </c>
      <c r="C53" s="88">
        <v>1.6307225E7</v>
      </c>
      <c r="D53" s="32"/>
      <c r="E53" s="89"/>
      <c r="F53" s="90">
        <v>897.0</v>
      </c>
      <c r="G53" s="91">
        <f>VLOOKUP(C53,'Сводная таблица 1'!$A$3:$F$108,2,FALSE)</f>
        <v>9</v>
      </c>
      <c r="H53" s="92">
        <f t="shared" si="13"/>
        <v>1.285714286</v>
      </c>
      <c r="I53" s="93">
        <f>L53/J53</f>
        <v>2270.894286</v>
      </c>
      <c r="J53" s="94">
        <f>VLOOKUP(C53,'Сводная таблица 1'!$A$3:$F$108,3,FALSE)</f>
        <v>7</v>
      </c>
      <c r="K53" s="92">
        <f t="shared" si="15"/>
        <v>1</v>
      </c>
      <c r="L53" s="95">
        <f>VLOOKUP(C53,'Сводная таблица 1'!$A$3:$F$108,4,FALSE)</f>
        <v>15896.26</v>
      </c>
      <c r="M53" s="96">
        <f>I53-F53</f>
        <v>1373.894286</v>
      </c>
      <c r="N53" s="97">
        <f t="shared" si="17"/>
        <v>17.72158305</v>
      </c>
      <c r="O53" s="98">
        <f>VLOOKUP(C53,'Сводная таблица 1'!$A$3:$F$108,5,FALSE)</f>
        <v>0</v>
      </c>
      <c r="P53" s="99">
        <f>VLOOKUP(C53,'Сводная таблица 1'!$A$3:$F$108,6,FALSE)</f>
        <v>127</v>
      </c>
      <c r="Q53" s="100">
        <f t="shared" si="18"/>
        <v>174484.5743</v>
      </c>
      <c r="R53" s="101">
        <f>P53/K53</f>
        <v>127</v>
      </c>
      <c r="S53" s="115">
        <f t="shared" si="12"/>
        <v>0.38</v>
      </c>
      <c r="T53" s="108">
        <v>0.25</v>
      </c>
      <c r="U53" s="108">
        <v>0.0599999999999999</v>
      </c>
      <c r="V53" s="108">
        <f t="shared" si="20"/>
        <v>0.31</v>
      </c>
      <c r="W53" s="104"/>
      <c r="X53" s="104"/>
      <c r="Y53" s="104"/>
      <c r="Z53" s="104"/>
      <c r="AA53" s="22"/>
      <c r="AB53" s="105"/>
      <c r="AC53" s="105"/>
      <c r="AD53" s="105"/>
      <c r="AE53" s="105"/>
      <c r="AF53" s="105"/>
      <c r="AG53" s="105"/>
      <c r="AH53" s="105"/>
      <c r="AI53" s="105"/>
      <c r="AJ53" s="105"/>
    </row>
    <row r="54" ht="21.75" customHeight="1">
      <c r="A54" s="23"/>
      <c r="B54" s="123"/>
      <c r="C54" s="23"/>
      <c r="D54" s="23"/>
      <c r="E54" s="23"/>
      <c r="F54" s="124"/>
      <c r="G54" s="125"/>
      <c r="H54" s="104"/>
      <c r="I54" s="124"/>
      <c r="J54" s="126"/>
      <c r="K54" s="104"/>
      <c r="L54" s="124"/>
      <c r="M54" s="127"/>
      <c r="N54" s="22"/>
      <c r="O54" s="128"/>
      <c r="P54" s="129"/>
      <c r="Q54" s="130"/>
      <c r="R54" s="104"/>
      <c r="S54" s="131"/>
      <c r="T54" s="132"/>
      <c r="U54" s="132"/>
      <c r="V54" s="132"/>
      <c r="W54" s="104"/>
      <c r="X54" s="104"/>
      <c r="Y54" s="104"/>
      <c r="Z54" s="104"/>
      <c r="AA54" s="22"/>
      <c r="AB54" s="105"/>
      <c r="AC54" s="105"/>
      <c r="AD54" s="105"/>
      <c r="AE54" s="105"/>
      <c r="AF54" s="105"/>
      <c r="AG54" s="105"/>
      <c r="AH54" s="105"/>
      <c r="AI54" s="105"/>
      <c r="AJ54" s="105"/>
    </row>
    <row r="55" ht="21.75" customHeight="1">
      <c r="A55" s="23"/>
      <c r="B55" s="123"/>
      <c r="C55" s="23"/>
      <c r="D55" s="23"/>
      <c r="E55" s="23"/>
      <c r="F55" s="124"/>
      <c r="G55" s="125"/>
      <c r="H55" s="104"/>
      <c r="I55" s="124"/>
      <c r="J55" s="126"/>
      <c r="K55" s="104"/>
      <c r="L55" s="124"/>
      <c r="M55" s="127"/>
      <c r="N55" s="22"/>
      <c r="O55" s="128"/>
      <c r="P55" s="129"/>
      <c r="Q55" s="130"/>
      <c r="R55" s="104"/>
      <c r="S55" s="131"/>
      <c r="T55" s="132"/>
      <c r="U55" s="132"/>
      <c r="V55" s="132"/>
      <c r="W55" s="104"/>
      <c r="X55" s="104"/>
      <c r="Y55" s="104"/>
      <c r="Z55" s="104"/>
      <c r="AA55" s="22"/>
      <c r="AB55" s="105"/>
      <c r="AC55" s="105"/>
      <c r="AD55" s="105"/>
      <c r="AE55" s="105"/>
      <c r="AF55" s="105"/>
      <c r="AG55" s="105"/>
      <c r="AH55" s="105"/>
      <c r="AI55" s="105"/>
      <c r="AJ55" s="105"/>
    </row>
    <row r="56" ht="15.75" customHeight="1">
      <c r="A56" s="23"/>
      <c r="B56" s="123"/>
      <c r="C56" s="23"/>
      <c r="D56" s="23"/>
      <c r="E56" s="23"/>
      <c r="F56" s="124"/>
      <c r="G56" s="125"/>
      <c r="H56" s="104"/>
      <c r="I56" s="124"/>
      <c r="J56" s="126"/>
      <c r="K56" s="104"/>
      <c r="L56" s="124"/>
      <c r="M56" s="127"/>
      <c r="N56" s="22"/>
      <c r="O56" s="128"/>
      <c r="P56" s="129"/>
      <c r="Q56" s="130"/>
      <c r="R56" s="104"/>
      <c r="S56" s="131"/>
      <c r="T56" s="132"/>
      <c r="U56" s="132"/>
      <c r="V56" s="132"/>
      <c r="W56" s="104"/>
      <c r="X56" s="104"/>
      <c r="Y56" s="104"/>
      <c r="Z56" s="104"/>
      <c r="AA56" s="22"/>
      <c r="AB56" s="105"/>
      <c r="AC56" s="105"/>
      <c r="AD56" s="105"/>
      <c r="AE56" s="105"/>
      <c r="AF56" s="105"/>
      <c r="AG56" s="105"/>
      <c r="AH56" s="105"/>
      <c r="AI56" s="105"/>
      <c r="AJ56" s="105"/>
    </row>
    <row r="57" ht="15.75" customHeight="1">
      <c r="A57" s="23"/>
      <c r="B57" s="123"/>
      <c r="C57" s="23"/>
      <c r="D57" s="23"/>
      <c r="E57" s="23"/>
      <c r="F57" s="124"/>
      <c r="G57" s="125"/>
      <c r="H57" s="104"/>
      <c r="I57" s="124"/>
      <c r="J57" s="126"/>
      <c r="K57" s="104"/>
      <c r="L57" s="124"/>
      <c r="M57" s="127"/>
      <c r="N57" s="22"/>
      <c r="O57" s="128"/>
      <c r="P57" s="129"/>
      <c r="Q57" s="130"/>
      <c r="R57" s="104"/>
      <c r="S57" s="131"/>
      <c r="T57" s="132"/>
      <c r="U57" s="132"/>
      <c r="V57" s="132"/>
      <c r="W57" s="104"/>
      <c r="X57" s="104"/>
      <c r="Y57" s="104"/>
      <c r="Z57" s="104"/>
      <c r="AA57" s="22"/>
      <c r="AB57" s="105"/>
      <c r="AC57" s="105"/>
      <c r="AD57" s="105"/>
      <c r="AE57" s="105"/>
      <c r="AF57" s="105"/>
      <c r="AG57" s="105"/>
      <c r="AH57" s="105"/>
      <c r="AI57" s="105"/>
      <c r="AJ57" s="105"/>
    </row>
    <row r="58" ht="15.75" customHeight="1">
      <c r="A58" s="23"/>
      <c r="B58" s="123"/>
      <c r="C58" s="23"/>
      <c r="D58" s="23"/>
      <c r="E58" s="23"/>
      <c r="F58" s="124"/>
      <c r="G58" s="125"/>
      <c r="H58" s="104"/>
      <c r="I58" s="124"/>
      <c r="J58" s="126"/>
      <c r="K58" s="104"/>
      <c r="L58" s="124"/>
      <c r="M58" s="127"/>
      <c r="N58" s="22"/>
      <c r="O58" s="128"/>
      <c r="P58" s="129"/>
      <c r="Q58" s="130"/>
      <c r="R58" s="104"/>
      <c r="S58" s="131"/>
      <c r="T58" s="132"/>
      <c r="U58" s="132"/>
      <c r="V58" s="132"/>
      <c r="W58" s="104"/>
      <c r="X58" s="104"/>
      <c r="Y58" s="104"/>
      <c r="Z58" s="104"/>
      <c r="AA58" s="22"/>
      <c r="AB58" s="105"/>
      <c r="AC58" s="105"/>
      <c r="AD58" s="105"/>
      <c r="AE58" s="105"/>
      <c r="AF58" s="105"/>
      <c r="AG58" s="105"/>
      <c r="AH58" s="105"/>
      <c r="AI58" s="105"/>
      <c r="AJ58" s="105"/>
    </row>
    <row r="59" ht="15.75" customHeight="1">
      <c r="A59" s="23"/>
      <c r="B59" s="123"/>
      <c r="C59" s="23"/>
      <c r="D59" s="23"/>
      <c r="E59" s="23"/>
      <c r="F59" s="124"/>
      <c r="G59" s="125"/>
      <c r="H59" s="104"/>
      <c r="I59" s="124"/>
      <c r="J59" s="126"/>
      <c r="K59" s="104"/>
      <c r="L59" s="124"/>
      <c r="M59" s="127"/>
      <c r="N59" s="22"/>
      <c r="O59" s="128"/>
      <c r="P59" s="129"/>
      <c r="Q59" s="130"/>
      <c r="R59" s="104"/>
      <c r="S59" s="131"/>
      <c r="T59" s="132"/>
      <c r="U59" s="132"/>
      <c r="V59" s="132"/>
      <c r="W59" s="104"/>
      <c r="X59" s="104"/>
      <c r="Y59" s="104"/>
      <c r="Z59" s="104"/>
      <c r="AA59" s="22"/>
      <c r="AB59" s="105"/>
      <c r="AC59" s="105"/>
      <c r="AD59" s="105"/>
      <c r="AE59" s="105"/>
      <c r="AF59" s="105"/>
      <c r="AG59" s="105"/>
      <c r="AH59" s="105"/>
      <c r="AI59" s="105"/>
      <c r="AJ59" s="105"/>
    </row>
    <row r="60" ht="15.75" customHeight="1">
      <c r="A60" s="23"/>
      <c r="B60" s="123"/>
      <c r="C60" s="23"/>
      <c r="D60" s="23"/>
      <c r="E60" s="23"/>
      <c r="F60" s="124"/>
      <c r="G60" s="125"/>
      <c r="H60" s="104"/>
      <c r="I60" s="124"/>
      <c r="J60" s="126"/>
      <c r="K60" s="104"/>
      <c r="L60" s="124"/>
      <c r="M60" s="127"/>
      <c r="N60" s="22"/>
      <c r="O60" s="128"/>
      <c r="P60" s="129"/>
      <c r="Q60" s="130"/>
      <c r="R60" s="104"/>
      <c r="S60" s="131"/>
      <c r="T60" s="132"/>
      <c r="U60" s="132"/>
      <c r="V60" s="132"/>
      <c r="W60" s="104"/>
      <c r="X60" s="104"/>
      <c r="Y60" s="104"/>
      <c r="Z60" s="104"/>
      <c r="AA60" s="22"/>
      <c r="AB60" s="105"/>
      <c r="AC60" s="105"/>
      <c r="AD60" s="105"/>
      <c r="AE60" s="105"/>
      <c r="AF60" s="105"/>
      <c r="AG60" s="105"/>
      <c r="AH60" s="105"/>
      <c r="AI60" s="105"/>
      <c r="AJ60" s="105"/>
    </row>
    <row r="61" ht="15.75" customHeight="1">
      <c r="A61" s="23"/>
      <c r="B61" s="123"/>
      <c r="C61" s="23"/>
      <c r="D61" s="23"/>
      <c r="E61" s="23"/>
      <c r="F61" s="124"/>
      <c r="G61" s="125"/>
      <c r="H61" s="104"/>
      <c r="I61" s="124"/>
      <c r="J61" s="126"/>
      <c r="K61" s="104"/>
      <c r="L61" s="124"/>
      <c r="M61" s="127"/>
      <c r="N61" s="22"/>
      <c r="O61" s="128"/>
      <c r="P61" s="129"/>
      <c r="Q61" s="130"/>
      <c r="R61" s="104"/>
      <c r="S61" s="131"/>
      <c r="T61" s="132"/>
      <c r="U61" s="132"/>
      <c r="V61" s="132"/>
      <c r="W61" s="104"/>
      <c r="X61" s="104"/>
      <c r="Y61" s="104"/>
      <c r="Z61" s="104"/>
      <c r="AA61" s="22"/>
      <c r="AB61" s="105"/>
      <c r="AC61" s="105"/>
      <c r="AD61" s="105"/>
      <c r="AE61" s="105"/>
      <c r="AF61" s="105"/>
      <c r="AG61" s="105"/>
      <c r="AH61" s="105"/>
      <c r="AI61" s="105"/>
      <c r="AJ61" s="105"/>
    </row>
    <row r="62" ht="15.75" customHeight="1">
      <c r="A62" s="23"/>
      <c r="B62" s="123"/>
      <c r="C62" s="23"/>
      <c r="D62" s="23"/>
      <c r="E62" s="23"/>
      <c r="F62" s="124"/>
      <c r="G62" s="125"/>
      <c r="H62" s="104"/>
      <c r="I62" s="124"/>
      <c r="J62" s="126"/>
      <c r="K62" s="104"/>
      <c r="L62" s="124"/>
      <c r="M62" s="127"/>
      <c r="N62" s="22"/>
      <c r="O62" s="128"/>
      <c r="P62" s="129"/>
      <c r="Q62" s="130"/>
      <c r="R62" s="104"/>
      <c r="S62" s="131"/>
      <c r="T62" s="132"/>
      <c r="U62" s="132"/>
      <c r="V62" s="132"/>
      <c r="W62" s="104"/>
      <c r="X62" s="104"/>
      <c r="Y62" s="104"/>
      <c r="Z62" s="104"/>
      <c r="AA62" s="22"/>
      <c r="AB62" s="105"/>
      <c r="AC62" s="105"/>
      <c r="AD62" s="105"/>
      <c r="AE62" s="105"/>
      <c r="AF62" s="105"/>
      <c r="AG62" s="105"/>
      <c r="AH62" s="105"/>
      <c r="AI62" s="105"/>
      <c r="AJ62" s="105"/>
    </row>
    <row r="63" ht="15.75" customHeight="1">
      <c r="A63" s="23"/>
      <c r="B63" s="123"/>
      <c r="C63" s="23"/>
      <c r="D63" s="23"/>
      <c r="E63" s="23"/>
      <c r="F63" s="124"/>
      <c r="G63" s="125"/>
      <c r="H63" s="104"/>
      <c r="I63" s="124"/>
      <c r="J63" s="126"/>
      <c r="K63" s="104"/>
      <c r="L63" s="124"/>
      <c r="M63" s="127"/>
      <c r="N63" s="22"/>
      <c r="O63" s="128"/>
      <c r="P63" s="129"/>
      <c r="Q63" s="130"/>
      <c r="R63" s="104"/>
      <c r="S63" s="131"/>
      <c r="T63" s="132"/>
      <c r="U63" s="132"/>
      <c r="V63" s="132"/>
      <c r="W63" s="104"/>
      <c r="X63" s="104"/>
      <c r="Y63" s="104"/>
      <c r="Z63" s="104"/>
      <c r="AA63" s="22"/>
      <c r="AB63" s="105"/>
      <c r="AC63" s="105"/>
      <c r="AD63" s="105"/>
      <c r="AE63" s="105"/>
      <c r="AF63" s="105"/>
      <c r="AG63" s="105"/>
      <c r="AH63" s="105"/>
      <c r="AI63" s="105"/>
      <c r="AJ63" s="105"/>
    </row>
    <row r="64" ht="15.75" customHeight="1">
      <c r="A64" s="23"/>
      <c r="B64" s="123"/>
      <c r="C64" s="23"/>
      <c r="D64" s="23"/>
      <c r="E64" s="23"/>
      <c r="F64" s="124"/>
      <c r="G64" s="125"/>
      <c r="H64" s="104"/>
      <c r="I64" s="124"/>
      <c r="J64" s="126"/>
      <c r="K64" s="104"/>
      <c r="L64" s="124"/>
      <c r="M64" s="127"/>
      <c r="N64" s="22"/>
      <c r="O64" s="128"/>
      <c r="P64" s="129"/>
      <c r="Q64" s="130"/>
      <c r="R64" s="104"/>
      <c r="S64" s="131"/>
      <c r="T64" s="132"/>
      <c r="U64" s="132"/>
      <c r="V64" s="132"/>
      <c r="W64" s="104"/>
      <c r="X64" s="104"/>
      <c r="Y64" s="104"/>
      <c r="Z64" s="104"/>
      <c r="AA64" s="22"/>
      <c r="AB64" s="105"/>
      <c r="AC64" s="105"/>
      <c r="AD64" s="105"/>
      <c r="AE64" s="105"/>
      <c r="AF64" s="105"/>
      <c r="AG64" s="105"/>
      <c r="AH64" s="105"/>
      <c r="AI64" s="105"/>
      <c r="AJ64" s="105"/>
    </row>
    <row r="65" ht="15.75" customHeight="1">
      <c r="A65" s="23"/>
      <c r="B65" s="123"/>
      <c r="C65" s="23"/>
      <c r="D65" s="23"/>
      <c r="E65" s="23"/>
      <c r="F65" s="124"/>
      <c r="G65" s="125"/>
      <c r="H65" s="104"/>
      <c r="I65" s="124"/>
      <c r="J65" s="126"/>
      <c r="K65" s="104"/>
      <c r="L65" s="124"/>
      <c r="M65" s="127"/>
      <c r="N65" s="22"/>
      <c r="O65" s="128"/>
      <c r="P65" s="129"/>
      <c r="Q65" s="130"/>
      <c r="R65" s="104"/>
      <c r="S65" s="131"/>
      <c r="T65" s="132"/>
      <c r="U65" s="132"/>
      <c r="V65" s="132"/>
      <c r="W65" s="104"/>
      <c r="X65" s="104"/>
      <c r="Y65" s="104"/>
      <c r="Z65" s="104"/>
      <c r="AA65" s="22"/>
      <c r="AB65" s="105"/>
      <c r="AC65" s="105"/>
      <c r="AD65" s="105"/>
      <c r="AE65" s="105"/>
      <c r="AF65" s="105"/>
      <c r="AG65" s="105"/>
      <c r="AH65" s="105"/>
      <c r="AI65" s="105"/>
      <c r="AJ65" s="105"/>
    </row>
    <row r="66" ht="15.75" customHeight="1">
      <c r="A66" s="23"/>
      <c r="B66" s="123"/>
      <c r="C66" s="23"/>
      <c r="D66" s="23"/>
      <c r="E66" s="23"/>
      <c r="F66" s="124"/>
      <c r="G66" s="125"/>
      <c r="H66" s="104"/>
      <c r="I66" s="124"/>
      <c r="J66" s="126"/>
      <c r="K66" s="104"/>
      <c r="L66" s="124"/>
      <c r="M66" s="127"/>
      <c r="N66" s="22"/>
      <c r="O66" s="128"/>
      <c r="P66" s="129"/>
      <c r="Q66" s="130"/>
      <c r="R66" s="104"/>
      <c r="S66" s="131"/>
      <c r="T66" s="132"/>
      <c r="U66" s="132"/>
      <c r="V66" s="132"/>
      <c r="W66" s="104"/>
      <c r="X66" s="104"/>
      <c r="Y66" s="104"/>
      <c r="Z66" s="104"/>
      <c r="AA66" s="22"/>
      <c r="AB66" s="105"/>
      <c r="AC66" s="105"/>
      <c r="AD66" s="105"/>
      <c r="AE66" s="105"/>
      <c r="AF66" s="105"/>
      <c r="AG66" s="105"/>
      <c r="AH66" s="105"/>
      <c r="AI66" s="105"/>
      <c r="AJ66" s="105"/>
    </row>
    <row r="67" ht="15.75" customHeight="1">
      <c r="A67" s="23"/>
      <c r="B67" s="123"/>
      <c r="C67" s="23"/>
      <c r="D67" s="23"/>
      <c r="E67" s="23"/>
      <c r="F67" s="124"/>
      <c r="G67" s="125"/>
      <c r="H67" s="104"/>
      <c r="I67" s="124"/>
      <c r="J67" s="126"/>
      <c r="K67" s="104"/>
      <c r="L67" s="124"/>
      <c r="M67" s="127"/>
      <c r="N67" s="22"/>
      <c r="O67" s="128"/>
      <c r="P67" s="129"/>
      <c r="Q67" s="130"/>
      <c r="R67" s="104"/>
      <c r="S67" s="131"/>
      <c r="T67" s="132"/>
      <c r="U67" s="132"/>
      <c r="V67" s="132"/>
      <c r="W67" s="104"/>
      <c r="X67" s="104"/>
      <c r="Y67" s="104"/>
      <c r="Z67" s="104"/>
      <c r="AA67" s="22"/>
      <c r="AB67" s="105"/>
      <c r="AC67" s="105"/>
      <c r="AD67" s="105"/>
      <c r="AE67" s="105"/>
      <c r="AF67" s="105"/>
      <c r="AG67" s="105"/>
      <c r="AH67" s="105"/>
      <c r="AI67" s="105"/>
      <c r="AJ67" s="105"/>
    </row>
    <row r="68" ht="15.75" customHeight="1">
      <c r="A68" s="23"/>
      <c r="B68" s="123"/>
      <c r="C68" s="23"/>
      <c r="D68" s="23"/>
      <c r="E68" s="23"/>
      <c r="F68" s="124"/>
      <c r="G68" s="125"/>
      <c r="H68" s="104"/>
      <c r="I68" s="124"/>
      <c r="J68" s="126"/>
      <c r="K68" s="104"/>
      <c r="L68" s="124"/>
      <c r="M68" s="127"/>
      <c r="N68" s="22"/>
      <c r="O68" s="128"/>
      <c r="P68" s="129"/>
      <c r="Q68" s="130"/>
      <c r="R68" s="104"/>
      <c r="S68" s="131"/>
      <c r="T68" s="132"/>
      <c r="U68" s="132"/>
      <c r="V68" s="132"/>
      <c r="W68" s="104"/>
      <c r="X68" s="104"/>
      <c r="Y68" s="104"/>
      <c r="Z68" s="104"/>
      <c r="AA68" s="22"/>
      <c r="AB68" s="105"/>
      <c r="AC68" s="105"/>
      <c r="AD68" s="105"/>
      <c r="AE68" s="105"/>
      <c r="AF68" s="105"/>
      <c r="AG68" s="105"/>
      <c r="AH68" s="105"/>
      <c r="AI68" s="105"/>
      <c r="AJ68" s="105"/>
    </row>
    <row r="69" ht="15.75" customHeight="1">
      <c r="A69" s="23"/>
      <c r="B69" s="123"/>
      <c r="C69" s="23"/>
      <c r="D69" s="23"/>
      <c r="E69" s="23"/>
      <c r="F69" s="124"/>
      <c r="G69" s="125"/>
      <c r="H69" s="104"/>
      <c r="I69" s="124"/>
      <c r="J69" s="126"/>
      <c r="K69" s="104"/>
      <c r="L69" s="124"/>
      <c r="M69" s="127"/>
      <c r="N69" s="22"/>
      <c r="O69" s="128"/>
      <c r="P69" s="129"/>
      <c r="Q69" s="130"/>
      <c r="R69" s="104"/>
      <c r="S69" s="131"/>
      <c r="T69" s="132"/>
      <c r="U69" s="132"/>
      <c r="V69" s="132"/>
      <c r="W69" s="104"/>
      <c r="X69" s="104"/>
      <c r="Y69" s="104"/>
      <c r="Z69" s="104"/>
      <c r="AA69" s="22"/>
      <c r="AB69" s="105"/>
      <c r="AC69" s="105"/>
      <c r="AD69" s="105"/>
      <c r="AE69" s="105"/>
      <c r="AF69" s="105"/>
      <c r="AG69" s="105"/>
      <c r="AH69" s="105"/>
      <c r="AI69" s="105"/>
      <c r="AJ69" s="105"/>
    </row>
    <row r="70" ht="15.75" customHeight="1">
      <c r="A70" s="23"/>
      <c r="B70" s="123"/>
      <c r="C70" s="23"/>
      <c r="D70" s="23"/>
      <c r="E70" s="23"/>
      <c r="F70" s="124"/>
      <c r="G70" s="125"/>
      <c r="H70" s="104"/>
      <c r="I70" s="124"/>
      <c r="J70" s="126"/>
      <c r="K70" s="104"/>
      <c r="L70" s="124"/>
      <c r="M70" s="127"/>
      <c r="N70" s="22"/>
      <c r="O70" s="128"/>
      <c r="P70" s="129"/>
      <c r="Q70" s="130"/>
      <c r="R70" s="104"/>
      <c r="S70" s="131"/>
      <c r="T70" s="132"/>
      <c r="U70" s="132"/>
      <c r="V70" s="132"/>
      <c r="W70" s="104"/>
      <c r="X70" s="104"/>
      <c r="Y70" s="104"/>
      <c r="Z70" s="104"/>
      <c r="AA70" s="22"/>
      <c r="AB70" s="105"/>
      <c r="AC70" s="105"/>
      <c r="AD70" s="105"/>
      <c r="AE70" s="105"/>
      <c r="AF70" s="105"/>
      <c r="AG70" s="105"/>
      <c r="AH70" s="105"/>
      <c r="AI70" s="105"/>
      <c r="AJ70" s="105"/>
    </row>
    <row r="71" ht="15.75" customHeight="1">
      <c r="A71" s="23"/>
      <c r="B71" s="123"/>
      <c r="C71" s="23"/>
      <c r="D71" s="23"/>
      <c r="E71" s="23"/>
      <c r="F71" s="124"/>
      <c r="G71" s="125"/>
      <c r="H71" s="104"/>
      <c r="I71" s="124"/>
      <c r="J71" s="126"/>
      <c r="K71" s="104"/>
      <c r="L71" s="124"/>
      <c r="M71" s="127"/>
      <c r="N71" s="22"/>
      <c r="O71" s="128"/>
      <c r="P71" s="129"/>
      <c r="Q71" s="130"/>
      <c r="R71" s="104"/>
      <c r="S71" s="131"/>
      <c r="T71" s="132"/>
      <c r="U71" s="132"/>
      <c r="V71" s="132"/>
      <c r="W71" s="104"/>
      <c r="X71" s="104"/>
      <c r="Y71" s="104"/>
      <c r="Z71" s="104"/>
      <c r="AA71" s="22"/>
      <c r="AB71" s="105"/>
      <c r="AC71" s="105"/>
      <c r="AD71" s="105"/>
      <c r="AE71" s="105"/>
      <c r="AF71" s="105"/>
      <c r="AG71" s="105"/>
      <c r="AH71" s="105"/>
      <c r="AI71" s="105"/>
      <c r="AJ71" s="105"/>
    </row>
    <row r="72" ht="15.75" customHeight="1">
      <c r="A72" s="23"/>
      <c r="B72" s="123"/>
      <c r="C72" s="23"/>
      <c r="D72" s="23"/>
      <c r="E72" s="23"/>
      <c r="F72" s="124"/>
      <c r="G72" s="125"/>
      <c r="H72" s="104"/>
      <c r="I72" s="124"/>
      <c r="J72" s="126"/>
      <c r="K72" s="104"/>
      <c r="L72" s="124"/>
      <c r="M72" s="127"/>
      <c r="N72" s="22"/>
      <c r="O72" s="128"/>
      <c r="P72" s="129"/>
      <c r="Q72" s="130"/>
      <c r="R72" s="104"/>
      <c r="S72" s="131"/>
      <c r="T72" s="132"/>
      <c r="U72" s="132"/>
      <c r="V72" s="132"/>
      <c r="W72" s="104"/>
      <c r="X72" s="104"/>
      <c r="Y72" s="104"/>
      <c r="Z72" s="104"/>
      <c r="AA72" s="22"/>
      <c r="AB72" s="105"/>
      <c r="AC72" s="105"/>
      <c r="AD72" s="105"/>
      <c r="AE72" s="105"/>
      <c r="AF72" s="105"/>
      <c r="AG72" s="105"/>
      <c r="AH72" s="105"/>
      <c r="AI72" s="105"/>
      <c r="AJ72" s="105"/>
    </row>
    <row r="73" ht="15.75" customHeight="1">
      <c r="A73" s="23"/>
      <c r="B73" s="123"/>
      <c r="C73" s="23"/>
      <c r="D73" s="23"/>
      <c r="E73" s="23"/>
      <c r="F73" s="124"/>
      <c r="G73" s="125"/>
      <c r="H73" s="104"/>
      <c r="I73" s="124"/>
      <c r="J73" s="126"/>
      <c r="K73" s="104"/>
      <c r="L73" s="124"/>
      <c r="M73" s="127"/>
      <c r="N73" s="22"/>
      <c r="O73" s="128"/>
      <c r="P73" s="129"/>
      <c r="Q73" s="130"/>
      <c r="R73" s="104"/>
      <c r="S73" s="131"/>
      <c r="T73" s="132"/>
      <c r="U73" s="132"/>
      <c r="V73" s="132"/>
      <c r="W73" s="104"/>
      <c r="X73" s="104"/>
      <c r="Y73" s="104"/>
      <c r="Z73" s="104"/>
      <c r="AA73" s="22"/>
      <c r="AB73" s="105"/>
      <c r="AC73" s="105"/>
      <c r="AD73" s="105"/>
      <c r="AE73" s="105"/>
      <c r="AF73" s="105"/>
      <c r="AG73" s="105"/>
      <c r="AH73" s="105"/>
      <c r="AI73" s="105"/>
      <c r="AJ73" s="105"/>
    </row>
    <row r="74" ht="15.75" customHeight="1">
      <c r="A74" s="23"/>
      <c r="B74" s="123"/>
      <c r="C74" s="23"/>
      <c r="D74" s="23"/>
      <c r="E74" s="23"/>
      <c r="F74" s="124"/>
      <c r="G74" s="125"/>
      <c r="H74" s="104"/>
      <c r="I74" s="124"/>
      <c r="J74" s="126"/>
      <c r="K74" s="104"/>
      <c r="L74" s="124"/>
      <c r="M74" s="127"/>
      <c r="N74" s="22"/>
      <c r="O74" s="128"/>
      <c r="P74" s="129"/>
      <c r="Q74" s="130"/>
      <c r="R74" s="104"/>
      <c r="S74" s="131"/>
      <c r="T74" s="132"/>
      <c r="U74" s="132"/>
      <c r="V74" s="132"/>
      <c r="W74" s="104"/>
      <c r="X74" s="104"/>
      <c r="Y74" s="104"/>
      <c r="Z74" s="104"/>
      <c r="AA74" s="22"/>
      <c r="AB74" s="105"/>
      <c r="AC74" s="105"/>
      <c r="AD74" s="105"/>
      <c r="AE74" s="105"/>
      <c r="AF74" s="105"/>
      <c r="AG74" s="105"/>
      <c r="AH74" s="105"/>
      <c r="AI74" s="105"/>
      <c r="AJ74" s="105"/>
    </row>
    <row r="75" ht="15.75" customHeight="1">
      <c r="A75" s="23"/>
      <c r="B75" s="123"/>
      <c r="C75" s="23"/>
      <c r="D75" s="23"/>
      <c r="E75" s="23"/>
      <c r="F75" s="124"/>
      <c r="G75" s="125"/>
      <c r="H75" s="104"/>
      <c r="I75" s="124"/>
      <c r="J75" s="126"/>
      <c r="K75" s="104"/>
      <c r="L75" s="124"/>
      <c r="M75" s="127"/>
      <c r="N75" s="22"/>
      <c r="O75" s="128"/>
      <c r="P75" s="129"/>
      <c r="Q75" s="130"/>
      <c r="R75" s="104"/>
      <c r="S75" s="131"/>
      <c r="T75" s="132"/>
      <c r="U75" s="132"/>
      <c r="V75" s="132"/>
      <c r="W75" s="104"/>
      <c r="X75" s="104"/>
      <c r="Y75" s="104"/>
      <c r="Z75" s="104"/>
      <c r="AA75" s="22"/>
      <c r="AB75" s="105"/>
      <c r="AC75" s="105"/>
      <c r="AD75" s="105"/>
      <c r="AE75" s="105"/>
      <c r="AF75" s="105"/>
      <c r="AG75" s="105"/>
      <c r="AH75" s="105"/>
      <c r="AI75" s="105"/>
      <c r="AJ75" s="105"/>
    </row>
    <row r="76" ht="15.75" customHeight="1">
      <c r="A76" s="23"/>
      <c r="B76" s="123"/>
      <c r="C76" s="23"/>
      <c r="D76" s="23"/>
      <c r="E76" s="23"/>
      <c r="F76" s="124"/>
      <c r="G76" s="125"/>
      <c r="H76" s="104"/>
      <c r="I76" s="124"/>
      <c r="J76" s="126"/>
      <c r="K76" s="104"/>
      <c r="L76" s="124"/>
      <c r="M76" s="127"/>
      <c r="N76" s="22"/>
      <c r="O76" s="128"/>
      <c r="P76" s="129"/>
      <c r="Q76" s="130"/>
      <c r="R76" s="104"/>
      <c r="S76" s="131"/>
      <c r="T76" s="132"/>
      <c r="U76" s="132"/>
      <c r="V76" s="132"/>
      <c r="W76" s="104"/>
      <c r="X76" s="104"/>
      <c r="Y76" s="104"/>
      <c r="Z76" s="104"/>
      <c r="AA76" s="22"/>
      <c r="AB76" s="105"/>
      <c r="AC76" s="105"/>
      <c r="AD76" s="105"/>
      <c r="AE76" s="105"/>
      <c r="AF76" s="105"/>
      <c r="AG76" s="105"/>
      <c r="AH76" s="105"/>
      <c r="AI76" s="105"/>
      <c r="AJ76" s="105"/>
    </row>
    <row r="77" ht="15.75" customHeight="1">
      <c r="A77" s="23"/>
      <c r="B77" s="123"/>
      <c r="C77" s="23"/>
      <c r="D77" s="23"/>
      <c r="E77" s="23"/>
      <c r="F77" s="124"/>
      <c r="G77" s="125"/>
      <c r="H77" s="104"/>
      <c r="I77" s="124"/>
      <c r="J77" s="126"/>
      <c r="K77" s="104"/>
      <c r="L77" s="124"/>
      <c r="M77" s="127"/>
      <c r="N77" s="22"/>
      <c r="O77" s="128"/>
      <c r="P77" s="129"/>
      <c r="Q77" s="130"/>
      <c r="R77" s="104"/>
      <c r="S77" s="131"/>
      <c r="T77" s="132"/>
      <c r="U77" s="132"/>
      <c r="V77" s="132"/>
      <c r="W77" s="104"/>
      <c r="X77" s="104"/>
      <c r="Y77" s="104"/>
      <c r="Z77" s="104"/>
      <c r="AA77" s="22"/>
      <c r="AB77" s="105"/>
      <c r="AC77" s="105"/>
      <c r="AD77" s="105"/>
      <c r="AE77" s="105"/>
      <c r="AF77" s="105"/>
      <c r="AG77" s="105"/>
      <c r="AH77" s="105"/>
      <c r="AI77" s="105"/>
      <c r="AJ77" s="105"/>
    </row>
    <row r="78" ht="15.75" customHeight="1">
      <c r="A78" s="23"/>
      <c r="B78" s="123"/>
      <c r="C78" s="23"/>
      <c r="D78" s="23"/>
      <c r="E78" s="23"/>
      <c r="F78" s="124"/>
      <c r="G78" s="125"/>
      <c r="H78" s="104"/>
      <c r="I78" s="124"/>
      <c r="J78" s="126"/>
      <c r="K78" s="104"/>
      <c r="L78" s="124"/>
      <c r="M78" s="127"/>
      <c r="N78" s="22"/>
      <c r="O78" s="128"/>
      <c r="P78" s="129"/>
      <c r="Q78" s="130"/>
      <c r="R78" s="104"/>
      <c r="S78" s="131"/>
      <c r="T78" s="132"/>
      <c r="U78" s="132"/>
      <c r="V78" s="132"/>
      <c r="W78" s="104"/>
      <c r="X78" s="104"/>
      <c r="Y78" s="104"/>
      <c r="Z78" s="104"/>
      <c r="AA78" s="22"/>
      <c r="AB78" s="105"/>
      <c r="AC78" s="105"/>
      <c r="AD78" s="105"/>
      <c r="AE78" s="105"/>
      <c r="AF78" s="105"/>
      <c r="AG78" s="105"/>
      <c r="AH78" s="105"/>
      <c r="AI78" s="105"/>
      <c r="AJ78" s="105"/>
    </row>
    <row r="79" ht="15.75" customHeight="1">
      <c r="A79" s="23"/>
      <c r="B79" s="123"/>
      <c r="C79" s="23"/>
      <c r="D79" s="23"/>
      <c r="E79" s="23"/>
      <c r="F79" s="124"/>
      <c r="G79" s="125"/>
      <c r="H79" s="104"/>
      <c r="I79" s="124"/>
      <c r="J79" s="126"/>
      <c r="K79" s="104"/>
      <c r="L79" s="124"/>
      <c r="M79" s="127"/>
      <c r="N79" s="22"/>
      <c r="O79" s="128"/>
      <c r="P79" s="129"/>
      <c r="Q79" s="130"/>
      <c r="R79" s="104"/>
      <c r="S79" s="131"/>
      <c r="T79" s="132"/>
      <c r="U79" s="132"/>
      <c r="V79" s="132"/>
      <c r="W79" s="104"/>
      <c r="X79" s="104"/>
      <c r="Y79" s="104"/>
      <c r="Z79" s="104"/>
      <c r="AA79" s="22"/>
      <c r="AB79" s="105"/>
      <c r="AC79" s="105"/>
      <c r="AD79" s="105"/>
      <c r="AE79" s="105"/>
      <c r="AF79" s="105"/>
      <c r="AG79" s="105"/>
      <c r="AH79" s="105"/>
      <c r="AI79" s="105"/>
      <c r="AJ79" s="105"/>
    </row>
    <row r="80" ht="15.75" customHeight="1">
      <c r="A80" s="23"/>
      <c r="B80" s="123"/>
      <c r="C80" s="23"/>
      <c r="D80" s="23"/>
      <c r="E80" s="23"/>
      <c r="F80" s="124"/>
      <c r="G80" s="125"/>
      <c r="H80" s="104"/>
      <c r="I80" s="124"/>
      <c r="J80" s="126"/>
      <c r="K80" s="104"/>
      <c r="L80" s="124"/>
      <c r="M80" s="127"/>
      <c r="N80" s="22"/>
      <c r="O80" s="128"/>
      <c r="P80" s="129"/>
      <c r="Q80" s="130"/>
      <c r="R80" s="104"/>
      <c r="S80" s="131"/>
      <c r="T80" s="132"/>
      <c r="U80" s="132"/>
      <c r="V80" s="132"/>
      <c r="W80" s="104"/>
      <c r="X80" s="104"/>
      <c r="Y80" s="104"/>
      <c r="Z80" s="104"/>
      <c r="AA80" s="22"/>
      <c r="AB80" s="105"/>
      <c r="AC80" s="105"/>
      <c r="AD80" s="105"/>
      <c r="AE80" s="105"/>
      <c r="AF80" s="105"/>
      <c r="AG80" s="105"/>
      <c r="AH80" s="105"/>
      <c r="AI80" s="105"/>
      <c r="AJ80" s="105"/>
    </row>
    <row r="81" ht="15.75" customHeight="1">
      <c r="A81" s="23"/>
      <c r="B81" s="123"/>
      <c r="C81" s="23"/>
      <c r="D81" s="23"/>
      <c r="E81" s="23"/>
      <c r="F81" s="124"/>
      <c r="G81" s="125"/>
      <c r="H81" s="104"/>
      <c r="I81" s="124"/>
      <c r="J81" s="126"/>
      <c r="K81" s="104"/>
      <c r="L81" s="124"/>
      <c r="M81" s="127"/>
      <c r="N81" s="22"/>
      <c r="O81" s="128"/>
      <c r="P81" s="129"/>
      <c r="Q81" s="130"/>
      <c r="R81" s="104"/>
      <c r="S81" s="131"/>
      <c r="T81" s="132"/>
      <c r="U81" s="132"/>
      <c r="V81" s="132"/>
      <c r="W81" s="104"/>
      <c r="X81" s="104"/>
      <c r="Y81" s="104"/>
      <c r="Z81" s="104"/>
      <c r="AA81" s="22"/>
      <c r="AB81" s="105"/>
      <c r="AC81" s="105"/>
      <c r="AD81" s="105"/>
      <c r="AE81" s="105"/>
      <c r="AF81" s="105"/>
      <c r="AG81" s="105"/>
      <c r="AH81" s="105"/>
      <c r="AI81" s="105"/>
      <c r="AJ81" s="105"/>
    </row>
    <row r="82" ht="15.75" customHeight="1">
      <c r="A82" s="23"/>
      <c r="B82" s="123"/>
      <c r="C82" s="23"/>
      <c r="D82" s="23"/>
      <c r="E82" s="23"/>
      <c r="F82" s="124"/>
      <c r="G82" s="125"/>
      <c r="H82" s="104"/>
      <c r="I82" s="124"/>
      <c r="J82" s="126"/>
      <c r="K82" s="104"/>
      <c r="L82" s="124"/>
      <c r="M82" s="127"/>
      <c r="N82" s="22"/>
      <c r="O82" s="128"/>
      <c r="P82" s="129"/>
      <c r="Q82" s="130"/>
      <c r="R82" s="104"/>
      <c r="S82" s="131"/>
      <c r="T82" s="132"/>
      <c r="U82" s="132"/>
      <c r="V82" s="132"/>
      <c r="W82" s="104"/>
      <c r="X82" s="104"/>
      <c r="Y82" s="104"/>
      <c r="Z82" s="104"/>
      <c r="AA82" s="22"/>
      <c r="AB82" s="105"/>
      <c r="AC82" s="105"/>
      <c r="AD82" s="105"/>
      <c r="AE82" s="105"/>
      <c r="AF82" s="105"/>
      <c r="AG82" s="105"/>
      <c r="AH82" s="105"/>
      <c r="AI82" s="105"/>
      <c r="AJ82" s="105"/>
    </row>
    <row r="83" ht="15.75" customHeight="1">
      <c r="A83" s="23"/>
      <c r="B83" s="123"/>
      <c r="C83" s="23"/>
      <c r="D83" s="23"/>
      <c r="E83" s="23"/>
      <c r="F83" s="124"/>
      <c r="G83" s="125"/>
      <c r="H83" s="104"/>
      <c r="I83" s="124"/>
      <c r="J83" s="126"/>
      <c r="K83" s="104"/>
      <c r="L83" s="124"/>
      <c r="M83" s="127"/>
      <c r="N83" s="22"/>
      <c r="O83" s="128"/>
      <c r="P83" s="129"/>
      <c r="Q83" s="130"/>
      <c r="R83" s="104"/>
      <c r="S83" s="131"/>
      <c r="T83" s="132"/>
      <c r="U83" s="132"/>
      <c r="V83" s="132"/>
      <c r="W83" s="104"/>
      <c r="X83" s="104"/>
      <c r="Y83" s="104"/>
      <c r="Z83" s="104"/>
      <c r="AA83" s="22"/>
      <c r="AB83" s="105"/>
      <c r="AC83" s="105"/>
      <c r="AD83" s="105"/>
      <c r="AE83" s="105"/>
      <c r="AF83" s="105"/>
      <c r="AG83" s="105"/>
      <c r="AH83" s="105"/>
      <c r="AI83" s="105"/>
      <c r="AJ83" s="105"/>
    </row>
    <row r="84" ht="15.75" customHeight="1">
      <c r="A84" s="23"/>
      <c r="B84" s="123"/>
      <c r="C84" s="23"/>
      <c r="D84" s="23"/>
      <c r="E84" s="23"/>
      <c r="F84" s="124"/>
      <c r="G84" s="125"/>
      <c r="H84" s="104"/>
      <c r="I84" s="124"/>
      <c r="J84" s="126"/>
      <c r="K84" s="104"/>
      <c r="L84" s="124"/>
      <c r="M84" s="127"/>
      <c r="N84" s="22"/>
      <c r="O84" s="128"/>
      <c r="P84" s="129"/>
      <c r="Q84" s="130"/>
      <c r="R84" s="104"/>
      <c r="S84" s="131"/>
      <c r="T84" s="132"/>
      <c r="U84" s="132"/>
      <c r="V84" s="132"/>
      <c r="W84" s="104"/>
      <c r="X84" s="104"/>
      <c r="Y84" s="104"/>
      <c r="Z84" s="104"/>
      <c r="AA84" s="22"/>
      <c r="AB84" s="105"/>
      <c r="AC84" s="105"/>
      <c r="AD84" s="105"/>
      <c r="AE84" s="105"/>
      <c r="AF84" s="105"/>
      <c r="AG84" s="105"/>
      <c r="AH84" s="105"/>
      <c r="AI84" s="105"/>
      <c r="AJ84" s="105"/>
    </row>
    <row r="85" ht="15.75" customHeight="1">
      <c r="A85" s="23"/>
      <c r="B85" s="123"/>
      <c r="C85" s="23"/>
      <c r="D85" s="23"/>
      <c r="E85" s="23"/>
      <c r="F85" s="124"/>
      <c r="G85" s="125"/>
      <c r="H85" s="104"/>
      <c r="I85" s="124"/>
      <c r="J85" s="126"/>
      <c r="K85" s="104"/>
      <c r="L85" s="124"/>
      <c r="M85" s="127"/>
      <c r="N85" s="22"/>
      <c r="O85" s="128"/>
      <c r="P85" s="129"/>
      <c r="Q85" s="130"/>
      <c r="R85" s="104"/>
      <c r="S85" s="131"/>
      <c r="T85" s="132"/>
      <c r="U85" s="132"/>
      <c r="V85" s="132"/>
      <c r="W85" s="104"/>
      <c r="X85" s="104"/>
      <c r="Y85" s="104"/>
      <c r="Z85" s="104"/>
      <c r="AA85" s="22"/>
      <c r="AB85" s="105"/>
      <c r="AC85" s="105"/>
      <c r="AD85" s="105"/>
      <c r="AE85" s="105"/>
      <c r="AF85" s="105"/>
      <c r="AG85" s="105"/>
      <c r="AH85" s="105"/>
      <c r="AI85" s="105"/>
      <c r="AJ85" s="105"/>
    </row>
    <row r="86" ht="15.75" customHeight="1">
      <c r="A86" s="23"/>
      <c r="B86" s="123"/>
      <c r="C86" s="23"/>
      <c r="D86" s="23"/>
      <c r="E86" s="23"/>
      <c r="F86" s="124"/>
      <c r="G86" s="125"/>
      <c r="H86" s="104"/>
      <c r="I86" s="124"/>
      <c r="J86" s="126"/>
      <c r="K86" s="104"/>
      <c r="L86" s="124"/>
      <c r="M86" s="127"/>
      <c r="N86" s="22"/>
      <c r="O86" s="128"/>
      <c r="P86" s="129"/>
      <c r="Q86" s="130"/>
      <c r="R86" s="104"/>
      <c r="S86" s="131"/>
      <c r="T86" s="132"/>
      <c r="U86" s="132"/>
      <c r="V86" s="132"/>
      <c r="W86" s="104"/>
      <c r="X86" s="104"/>
      <c r="Y86" s="104"/>
      <c r="Z86" s="104"/>
      <c r="AA86" s="22"/>
      <c r="AB86" s="105"/>
      <c r="AC86" s="105"/>
      <c r="AD86" s="105"/>
      <c r="AE86" s="105"/>
      <c r="AF86" s="105"/>
      <c r="AG86" s="105"/>
      <c r="AH86" s="105"/>
      <c r="AI86" s="105"/>
      <c r="AJ86" s="105"/>
    </row>
    <row r="87" ht="15.75" customHeight="1">
      <c r="A87" s="23"/>
      <c r="B87" s="123"/>
      <c r="C87" s="23"/>
      <c r="D87" s="23"/>
      <c r="E87" s="23"/>
      <c r="F87" s="124"/>
      <c r="G87" s="125"/>
      <c r="H87" s="104"/>
      <c r="I87" s="124"/>
      <c r="J87" s="126"/>
      <c r="K87" s="104"/>
      <c r="L87" s="124"/>
      <c r="M87" s="127"/>
      <c r="N87" s="22"/>
      <c r="O87" s="128"/>
      <c r="P87" s="129"/>
      <c r="Q87" s="130"/>
      <c r="R87" s="104"/>
      <c r="S87" s="131"/>
      <c r="T87" s="132"/>
      <c r="U87" s="132"/>
      <c r="V87" s="132"/>
      <c r="W87" s="104"/>
      <c r="X87" s="104"/>
      <c r="Y87" s="104"/>
      <c r="Z87" s="104"/>
      <c r="AA87" s="22"/>
      <c r="AB87" s="105"/>
      <c r="AC87" s="105"/>
      <c r="AD87" s="105"/>
      <c r="AE87" s="105"/>
      <c r="AF87" s="105"/>
      <c r="AG87" s="105"/>
      <c r="AH87" s="105"/>
      <c r="AI87" s="105"/>
      <c r="AJ87" s="105"/>
    </row>
    <row r="88" ht="15.75" customHeight="1">
      <c r="A88" s="23"/>
      <c r="B88" s="123"/>
      <c r="C88" s="23"/>
      <c r="D88" s="23"/>
      <c r="E88" s="23"/>
      <c r="F88" s="124"/>
      <c r="G88" s="125"/>
      <c r="H88" s="104"/>
      <c r="I88" s="124"/>
      <c r="J88" s="126"/>
      <c r="K88" s="104"/>
      <c r="L88" s="124"/>
      <c r="M88" s="127"/>
      <c r="N88" s="22"/>
      <c r="O88" s="128"/>
      <c r="P88" s="129"/>
      <c r="Q88" s="130"/>
      <c r="R88" s="104"/>
      <c r="S88" s="131"/>
      <c r="T88" s="132"/>
      <c r="U88" s="132"/>
      <c r="V88" s="132"/>
      <c r="W88" s="104"/>
      <c r="X88" s="104"/>
      <c r="Y88" s="104"/>
      <c r="Z88" s="104"/>
      <c r="AA88" s="22"/>
      <c r="AB88" s="105"/>
      <c r="AC88" s="105"/>
      <c r="AD88" s="105"/>
      <c r="AE88" s="105"/>
      <c r="AF88" s="105"/>
      <c r="AG88" s="105"/>
      <c r="AH88" s="105"/>
      <c r="AI88" s="105"/>
      <c r="AJ88" s="105"/>
    </row>
    <row r="89" ht="15.75" customHeight="1">
      <c r="A89" s="23"/>
      <c r="B89" s="123"/>
      <c r="C89" s="23"/>
      <c r="D89" s="23"/>
      <c r="E89" s="23"/>
      <c r="F89" s="124"/>
      <c r="G89" s="125"/>
      <c r="H89" s="104"/>
      <c r="I89" s="124"/>
      <c r="J89" s="126"/>
      <c r="K89" s="104"/>
      <c r="L89" s="124"/>
      <c r="M89" s="127"/>
      <c r="N89" s="22"/>
      <c r="O89" s="128"/>
      <c r="P89" s="129"/>
      <c r="Q89" s="130"/>
      <c r="R89" s="104"/>
      <c r="S89" s="131"/>
      <c r="T89" s="132"/>
      <c r="U89" s="132"/>
      <c r="V89" s="132"/>
      <c r="W89" s="104"/>
      <c r="X89" s="104"/>
      <c r="Y89" s="104"/>
      <c r="Z89" s="104"/>
      <c r="AA89" s="22"/>
      <c r="AB89" s="105"/>
      <c r="AC89" s="105"/>
      <c r="AD89" s="105"/>
      <c r="AE89" s="105"/>
      <c r="AF89" s="105"/>
      <c r="AG89" s="105"/>
      <c r="AH89" s="105"/>
      <c r="AI89" s="105"/>
      <c r="AJ89" s="105"/>
    </row>
    <row r="90" ht="15.75" customHeight="1">
      <c r="A90" s="23"/>
      <c r="B90" s="123"/>
      <c r="C90" s="23"/>
      <c r="D90" s="23"/>
      <c r="E90" s="23"/>
      <c r="F90" s="124"/>
      <c r="G90" s="125"/>
      <c r="H90" s="104"/>
      <c r="I90" s="124"/>
      <c r="J90" s="126"/>
      <c r="K90" s="104"/>
      <c r="L90" s="124"/>
      <c r="M90" s="127"/>
      <c r="N90" s="22"/>
      <c r="O90" s="128"/>
      <c r="P90" s="129"/>
      <c r="Q90" s="130"/>
      <c r="R90" s="104"/>
      <c r="S90" s="131"/>
      <c r="T90" s="132"/>
      <c r="U90" s="132"/>
      <c r="V90" s="132"/>
      <c r="W90" s="104"/>
      <c r="X90" s="104"/>
      <c r="Y90" s="104"/>
      <c r="Z90" s="104"/>
      <c r="AA90" s="22"/>
      <c r="AB90" s="105"/>
      <c r="AC90" s="105"/>
      <c r="AD90" s="105"/>
      <c r="AE90" s="105"/>
      <c r="AF90" s="105"/>
      <c r="AG90" s="105"/>
      <c r="AH90" s="105"/>
      <c r="AI90" s="105"/>
      <c r="AJ90" s="105"/>
    </row>
    <row r="91" ht="15.75" customHeight="1">
      <c r="A91" s="23"/>
      <c r="B91" s="123"/>
      <c r="C91" s="23"/>
      <c r="D91" s="23"/>
      <c r="E91" s="23"/>
      <c r="F91" s="124"/>
      <c r="G91" s="125"/>
      <c r="H91" s="104"/>
      <c r="I91" s="124"/>
      <c r="J91" s="126"/>
      <c r="K91" s="104"/>
      <c r="L91" s="124"/>
      <c r="M91" s="127"/>
      <c r="N91" s="22"/>
      <c r="O91" s="128"/>
      <c r="P91" s="129"/>
      <c r="Q91" s="130"/>
      <c r="R91" s="104"/>
      <c r="S91" s="131"/>
      <c r="T91" s="132"/>
      <c r="U91" s="132"/>
      <c r="V91" s="132"/>
      <c r="W91" s="104"/>
      <c r="X91" s="104"/>
      <c r="Y91" s="104"/>
      <c r="Z91" s="104"/>
      <c r="AA91" s="22"/>
      <c r="AB91" s="105"/>
      <c r="AC91" s="105"/>
      <c r="AD91" s="105"/>
      <c r="AE91" s="105"/>
      <c r="AF91" s="105"/>
      <c r="AG91" s="105"/>
      <c r="AH91" s="105"/>
      <c r="AI91" s="105"/>
      <c r="AJ91" s="105"/>
    </row>
    <row r="92" ht="15.75" customHeight="1">
      <c r="A92" s="23"/>
      <c r="B92" s="123"/>
      <c r="C92" s="23"/>
      <c r="D92" s="23"/>
      <c r="E92" s="23"/>
      <c r="F92" s="124"/>
      <c r="G92" s="125"/>
      <c r="H92" s="104"/>
      <c r="I92" s="124"/>
      <c r="J92" s="126"/>
      <c r="K92" s="104"/>
      <c r="L92" s="124"/>
      <c r="M92" s="127"/>
      <c r="N92" s="22"/>
      <c r="O92" s="128"/>
      <c r="P92" s="129"/>
      <c r="Q92" s="130"/>
      <c r="R92" s="104"/>
      <c r="S92" s="131"/>
      <c r="T92" s="132"/>
      <c r="U92" s="132"/>
      <c r="V92" s="132"/>
      <c r="W92" s="104"/>
      <c r="X92" s="104"/>
      <c r="Y92" s="104"/>
      <c r="Z92" s="104"/>
      <c r="AA92" s="22"/>
      <c r="AB92" s="105"/>
      <c r="AC92" s="105"/>
      <c r="AD92" s="105"/>
      <c r="AE92" s="105"/>
      <c r="AF92" s="105"/>
      <c r="AG92" s="105"/>
      <c r="AH92" s="105"/>
      <c r="AI92" s="105"/>
      <c r="AJ92" s="105"/>
    </row>
    <row r="93" ht="15.75" customHeight="1">
      <c r="A93" s="23"/>
      <c r="B93" s="123"/>
      <c r="C93" s="23"/>
      <c r="D93" s="23"/>
      <c r="E93" s="23"/>
      <c r="F93" s="124"/>
      <c r="G93" s="125"/>
      <c r="H93" s="104"/>
      <c r="I93" s="124"/>
      <c r="J93" s="126"/>
      <c r="K93" s="104"/>
      <c r="L93" s="124"/>
      <c r="M93" s="127"/>
      <c r="N93" s="22"/>
      <c r="O93" s="128"/>
      <c r="P93" s="129"/>
      <c r="Q93" s="130"/>
      <c r="R93" s="104"/>
      <c r="S93" s="131"/>
      <c r="T93" s="132"/>
      <c r="U93" s="132"/>
      <c r="V93" s="132"/>
      <c r="W93" s="104"/>
      <c r="X93" s="104"/>
      <c r="Y93" s="104"/>
      <c r="Z93" s="104"/>
      <c r="AA93" s="22"/>
      <c r="AB93" s="105"/>
      <c r="AC93" s="105"/>
      <c r="AD93" s="105"/>
      <c r="AE93" s="105"/>
      <c r="AF93" s="105"/>
      <c r="AG93" s="105"/>
      <c r="AH93" s="105"/>
      <c r="AI93" s="105"/>
      <c r="AJ93" s="105"/>
    </row>
    <row r="94" ht="15.75" customHeight="1">
      <c r="A94" s="23"/>
      <c r="B94" s="123"/>
      <c r="C94" s="23"/>
      <c r="D94" s="23"/>
      <c r="E94" s="23"/>
      <c r="F94" s="124"/>
      <c r="G94" s="125"/>
      <c r="H94" s="104"/>
      <c r="I94" s="124"/>
      <c r="J94" s="126"/>
      <c r="K94" s="104"/>
      <c r="L94" s="124"/>
      <c r="M94" s="127"/>
      <c r="N94" s="22"/>
      <c r="O94" s="128"/>
      <c r="P94" s="129"/>
      <c r="Q94" s="130"/>
      <c r="R94" s="104"/>
      <c r="S94" s="131"/>
      <c r="T94" s="132"/>
      <c r="U94" s="132"/>
      <c r="V94" s="132"/>
      <c r="W94" s="104"/>
      <c r="X94" s="104"/>
      <c r="Y94" s="104"/>
      <c r="Z94" s="104"/>
      <c r="AA94" s="22"/>
      <c r="AB94" s="105"/>
      <c r="AC94" s="105"/>
      <c r="AD94" s="105"/>
      <c r="AE94" s="105"/>
      <c r="AF94" s="105"/>
      <c r="AG94" s="105"/>
      <c r="AH94" s="105"/>
      <c r="AI94" s="105"/>
      <c r="AJ94" s="105"/>
    </row>
    <row r="95" ht="15.75" customHeight="1">
      <c r="A95" s="23"/>
      <c r="B95" s="123"/>
      <c r="C95" s="23"/>
      <c r="D95" s="23"/>
      <c r="E95" s="23"/>
      <c r="F95" s="124"/>
      <c r="G95" s="125"/>
      <c r="H95" s="104"/>
      <c r="I95" s="124"/>
      <c r="J95" s="126"/>
      <c r="K95" s="104"/>
      <c r="L95" s="124"/>
      <c r="M95" s="127"/>
      <c r="N95" s="22"/>
      <c r="O95" s="128"/>
      <c r="P95" s="129"/>
      <c r="Q95" s="130"/>
      <c r="R95" s="104"/>
      <c r="S95" s="131"/>
      <c r="T95" s="132"/>
      <c r="U95" s="132"/>
      <c r="V95" s="132"/>
      <c r="W95" s="104"/>
      <c r="X95" s="104"/>
      <c r="Y95" s="104"/>
      <c r="Z95" s="104"/>
      <c r="AA95" s="22"/>
      <c r="AB95" s="105"/>
      <c r="AC95" s="105"/>
      <c r="AD95" s="105"/>
      <c r="AE95" s="105"/>
      <c r="AF95" s="105"/>
      <c r="AG95" s="105"/>
      <c r="AH95" s="105"/>
      <c r="AI95" s="105"/>
      <c r="AJ95" s="105"/>
    </row>
    <row r="96" ht="15.75" customHeight="1">
      <c r="A96" s="23"/>
      <c r="B96" s="123"/>
      <c r="C96" s="23"/>
      <c r="D96" s="23"/>
      <c r="E96" s="23"/>
      <c r="F96" s="124"/>
      <c r="G96" s="125"/>
      <c r="H96" s="104"/>
      <c r="I96" s="124"/>
      <c r="J96" s="126"/>
      <c r="K96" s="104"/>
      <c r="L96" s="124"/>
      <c r="M96" s="127"/>
      <c r="N96" s="22"/>
      <c r="O96" s="128"/>
      <c r="P96" s="129"/>
      <c r="Q96" s="130"/>
      <c r="R96" s="104"/>
      <c r="S96" s="131"/>
      <c r="T96" s="132"/>
      <c r="U96" s="132"/>
      <c r="V96" s="132"/>
      <c r="W96" s="104"/>
      <c r="X96" s="104"/>
      <c r="Y96" s="104"/>
      <c r="Z96" s="104"/>
      <c r="AA96" s="22"/>
      <c r="AB96" s="105"/>
      <c r="AC96" s="105"/>
      <c r="AD96" s="105"/>
      <c r="AE96" s="105"/>
      <c r="AF96" s="105"/>
      <c r="AG96" s="105"/>
      <c r="AH96" s="105"/>
      <c r="AI96" s="105"/>
      <c r="AJ96" s="105"/>
    </row>
    <row r="97" ht="15.75" customHeight="1">
      <c r="A97" s="23"/>
      <c r="B97" s="123"/>
      <c r="C97" s="23"/>
      <c r="D97" s="23"/>
      <c r="E97" s="23"/>
      <c r="F97" s="124"/>
      <c r="G97" s="125"/>
      <c r="H97" s="104"/>
      <c r="I97" s="124"/>
      <c r="J97" s="126"/>
      <c r="K97" s="104"/>
      <c r="L97" s="124"/>
      <c r="M97" s="127"/>
      <c r="N97" s="22"/>
      <c r="O97" s="128"/>
      <c r="P97" s="129"/>
      <c r="Q97" s="130"/>
      <c r="R97" s="104"/>
      <c r="S97" s="131"/>
      <c r="T97" s="132"/>
      <c r="U97" s="132"/>
      <c r="V97" s="132"/>
      <c r="W97" s="104"/>
      <c r="X97" s="104"/>
      <c r="Y97" s="104"/>
      <c r="Z97" s="104"/>
      <c r="AA97" s="22"/>
      <c r="AB97" s="105"/>
      <c r="AC97" s="105"/>
      <c r="AD97" s="105"/>
      <c r="AE97" s="105"/>
      <c r="AF97" s="105"/>
      <c r="AG97" s="105"/>
      <c r="AH97" s="105"/>
      <c r="AI97" s="105"/>
      <c r="AJ97" s="105"/>
    </row>
    <row r="98" ht="15.75" customHeight="1">
      <c r="A98" s="23"/>
      <c r="B98" s="123"/>
      <c r="C98" s="23"/>
      <c r="D98" s="23"/>
      <c r="E98" s="23"/>
      <c r="F98" s="124"/>
      <c r="G98" s="125"/>
      <c r="H98" s="104"/>
      <c r="I98" s="124"/>
      <c r="J98" s="126"/>
      <c r="K98" s="104"/>
      <c r="L98" s="124"/>
      <c r="M98" s="127"/>
      <c r="N98" s="22"/>
      <c r="O98" s="128"/>
      <c r="P98" s="129"/>
      <c r="Q98" s="130"/>
      <c r="R98" s="104"/>
      <c r="S98" s="131"/>
      <c r="T98" s="132"/>
      <c r="U98" s="132"/>
      <c r="V98" s="132"/>
      <c r="W98" s="104"/>
      <c r="X98" s="104"/>
      <c r="Y98" s="104"/>
      <c r="Z98" s="104"/>
      <c r="AA98" s="22"/>
      <c r="AB98" s="105"/>
      <c r="AC98" s="105"/>
      <c r="AD98" s="105"/>
      <c r="AE98" s="105"/>
      <c r="AF98" s="105"/>
      <c r="AG98" s="105"/>
      <c r="AH98" s="105"/>
      <c r="AI98" s="105"/>
      <c r="AJ98" s="105"/>
    </row>
    <row r="99" ht="15.75" customHeight="1">
      <c r="A99" s="23"/>
      <c r="B99" s="123"/>
      <c r="C99" s="23"/>
      <c r="D99" s="23"/>
      <c r="E99" s="23"/>
      <c r="F99" s="124"/>
      <c r="G99" s="125"/>
      <c r="H99" s="104"/>
      <c r="I99" s="124"/>
      <c r="J99" s="126"/>
      <c r="K99" s="104"/>
      <c r="L99" s="124"/>
      <c r="M99" s="127"/>
      <c r="N99" s="22"/>
      <c r="O99" s="128"/>
      <c r="P99" s="129"/>
      <c r="Q99" s="130"/>
      <c r="R99" s="104"/>
      <c r="S99" s="131"/>
      <c r="T99" s="132"/>
      <c r="U99" s="132"/>
      <c r="V99" s="132"/>
      <c r="W99" s="104"/>
      <c r="X99" s="104"/>
      <c r="Y99" s="104"/>
      <c r="Z99" s="104"/>
      <c r="AA99" s="22"/>
      <c r="AB99" s="105"/>
      <c r="AC99" s="105"/>
      <c r="AD99" s="105"/>
      <c r="AE99" s="105"/>
      <c r="AF99" s="105"/>
      <c r="AG99" s="105"/>
      <c r="AH99" s="105"/>
      <c r="AI99" s="105"/>
      <c r="AJ99" s="105"/>
    </row>
    <row r="100" ht="15.75" customHeight="1">
      <c r="A100" s="23"/>
      <c r="B100" s="123"/>
      <c r="C100" s="23"/>
      <c r="D100" s="23"/>
      <c r="E100" s="23"/>
      <c r="F100" s="124"/>
      <c r="G100" s="125"/>
      <c r="H100" s="104"/>
      <c r="I100" s="124"/>
      <c r="J100" s="126"/>
      <c r="K100" s="104"/>
      <c r="L100" s="124"/>
      <c r="M100" s="127"/>
      <c r="N100" s="22"/>
      <c r="O100" s="128"/>
      <c r="P100" s="129"/>
      <c r="Q100" s="130"/>
      <c r="R100" s="104"/>
      <c r="S100" s="131"/>
      <c r="T100" s="132"/>
      <c r="U100" s="132"/>
      <c r="V100" s="132"/>
      <c r="W100" s="104"/>
      <c r="X100" s="104"/>
      <c r="Y100" s="104"/>
      <c r="Z100" s="104"/>
      <c r="AA100" s="22"/>
      <c r="AB100" s="105"/>
      <c r="AC100" s="105"/>
      <c r="AD100" s="105"/>
      <c r="AE100" s="105"/>
      <c r="AF100" s="105"/>
      <c r="AG100" s="105"/>
      <c r="AH100" s="105"/>
      <c r="AI100" s="105"/>
      <c r="AJ100" s="105"/>
    </row>
    <row r="101" ht="15.75" customHeight="1">
      <c r="A101" s="23"/>
      <c r="B101" s="123"/>
      <c r="C101" s="23"/>
      <c r="D101" s="23"/>
      <c r="E101" s="23"/>
      <c r="F101" s="124"/>
      <c r="G101" s="125"/>
      <c r="H101" s="104"/>
      <c r="I101" s="124"/>
      <c r="J101" s="126"/>
      <c r="K101" s="104"/>
      <c r="L101" s="124"/>
      <c r="M101" s="127"/>
      <c r="N101" s="22"/>
      <c r="O101" s="128"/>
      <c r="P101" s="129"/>
      <c r="Q101" s="130"/>
      <c r="R101" s="104"/>
      <c r="S101" s="131"/>
      <c r="T101" s="132"/>
      <c r="U101" s="132"/>
      <c r="V101" s="132"/>
      <c r="W101" s="104"/>
      <c r="X101" s="104"/>
      <c r="Y101" s="104"/>
      <c r="Z101" s="104"/>
      <c r="AA101" s="22"/>
      <c r="AB101" s="105"/>
      <c r="AC101" s="105"/>
      <c r="AD101" s="105"/>
      <c r="AE101" s="105"/>
      <c r="AF101" s="105"/>
      <c r="AG101" s="105"/>
      <c r="AH101" s="105"/>
      <c r="AI101" s="105"/>
      <c r="AJ101" s="105"/>
    </row>
    <row r="102" ht="15.75" customHeight="1">
      <c r="A102" s="23"/>
      <c r="B102" s="123"/>
      <c r="C102" s="23"/>
      <c r="D102" s="23"/>
      <c r="E102" s="23"/>
      <c r="F102" s="124"/>
      <c r="G102" s="125"/>
      <c r="H102" s="104"/>
      <c r="I102" s="124"/>
      <c r="J102" s="126"/>
      <c r="K102" s="104"/>
      <c r="L102" s="124"/>
      <c r="M102" s="127"/>
      <c r="N102" s="22"/>
      <c r="O102" s="128"/>
      <c r="P102" s="129"/>
      <c r="Q102" s="130"/>
      <c r="R102" s="104"/>
      <c r="S102" s="131"/>
      <c r="T102" s="132"/>
      <c r="U102" s="132"/>
      <c r="V102" s="132"/>
      <c r="W102" s="104"/>
      <c r="X102" s="104"/>
      <c r="Y102" s="104"/>
      <c r="Z102" s="104"/>
      <c r="AA102" s="22"/>
      <c r="AB102" s="105"/>
      <c r="AC102" s="105"/>
      <c r="AD102" s="105"/>
      <c r="AE102" s="105"/>
      <c r="AF102" s="105"/>
      <c r="AG102" s="105"/>
      <c r="AH102" s="105"/>
      <c r="AI102" s="105"/>
      <c r="AJ102" s="105"/>
    </row>
    <row r="103" ht="15.75" customHeight="1">
      <c r="A103" s="23"/>
      <c r="B103" s="123"/>
      <c r="C103" s="23"/>
      <c r="D103" s="23"/>
      <c r="E103" s="23"/>
      <c r="F103" s="124"/>
      <c r="G103" s="125"/>
      <c r="H103" s="104"/>
      <c r="I103" s="124"/>
      <c r="J103" s="126"/>
      <c r="K103" s="104"/>
      <c r="L103" s="124"/>
      <c r="M103" s="127"/>
      <c r="N103" s="22"/>
      <c r="O103" s="128"/>
      <c r="P103" s="129"/>
      <c r="Q103" s="130"/>
      <c r="R103" s="104"/>
      <c r="S103" s="131"/>
      <c r="T103" s="132"/>
      <c r="U103" s="132"/>
      <c r="V103" s="132"/>
      <c r="W103" s="104"/>
      <c r="X103" s="104"/>
      <c r="Y103" s="104"/>
      <c r="Z103" s="104"/>
      <c r="AA103" s="22"/>
      <c r="AB103" s="105"/>
      <c r="AC103" s="105"/>
      <c r="AD103" s="105"/>
      <c r="AE103" s="105"/>
      <c r="AF103" s="105"/>
      <c r="AG103" s="105"/>
      <c r="AH103" s="105"/>
      <c r="AI103" s="105"/>
      <c r="AJ103" s="105"/>
    </row>
    <row r="104" ht="15.75" customHeight="1">
      <c r="A104" s="23"/>
      <c r="B104" s="123"/>
      <c r="C104" s="23"/>
      <c r="D104" s="23"/>
      <c r="E104" s="23"/>
      <c r="F104" s="124"/>
      <c r="G104" s="125"/>
      <c r="H104" s="104"/>
      <c r="I104" s="124"/>
      <c r="J104" s="126"/>
      <c r="K104" s="104"/>
      <c r="L104" s="124"/>
      <c r="M104" s="127"/>
      <c r="N104" s="22"/>
      <c r="O104" s="128"/>
      <c r="P104" s="129"/>
      <c r="Q104" s="130"/>
      <c r="R104" s="104"/>
      <c r="S104" s="131"/>
      <c r="T104" s="132"/>
      <c r="U104" s="132"/>
      <c r="V104" s="132"/>
      <c r="W104" s="104"/>
      <c r="X104" s="104"/>
      <c r="Y104" s="104"/>
      <c r="Z104" s="104"/>
      <c r="AA104" s="22"/>
      <c r="AB104" s="105"/>
      <c r="AC104" s="105"/>
      <c r="AD104" s="105"/>
      <c r="AE104" s="105"/>
      <c r="AF104" s="105"/>
      <c r="AG104" s="105"/>
      <c r="AH104" s="105"/>
      <c r="AI104" s="105"/>
      <c r="AJ104" s="105"/>
    </row>
    <row r="105" ht="15.75" customHeight="1">
      <c r="A105" s="23"/>
      <c r="B105" s="123"/>
      <c r="C105" s="23"/>
      <c r="D105" s="23"/>
      <c r="E105" s="23"/>
      <c r="F105" s="124"/>
      <c r="G105" s="125"/>
      <c r="H105" s="104"/>
      <c r="I105" s="124"/>
      <c r="J105" s="126"/>
      <c r="K105" s="104"/>
      <c r="L105" s="124"/>
      <c r="M105" s="127"/>
      <c r="N105" s="22"/>
      <c r="O105" s="128"/>
      <c r="P105" s="129"/>
      <c r="Q105" s="130"/>
      <c r="R105" s="104"/>
      <c r="S105" s="131"/>
      <c r="T105" s="132"/>
      <c r="U105" s="132"/>
      <c r="V105" s="132"/>
      <c r="W105" s="104"/>
      <c r="X105" s="104"/>
      <c r="Y105" s="104"/>
      <c r="Z105" s="104"/>
      <c r="AA105" s="22"/>
      <c r="AB105" s="105"/>
      <c r="AC105" s="105"/>
      <c r="AD105" s="105"/>
      <c r="AE105" s="105"/>
      <c r="AF105" s="105"/>
      <c r="AG105" s="105"/>
      <c r="AH105" s="105"/>
      <c r="AI105" s="105"/>
      <c r="AJ105" s="105"/>
    </row>
    <row r="106" ht="15.75" customHeight="1">
      <c r="A106" s="23"/>
      <c r="B106" s="123"/>
      <c r="C106" s="23"/>
      <c r="D106" s="23"/>
      <c r="E106" s="23"/>
      <c r="F106" s="124"/>
      <c r="G106" s="125"/>
      <c r="H106" s="104"/>
      <c r="I106" s="124"/>
      <c r="J106" s="126"/>
      <c r="K106" s="104"/>
      <c r="L106" s="124"/>
      <c r="M106" s="127"/>
      <c r="N106" s="22"/>
      <c r="O106" s="128"/>
      <c r="P106" s="129"/>
      <c r="Q106" s="130"/>
      <c r="R106" s="104"/>
      <c r="S106" s="131"/>
      <c r="T106" s="132"/>
      <c r="U106" s="132"/>
      <c r="V106" s="132"/>
      <c r="W106" s="104"/>
      <c r="X106" s="104"/>
      <c r="Y106" s="104"/>
      <c r="Z106" s="104"/>
      <c r="AA106" s="22"/>
      <c r="AB106" s="105"/>
      <c r="AC106" s="105"/>
      <c r="AD106" s="105"/>
      <c r="AE106" s="105"/>
      <c r="AF106" s="105"/>
      <c r="AG106" s="105"/>
      <c r="AH106" s="105"/>
      <c r="AI106" s="105"/>
      <c r="AJ106" s="105"/>
    </row>
    <row r="107" ht="15.75" customHeight="1">
      <c r="A107" s="23"/>
      <c r="B107" s="123"/>
      <c r="C107" s="23"/>
      <c r="D107" s="23"/>
      <c r="E107" s="23"/>
      <c r="F107" s="124"/>
      <c r="G107" s="125"/>
      <c r="H107" s="104"/>
      <c r="I107" s="124"/>
      <c r="J107" s="126"/>
      <c r="K107" s="104"/>
      <c r="L107" s="124"/>
      <c r="M107" s="127"/>
      <c r="N107" s="22"/>
      <c r="O107" s="128"/>
      <c r="P107" s="129"/>
      <c r="Q107" s="130"/>
      <c r="R107" s="104"/>
      <c r="S107" s="131"/>
      <c r="T107" s="132"/>
      <c r="U107" s="132"/>
      <c r="V107" s="132"/>
      <c r="W107" s="104"/>
      <c r="X107" s="104"/>
      <c r="Y107" s="104"/>
      <c r="Z107" s="104"/>
      <c r="AA107" s="22"/>
      <c r="AB107" s="105"/>
      <c r="AC107" s="105"/>
      <c r="AD107" s="105"/>
      <c r="AE107" s="105"/>
      <c r="AF107" s="105"/>
      <c r="AG107" s="105"/>
      <c r="AH107" s="105"/>
      <c r="AI107" s="105"/>
      <c r="AJ107" s="105"/>
    </row>
    <row r="108" ht="15.75" customHeight="1">
      <c r="A108" s="23"/>
      <c r="B108" s="123"/>
      <c r="C108" s="23"/>
      <c r="D108" s="23"/>
      <c r="E108" s="23"/>
      <c r="F108" s="124"/>
      <c r="G108" s="125"/>
      <c r="H108" s="104"/>
      <c r="I108" s="124"/>
      <c r="J108" s="126"/>
      <c r="K108" s="104"/>
      <c r="L108" s="124"/>
      <c r="M108" s="127"/>
      <c r="N108" s="22"/>
      <c r="O108" s="128"/>
      <c r="P108" s="129"/>
      <c r="Q108" s="130"/>
      <c r="R108" s="104"/>
      <c r="S108" s="131"/>
      <c r="T108" s="132"/>
      <c r="U108" s="132"/>
      <c r="V108" s="132"/>
      <c r="W108" s="104"/>
      <c r="X108" s="104"/>
      <c r="Y108" s="104"/>
      <c r="Z108" s="104"/>
      <c r="AA108" s="22"/>
      <c r="AB108" s="105"/>
      <c r="AC108" s="105"/>
      <c r="AD108" s="105"/>
      <c r="AE108" s="105"/>
      <c r="AF108" s="105"/>
      <c r="AG108" s="105"/>
      <c r="AH108" s="105"/>
      <c r="AI108" s="105"/>
      <c r="AJ108" s="105"/>
    </row>
    <row r="109" ht="15.75" customHeight="1">
      <c r="A109" s="23"/>
      <c r="B109" s="123"/>
      <c r="C109" s="23"/>
      <c r="D109" s="23"/>
      <c r="E109" s="23"/>
      <c r="F109" s="124"/>
      <c r="G109" s="125"/>
      <c r="H109" s="104"/>
      <c r="I109" s="124"/>
      <c r="J109" s="126"/>
      <c r="K109" s="104"/>
      <c r="L109" s="124"/>
      <c r="M109" s="127"/>
      <c r="N109" s="22"/>
      <c r="O109" s="128"/>
      <c r="P109" s="129"/>
      <c r="Q109" s="130"/>
      <c r="R109" s="104"/>
      <c r="S109" s="131"/>
      <c r="T109" s="132"/>
      <c r="U109" s="132"/>
      <c r="V109" s="132"/>
      <c r="W109" s="104"/>
      <c r="X109" s="104"/>
      <c r="Y109" s="104"/>
      <c r="Z109" s="104"/>
      <c r="AA109" s="22"/>
      <c r="AB109" s="105"/>
      <c r="AC109" s="105"/>
      <c r="AD109" s="105"/>
      <c r="AE109" s="105"/>
      <c r="AF109" s="105"/>
      <c r="AG109" s="105"/>
      <c r="AH109" s="105"/>
      <c r="AI109" s="105"/>
      <c r="AJ109" s="105"/>
    </row>
    <row r="110" ht="15.75" customHeight="1">
      <c r="A110" s="23"/>
      <c r="B110" s="123"/>
      <c r="C110" s="23"/>
      <c r="D110" s="23"/>
      <c r="E110" s="23"/>
      <c r="F110" s="124"/>
      <c r="G110" s="125"/>
      <c r="H110" s="104"/>
      <c r="I110" s="124"/>
      <c r="J110" s="126"/>
      <c r="K110" s="104"/>
      <c r="L110" s="124"/>
      <c r="M110" s="127"/>
      <c r="N110" s="22"/>
      <c r="O110" s="128"/>
      <c r="P110" s="129"/>
      <c r="Q110" s="130"/>
      <c r="R110" s="104"/>
      <c r="S110" s="131"/>
      <c r="T110" s="132"/>
      <c r="U110" s="132"/>
      <c r="V110" s="132"/>
      <c r="W110" s="104"/>
      <c r="X110" s="104"/>
      <c r="Y110" s="104"/>
      <c r="Z110" s="104"/>
      <c r="AA110" s="22"/>
      <c r="AB110" s="105"/>
      <c r="AC110" s="105"/>
      <c r="AD110" s="105"/>
      <c r="AE110" s="105"/>
      <c r="AF110" s="105"/>
      <c r="AG110" s="105"/>
      <c r="AH110" s="105"/>
      <c r="AI110" s="105"/>
      <c r="AJ110" s="105"/>
    </row>
    <row r="111" ht="15.75" customHeight="1">
      <c r="A111" s="23"/>
      <c r="B111" s="123"/>
      <c r="C111" s="23"/>
      <c r="D111" s="23"/>
      <c r="E111" s="23"/>
      <c r="F111" s="124"/>
      <c r="G111" s="125"/>
      <c r="H111" s="104"/>
      <c r="I111" s="124"/>
      <c r="J111" s="126"/>
      <c r="K111" s="104"/>
      <c r="L111" s="124"/>
      <c r="M111" s="127"/>
      <c r="N111" s="22"/>
      <c r="O111" s="128"/>
      <c r="P111" s="129"/>
      <c r="Q111" s="130"/>
      <c r="R111" s="104"/>
      <c r="S111" s="131"/>
      <c r="T111" s="132"/>
      <c r="U111" s="132"/>
      <c r="V111" s="132"/>
      <c r="W111" s="104"/>
      <c r="X111" s="104"/>
      <c r="Y111" s="104"/>
      <c r="Z111" s="104"/>
      <c r="AA111" s="22"/>
      <c r="AB111" s="105"/>
      <c r="AC111" s="105"/>
      <c r="AD111" s="105"/>
      <c r="AE111" s="105"/>
      <c r="AF111" s="105"/>
      <c r="AG111" s="105"/>
      <c r="AH111" s="105"/>
      <c r="AI111" s="105"/>
      <c r="AJ111" s="105"/>
    </row>
    <row r="112" ht="15.75" customHeight="1">
      <c r="A112" s="23"/>
      <c r="B112" s="123"/>
      <c r="C112" s="23"/>
      <c r="D112" s="23"/>
      <c r="E112" s="23"/>
      <c r="F112" s="124"/>
      <c r="G112" s="125"/>
      <c r="H112" s="104"/>
      <c r="I112" s="124"/>
      <c r="J112" s="126"/>
      <c r="K112" s="104"/>
      <c r="L112" s="124"/>
      <c r="M112" s="127"/>
      <c r="N112" s="22"/>
      <c r="O112" s="128"/>
      <c r="P112" s="129"/>
      <c r="Q112" s="130"/>
      <c r="R112" s="104"/>
      <c r="S112" s="131"/>
      <c r="T112" s="132"/>
      <c r="U112" s="132"/>
      <c r="V112" s="132"/>
      <c r="W112" s="104"/>
      <c r="X112" s="104"/>
      <c r="Y112" s="104"/>
      <c r="Z112" s="104"/>
      <c r="AA112" s="22"/>
      <c r="AB112" s="105"/>
      <c r="AC112" s="105"/>
      <c r="AD112" s="105"/>
      <c r="AE112" s="105"/>
      <c r="AF112" s="105"/>
      <c r="AG112" s="105"/>
      <c r="AH112" s="105"/>
      <c r="AI112" s="105"/>
      <c r="AJ112" s="105"/>
    </row>
    <row r="113" ht="15.75" customHeight="1">
      <c r="A113" s="23"/>
      <c r="B113" s="123"/>
      <c r="C113" s="23"/>
      <c r="D113" s="23"/>
      <c r="E113" s="23"/>
      <c r="F113" s="124"/>
      <c r="G113" s="125"/>
      <c r="H113" s="104"/>
      <c r="I113" s="124"/>
      <c r="J113" s="126"/>
      <c r="K113" s="104"/>
      <c r="L113" s="124"/>
      <c r="M113" s="127"/>
      <c r="N113" s="22"/>
      <c r="O113" s="128"/>
      <c r="P113" s="129"/>
      <c r="Q113" s="130"/>
      <c r="R113" s="104"/>
      <c r="S113" s="131"/>
      <c r="T113" s="132"/>
      <c r="U113" s="132"/>
      <c r="V113" s="132"/>
      <c r="W113" s="104"/>
      <c r="X113" s="104"/>
      <c r="Y113" s="104"/>
      <c r="Z113" s="104"/>
      <c r="AA113" s="22"/>
      <c r="AB113" s="105"/>
      <c r="AC113" s="105"/>
      <c r="AD113" s="105"/>
      <c r="AE113" s="105"/>
      <c r="AF113" s="105"/>
      <c r="AG113" s="105"/>
      <c r="AH113" s="105"/>
      <c r="AI113" s="105"/>
      <c r="AJ113" s="105"/>
    </row>
    <row r="114" ht="15.75" customHeight="1">
      <c r="A114" s="23"/>
      <c r="B114" s="123"/>
      <c r="C114" s="23"/>
      <c r="D114" s="23"/>
      <c r="E114" s="23"/>
      <c r="F114" s="124"/>
      <c r="G114" s="125"/>
      <c r="H114" s="104"/>
      <c r="I114" s="124"/>
      <c r="J114" s="126"/>
      <c r="K114" s="104"/>
      <c r="L114" s="124"/>
      <c r="M114" s="127"/>
      <c r="N114" s="22"/>
      <c r="O114" s="128"/>
      <c r="P114" s="129"/>
      <c r="Q114" s="130"/>
      <c r="R114" s="104"/>
      <c r="S114" s="131"/>
      <c r="T114" s="132"/>
      <c r="U114" s="132"/>
      <c r="V114" s="132"/>
      <c r="W114" s="104"/>
      <c r="X114" s="104"/>
      <c r="Y114" s="104"/>
      <c r="Z114" s="104"/>
      <c r="AA114" s="22"/>
      <c r="AB114" s="105"/>
      <c r="AC114" s="105"/>
      <c r="AD114" s="105"/>
      <c r="AE114" s="105"/>
      <c r="AF114" s="105"/>
      <c r="AG114" s="105"/>
      <c r="AH114" s="105"/>
      <c r="AI114" s="105"/>
      <c r="AJ114" s="105"/>
    </row>
    <row r="115" ht="15.75" customHeight="1">
      <c r="A115" s="23"/>
      <c r="B115" s="123"/>
      <c r="C115" s="23"/>
      <c r="D115" s="23"/>
      <c r="E115" s="23"/>
      <c r="F115" s="124"/>
      <c r="G115" s="125"/>
      <c r="H115" s="104"/>
      <c r="I115" s="124"/>
      <c r="J115" s="126"/>
      <c r="K115" s="104"/>
      <c r="L115" s="124"/>
      <c r="M115" s="127"/>
      <c r="N115" s="22"/>
      <c r="O115" s="128"/>
      <c r="P115" s="129"/>
      <c r="Q115" s="130"/>
      <c r="R115" s="104"/>
      <c r="S115" s="131"/>
      <c r="T115" s="132"/>
      <c r="U115" s="132"/>
      <c r="V115" s="132"/>
      <c r="W115" s="104"/>
      <c r="X115" s="104"/>
      <c r="Y115" s="104"/>
      <c r="Z115" s="104"/>
      <c r="AA115" s="22"/>
      <c r="AB115" s="105"/>
      <c r="AC115" s="105"/>
      <c r="AD115" s="105"/>
      <c r="AE115" s="105"/>
      <c r="AF115" s="105"/>
      <c r="AG115" s="105"/>
      <c r="AH115" s="105"/>
      <c r="AI115" s="105"/>
      <c r="AJ115" s="105"/>
    </row>
    <row r="116" ht="15.75" customHeight="1">
      <c r="A116" s="23"/>
      <c r="B116" s="123"/>
      <c r="C116" s="23"/>
      <c r="D116" s="23"/>
      <c r="E116" s="23"/>
      <c r="F116" s="124"/>
      <c r="G116" s="125"/>
      <c r="H116" s="104"/>
      <c r="I116" s="124"/>
      <c r="J116" s="126"/>
      <c r="K116" s="104"/>
      <c r="L116" s="124"/>
      <c r="M116" s="127"/>
      <c r="N116" s="22"/>
      <c r="O116" s="128"/>
      <c r="P116" s="129"/>
      <c r="Q116" s="130"/>
      <c r="R116" s="104"/>
      <c r="S116" s="131"/>
      <c r="T116" s="132"/>
      <c r="U116" s="132"/>
      <c r="V116" s="132"/>
      <c r="W116" s="104"/>
      <c r="X116" s="104"/>
      <c r="Y116" s="104"/>
      <c r="Z116" s="104"/>
      <c r="AA116" s="22"/>
      <c r="AB116" s="105"/>
      <c r="AC116" s="105"/>
      <c r="AD116" s="105"/>
      <c r="AE116" s="105"/>
      <c r="AF116" s="105"/>
      <c r="AG116" s="105"/>
      <c r="AH116" s="105"/>
      <c r="AI116" s="105"/>
      <c r="AJ116" s="105"/>
    </row>
    <row r="117" ht="15.75" customHeight="1">
      <c r="A117" s="23"/>
      <c r="B117" s="123"/>
      <c r="C117" s="23"/>
      <c r="D117" s="23"/>
      <c r="E117" s="23"/>
      <c r="F117" s="124"/>
      <c r="G117" s="125"/>
      <c r="H117" s="104"/>
      <c r="I117" s="124"/>
      <c r="J117" s="126"/>
      <c r="K117" s="104"/>
      <c r="L117" s="124"/>
      <c r="M117" s="127"/>
      <c r="N117" s="22"/>
      <c r="O117" s="128"/>
      <c r="P117" s="129"/>
      <c r="Q117" s="130"/>
      <c r="R117" s="104"/>
      <c r="S117" s="131"/>
      <c r="T117" s="132"/>
      <c r="U117" s="132"/>
      <c r="V117" s="132"/>
      <c r="W117" s="104"/>
      <c r="X117" s="104"/>
      <c r="Y117" s="104"/>
      <c r="Z117" s="104"/>
      <c r="AA117" s="22"/>
      <c r="AB117" s="105"/>
      <c r="AC117" s="105"/>
      <c r="AD117" s="105"/>
      <c r="AE117" s="105"/>
      <c r="AF117" s="105"/>
      <c r="AG117" s="105"/>
      <c r="AH117" s="105"/>
      <c r="AI117" s="105"/>
      <c r="AJ117" s="105"/>
    </row>
    <row r="118" ht="15.75" customHeight="1">
      <c r="A118" s="23"/>
      <c r="B118" s="123"/>
      <c r="C118" s="23"/>
      <c r="D118" s="23"/>
      <c r="E118" s="23"/>
      <c r="F118" s="124"/>
      <c r="G118" s="125"/>
      <c r="H118" s="104"/>
      <c r="I118" s="124"/>
      <c r="J118" s="126"/>
      <c r="K118" s="104"/>
      <c r="L118" s="124"/>
      <c r="M118" s="127"/>
      <c r="N118" s="22"/>
      <c r="O118" s="128"/>
      <c r="P118" s="129"/>
      <c r="Q118" s="130"/>
      <c r="R118" s="104"/>
      <c r="S118" s="131"/>
      <c r="T118" s="132"/>
      <c r="U118" s="132"/>
      <c r="V118" s="132"/>
      <c r="W118" s="104"/>
      <c r="X118" s="104"/>
      <c r="Y118" s="104"/>
      <c r="Z118" s="104"/>
      <c r="AA118" s="22"/>
      <c r="AB118" s="105"/>
      <c r="AC118" s="105"/>
      <c r="AD118" s="105"/>
      <c r="AE118" s="105"/>
      <c r="AF118" s="105"/>
      <c r="AG118" s="105"/>
      <c r="AH118" s="105"/>
      <c r="AI118" s="105"/>
      <c r="AJ118" s="105"/>
    </row>
    <row r="119" ht="15.75" customHeight="1">
      <c r="A119" s="23"/>
      <c r="B119" s="123"/>
      <c r="C119" s="23"/>
      <c r="D119" s="23"/>
      <c r="E119" s="23"/>
      <c r="F119" s="124"/>
      <c r="G119" s="125"/>
      <c r="H119" s="104"/>
      <c r="I119" s="124"/>
      <c r="J119" s="126"/>
      <c r="K119" s="104"/>
      <c r="L119" s="124"/>
      <c r="M119" s="127"/>
      <c r="N119" s="22"/>
      <c r="O119" s="128"/>
      <c r="P119" s="129"/>
      <c r="Q119" s="130"/>
      <c r="R119" s="104"/>
      <c r="S119" s="131"/>
      <c r="T119" s="132"/>
      <c r="U119" s="132"/>
      <c r="V119" s="132"/>
      <c r="W119" s="104"/>
      <c r="X119" s="104"/>
      <c r="Y119" s="104"/>
      <c r="Z119" s="104"/>
      <c r="AA119" s="22"/>
      <c r="AB119" s="105"/>
      <c r="AC119" s="105"/>
      <c r="AD119" s="105"/>
      <c r="AE119" s="105"/>
      <c r="AF119" s="105"/>
      <c r="AG119" s="105"/>
      <c r="AH119" s="105"/>
      <c r="AI119" s="105"/>
      <c r="AJ119" s="105"/>
    </row>
    <row r="120" ht="15.75" customHeight="1">
      <c r="A120" s="23"/>
      <c r="B120" s="123"/>
      <c r="C120" s="23"/>
      <c r="D120" s="23"/>
      <c r="E120" s="23"/>
      <c r="F120" s="124"/>
      <c r="G120" s="125"/>
      <c r="H120" s="104"/>
      <c r="I120" s="124"/>
      <c r="J120" s="126"/>
      <c r="K120" s="104"/>
      <c r="L120" s="124"/>
      <c r="M120" s="127"/>
      <c r="N120" s="22"/>
      <c r="O120" s="128"/>
      <c r="P120" s="129"/>
      <c r="Q120" s="130"/>
      <c r="R120" s="104"/>
      <c r="S120" s="131"/>
      <c r="T120" s="132"/>
      <c r="U120" s="132"/>
      <c r="V120" s="132"/>
      <c r="W120" s="104"/>
      <c r="X120" s="104"/>
      <c r="Y120" s="104"/>
      <c r="Z120" s="104"/>
      <c r="AA120" s="22"/>
      <c r="AB120" s="105"/>
      <c r="AC120" s="105"/>
      <c r="AD120" s="105"/>
      <c r="AE120" s="105"/>
      <c r="AF120" s="105"/>
      <c r="AG120" s="105"/>
      <c r="AH120" s="105"/>
      <c r="AI120" s="105"/>
      <c r="AJ120" s="105"/>
    </row>
    <row r="121" ht="15.75" customHeight="1">
      <c r="A121" s="23"/>
      <c r="B121" s="123"/>
      <c r="C121" s="23"/>
      <c r="D121" s="23"/>
      <c r="E121" s="23"/>
      <c r="F121" s="124"/>
      <c r="G121" s="125"/>
      <c r="H121" s="104"/>
      <c r="I121" s="124"/>
      <c r="J121" s="126"/>
      <c r="K121" s="104"/>
      <c r="L121" s="124"/>
      <c r="M121" s="127"/>
      <c r="N121" s="22"/>
      <c r="O121" s="128"/>
      <c r="P121" s="129"/>
      <c r="Q121" s="130"/>
      <c r="R121" s="104"/>
      <c r="S121" s="131"/>
      <c r="T121" s="132"/>
      <c r="U121" s="132"/>
      <c r="V121" s="132"/>
      <c r="W121" s="104"/>
      <c r="X121" s="104"/>
      <c r="Y121" s="104"/>
      <c r="Z121" s="104"/>
      <c r="AA121" s="22"/>
      <c r="AB121" s="105"/>
      <c r="AC121" s="105"/>
      <c r="AD121" s="105"/>
      <c r="AE121" s="105"/>
      <c r="AF121" s="105"/>
      <c r="AG121" s="105"/>
      <c r="AH121" s="105"/>
      <c r="AI121" s="105"/>
      <c r="AJ121" s="105"/>
    </row>
    <row r="122" ht="15.75" customHeight="1">
      <c r="A122" s="23"/>
      <c r="B122" s="123"/>
      <c r="C122" s="23"/>
      <c r="D122" s="23"/>
      <c r="E122" s="23"/>
      <c r="F122" s="124"/>
      <c r="G122" s="125"/>
      <c r="H122" s="104"/>
      <c r="I122" s="124"/>
      <c r="J122" s="126"/>
      <c r="K122" s="104"/>
      <c r="L122" s="124"/>
      <c r="M122" s="127"/>
      <c r="N122" s="22"/>
      <c r="O122" s="128"/>
      <c r="P122" s="129"/>
      <c r="Q122" s="130"/>
      <c r="R122" s="104"/>
      <c r="S122" s="131"/>
      <c r="T122" s="132"/>
      <c r="U122" s="132"/>
      <c r="V122" s="132"/>
      <c r="W122" s="104"/>
      <c r="X122" s="104"/>
      <c r="Y122" s="104"/>
      <c r="Z122" s="104"/>
      <c r="AA122" s="22"/>
      <c r="AB122" s="105"/>
      <c r="AC122" s="105"/>
      <c r="AD122" s="105"/>
      <c r="AE122" s="105"/>
      <c r="AF122" s="105"/>
      <c r="AG122" s="105"/>
      <c r="AH122" s="105"/>
      <c r="AI122" s="105"/>
      <c r="AJ122" s="105"/>
    </row>
    <row r="123" ht="15.75" customHeight="1">
      <c r="A123" s="23"/>
      <c r="B123" s="123"/>
      <c r="C123" s="23"/>
      <c r="D123" s="23"/>
      <c r="E123" s="23"/>
      <c r="F123" s="124"/>
      <c r="G123" s="125"/>
      <c r="H123" s="104"/>
      <c r="I123" s="124"/>
      <c r="J123" s="126"/>
      <c r="K123" s="104"/>
      <c r="L123" s="124"/>
      <c r="M123" s="127"/>
      <c r="N123" s="22"/>
      <c r="O123" s="128"/>
      <c r="P123" s="129"/>
      <c r="Q123" s="130"/>
      <c r="R123" s="104"/>
      <c r="S123" s="131"/>
      <c r="T123" s="132"/>
      <c r="U123" s="132"/>
      <c r="V123" s="132"/>
      <c r="W123" s="104"/>
      <c r="X123" s="104"/>
      <c r="Y123" s="104"/>
      <c r="Z123" s="104"/>
      <c r="AA123" s="22"/>
      <c r="AB123" s="105"/>
      <c r="AC123" s="105"/>
      <c r="AD123" s="105"/>
      <c r="AE123" s="105"/>
      <c r="AF123" s="105"/>
      <c r="AG123" s="105"/>
      <c r="AH123" s="105"/>
      <c r="AI123" s="105"/>
      <c r="AJ123" s="105"/>
    </row>
    <row r="124" ht="15.75" customHeight="1">
      <c r="A124" s="23"/>
      <c r="B124" s="123"/>
      <c r="C124" s="23"/>
      <c r="D124" s="23"/>
      <c r="E124" s="23"/>
      <c r="F124" s="124"/>
      <c r="G124" s="125"/>
      <c r="H124" s="104"/>
      <c r="I124" s="124"/>
      <c r="J124" s="126"/>
      <c r="K124" s="104"/>
      <c r="L124" s="124"/>
      <c r="M124" s="127"/>
      <c r="N124" s="22"/>
      <c r="O124" s="128"/>
      <c r="P124" s="129"/>
      <c r="Q124" s="130"/>
      <c r="R124" s="104"/>
      <c r="S124" s="131"/>
      <c r="T124" s="132"/>
      <c r="U124" s="132"/>
      <c r="V124" s="132"/>
      <c r="W124" s="104"/>
      <c r="X124" s="104"/>
      <c r="Y124" s="104"/>
      <c r="Z124" s="104"/>
      <c r="AA124" s="22"/>
      <c r="AB124" s="105"/>
      <c r="AC124" s="105"/>
      <c r="AD124" s="105"/>
      <c r="AE124" s="105"/>
      <c r="AF124" s="105"/>
      <c r="AG124" s="105"/>
      <c r="AH124" s="105"/>
      <c r="AI124" s="105"/>
      <c r="AJ124" s="105"/>
    </row>
    <row r="125" ht="15.75" customHeight="1">
      <c r="A125" s="23"/>
      <c r="B125" s="123"/>
      <c r="C125" s="23"/>
      <c r="D125" s="23"/>
      <c r="E125" s="23"/>
      <c r="F125" s="124"/>
      <c r="G125" s="125"/>
      <c r="H125" s="104"/>
      <c r="I125" s="124"/>
      <c r="J125" s="126"/>
      <c r="K125" s="104"/>
      <c r="L125" s="124"/>
      <c r="M125" s="127"/>
      <c r="N125" s="22"/>
      <c r="O125" s="128"/>
      <c r="P125" s="129"/>
      <c r="Q125" s="130"/>
      <c r="R125" s="104"/>
      <c r="S125" s="131"/>
      <c r="T125" s="132"/>
      <c r="U125" s="132"/>
      <c r="V125" s="132"/>
      <c r="W125" s="104"/>
      <c r="X125" s="104"/>
      <c r="Y125" s="104"/>
      <c r="Z125" s="104"/>
      <c r="AA125" s="22"/>
      <c r="AB125" s="105"/>
      <c r="AC125" s="105"/>
      <c r="AD125" s="105"/>
      <c r="AE125" s="105"/>
      <c r="AF125" s="105"/>
      <c r="AG125" s="105"/>
      <c r="AH125" s="105"/>
      <c r="AI125" s="105"/>
      <c r="AJ125" s="105"/>
    </row>
    <row r="126" ht="15.75" customHeight="1">
      <c r="A126" s="23"/>
      <c r="B126" s="123"/>
      <c r="C126" s="23"/>
      <c r="D126" s="23"/>
      <c r="E126" s="23"/>
      <c r="F126" s="124"/>
      <c r="G126" s="125"/>
      <c r="H126" s="104"/>
      <c r="I126" s="124"/>
      <c r="J126" s="126"/>
      <c r="K126" s="104"/>
      <c r="L126" s="124"/>
      <c r="M126" s="127"/>
      <c r="N126" s="22"/>
      <c r="O126" s="128"/>
      <c r="P126" s="129"/>
      <c r="Q126" s="130"/>
      <c r="R126" s="104"/>
      <c r="S126" s="131"/>
      <c r="T126" s="132"/>
      <c r="U126" s="132"/>
      <c r="V126" s="132"/>
      <c r="W126" s="104"/>
      <c r="X126" s="104"/>
      <c r="Y126" s="104"/>
      <c r="Z126" s="104"/>
      <c r="AA126" s="22"/>
      <c r="AB126" s="105"/>
      <c r="AC126" s="105"/>
      <c r="AD126" s="105"/>
      <c r="AE126" s="105"/>
      <c r="AF126" s="105"/>
      <c r="AG126" s="105"/>
      <c r="AH126" s="105"/>
      <c r="AI126" s="105"/>
      <c r="AJ126" s="105"/>
    </row>
    <row r="127" ht="15.75" customHeight="1">
      <c r="A127" s="23"/>
      <c r="B127" s="123"/>
      <c r="C127" s="23"/>
      <c r="D127" s="23"/>
      <c r="E127" s="23"/>
      <c r="F127" s="124"/>
      <c r="G127" s="125"/>
      <c r="H127" s="104"/>
      <c r="I127" s="124"/>
      <c r="J127" s="126"/>
      <c r="K127" s="104"/>
      <c r="L127" s="124"/>
      <c r="M127" s="127"/>
      <c r="N127" s="22"/>
      <c r="O127" s="128"/>
      <c r="P127" s="129"/>
      <c r="Q127" s="130"/>
      <c r="R127" s="104"/>
      <c r="S127" s="131"/>
      <c r="T127" s="132"/>
      <c r="U127" s="132"/>
      <c r="V127" s="132"/>
      <c r="W127" s="104"/>
      <c r="X127" s="104"/>
      <c r="Y127" s="104"/>
      <c r="Z127" s="104"/>
      <c r="AA127" s="22"/>
      <c r="AB127" s="105"/>
      <c r="AC127" s="105"/>
      <c r="AD127" s="105"/>
      <c r="AE127" s="105"/>
      <c r="AF127" s="105"/>
      <c r="AG127" s="105"/>
      <c r="AH127" s="105"/>
      <c r="AI127" s="105"/>
      <c r="AJ127" s="105"/>
    </row>
    <row r="128" ht="15.75" customHeight="1">
      <c r="A128" s="23"/>
      <c r="B128" s="123"/>
      <c r="C128" s="23"/>
      <c r="D128" s="23"/>
      <c r="E128" s="23"/>
      <c r="F128" s="124"/>
      <c r="G128" s="125"/>
      <c r="H128" s="104"/>
      <c r="I128" s="124"/>
      <c r="J128" s="126"/>
      <c r="K128" s="104"/>
      <c r="L128" s="124"/>
      <c r="M128" s="127"/>
      <c r="N128" s="22"/>
      <c r="O128" s="128"/>
      <c r="P128" s="129"/>
      <c r="Q128" s="130"/>
      <c r="R128" s="104"/>
      <c r="S128" s="131"/>
      <c r="T128" s="132"/>
      <c r="U128" s="132"/>
      <c r="V128" s="132"/>
      <c r="W128" s="104"/>
      <c r="X128" s="104"/>
      <c r="Y128" s="104"/>
      <c r="Z128" s="104"/>
      <c r="AA128" s="22"/>
      <c r="AB128" s="105"/>
      <c r="AC128" s="105"/>
      <c r="AD128" s="105"/>
      <c r="AE128" s="105"/>
      <c r="AF128" s="105"/>
      <c r="AG128" s="105"/>
      <c r="AH128" s="105"/>
      <c r="AI128" s="105"/>
      <c r="AJ128" s="105"/>
    </row>
    <row r="129" ht="15.75" customHeight="1">
      <c r="A129" s="23"/>
      <c r="B129" s="123"/>
      <c r="C129" s="23"/>
      <c r="D129" s="23"/>
      <c r="E129" s="23"/>
      <c r="F129" s="124"/>
      <c r="G129" s="125"/>
      <c r="H129" s="104"/>
      <c r="I129" s="124"/>
      <c r="J129" s="126"/>
      <c r="K129" s="104"/>
      <c r="L129" s="124"/>
      <c r="M129" s="127"/>
      <c r="N129" s="22"/>
      <c r="O129" s="128"/>
      <c r="P129" s="129"/>
      <c r="Q129" s="130"/>
      <c r="R129" s="104"/>
      <c r="S129" s="131"/>
      <c r="T129" s="132"/>
      <c r="U129" s="132"/>
      <c r="V129" s="132"/>
      <c r="W129" s="104"/>
      <c r="X129" s="104"/>
      <c r="Y129" s="104"/>
      <c r="Z129" s="104"/>
      <c r="AA129" s="22"/>
      <c r="AB129" s="105"/>
      <c r="AC129" s="105"/>
      <c r="AD129" s="105"/>
      <c r="AE129" s="105"/>
      <c r="AF129" s="105"/>
      <c r="AG129" s="105"/>
      <c r="AH129" s="105"/>
      <c r="AI129" s="105"/>
      <c r="AJ129" s="105"/>
    </row>
    <row r="130" ht="15.75" customHeight="1">
      <c r="A130" s="23"/>
      <c r="B130" s="123"/>
      <c r="C130" s="23"/>
      <c r="D130" s="23"/>
      <c r="E130" s="23"/>
      <c r="F130" s="124"/>
      <c r="G130" s="125"/>
      <c r="H130" s="104"/>
      <c r="I130" s="124"/>
      <c r="J130" s="126"/>
      <c r="K130" s="104"/>
      <c r="L130" s="124"/>
      <c r="M130" s="127"/>
      <c r="N130" s="22"/>
      <c r="O130" s="128"/>
      <c r="P130" s="129"/>
      <c r="Q130" s="130"/>
      <c r="R130" s="104"/>
      <c r="S130" s="131"/>
      <c r="T130" s="132"/>
      <c r="U130" s="132"/>
      <c r="V130" s="132"/>
      <c r="W130" s="104"/>
      <c r="X130" s="104"/>
      <c r="Y130" s="104"/>
      <c r="Z130" s="104"/>
      <c r="AA130" s="22"/>
      <c r="AB130" s="105"/>
      <c r="AC130" s="105"/>
      <c r="AD130" s="105"/>
      <c r="AE130" s="105"/>
      <c r="AF130" s="105"/>
      <c r="AG130" s="105"/>
      <c r="AH130" s="105"/>
      <c r="AI130" s="105"/>
      <c r="AJ130" s="105"/>
    </row>
    <row r="131" ht="15.75" customHeight="1">
      <c r="A131" s="23"/>
      <c r="B131" s="123"/>
      <c r="C131" s="23"/>
      <c r="D131" s="23"/>
      <c r="E131" s="23"/>
      <c r="F131" s="124"/>
      <c r="G131" s="125"/>
      <c r="H131" s="104"/>
      <c r="I131" s="124"/>
      <c r="J131" s="126"/>
      <c r="K131" s="104"/>
      <c r="L131" s="124"/>
      <c r="M131" s="127"/>
      <c r="N131" s="22"/>
      <c r="O131" s="128"/>
      <c r="P131" s="129"/>
      <c r="Q131" s="130"/>
      <c r="R131" s="104"/>
      <c r="S131" s="131"/>
      <c r="T131" s="132"/>
      <c r="U131" s="132"/>
      <c r="V131" s="132"/>
      <c r="W131" s="104"/>
      <c r="X131" s="104"/>
      <c r="Y131" s="104"/>
      <c r="Z131" s="104"/>
      <c r="AA131" s="22"/>
      <c r="AB131" s="105"/>
      <c r="AC131" s="105"/>
      <c r="AD131" s="105"/>
      <c r="AE131" s="105"/>
      <c r="AF131" s="105"/>
      <c r="AG131" s="105"/>
      <c r="AH131" s="105"/>
      <c r="AI131" s="105"/>
      <c r="AJ131" s="105"/>
    </row>
    <row r="132" ht="15.75" customHeight="1">
      <c r="A132" s="23"/>
      <c r="B132" s="123"/>
      <c r="C132" s="23"/>
      <c r="D132" s="23"/>
      <c r="E132" s="23"/>
      <c r="F132" s="124"/>
      <c r="G132" s="125"/>
      <c r="H132" s="104"/>
      <c r="I132" s="124"/>
      <c r="J132" s="126"/>
      <c r="K132" s="104"/>
      <c r="L132" s="124"/>
      <c r="M132" s="127"/>
      <c r="N132" s="22"/>
      <c r="O132" s="128"/>
      <c r="P132" s="129"/>
      <c r="Q132" s="130"/>
      <c r="R132" s="104"/>
      <c r="S132" s="131"/>
      <c r="T132" s="132"/>
      <c r="U132" s="132"/>
      <c r="V132" s="132"/>
      <c r="W132" s="104"/>
      <c r="X132" s="104"/>
      <c r="Y132" s="104"/>
      <c r="Z132" s="104"/>
      <c r="AA132" s="22"/>
      <c r="AB132" s="105"/>
      <c r="AC132" s="105"/>
      <c r="AD132" s="105"/>
      <c r="AE132" s="105"/>
      <c r="AF132" s="105"/>
      <c r="AG132" s="105"/>
      <c r="AH132" s="105"/>
      <c r="AI132" s="105"/>
      <c r="AJ132" s="105"/>
    </row>
    <row r="133" ht="15.75" customHeight="1">
      <c r="A133" s="23"/>
      <c r="B133" s="123"/>
      <c r="C133" s="23"/>
      <c r="D133" s="23"/>
      <c r="E133" s="23"/>
      <c r="F133" s="124"/>
      <c r="G133" s="125"/>
      <c r="H133" s="104"/>
      <c r="I133" s="124"/>
      <c r="J133" s="126"/>
      <c r="K133" s="104"/>
      <c r="L133" s="124"/>
      <c r="M133" s="127"/>
      <c r="N133" s="22"/>
      <c r="O133" s="128"/>
      <c r="P133" s="129"/>
      <c r="Q133" s="130"/>
      <c r="R133" s="104"/>
      <c r="S133" s="131"/>
      <c r="T133" s="132"/>
      <c r="U133" s="132"/>
      <c r="V133" s="132"/>
      <c r="W133" s="104"/>
      <c r="X133" s="104"/>
      <c r="Y133" s="104"/>
      <c r="Z133" s="104"/>
      <c r="AA133" s="22"/>
      <c r="AB133" s="105"/>
      <c r="AC133" s="105"/>
      <c r="AD133" s="105"/>
      <c r="AE133" s="105"/>
      <c r="AF133" s="105"/>
      <c r="AG133" s="105"/>
      <c r="AH133" s="105"/>
      <c r="AI133" s="105"/>
      <c r="AJ133" s="105"/>
    </row>
    <row r="134" ht="15.75" customHeight="1">
      <c r="A134" s="23"/>
      <c r="B134" s="123"/>
      <c r="C134" s="23"/>
      <c r="D134" s="23"/>
      <c r="E134" s="23"/>
      <c r="F134" s="124"/>
      <c r="G134" s="125"/>
      <c r="H134" s="104"/>
      <c r="I134" s="124"/>
      <c r="J134" s="126"/>
      <c r="K134" s="104"/>
      <c r="L134" s="124"/>
      <c r="M134" s="127"/>
      <c r="N134" s="22"/>
      <c r="O134" s="128"/>
      <c r="P134" s="129"/>
      <c r="Q134" s="130"/>
      <c r="R134" s="104"/>
      <c r="S134" s="131"/>
      <c r="T134" s="132"/>
      <c r="U134" s="132"/>
      <c r="V134" s="132"/>
      <c r="W134" s="104"/>
      <c r="X134" s="104"/>
      <c r="Y134" s="104"/>
      <c r="Z134" s="104"/>
      <c r="AA134" s="22"/>
      <c r="AB134" s="105"/>
      <c r="AC134" s="105"/>
      <c r="AD134" s="105"/>
      <c r="AE134" s="105"/>
      <c r="AF134" s="105"/>
      <c r="AG134" s="105"/>
      <c r="AH134" s="105"/>
      <c r="AI134" s="105"/>
      <c r="AJ134" s="105"/>
    </row>
    <row r="135" ht="15.75" customHeight="1">
      <c r="A135" s="23"/>
      <c r="B135" s="123"/>
      <c r="C135" s="23"/>
      <c r="D135" s="23"/>
      <c r="E135" s="23"/>
      <c r="F135" s="124"/>
      <c r="G135" s="125"/>
      <c r="H135" s="104"/>
      <c r="I135" s="124"/>
      <c r="J135" s="126"/>
      <c r="K135" s="104"/>
      <c r="L135" s="124"/>
      <c r="M135" s="127"/>
      <c r="N135" s="22"/>
      <c r="O135" s="128"/>
      <c r="P135" s="129"/>
      <c r="Q135" s="130"/>
      <c r="R135" s="104"/>
      <c r="S135" s="131"/>
      <c r="T135" s="132"/>
      <c r="U135" s="132"/>
      <c r="V135" s="132"/>
      <c r="W135" s="104"/>
      <c r="X135" s="104"/>
      <c r="Y135" s="104"/>
      <c r="Z135" s="104"/>
      <c r="AA135" s="22"/>
      <c r="AB135" s="105"/>
      <c r="AC135" s="105"/>
      <c r="AD135" s="105"/>
      <c r="AE135" s="105"/>
      <c r="AF135" s="105"/>
      <c r="AG135" s="105"/>
      <c r="AH135" s="105"/>
      <c r="AI135" s="105"/>
      <c r="AJ135" s="105"/>
    </row>
    <row r="136" ht="15.75" customHeight="1">
      <c r="A136" s="23"/>
      <c r="B136" s="123"/>
      <c r="C136" s="23"/>
      <c r="D136" s="23"/>
      <c r="E136" s="23"/>
      <c r="F136" s="124"/>
      <c r="G136" s="125"/>
      <c r="H136" s="104"/>
      <c r="I136" s="124"/>
      <c r="J136" s="126"/>
      <c r="K136" s="104"/>
      <c r="L136" s="124"/>
      <c r="M136" s="127"/>
      <c r="N136" s="22"/>
      <c r="O136" s="128"/>
      <c r="P136" s="129"/>
      <c r="Q136" s="130"/>
      <c r="R136" s="104"/>
      <c r="S136" s="131"/>
      <c r="T136" s="132"/>
      <c r="U136" s="132"/>
      <c r="V136" s="132"/>
      <c r="W136" s="104"/>
      <c r="X136" s="104"/>
      <c r="Y136" s="104"/>
      <c r="Z136" s="104"/>
      <c r="AA136" s="22"/>
      <c r="AB136" s="105"/>
      <c r="AC136" s="105"/>
      <c r="AD136" s="105"/>
      <c r="AE136" s="105"/>
      <c r="AF136" s="105"/>
      <c r="AG136" s="105"/>
      <c r="AH136" s="105"/>
      <c r="AI136" s="105"/>
      <c r="AJ136" s="105"/>
    </row>
    <row r="137" ht="15.75" customHeight="1">
      <c r="A137" s="23"/>
      <c r="B137" s="123"/>
      <c r="C137" s="23"/>
      <c r="D137" s="23"/>
      <c r="E137" s="23"/>
      <c r="F137" s="124"/>
      <c r="G137" s="125"/>
      <c r="H137" s="104"/>
      <c r="I137" s="124"/>
      <c r="J137" s="126"/>
      <c r="K137" s="104"/>
      <c r="L137" s="124"/>
      <c r="M137" s="127"/>
      <c r="N137" s="22"/>
      <c r="O137" s="128"/>
      <c r="P137" s="129"/>
      <c r="Q137" s="130"/>
      <c r="R137" s="104"/>
      <c r="S137" s="131"/>
      <c r="T137" s="132"/>
      <c r="U137" s="132"/>
      <c r="V137" s="132"/>
      <c r="W137" s="104"/>
      <c r="X137" s="104"/>
      <c r="Y137" s="104"/>
      <c r="Z137" s="104"/>
      <c r="AA137" s="22"/>
      <c r="AB137" s="105"/>
      <c r="AC137" s="105"/>
      <c r="AD137" s="105"/>
      <c r="AE137" s="105"/>
      <c r="AF137" s="105"/>
      <c r="AG137" s="105"/>
      <c r="AH137" s="105"/>
      <c r="AI137" s="105"/>
      <c r="AJ137" s="105"/>
    </row>
    <row r="138" ht="15.75" customHeight="1">
      <c r="A138" s="23"/>
      <c r="B138" s="123"/>
      <c r="C138" s="23"/>
      <c r="D138" s="23"/>
      <c r="E138" s="23"/>
      <c r="F138" s="124"/>
      <c r="G138" s="125"/>
      <c r="H138" s="104"/>
      <c r="I138" s="124"/>
      <c r="J138" s="126"/>
      <c r="K138" s="104"/>
      <c r="L138" s="124"/>
      <c r="M138" s="127"/>
      <c r="N138" s="22"/>
      <c r="O138" s="128"/>
      <c r="P138" s="129"/>
      <c r="Q138" s="130"/>
      <c r="R138" s="104"/>
      <c r="S138" s="131"/>
      <c r="T138" s="132"/>
      <c r="U138" s="132"/>
      <c r="V138" s="132"/>
      <c r="W138" s="104"/>
      <c r="X138" s="104"/>
      <c r="Y138" s="104"/>
      <c r="Z138" s="104"/>
      <c r="AA138" s="22"/>
      <c r="AB138" s="105"/>
      <c r="AC138" s="105"/>
      <c r="AD138" s="105"/>
      <c r="AE138" s="105"/>
      <c r="AF138" s="105"/>
      <c r="AG138" s="105"/>
      <c r="AH138" s="105"/>
      <c r="AI138" s="105"/>
      <c r="AJ138" s="105"/>
    </row>
    <row r="139" ht="15.75" customHeight="1">
      <c r="A139" s="23"/>
      <c r="B139" s="123"/>
      <c r="C139" s="23"/>
      <c r="D139" s="23"/>
      <c r="E139" s="23"/>
      <c r="F139" s="124"/>
      <c r="G139" s="125"/>
      <c r="H139" s="104"/>
      <c r="I139" s="124"/>
      <c r="J139" s="126"/>
      <c r="K139" s="104"/>
      <c r="L139" s="124"/>
      <c r="M139" s="127"/>
      <c r="N139" s="22"/>
      <c r="O139" s="128"/>
      <c r="P139" s="129"/>
      <c r="Q139" s="130"/>
      <c r="R139" s="104"/>
      <c r="S139" s="131"/>
      <c r="T139" s="132"/>
      <c r="U139" s="132"/>
      <c r="V139" s="132"/>
      <c r="W139" s="104"/>
      <c r="X139" s="104"/>
      <c r="Y139" s="104"/>
      <c r="Z139" s="104"/>
      <c r="AA139" s="22"/>
      <c r="AB139" s="105"/>
      <c r="AC139" s="105"/>
      <c r="AD139" s="105"/>
      <c r="AE139" s="105"/>
      <c r="AF139" s="105"/>
      <c r="AG139" s="105"/>
      <c r="AH139" s="105"/>
      <c r="AI139" s="105"/>
      <c r="AJ139" s="105"/>
    </row>
    <row r="140" ht="15.75" customHeight="1">
      <c r="A140" s="23"/>
      <c r="B140" s="123"/>
      <c r="C140" s="23"/>
      <c r="D140" s="23"/>
      <c r="E140" s="23"/>
      <c r="F140" s="124"/>
      <c r="G140" s="125"/>
      <c r="H140" s="104"/>
      <c r="I140" s="124"/>
      <c r="J140" s="126"/>
      <c r="K140" s="104"/>
      <c r="L140" s="124"/>
      <c r="M140" s="127"/>
      <c r="N140" s="22"/>
      <c r="O140" s="128"/>
      <c r="P140" s="129"/>
      <c r="Q140" s="130"/>
      <c r="R140" s="104"/>
      <c r="S140" s="131"/>
      <c r="T140" s="132"/>
      <c r="U140" s="132"/>
      <c r="V140" s="132"/>
      <c r="W140" s="104"/>
      <c r="X140" s="104"/>
      <c r="Y140" s="104"/>
      <c r="Z140" s="104"/>
      <c r="AA140" s="22"/>
      <c r="AB140" s="105"/>
      <c r="AC140" s="105"/>
      <c r="AD140" s="105"/>
      <c r="AE140" s="105"/>
      <c r="AF140" s="105"/>
      <c r="AG140" s="105"/>
      <c r="AH140" s="105"/>
      <c r="AI140" s="105"/>
      <c r="AJ140" s="105"/>
    </row>
    <row r="141" ht="15.75" customHeight="1">
      <c r="A141" s="23"/>
      <c r="B141" s="123"/>
      <c r="C141" s="23"/>
      <c r="D141" s="23"/>
      <c r="E141" s="23"/>
      <c r="F141" s="124"/>
      <c r="G141" s="125"/>
      <c r="H141" s="104"/>
      <c r="I141" s="124"/>
      <c r="J141" s="126"/>
      <c r="K141" s="104"/>
      <c r="L141" s="124"/>
      <c r="M141" s="127"/>
      <c r="N141" s="22"/>
      <c r="O141" s="128"/>
      <c r="P141" s="129"/>
      <c r="Q141" s="130"/>
      <c r="R141" s="104"/>
      <c r="S141" s="131"/>
      <c r="T141" s="132"/>
      <c r="U141" s="132"/>
      <c r="V141" s="132"/>
      <c r="W141" s="104"/>
      <c r="X141" s="104"/>
      <c r="Y141" s="104"/>
      <c r="Z141" s="104"/>
      <c r="AA141" s="22"/>
      <c r="AB141" s="105"/>
      <c r="AC141" s="105"/>
      <c r="AD141" s="105"/>
      <c r="AE141" s="105"/>
      <c r="AF141" s="105"/>
      <c r="AG141" s="105"/>
      <c r="AH141" s="105"/>
      <c r="AI141" s="105"/>
      <c r="AJ141" s="105"/>
    </row>
    <row r="142" ht="15.75" customHeight="1">
      <c r="A142" s="23"/>
      <c r="B142" s="123"/>
      <c r="C142" s="23"/>
      <c r="D142" s="23"/>
      <c r="E142" s="23"/>
      <c r="F142" s="124"/>
      <c r="G142" s="125"/>
      <c r="H142" s="104"/>
      <c r="I142" s="124"/>
      <c r="J142" s="126"/>
      <c r="K142" s="104"/>
      <c r="L142" s="124"/>
      <c r="M142" s="127"/>
      <c r="N142" s="22"/>
      <c r="O142" s="128"/>
      <c r="P142" s="129"/>
      <c r="Q142" s="130"/>
      <c r="R142" s="104"/>
      <c r="S142" s="131"/>
      <c r="T142" s="132"/>
      <c r="U142" s="132"/>
      <c r="V142" s="132"/>
      <c r="W142" s="104"/>
      <c r="X142" s="104"/>
      <c r="Y142" s="104"/>
      <c r="Z142" s="104"/>
      <c r="AA142" s="22"/>
      <c r="AB142" s="105"/>
      <c r="AC142" s="105"/>
      <c r="AD142" s="105"/>
      <c r="AE142" s="105"/>
      <c r="AF142" s="105"/>
      <c r="AG142" s="105"/>
      <c r="AH142" s="105"/>
      <c r="AI142" s="105"/>
      <c r="AJ142" s="105"/>
    </row>
    <row r="143" ht="15.75" customHeight="1">
      <c r="A143" s="23"/>
      <c r="B143" s="123"/>
      <c r="C143" s="23"/>
      <c r="D143" s="23"/>
      <c r="E143" s="23"/>
      <c r="F143" s="124"/>
      <c r="G143" s="125"/>
      <c r="H143" s="104"/>
      <c r="I143" s="124"/>
      <c r="J143" s="126"/>
      <c r="K143" s="104"/>
      <c r="L143" s="124"/>
      <c r="M143" s="127"/>
      <c r="N143" s="22"/>
      <c r="O143" s="128"/>
      <c r="P143" s="129"/>
      <c r="Q143" s="130"/>
      <c r="R143" s="104"/>
      <c r="S143" s="131"/>
      <c r="T143" s="132"/>
      <c r="U143" s="132"/>
      <c r="V143" s="132"/>
      <c r="W143" s="104"/>
      <c r="X143" s="104"/>
      <c r="Y143" s="104"/>
      <c r="Z143" s="104"/>
      <c r="AA143" s="22"/>
      <c r="AB143" s="105"/>
      <c r="AC143" s="105"/>
      <c r="AD143" s="105"/>
      <c r="AE143" s="105"/>
      <c r="AF143" s="105"/>
      <c r="AG143" s="105"/>
      <c r="AH143" s="105"/>
      <c r="AI143" s="105"/>
      <c r="AJ143" s="105"/>
    </row>
    <row r="144" ht="15.75" customHeight="1">
      <c r="A144" s="23"/>
      <c r="B144" s="123"/>
      <c r="C144" s="23"/>
      <c r="D144" s="23"/>
      <c r="E144" s="23"/>
      <c r="F144" s="124"/>
      <c r="G144" s="125"/>
      <c r="H144" s="104"/>
      <c r="I144" s="124"/>
      <c r="J144" s="126"/>
      <c r="K144" s="104"/>
      <c r="L144" s="124"/>
      <c r="M144" s="127"/>
      <c r="N144" s="22"/>
      <c r="O144" s="128"/>
      <c r="P144" s="129"/>
      <c r="Q144" s="130"/>
      <c r="R144" s="104"/>
      <c r="S144" s="131"/>
      <c r="T144" s="132"/>
      <c r="U144" s="132"/>
      <c r="V144" s="132"/>
      <c r="W144" s="104"/>
      <c r="X144" s="104"/>
      <c r="Y144" s="104"/>
      <c r="Z144" s="104"/>
      <c r="AA144" s="22"/>
      <c r="AB144" s="105"/>
      <c r="AC144" s="105"/>
      <c r="AD144" s="105"/>
      <c r="AE144" s="105"/>
      <c r="AF144" s="105"/>
      <c r="AG144" s="105"/>
      <c r="AH144" s="105"/>
      <c r="AI144" s="105"/>
      <c r="AJ144" s="105"/>
    </row>
    <row r="145" ht="15.75" customHeight="1">
      <c r="A145" s="23"/>
      <c r="B145" s="123"/>
      <c r="C145" s="23"/>
      <c r="D145" s="23"/>
      <c r="E145" s="23"/>
      <c r="F145" s="124"/>
      <c r="G145" s="125"/>
      <c r="H145" s="104"/>
      <c r="I145" s="124"/>
      <c r="J145" s="126"/>
      <c r="K145" s="104"/>
      <c r="L145" s="124"/>
      <c r="M145" s="127"/>
      <c r="N145" s="22"/>
      <c r="O145" s="128"/>
      <c r="P145" s="129"/>
      <c r="Q145" s="130"/>
      <c r="R145" s="104"/>
      <c r="S145" s="131"/>
      <c r="T145" s="132"/>
      <c r="U145" s="132"/>
      <c r="V145" s="132"/>
      <c r="W145" s="104"/>
      <c r="X145" s="104"/>
      <c r="Y145" s="104"/>
      <c r="Z145" s="104"/>
      <c r="AA145" s="22"/>
      <c r="AB145" s="105"/>
      <c r="AC145" s="105"/>
      <c r="AD145" s="105"/>
      <c r="AE145" s="105"/>
      <c r="AF145" s="105"/>
      <c r="AG145" s="105"/>
      <c r="AH145" s="105"/>
      <c r="AI145" s="105"/>
      <c r="AJ145" s="105"/>
    </row>
    <row r="146" ht="15.75" customHeight="1">
      <c r="A146" s="23"/>
      <c r="B146" s="123"/>
      <c r="C146" s="23"/>
      <c r="D146" s="23"/>
      <c r="E146" s="23"/>
      <c r="F146" s="124"/>
      <c r="G146" s="125"/>
      <c r="H146" s="104"/>
      <c r="I146" s="124"/>
      <c r="J146" s="126"/>
      <c r="K146" s="104"/>
      <c r="L146" s="124"/>
      <c r="M146" s="127"/>
      <c r="N146" s="22"/>
      <c r="O146" s="128"/>
      <c r="P146" s="129"/>
      <c r="Q146" s="130"/>
      <c r="R146" s="104"/>
      <c r="S146" s="131"/>
      <c r="T146" s="132"/>
      <c r="U146" s="132"/>
      <c r="V146" s="132"/>
      <c r="W146" s="104"/>
      <c r="X146" s="104"/>
      <c r="Y146" s="104"/>
      <c r="Z146" s="104"/>
      <c r="AA146" s="22"/>
      <c r="AB146" s="105"/>
      <c r="AC146" s="105"/>
      <c r="AD146" s="105"/>
      <c r="AE146" s="105"/>
      <c r="AF146" s="105"/>
      <c r="AG146" s="105"/>
      <c r="AH146" s="105"/>
      <c r="AI146" s="105"/>
      <c r="AJ146" s="105"/>
    </row>
    <row r="147" ht="15.75" customHeight="1">
      <c r="A147" s="23"/>
      <c r="B147" s="123"/>
      <c r="C147" s="23"/>
      <c r="D147" s="23"/>
      <c r="E147" s="23"/>
      <c r="F147" s="124"/>
      <c r="G147" s="125"/>
      <c r="H147" s="104"/>
      <c r="I147" s="124"/>
      <c r="J147" s="126"/>
      <c r="K147" s="104"/>
      <c r="L147" s="124"/>
      <c r="M147" s="127"/>
      <c r="N147" s="22"/>
      <c r="O147" s="128"/>
      <c r="P147" s="129"/>
      <c r="Q147" s="130"/>
      <c r="R147" s="104"/>
      <c r="S147" s="131"/>
      <c r="T147" s="132"/>
      <c r="U147" s="132"/>
      <c r="V147" s="132"/>
      <c r="W147" s="104"/>
      <c r="X147" s="104"/>
      <c r="Y147" s="104"/>
      <c r="Z147" s="104"/>
      <c r="AA147" s="22"/>
      <c r="AB147" s="105"/>
      <c r="AC147" s="105"/>
      <c r="AD147" s="105"/>
      <c r="AE147" s="105"/>
      <c r="AF147" s="105"/>
      <c r="AG147" s="105"/>
      <c r="AH147" s="105"/>
      <c r="AI147" s="105"/>
      <c r="AJ147" s="105"/>
    </row>
    <row r="148" ht="15.75" customHeight="1">
      <c r="A148" s="23"/>
      <c r="B148" s="123"/>
      <c r="C148" s="23"/>
      <c r="D148" s="23"/>
      <c r="E148" s="23"/>
      <c r="F148" s="124"/>
      <c r="G148" s="125"/>
      <c r="H148" s="104"/>
      <c r="I148" s="124"/>
      <c r="J148" s="126"/>
      <c r="K148" s="104"/>
      <c r="L148" s="124"/>
      <c r="M148" s="127"/>
      <c r="N148" s="22"/>
      <c r="O148" s="128"/>
      <c r="P148" s="129"/>
      <c r="Q148" s="130"/>
      <c r="R148" s="104"/>
      <c r="S148" s="131"/>
      <c r="T148" s="132"/>
      <c r="U148" s="132"/>
      <c r="V148" s="132"/>
      <c r="W148" s="104"/>
      <c r="X148" s="104"/>
      <c r="Y148" s="104"/>
      <c r="Z148" s="104"/>
      <c r="AA148" s="22"/>
      <c r="AB148" s="105"/>
      <c r="AC148" s="105"/>
      <c r="AD148" s="105"/>
      <c r="AE148" s="105"/>
      <c r="AF148" s="105"/>
      <c r="AG148" s="105"/>
      <c r="AH148" s="105"/>
      <c r="AI148" s="105"/>
      <c r="AJ148" s="105"/>
    </row>
    <row r="149" ht="15.75" customHeight="1">
      <c r="A149" s="23"/>
      <c r="B149" s="123"/>
      <c r="C149" s="23"/>
      <c r="D149" s="23"/>
      <c r="E149" s="23"/>
      <c r="F149" s="124"/>
      <c r="G149" s="125"/>
      <c r="H149" s="104"/>
      <c r="I149" s="124"/>
      <c r="J149" s="126"/>
      <c r="K149" s="104"/>
      <c r="L149" s="124"/>
      <c r="M149" s="127"/>
      <c r="N149" s="22"/>
      <c r="O149" s="128"/>
      <c r="P149" s="129"/>
      <c r="Q149" s="130"/>
      <c r="R149" s="104"/>
      <c r="S149" s="131"/>
      <c r="T149" s="132"/>
      <c r="U149" s="132"/>
      <c r="V149" s="132"/>
      <c r="W149" s="104"/>
      <c r="X149" s="104"/>
      <c r="Y149" s="104"/>
      <c r="Z149" s="104"/>
      <c r="AA149" s="22"/>
      <c r="AB149" s="105"/>
      <c r="AC149" s="105"/>
      <c r="AD149" s="105"/>
      <c r="AE149" s="105"/>
      <c r="AF149" s="105"/>
      <c r="AG149" s="105"/>
      <c r="AH149" s="105"/>
      <c r="AI149" s="105"/>
      <c r="AJ149" s="105"/>
    </row>
    <row r="150" ht="15.75" customHeight="1">
      <c r="A150" s="23"/>
      <c r="B150" s="123"/>
      <c r="C150" s="23"/>
      <c r="D150" s="23"/>
      <c r="E150" s="23"/>
      <c r="F150" s="124"/>
      <c r="G150" s="125"/>
      <c r="H150" s="104"/>
      <c r="I150" s="124"/>
      <c r="J150" s="126"/>
      <c r="K150" s="104"/>
      <c r="L150" s="124"/>
      <c r="M150" s="127"/>
      <c r="N150" s="22"/>
      <c r="O150" s="128"/>
      <c r="P150" s="129"/>
      <c r="Q150" s="130"/>
      <c r="R150" s="104"/>
      <c r="S150" s="131"/>
      <c r="T150" s="132"/>
      <c r="U150" s="132"/>
      <c r="V150" s="132"/>
      <c r="W150" s="104"/>
      <c r="X150" s="104"/>
      <c r="Y150" s="104"/>
      <c r="Z150" s="104"/>
      <c r="AA150" s="22"/>
      <c r="AB150" s="105"/>
      <c r="AC150" s="105"/>
      <c r="AD150" s="105"/>
      <c r="AE150" s="105"/>
      <c r="AF150" s="105"/>
      <c r="AG150" s="105"/>
      <c r="AH150" s="105"/>
      <c r="AI150" s="105"/>
      <c r="AJ150" s="105"/>
    </row>
    <row r="151" ht="15.75" customHeight="1">
      <c r="A151" s="23"/>
      <c r="B151" s="123"/>
      <c r="C151" s="23"/>
      <c r="D151" s="23"/>
      <c r="E151" s="23"/>
      <c r="F151" s="124"/>
      <c r="G151" s="125"/>
      <c r="H151" s="104"/>
      <c r="I151" s="124"/>
      <c r="J151" s="126"/>
      <c r="K151" s="104"/>
      <c r="L151" s="124"/>
      <c r="M151" s="127"/>
      <c r="N151" s="22"/>
      <c r="O151" s="128"/>
      <c r="P151" s="129"/>
      <c r="Q151" s="130"/>
      <c r="R151" s="104"/>
      <c r="S151" s="131"/>
      <c r="T151" s="132"/>
      <c r="U151" s="132"/>
      <c r="V151" s="132"/>
      <c r="W151" s="104"/>
      <c r="X151" s="104"/>
      <c r="Y151" s="104"/>
      <c r="Z151" s="104"/>
      <c r="AA151" s="22"/>
      <c r="AB151" s="105"/>
      <c r="AC151" s="105"/>
      <c r="AD151" s="105"/>
      <c r="AE151" s="105"/>
      <c r="AF151" s="105"/>
      <c r="AG151" s="105"/>
      <c r="AH151" s="105"/>
      <c r="AI151" s="105"/>
      <c r="AJ151" s="105"/>
    </row>
    <row r="152" ht="15.75" customHeight="1">
      <c r="A152" s="23"/>
      <c r="B152" s="123"/>
      <c r="C152" s="23"/>
      <c r="D152" s="23"/>
      <c r="E152" s="23"/>
      <c r="F152" s="124"/>
      <c r="G152" s="125"/>
      <c r="H152" s="104"/>
      <c r="I152" s="124"/>
      <c r="J152" s="126"/>
      <c r="K152" s="104"/>
      <c r="L152" s="124"/>
      <c r="M152" s="127"/>
      <c r="N152" s="22"/>
      <c r="O152" s="128"/>
      <c r="P152" s="129"/>
      <c r="Q152" s="130"/>
      <c r="R152" s="104"/>
      <c r="S152" s="131"/>
      <c r="T152" s="132"/>
      <c r="U152" s="132"/>
      <c r="V152" s="132"/>
      <c r="W152" s="104"/>
      <c r="X152" s="104"/>
      <c r="Y152" s="104"/>
      <c r="Z152" s="104"/>
      <c r="AA152" s="22"/>
      <c r="AB152" s="105"/>
      <c r="AC152" s="105"/>
      <c r="AD152" s="105"/>
      <c r="AE152" s="105"/>
      <c r="AF152" s="105"/>
      <c r="AG152" s="105"/>
      <c r="AH152" s="105"/>
      <c r="AI152" s="105"/>
      <c r="AJ152" s="105"/>
    </row>
    <row r="153" ht="15.75" customHeight="1">
      <c r="A153" s="23"/>
      <c r="B153" s="123"/>
      <c r="C153" s="23"/>
      <c r="D153" s="23"/>
      <c r="E153" s="23"/>
      <c r="F153" s="124"/>
      <c r="G153" s="125"/>
      <c r="H153" s="104"/>
      <c r="I153" s="124"/>
      <c r="J153" s="126"/>
      <c r="K153" s="104"/>
      <c r="L153" s="124"/>
      <c r="M153" s="127"/>
      <c r="N153" s="22"/>
      <c r="O153" s="128"/>
      <c r="P153" s="129"/>
      <c r="Q153" s="130"/>
      <c r="R153" s="104"/>
      <c r="S153" s="131"/>
      <c r="T153" s="132"/>
      <c r="U153" s="132"/>
      <c r="V153" s="132"/>
      <c r="W153" s="104"/>
      <c r="X153" s="104"/>
      <c r="Y153" s="104"/>
      <c r="Z153" s="104"/>
      <c r="AA153" s="22"/>
      <c r="AB153" s="105"/>
      <c r="AC153" s="105"/>
      <c r="AD153" s="105"/>
      <c r="AE153" s="105"/>
      <c r="AF153" s="105"/>
      <c r="AG153" s="105"/>
      <c r="AH153" s="105"/>
      <c r="AI153" s="105"/>
      <c r="AJ153" s="105"/>
    </row>
    <row r="154" ht="15.75" customHeight="1">
      <c r="A154" s="23"/>
      <c r="B154" s="123"/>
      <c r="C154" s="23"/>
      <c r="D154" s="23"/>
      <c r="E154" s="23"/>
      <c r="F154" s="124"/>
      <c r="G154" s="125"/>
      <c r="H154" s="104"/>
      <c r="I154" s="124"/>
      <c r="J154" s="126"/>
      <c r="K154" s="104"/>
      <c r="L154" s="124"/>
      <c r="M154" s="127"/>
      <c r="N154" s="22"/>
      <c r="O154" s="128"/>
      <c r="P154" s="129"/>
      <c r="Q154" s="130"/>
      <c r="R154" s="104"/>
      <c r="S154" s="131"/>
      <c r="T154" s="132"/>
      <c r="U154" s="132"/>
      <c r="V154" s="132"/>
      <c r="W154" s="104"/>
      <c r="X154" s="104"/>
      <c r="Y154" s="104"/>
      <c r="Z154" s="104"/>
      <c r="AA154" s="22"/>
      <c r="AB154" s="105"/>
      <c r="AC154" s="105"/>
      <c r="AD154" s="105"/>
      <c r="AE154" s="105"/>
      <c r="AF154" s="105"/>
      <c r="AG154" s="105"/>
      <c r="AH154" s="105"/>
      <c r="AI154" s="105"/>
      <c r="AJ154" s="105"/>
    </row>
    <row r="155" ht="15.75" customHeight="1">
      <c r="A155" s="23"/>
      <c r="B155" s="123"/>
      <c r="C155" s="23"/>
      <c r="D155" s="23"/>
      <c r="E155" s="23"/>
      <c r="F155" s="124"/>
      <c r="G155" s="125"/>
      <c r="H155" s="104"/>
      <c r="I155" s="124"/>
      <c r="J155" s="126"/>
      <c r="K155" s="104"/>
      <c r="L155" s="124"/>
      <c r="M155" s="127"/>
      <c r="N155" s="22"/>
      <c r="O155" s="128"/>
      <c r="P155" s="129"/>
      <c r="Q155" s="130"/>
      <c r="R155" s="104"/>
      <c r="S155" s="131"/>
      <c r="T155" s="132"/>
      <c r="U155" s="132"/>
      <c r="V155" s="132"/>
      <c r="W155" s="104"/>
      <c r="X155" s="104"/>
      <c r="Y155" s="104"/>
      <c r="Z155" s="104"/>
      <c r="AA155" s="22"/>
      <c r="AB155" s="105"/>
      <c r="AC155" s="105"/>
      <c r="AD155" s="105"/>
      <c r="AE155" s="105"/>
      <c r="AF155" s="105"/>
      <c r="AG155" s="105"/>
      <c r="AH155" s="105"/>
      <c r="AI155" s="105"/>
      <c r="AJ155" s="105"/>
    </row>
    <row r="156" ht="15.75" customHeight="1">
      <c r="A156" s="23"/>
      <c r="B156" s="123"/>
      <c r="C156" s="23"/>
      <c r="D156" s="23"/>
      <c r="E156" s="23"/>
      <c r="F156" s="124"/>
      <c r="G156" s="125"/>
      <c r="H156" s="104"/>
      <c r="I156" s="124"/>
      <c r="J156" s="126"/>
      <c r="K156" s="104"/>
      <c r="L156" s="124"/>
      <c r="M156" s="127"/>
      <c r="N156" s="22"/>
      <c r="O156" s="128"/>
      <c r="P156" s="129"/>
      <c r="Q156" s="130"/>
      <c r="R156" s="104"/>
      <c r="S156" s="131"/>
      <c r="T156" s="132"/>
      <c r="U156" s="132"/>
      <c r="V156" s="132"/>
      <c r="W156" s="104"/>
      <c r="X156" s="104"/>
      <c r="Y156" s="104"/>
      <c r="Z156" s="104"/>
      <c r="AA156" s="22"/>
      <c r="AB156" s="105"/>
      <c r="AC156" s="105"/>
      <c r="AD156" s="105"/>
      <c r="AE156" s="105"/>
      <c r="AF156" s="105"/>
      <c r="AG156" s="105"/>
      <c r="AH156" s="105"/>
      <c r="AI156" s="105"/>
      <c r="AJ156" s="105"/>
    </row>
    <row r="157" ht="15.75" customHeight="1">
      <c r="A157" s="23"/>
      <c r="B157" s="123"/>
      <c r="C157" s="23"/>
      <c r="D157" s="23"/>
      <c r="E157" s="23"/>
      <c r="F157" s="124"/>
      <c r="G157" s="125"/>
      <c r="H157" s="104"/>
      <c r="I157" s="124"/>
      <c r="J157" s="126"/>
      <c r="K157" s="104"/>
      <c r="L157" s="124"/>
      <c r="M157" s="127"/>
      <c r="N157" s="22"/>
      <c r="O157" s="128"/>
      <c r="P157" s="129"/>
      <c r="Q157" s="130"/>
      <c r="R157" s="104"/>
      <c r="S157" s="131"/>
      <c r="T157" s="132"/>
      <c r="U157" s="132"/>
      <c r="V157" s="132"/>
      <c r="W157" s="104"/>
      <c r="X157" s="104"/>
      <c r="Y157" s="104"/>
      <c r="Z157" s="104"/>
      <c r="AA157" s="22"/>
      <c r="AB157" s="105"/>
      <c r="AC157" s="105"/>
      <c r="AD157" s="105"/>
      <c r="AE157" s="105"/>
      <c r="AF157" s="105"/>
      <c r="AG157" s="105"/>
      <c r="AH157" s="105"/>
      <c r="AI157" s="105"/>
      <c r="AJ157" s="105"/>
    </row>
    <row r="158" ht="15.75" customHeight="1">
      <c r="A158" s="23"/>
      <c r="B158" s="123"/>
      <c r="C158" s="23"/>
      <c r="D158" s="23"/>
      <c r="E158" s="23"/>
      <c r="F158" s="124"/>
      <c r="G158" s="125"/>
      <c r="H158" s="104"/>
      <c r="I158" s="124"/>
      <c r="J158" s="126"/>
      <c r="K158" s="104"/>
      <c r="L158" s="124"/>
      <c r="M158" s="127"/>
      <c r="N158" s="22"/>
      <c r="O158" s="128"/>
      <c r="P158" s="129"/>
      <c r="Q158" s="130"/>
      <c r="R158" s="104"/>
      <c r="S158" s="131"/>
      <c r="T158" s="132"/>
      <c r="U158" s="132"/>
      <c r="V158" s="132"/>
      <c r="W158" s="104"/>
      <c r="X158" s="104"/>
      <c r="Y158" s="104"/>
      <c r="Z158" s="104"/>
      <c r="AA158" s="22"/>
      <c r="AB158" s="105"/>
      <c r="AC158" s="105"/>
      <c r="AD158" s="105"/>
      <c r="AE158" s="105"/>
      <c r="AF158" s="105"/>
      <c r="AG158" s="105"/>
      <c r="AH158" s="105"/>
      <c r="AI158" s="105"/>
      <c r="AJ158" s="105"/>
    </row>
    <row r="159" ht="15.75" customHeight="1">
      <c r="A159" s="23"/>
      <c r="B159" s="123"/>
      <c r="C159" s="23"/>
      <c r="D159" s="23"/>
      <c r="E159" s="23"/>
      <c r="F159" s="124"/>
      <c r="G159" s="125"/>
      <c r="H159" s="104"/>
      <c r="I159" s="124"/>
      <c r="J159" s="126"/>
      <c r="K159" s="104"/>
      <c r="L159" s="124"/>
      <c r="M159" s="127"/>
      <c r="N159" s="22"/>
      <c r="O159" s="128"/>
      <c r="P159" s="129"/>
      <c r="Q159" s="130"/>
      <c r="R159" s="104"/>
      <c r="S159" s="131"/>
      <c r="T159" s="132"/>
      <c r="U159" s="132"/>
      <c r="V159" s="132"/>
      <c r="W159" s="104"/>
      <c r="X159" s="104"/>
      <c r="Y159" s="104"/>
      <c r="Z159" s="104"/>
      <c r="AA159" s="22"/>
      <c r="AB159" s="105"/>
      <c r="AC159" s="105"/>
      <c r="AD159" s="105"/>
      <c r="AE159" s="105"/>
      <c r="AF159" s="105"/>
      <c r="AG159" s="105"/>
      <c r="AH159" s="105"/>
      <c r="AI159" s="105"/>
      <c r="AJ159" s="105"/>
    </row>
    <row r="160" ht="15.75" customHeight="1">
      <c r="A160" s="23"/>
      <c r="B160" s="123"/>
      <c r="C160" s="23"/>
      <c r="D160" s="23"/>
      <c r="E160" s="23"/>
      <c r="F160" s="124"/>
      <c r="G160" s="125"/>
      <c r="H160" s="104"/>
      <c r="I160" s="124"/>
      <c r="J160" s="126"/>
      <c r="K160" s="104"/>
      <c r="L160" s="124"/>
      <c r="M160" s="127"/>
      <c r="N160" s="22"/>
      <c r="O160" s="128"/>
      <c r="P160" s="129"/>
      <c r="Q160" s="130"/>
      <c r="R160" s="104"/>
      <c r="S160" s="131"/>
      <c r="T160" s="132"/>
      <c r="U160" s="132"/>
      <c r="V160" s="132"/>
      <c r="W160" s="104"/>
      <c r="X160" s="104"/>
      <c r="Y160" s="104"/>
      <c r="Z160" s="104"/>
      <c r="AA160" s="22"/>
      <c r="AB160" s="105"/>
      <c r="AC160" s="105"/>
      <c r="AD160" s="105"/>
      <c r="AE160" s="105"/>
      <c r="AF160" s="105"/>
      <c r="AG160" s="105"/>
      <c r="AH160" s="105"/>
      <c r="AI160" s="105"/>
      <c r="AJ160" s="105"/>
    </row>
    <row r="161" ht="15.75" customHeight="1">
      <c r="A161" s="23"/>
      <c r="B161" s="123"/>
      <c r="C161" s="23"/>
      <c r="D161" s="23"/>
      <c r="E161" s="23"/>
      <c r="F161" s="124"/>
      <c r="G161" s="125"/>
      <c r="H161" s="104"/>
      <c r="I161" s="124"/>
      <c r="J161" s="126"/>
      <c r="K161" s="104"/>
      <c r="L161" s="124"/>
      <c r="M161" s="127"/>
      <c r="N161" s="22"/>
      <c r="O161" s="128"/>
      <c r="P161" s="129"/>
      <c r="Q161" s="130"/>
      <c r="R161" s="104"/>
      <c r="S161" s="131"/>
      <c r="T161" s="132"/>
      <c r="U161" s="132"/>
      <c r="V161" s="132"/>
      <c r="W161" s="104"/>
      <c r="X161" s="104"/>
      <c r="Y161" s="104"/>
      <c r="Z161" s="104"/>
      <c r="AA161" s="22"/>
      <c r="AB161" s="105"/>
      <c r="AC161" s="105"/>
      <c r="AD161" s="105"/>
      <c r="AE161" s="105"/>
      <c r="AF161" s="105"/>
      <c r="AG161" s="105"/>
      <c r="AH161" s="105"/>
      <c r="AI161" s="105"/>
      <c r="AJ161" s="105"/>
    </row>
    <row r="162" ht="15.75" customHeight="1">
      <c r="A162" s="23"/>
      <c r="B162" s="123"/>
      <c r="C162" s="23"/>
      <c r="D162" s="23"/>
      <c r="E162" s="23"/>
      <c r="F162" s="124"/>
      <c r="G162" s="125"/>
      <c r="H162" s="104"/>
      <c r="I162" s="124"/>
      <c r="J162" s="126"/>
      <c r="K162" s="104"/>
      <c r="L162" s="124"/>
      <c r="M162" s="127"/>
      <c r="N162" s="22"/>
      <c r="O162" s="128"/>
      <c r="P162" s="129"/>
      <c r="Q162" s="130"/>
      <c r="R162" s="104"/>
      <c r="S162" s="131"/>
      <c r="T162" s="132"/>
      <c r="U162" s="132"/>
      <c r="V162" s="132"/>
      <c r="W162" s="104"/>
      <c r="X162" s="104"/>
      <c r="Y162" s="104"/>
      <c r="Z162" s="104"/>
      <c r="AA162" s="22"/>
      <c r="AB162" s="105"/>
      <c r="AC162" s="105"/>
      <c r="AD162" s="105"/>
      <c r="AE162" s="105"/>
      <c r="AF162" s="105"/>
      <c r="AG162" s="105"/>
      <c r="AH162" s="105"/>
      <c r="AI162" s="105"/>
      <c r="AJ162" s="105"/>
    </row>
    <row r="163" ht="15.75" customHeight="1">
      <c r="A163" s="23"/>
      <c r="B163" s="123"/>
      <c r="C163" s="23"/>
      <c r="D163" s="23"/>
      <c r="E163" s="23"/>
      <c r="F163" s="124"/>
      <c r="G163" s="125"/>
      <c r="H163" s="104"/>
      <c r="I163" s="124"/>
      <c r="J163" s="126"/>
      <c r="K163" s="104"/>
      <c r="L163" s="124"/>
      <c r="M163" s="127"/>
      <c r="N163" s="22"/>
      <c r="O163" s="128"/>
      <c r="P163" s="129"/>
      <c r="Q163" s="130"/>
      <c r="R163" s="104"/>
      <c r="S163" s="131"/>
      <c r="T163" s="132"/>
      <c r="U163" s="132"/>
      <c r="V163" s="132"/>
      <c r="W163" s="104"/>
      <c r="X163" s="104"/>
      <c r="Y163" s="104"/>
      <c r="Z163" s="104"/>
      <c r="AA163" s="22"/>
      <c r="AB163" s="105"/>
      <c r="AC163" s="105"/>
      <c r="AD163" s="105"/>
      <c r="AE163" s="105"/>
      <c r="AF163" s="105"/>
      <c r="AG163" s="105"/>
      <c r="AH163" s="105"/>
      <c r="AI163" s="105"/>
      <c r="AJ163" s="105"/>
    </row>
    <row r="164" ht="15.75" customHeight="1">
      <c r="A164" s="23"/>
      <c r="B164" s="123"/>
      <c r="C164" s="23"/>
      <c r="D164" s="23"/>
      <c r="E164" s="23"/>
      <c r="F164" s="124"/>
      <c r="G164" s="125"/>
      <c r="H164" s="104"/>
      <c r="I164" s="124"/>
      <c r="J164" s="126"/>
      <c r="K164" s="104"/>
      <c r="L164" s="124"/>
      <c r="M164" s="127"/>
      <c r="N164" s="22"/>
      <c r="O164" s="128"/>
      <c r="P164" s="129"/>
      <c r="Q164" s="130"/>
      <c r="R164" s="104"/>
      <c r="S164" s="131"/>
      <c r="T164" s="132"/>
      <c r="U164" s="132"/>
      <c r="V164" s="132"/>
      <c r="W164" s="104"/>
      <c r="X164" s="104"/>
      <c r="Y164" s="104"/>
      <c r="Z164" s="104"/>
      <c r="AA164" s="22"/>
      <c r="AB164" s="105"/>
      <c r="AC164" s="105"/>
      <c r="AD164" s="105"/>
      <c r="AE164" s="105"/>
      <c r="AF164" s="105"/>
      <c r="AG164" s="105"/>
      <c r="AH164" s="105"/>
      <c r="AI164" s="105"/>
      <c r="AJ164" s="105"/>
    </row>
    <row r="165" ht="15.75" customHeight="1">
      <c r="A165" s="23"/>
      <c r="B165" s="123"/>
      <c r="C165" s="23"/>
      <c r="D165" s="23"/>
      <c r="E165" s="23"/>
      <c r="F165" s="124"/>
      <c r="G165" s="125"/>
      <c r="H165" s="104"/>
      <c r="I165" s="124"/>
      <c r="J165" s="126"/>
      <c r="K165" s="104"/>
      <c r="L165" s="124"/>
      <c r="M165" s="127"/>
      <c r="N165" s="22"/>
      <c r="O165" s="128"/>
      <c r="P165" s="129"/>
      <c r="Q165" s="130"/>
      <c r="R165" s="104"/>
      <c r="S165" s="131"/>
      <c r="T165" s="132"/>
      <c r="U165" s="132"/>
      <c r="V165" s="132"/>
      <c r="W165" s="104"/>
      <c r="X165" s="104"/>
      <c r="Y165" s="104"/>
      <c r="Z165" s="104"/>
      <c r="AA165" s="22"/>
      <c r="AB165" s="105"/>
      <c r="AC165" s="105"/>
      <c r="AD165" s="105"/>
      <c r="AE165" s="105"/>
      <c r="AF165" s="105"/>
      <c r="AG165" s="105"/>
      <c r="AH165" s="105"/>
      <c r="AI165" s="105"/>
      <c r="AJ165" s="105"/>
    </row>
    <row r="166" ht="15.75" customHeight="1">
      <c r="A166" s="23"/>
      <c r="B166" s="123"/>
      <c r="C166" s="23"/>
      <c r="D166" s="23"/>
      <c r="E166" s="23"/>
      <c r="F166" s="124"/>
      <c r="G166" s="125"/>
      <c r="H166" s="104"/>
      <c r="I166" s="124"/>
      <c r="J166" s="126"/>
      <c r="K166" s="104"/>
      <c r="L166" s="124"/>
      <c r="M166" s="127"/>
      <c r="N166" s="22"/>
      <c r="O166" s="128"/>
      <c r="P166" s="129"/>
      <c r="Q166" s="130"/>
      <c r="R166" s="104"/>
      <c r="S166" s="131"/>
      <c r="T166" s="132"/>
      <c r="U166" s="132"/>
      <c r="V166" s="132"/>
      <c r="W166" s="104"/>
      <c r="X166" s="104"/>
      <c r="Y166" s="104"/>
      <c r="Z166" s="104"/>
      <c r="AA166" s="22"/>
      <c r="AB166" s="105"/>
      <c r="AC166" s="105"/>
      <c r="AD166" s="105"/>
      <c r="AE166" s="105"/>
      <c r="AF166" s="105"/>
      <c r="AG166" s="105"/>
      <c r="AH166" s="105"/>
      <c r="AI166" s="105"/>
      <c r="AJ166" s="105"/>
    </row>
    <row r="167" ht="15.75" customHeight="1">
      <c r="A167" s="23"/>
      <c r="B167" s="123"/>
      <c r="C167" s="23"/>
      <c r="D167" s="23"/>
      <c r="E167" s="23"/>
      <c r="F167" s="124"/>
      <c r="G167" s="125"/>
      <c r="H167" s="104"/>
      <c r="I167" s="124"/>
      <c r="J167" s="126"/>
      <c r="K167" s="104"/>
      <c r="L167" s="124"/>
      <c r="M167" s="127"/>
      <c r="N167" s="22"/>
      <c r="O167" s="128"/>
      <c r="P167" s="129"/>
      <c r="Q167" s="130"/>
      <c r="R167" s="104"/>
      <c r="S167" s="131"/>
      <c r="T167" s="132"/>
      <c r="U167" s="132"/>
      <c r="V167" s="132"/>
      <c r="W167" s="104"/>
      <c r="X167" s="104"/>
      <c r="Y167" s="104"/>
      <c r="Z167" s="104"/>
      <c r="AA167" s="22"/>
      <c r="AB167" s="105"/>
      <c r="AC167" s="105"/>
      <c r="AD167" s="105"/>
      <c r="AE167" s="105"/>
      <c r="AF167" s="105"/>
      <c r="AG167" s="105"/>
      <c r="AH167" s="105"/>
      <c r="AI167" s="105"/>
      <c r="AJ167" s="105"/>
    </row>
    <row r="168" ht="15.75" customHeight="1">
      <c r="A168" s="23"/>
      <c r="B168" s="123"/>
      <c r="C168" s="23"/>
      <c r="D168" s="23"/>
      <c r="E168" s="23"/>
      <c r="F168" s="124"/>
      <c r="G168" s="125"/>
      <c r="H168" s="104"/>
      <c r="I168" s="124"/>
      <c r="J168" s="126"/>
      <c r="K168" s="104"/>
      <c r="L168" s="124"/>
      <c r="M168" s="127"/>
      <c r="N168" s="22"/>
      <c r="O168" s="128"/>
      <c r="P168" s="129"/>
      <c r="Q168" s="130"/>
      <c r="R168" s="104"/>
      <c r="S168" s="131"/>
      <c r="T168" s="132"/>
      <c r="U168" s="132"/>
      <c r="V168" s="132"/>
      <c r="W168" s="104"/>
      <c r="X168" s="104"/>
      <c r="Y168" s="104"/>
      <c r="Z168" s="104"/>
      <c r="AA168" s="22"/>
      <c r="AB168" s="105"/>
      <c r="AC168" s="105"/>
      <c r="AD168" s="105"/>
      <c r="AE168" s="105"/>
      <c r="AF168" s="105"/>
      <c r="AG168" s="105"/>
      <c r="AH168" s="105"/>
      <c r="AI168" s="105"/>
      <c r="AJ168" s="105"/>
    </row>
    <row r="169" ht="15.75" customHeight="1">
      <c r="A169" s="23"/>
      <c r="B169" s="123"/>
      <c r="C169" s="23"/>
      <c r="D169" s="23"/>
      <c r="E169" s="23"/>
      <c r="F169" s="124"/>
      <c r="G169" s="125"/>
      <c r="H169" s="104"/>
      <c r="I169" s="124"/>
      <c r="J169" s="126"/>
      <c r="K169" s="104"/>
      <c r="L169" s="124"/>
      <c r="M169" s="127"/>
      <c r="N169" s="22"/>
      <c r="O169" s="128"/>
      <c r="P169" s="129"/>
      <c r="Q169" s="130"/>
      <c r="R169" s="104"/>
      <c r="S169" s="131"/>
      <c r="T169" s="132"/>
      <c r="U169" s="132"/>
      <c r="V169" s="132"/>
      <c r="W169" s="104"/>
      <c r="X169" s="104"/>
      <c r="Y169" s="104"/>
      <c r="Z169" s="104"/>
      <c r="AA169" s="22"/>
      <c r="AB169" s="105"/>
      <c r="AC169" s="105"/>
      <c r="AD169" s="105"/>
      <c r="AE169" s="105"/>
      <c r="AF169" s="105"/>
      <c r="AG169" s="105"/>
      <c r="AH169" s="105"/>
      <c r="AI169" s="105"/>
      <c r="AJ169" s="105"/>
    </row>
    <row r="170" ht="15.75" customHeight="1">
      <c r="A170" s="23"/>
      <c r="B170" s="123"/>
      <c r="C170" s="23"/>
      <c r="D170" s="23"/>
      <c r="E170" s="23"/>
      <c r="F170" s="124"/>
      <c r="G170" s="125"/>
      <c r="H170" s="104"/>
      <c r="I170" s="124"/>
      <c r="J170" s="126"/>
      <c r="K170" s="104"/>
      <c r="L170" s="124"/>
      <c r="M170" s="127"/>
      <c r="N170" s="22"/>
      <c r="O170" s="128"/>
      <c r="P170" s="129"/>
      <c r="Q170" s="130"/>
      <c r="R170" s="104"/>
      <c r="S170" s="131"/>
      <c r="T170" s="132"/>
      <c r="U170" s="132"/>
      <c r="V170" s="132"/>
      <c r="W170" s="104"/>
      <c r="X170" s="104"/>
      <c r="Y170" s="104"/>
      <c r="Z170" s="104"/>
      <c r="AA170" s="22"/>
      <c r="AB170" s="105"/>
      <c r="AC170" s="105"/>
      <c r="AD170" s="105"/>
      <c r="AE170" s="105"/>
      <c r="AF170" s="105"/>
      <c r="AG170" s="105"/>
      <c r="AH170" s="105"/>
      <c r="AI170" s="105"/>
      <c r="AJ170" s="105"/>
    </row>
    <row r="171" ht="15.75" customHeight="1">
      <c r="A171" s="23"/>
      <c r="B171" s="123"/>
      <c r="C171" s="23"/>
      <c r="D171" s="23"/>
      <c r="E171" s="23"/>
      <c r="F171" s="124"/>
      <c r="G171" s="125"/>
      <c r="H171" s="104"/>
      <c r="I171" s="124"/>
      <c r="J171" s="126"/>
      <c r="K171" s="104"/>
      <c r="L171" s="124"/>
      <c r="M171" s="127"/>
      <c r="N171" s="22"/>
      <c r="O171" s="128"/>
      <c r="P171" s="129"/>
      <c r="Q171" s="130"/>
      <c r="R171" s="104"/>
      <c r="S171" s="131"/>
      <c r="T171" s="132"/>
      <c r="U171" s="132"/>
      <c r="V171" s="132"/>
      <c r="W171" s="104"/>
      <c r="X171" s="104"/>
      <c r="Y171" s="104"/>
      <c r="Z171" s="104"/>
      <c r="AA171" s="22"/>
      <c r="AB171" s="105"/>
      <c r="AC171" s="105"/>
      <c r="AD171" s="105"/>
      <c r="AE171" s="105"/>
      <c r="AF171" s="105"/>
      <c r="AG171" s="105"/>
      <c r="AH171" s="105"/>
      <c r="AI171" s="105"/>
      <c r="AJ171" s="105"/>
    </row>
    <row r="172" ht="15.75" customHeight="1">
      <c r="A172" s="23"/>
      <c r="B172" s="123"/>
      <c r="C172" s="23"/>
      <c r="D172" s="23"/>
      <c r="E172" s="23"/>
      <c r="F172" s="124"/>
      <c r="G172" s="125"/>
      <c r="H172" s="104"/>
      <c r="I172" s="124"/>
      <c r="J172" s="126"/>
      <c r="K172" s="104"/>
      <c r="L172" s="124"/>
      <c r="M172" s="127"/>
      <c r="N172" s="22"/>
      <c r="O172" s="128"/>
      <c r="P172" s="129"/>
      <c r="Q172" s="130"/>
      <c r="R172" s="104"/>
      <c r="S172" s="131"/>
      <c r="T172" s="132"/>
      <c r="U172" s="132"/>
      <c r="V172" s="132"/>
      <c r="W172" s="104"/>
      <c r="X172" s="104"/>
      <c r="Y172" s="104"/>
      <c r="Z172" s="104"/>
      <c r="AA172" s="22"/>
      <c r="AB172" s="105"/>
      <c r="AC172" s="105"/>
      <c r="AD172" s="105"/>
      <c r="AE172" s="105"/>
      <c r="AF172" s="105"/>
      <c r="AG172" s="105"/>
      <c r="AH172" s="105"/>
      <c r="AI172" s="105"/>
      <c r="AJ172" s="105"/>
    </row>
    <row r="173" ht="15.75" customHeight="1">
      <c r="A173" s="23"/>
      <c r="B173" s="123"/>
      <c r="C173" s="23"/>
      <c r="D173" s="23"/>
      <c r="E173" s="23"/>
      <c r="F173" s="124"/>
      <c r="G173" s="125"/>
      <c r="H173" s="104"/>
      <c r="I173" s="124"/>
      <c r="J173" s="126"/>
      <c r="K173" s="104"/>
      <c r="L173" s="124"/>
      <c r="M173" s="127"/>
      <c r="N173" s="22"/>
      <c r="O173" s="128"/>
      <c r="P173" s="129"/>
      <c r="Q173" s="130"/>
      <c r="R173" s="104"/>
      <c r="S173" s="131"/>
      <c r="T173" s="132"/>
      <c r="U173" s="132"/>
      <c r="V173" s="132"/>
      <c r="W173" s="104"/>
      <c r="X173" s="104"/>
      <c r="Y173" s="104"/>
      <c r="Z173" s="104"/>
      <c r="AA173" s="22"/>
      <c r="AB173" s="105"/>
      <c r="AC173" s="105"/>
      <c r="AD173" s="105"/>
      <c r="AE173" s="105"/>
      <c r="AF173" s="105"/>
      <c r="AG173" s="105"/>
      <c r="AH173" s="105"/>
      <c r="AI173" s="105"/>
      <c r="AJ173" s="105"/>
    </row>
    <row r="174" ht="15.75" customHeight="1">
      <c r="A174" s="23"/>
      <c r="B174" s="123"/>
      <c r="C174" s="23"/>
      <c r="D174" s="23"/>
      <c r="E174" s="23"/>
      <c r="F174" s="124"/>
      <c r="G174" s="125"/>
      <c r="H174" s="104"/>
      <c r="I174" s="124"/>
      <c r="J174" s="126"/>
      <c r="K174" s="104"/>
      <c r="L174" s="124"/>
      <c r="M174" s="127"/>
      <c r="N174" s="22"/>
      <c r="O174" s="128"/>
      <c r="P174" s="129"/>
      <c r="Q174" s="130"/>
      <c r="R174" s="104"/>
      <c r="S174" s="131"/>
      <c r="T174" s="132"/>
      <c r="U174" s="132"/>
      <c r="V174" s="132"/>
      <c r="W174" s="104"/>
      <c r="X174" s="104"/>
      <c r="Y174" s="104"/>
      <c r="Z174" s="104"/>
      <c r="AA174" s="22"/>
      <c r="AB174" s="105"/>
      <c r="AC174" s="105"/>
      <c r="AD174" s="105"/>
      <c r="AE174" s="105"/>
      <c r="AF174" s="105"/>
      <c r="AG174" s="105"/>
      <c r="AH174" s="105"/>
      <c r="AI174" s="105"/>
      <c r="AJ174" s="105"/>
    </row>
    <row r="175" ht="15.75" customHeight="1">
      <c r="A175" s="23"/>
      <c r="B175" s="123"/>
      <c r="C175" s="23"/>
      <c r="D175" s="23"/>
      <c r="E175" s="23"/>
      <c r="F175" s="124"/>
      <c r="G175" s="125"/>
      <c r="H175" s="104"/>
      <c r="I175" s="124"/>
      <c r="J175" s="126"/>
      <c r="K175" s="104"/>
      <c r="L175" s="124"/>
      <c r="M175" s="127"/>
      <c r="N175" s="22"/>
      <c r="O175" s="128"/>
      <c r="P175" s="129"/>
      <c r="Q175" s="130"/>
      <c r="R175" s="104"/>
      <c r="S175" s="131"/>
      <c r="T175" s="132"/>
      <c r="U175" s="132"/>
      <c r="V175" s="132"/>
      <c r="W175" s="104"/>
      <c r="X175" s="104"/>
      <c r="Y175" s="104"/>
      <c r="Z175" s="104"/>
      <c r="AA175" s="22"/>
      <c r="AB175" s="105"/>
      <c r="AC175" s="105"/>
      <c r="AD175" s="105"/>
      <c r="AE175" s="105"/>
      <c r="AF175" s="105"/>
      <c r="AG175" s="105"/>
      <c r="AH175" s="105"/>
      <c r="AI175" s="105"/>
      <c r="AJ175" s="105"/>
    </row>
    <row r="176" ht="15.75" customHeight="1">
      <c r="A176" s="23"/>
      <c r="B176" s="123"/>
      <c r="C176" s="23"/>
      <c r="D176" s="23"/>
      <c r="E176" s="23"/>
      <c r="F176" s="124"/>
      <c r="G176" s="125"/>
      <c r="H176" s="104"/>
      <c r="I176" s="124"/>
      <c r="J176" s="126"/>
      <c r="K176" s="104"/>
      <c r="L176" s="124"/>
      <c r="M176" s="127"/>
      <c r="N176" s="22"/>
      <c r="O176" s="128"/>
      <c r="P176" s="129"/>
      <c r="Q176" s="130"/>
      <c r="R176" s="104"/>
      <c r="S176" s="131"/>
      <c r="T176" s="132"/>
      <c r="U176" s="132"/>
      <c r="V176" s="132"/>
      <c r="W176" s="104"/>
      <c r="X176" s="104"/>
      <c r="Y176" s="104"/>
      <c r="Z176" s="104"/>
      <c r="AA176" s="22"/>
      <c r="AB176" s="105"/>
      <c r="AC176" s="105"/>
      <c r="AD176" s="105"/>
      <c r="AE176" s="105"/>
      <c r="AF176" s="105"/>
      <c r="AG176" s="105"/>
      <c r="AH176" s="105"/>
      <c r="AI176" s="105"/>
      <c r="AJ176" s="105"/>
    </row>
    <row r="177" ht="15.75" customHeight="1">
      <c r="A177" s="23"/>
      <c r="B177" s="123"/>
      <c r="C177" s="23"/>
      <c r="D177" s="23"/>
      <c r="E177" s="23"/>
      <c r="F177" s="124"/>
      <c r="G177" s="125"/>
      <c r="H177" s="104"/>
      <c r="I177" s="124"/>
      <c r="J177" s="126"/>
      <c r="K177" s="104"/>
      <c r="L177" s="124"/>
      <c r="M177" s="127"/>
      <c r="N177" s="22"/>
      <c r="O177" s="128"/>
      <c r="P177" s="129"/>
      <c r="Q177" s="130"/>
      <c r="R177" s="104"/>
      <c r="S177" s="131"/>
      <c r="T177" s="132"/>
      <c r="U177" s="132"/>
      <c r="V177" s="132"/>
      <c r="W177" s="104"/>
      <c r="X177" s="104"/>
      <c r="Y177" s="104"/>
      <c r="Z177" s="104"/>
      <c r="AA177" s="22"/>
      <c r="AB177" s="105"/>
      <c r="AC177" s="105"/>
      <c r="AD177" s="105"/>
      <c r="AE177" s="105"/>
      <c r="AF177" s="105"/>
      <c r="AG177" s="105"/>
      <c r="AH177" s="105"/>
      <c r="AI177" s="105"/>
      <c r="AJ177" s="105"/>
    </row>
    <row r="178" ht="15.75" customHeight="1">
      <c r="A178" s="23"/>
      <c r="B178" s="123"/>
      <c r="C178" s="23"/>
      <c r="D178" s="23"/>
      <c r="E178" s="23"/>
      <c r="F178" s="124"/>
      <c r="G178" s="125"/>
      <c r="H178" s="104"/>
      <c r="I178" s="124"/>
      <c r="J178" s="126"/>
      <c r="K178" s="104"/>
      <c r="L178" s="124"/>
      <c r="M178" s="127"/>
      <c r="N178" s="22"/>
      <c r="O178" s="128"/>
      <c r="P178" s="129"/>
      <c r="Q178" s="130"/>
      <c r="R178" s="104"/>
      <c r="S178" s="131"/>
      <c r="T178" s="132"/>
      <c r="U178" s="132"/>
      <c r="V178" s="132"/>
      <c r="W178" s="104"/>
      <c r="X178" s="104"/>
      <c r="Y178" s="104"/>
      <c r="Z178" s="104"/>
      <c r="AA178" s="22"/>
      <c r="AB178" s="105"/>
      <c r="AC178" s="105"/>
      <c r="AD178" s="105"/>
      <c r="AE178" s="105"/>
      <c r="AF178" s="105"/>
      <c r="AG178" s="105"/>
      <c r="AH178" s="105"/>
      <c r="AI178" s="105"/>
      <c r="AJ178" s="105"/>
    </row>
    <row r="179" ht="15.75" customHeight="1">
      <c r="A179" s="23"/>
      <c r="B179" s="123"/>
      <c r="C179" s="23"/>
      <c r="D179" s="23"/>
      <c r="E179" s="23"/>
      <c r="F179" s="124"/>
      <c r="G179" s="125"/>
      <c r="H179" s="104"/>
      <c r="I179" s="124"/>
      <c r="J179" s="126"/>
      <c r="K179" s="104"/>
      <c r="L179" s="124"/>
      <c r="M179" s="127"/>
      <c r="N179" s="22"/>
      <c r="O179" s="128"/>
      <c r="P179" s="129"/>
      <c r="Q179" s="130"/>
      <c r="R179" s="104"/>
      <c r="S179" s="131"/>
      <c r="T179" s="132"/>
      <c r="U179" s="132"/>
      <c r="V179" s="132"/>
      <c r="W179" s="104"/>
      <c r="X179" s="104"/>
      <c r="Y179" s="104"/>
      <c r="Z179" s="104"/>
      <c r="AA179" s="22"/>
      <c r="AB179" s="105"/>
      <c r="AC179" s="105"/>
      <c r="AD179" s="105"/>
      <c r="AE179" s="105"/>
      <c r="AF179" s="105"/>
      <c r="AG179" s="105"/>
      <c r="AH179" s="105"/>
      <c r="AI179" s="105"/>
      <c r="AJ179" s="105"/>
    </row>
    <row r="180" ht="15.75" customHeight="1">
      <c r="A180" s="23"/>
      <c r="B180" s="123"/>
      <c r="C180" s="23"/>
      <c r="D180" s="23"/>
      <c r="E180" s="23"/>
      <c r="F180" s="124"/>
      <c r="G180" s="125"/>
      <c r="H180" s="104"/>
      <c r="I180" s="124"/>
      <c r="J180" s="126"/>
      <c r="K180" s="104"/>
      <c r="L180" s="124"/>
      <c r="M180" s="127"/>
      <c r="N180" s="22"/>
      <c r="O180" s="128"/>
      <c r="P180" s="129"/>
      <c r="Q180" s="130"/>
      <c r="R180" s="104"/>
      <c r="S180" s="131"/>
      <c r="T180" s="132"/>
      <c r="U180" s="132"/>
      <c r="V180" s="132"/>
      <c r="W180" s="104"/>
      <c r="X180" s="104"/>
      <c r="Y180" s="104"/>
      <c r="Z180" s="104"/>
      <c r="AA180" s="22"/>
      <c r="AB180" s="105"/>
      <c r="AC180" s="105"/>
      <c r="AD180" s="105"/>
      <c r="AE180" s="105"/>
      <c r="AF180" s="105"/>
      <c r="AG180" s="105"/>
      <c r="AH180" s="105"/>
      <c r="AI180" s="105"/>
      <c r="AJ180" s="105"/>
    </row>
    <row r="181" ht="15.75" customHeight="1">
      <c r="A181" s="23"/>
      <c r="B181" s="123"/>
      <c r="C181" s="23"/>
      <c r="D181" s="23"/>
      <c r="E181" s="23"/>
      <c r="F181" s="124"/>
      <c r="G181" s="125"/>
      <c r="H181" s="104"/>
      <c r="I181" s="124"/>
      <c r="J181" s="126"/>
      <c r="K181" s="104"/>
      <c r="L181" s="124"/>
      <c r="M181" s="127"/>
      <c r="N181" s="22"/>
      <c r="O181" s="128"/>
      <c r="P181" s="129"/>
      <c r="Q181" s="130"/>
      <c r="R181" s="104"/>
      <c r="S181" s="131"/>
      <c r="T181" s="132"/>
      <c r="U181" s="132"/>
      <c r="V181" s="132"/>
      <c r="W181" s="104"/>
      <c r="X181" s="104"/>
      <c r="Y181" s="104"/>
      <c r="Z181" s="104"/>
      <c r="AA181" s="22"/>
      <c r="AB181" s="105"/>
      <c r="AC181" s="105"/>
      <c r="AD181" s="105"/>
      <c r="AE181" s="105"/>
      <c r="AF181" s="105"/>
      <c r="AG181" s="105"/>
      <c r="AH181" s="105"/>
      <c r="AI181" s="105"/>
      <c r="AJ181" s="105"/>
    </row>
    <row r="182" ht="15.75" customHeight="1">
      <c r="A182" s="23"/>
      <c r="B182" s="123"/>
      <c r="C182" s="23"/>
      <c r="D182" s="23"/>
      <c r="E182" s="23"/>
      <c r="F182" s="124"/>
      <c r="G182" s="125"/>
      <c r="H182" s="104"/>
      <c r="I182" s="124"/>
      <c r="J182" s="126"/>
      <c r="K182" s="104"/>
      <c r="L182" s="124"/>
      <c r="M182" s="127"/>
      <c r="N182" s="22"/>
      <c r="O182" s="128"/>
      <c r="P182" s="129"/>
      <c r="Q182" s="130"/>
      <c r="R182" s="104"/>
      <c r="S182" s="131"/>
      <c r="T182" s="132"/>
      <c r="U182" s="132"/>
      <c r="V182" s="132"/>
      <c r="W182" s="104"/>
      <c r="X182" s="104"/>
      <c r="Y182" s="104"/>
      <c r="Z182" s="104"/>
      <c r="AA182" s="22"/>
      <c r="AB182" s="105"/>
      <c r="AC182" s="105"/>
      <c r="AD182" s="105"/>
      <c r="AE182" s="105"/>
      <c r="AF182" s="105"/>
      <c r="AG182" s="105"/>
      <c r="AH182" s="105"/>
      <c r="AI182" s="105"/>
      <c r="AJ182" s="105"/>
    </row>
    <row r="183" ht="15.75" customHeight="1">
      <c r="A183" s="23"/>
      <c r="B183" s="123"/>
      <c r="C183" s="23"/>
      <c r="D183" s="23"/>
      <c r="E183" s="23"/>
      <c r="F183" s="124"/>
      <c r="G183" s="125"/>
      <c r="H183" s="104"/>
      <c r="I183" s="124"/>
      <c r="J183" s="126"/>
      <c r="K183" s="104"/>
      <c r="L183" s="124"/>
      <c r="M183" s="127"/>
      <c r="N183" s="22"/>
      <c r="O183" s="128"/>
      <c r="P183" s="129"/>
      <c r="Q183" s="130"/>
      <c r="R183" s="104"/>
      <c r="S183" s="131"/>
      <c r="T183" s="132"/>
      <c r="U183" s="132"/>
      <c r="V183" s="132"/>
      <c r="W183" s="104"/>
      <c r="X183" s="104"/>
      <c r="Y183" s="104"/>
      <c r="Z183" s="104"/>
      <c r="AA183" s="22"/>
      <c r="AB183" s="105"/>
      <c r="AC183" s="105"/>
      <c r="AD183" s="105"/>
      <c r="AE183" s="105"/>
      <c r="AF183" s="105"/>
      <c r="AG183" s="105"/>
      <c r="AH183" s="105"/>
      <c r="AI183" s="105"/>
      <c r="AJ183" s="105"/>
    </row>
    <row r="184" ht="15.75" customHeight="1">
      <c r="A184" s="23"/>
      <c r="B184" s="123"/>
      <c r="C184" s="23"/>
      <c r="D184" s="23"/>
      <c r="E184" s="23"/>
      <c r="F184" s="124"/>
      <c r="G184" s="125"/>
      <c r="H184" s="104"/>
      <c r="I184" s="124"/>
      <c r="J184" s="126"/>
      <c r="K184" s="104"/>
      <c r="L184" s="124"/>
      <c r="M184" s="127"/>
      <c r="N184" s="22"/>
      <c r="O184" s="128"/>
      <c r="P184" s="129"/>
      <c r="Q184" s="130"/>
      <c r="R184" s="104"/>
      <c r="S184" s="131"/>
      <c r="T184" s="132"/>
      <c r="U184" s="132"/>
      <c r="V184" s="132"/>
      <c r="W184" s="104"/>
      <c r="X184" s="104"/>
      <c r="Y184" s="104"/>
      <c r="Z184" s="104"/>
      <c r="AA184" s="22"/>
      <c r="AB184" s="105"/>
      <c r="AC184" s="105"/>
      <c r="AD184" s="105"/>
      <c r="AE184" s="105"/>
      <c r="AF184" s="105"/>
      <c r="AG184" s="105"/>
      <c r="AH184" s="105"/>
      <c r="AI184" s="105"/>
      <c r="AJ184" s="105"/>
    </row>
    <row r="185" ht="15.75" customHeight="1">
      <c r="A185" s="23"/>
      <c r="B185" s="123"/>
      <c r="C185" s="23"/>
      <c r="D185" s="23"/>
      <c r="E185" s="23"/>
      <c r="F185" s="124"/>
      <c r="G185" s="125"/>
      <c r="H185" s="104"/>
      <c r="I185" s="124"/>
      <c r="J185" s="126"/>
      <c r="K185" s="104"/>
      <c r="L185" s="124"/>
      <c r="M185" s="127"/>
      <c r="N185" s="22"/>
      <c r="O185" s="128"/>
      <c r="P185" s="129"/>
      <c r="Q185" s="130"/>
      <c r="R185" s="104"/>
      <c r="S185" s="131"/>
      <c r="T185" s="132"/>
      <c r="U185" s="132"/>
      <c r="V185" s="132"/>
      <c r="W185" s="104"/>
      <c r="X185" s="104"/>
      <c r="Y185" s="104"/>
      <c r="Z185" s="104"/>
      <c r="AA185" s="22"/>
      <c r="AB185" s="105"/>
      <c r="AC185" s="105"/>
      <c r="AD185" s="105"/>
      <c r="AE185" s="105"/>
      <c r="AF185" s="105"/>
      <c r="AG185" s="105"/>
      <c r="AH185" s="105"/>
      <c r="AI185" s="105"/>
      <c r="AJ185" s="105"/>
    </row>
    <row r="186" ht="15.75" customHeight="1">
      <c r="A186" s="23"/>
      <c r="B186" s="123"/>
      <c r="C186" s="23"/>
      <c r="D186" s="23"/>
      <c r="E186" s="23"/>
      <c r="F186" s="124"/>
      <c r="G186" s="125"/>
      <c r="H186" s="104"/>
      <c r="I186" s="124"/>
      <c r="J186" s="126"/>
      <c r="K186" s="104"/>
      <c r="L186" s="124"/>
      <c r="M186" s="127"/>
      <c r="N186" s="22"/>
      <c r="O186" s="128"/>
      <c r="P186" s="129"/>
      <c r="Q186" s="130"/>
      <c r="R186" s="104"/>
      <c r="S186" s="131"/>
      <c r="T186" s="132"/>
      <c r="U186" s="132"/>
      <c r="V186" s="132"/>
      <c r="W186" s="104"/>
      <c r="X186" s="104"/>
      <c r="Y186" s="104"/>
      <c r="Z186" s="104"/>
      <c r="AA186" s="22"/>
      <c r="AB186" s="105"/>
      <c r="AC186" s="105"/>
      <c r="AD186" s="105"/>
      <c r="AE186" s="105"/>
      <c r="AF186" s="105"/>
      <c r="AG186" s="105"/>
      <c r="AH186" s="105"/>
      <c r="AI186" s="105"/>
      <c r="AJ186" s="105"/>
    </row>
    <row r="187" ht="15.75" customHeight="1">
      <c r="A187" s="23"/>
      <c r="B187" s="123"/>
      <c r="C187" s="23"/>
      <c r="D187" s="23"/>
      <c r="E187" s="23"/>
      <c r="F187" s="124"/>
      <c r="G187" s="125"/>
      <c r="H187" s="104"/>
      <c r="I187" s="124"/>
      <c r="J187" s="126"/>
      <c r="K187" s="104"/>
      <c r="L187" s="124"/>
      <c r="M187" s="127"/>
      <c r="N187" s="22"/>
      <c r="O187" s="128"/>
      <c r="P187" s="129"/>
      <c r="Q187" s="130"/>
      <c r="R187" s="104"/>
      <c r="S187" s="131"/>
      <c r="T187" s="132"/>
      <c r="U187" s="132"/>
      <c r="V187" s="132"/>
      <c r="W187" s="104"/>
      <c r="X187" s="104"/>
      <c r="Y187" s="104"/>
      <c r="Z187" s="104"/>
      <c r="AA187" s="22"/>
      <c r="AB187" s="105"/>
      <c r="AC187" s="105"/>
      <c r="AD187" s="105"/>
      <c r="AE187" s="105"/>
      <c r="AF187" s="105"/>
      <c r="AG187" s="105"/>
      <c r="AH187" s="105"/>
      <c r="AI187" s="105"/>
      <c r="AJ187" s="105"/>
    </row>
    <row r="188" ht="15.75" customHeight="1">
      <c r="A188" s="23"/>
      <c r="B188" s="123"/>
      <c r="C188" s="23"/>
      <c r="D188" s="23"/>
      <c r="E188" s="23"/>
      <c r="F188" s="124"/>
      <c r="G188" s="125"/>
      <c r="H188" s="104"/>
      <c r="I188" s="124"/>
      <c r="J188" s="126"/>
      <c r="K188" s="104"/>
      <c r="L188" s="124"/>
      <c r="M188" s="127"/>
      <c r="N188" s="22"/>
      <c r="O188" s="128"/>
      <c r="P188" s="129"/>
      <c r="Q188" s="130"/>
      <c r="R188" s="104"/>
      <c r="S188" s="131"/>
      <c r="T188" s="132"/>
      <c r="U188" s="132"/>
      <c r="V188" s="132"/>
      <c r="W188" s="104"/>
      <c r="X188" s="104"/>
      <c r="Y188" s="104"/>
      <c r="Z188" s="104"/>
      <c r="AA188" s="22"/>
      <c r="AB188" s="105"/>
      <c r="AC188" s="105"/>
      <c r="AD188" s="105"/>
      <c r="AE188" s="105"/>
      <c r="AF188" s="105"/>
      <c r="AG188" s="105"/>
      <c r="AH188" s="105"/>
      <c r="AI188" s="105"/>
      <c r="AJ188" s="105"/>
    </row>
    <row r="189" ht="15.75" customHeight="1">
      <c r="A189" s="23"/>
      <c r="B189" s="123"/>
      <c r="C189" s="23"/>
      <c r="D189" s="23"/>
      <c r="E189" s="23"/>
      <c r="F189" s="124"/>
      <c r="G189" s="125"/>
      <c r="H189" s="104"/>
      <c r="I189" s="124"/>
      <c r="J189" s="126"/>
      <c r="K189" s="104"/>
      <c r="L189" s="124"/>
      <c r="M189" s="127"/>
      <c r="N189" s="22"/>
      <c r="O189" s="128"/>
      <c r="P189" s="129"/>
      <c r="Q189" s="130"/>
      <c r="R189" s="104"/>
      <c r="S189" s="131"/>
      <c r="T189" s="132"/>
      <c r="U189" s="132"/>
      <c r="V189" s="132"/>
      <c r="W189" s="104"/>
      <c r="X189" s="104"/>
      <c r="Y189" s="104"/>
      <c r="Z189" s="104"/>
      <c r="AA189" s="22"/>
      <c r="AB189" s="105"/>
      <c r="AC189" s="105"/>
      <c r="AD189" s="105"/>
      <c r="AE189" s="105"/>
      <c r="AF189" s="105"/>
      <c r="AG189" s="105"/>
      <c r="AH189" s="105"/>
      <c r="AI189" s="105"/>
      <c r="AJ189" s="105"/>
    </row>
    <row r="190" ht="15.75" customHeight="1">
      <c r="A190" s="23"/>
      <c r="B190" s="123"/>
      <c r="C190" s="23"/>
      <c r="D190" s="23"/>
      <c r="E190" s="23"/>
      <c r="F190" s="124"/>
      <c r="G190" s="125"/>
      <c r="H190" s="104"/>
      <c r="I190" s="124"/>
      <c r="J190" s="126"/>
      <c r="K190" s="104"/>
      <c r="L190" s="124"/>
      <c r="M190" s="127"/>
      <c r="N190" s="22"/>
      <c r="O190" s="128"/>
      <c r="P190" s="129"/>
      <c r="Q190" s="130"/>
      <c r="R190" s="104"/>
      <c r="S190" s="131"/>
      <c r="T190" s="132"/>
      <c r="U190" s="132"/>
      <c r="V190" s="132"/>
      <c r="W190" s="104"/>
      <c r="X190" s="104"/>
      <c r="Y190" s="104"/>
      <c r="Z190" s="104"/>
      <c r="AA190" s="22"/>
      <c r="AB190" s="105"/>
      <c r="AC190" s="105"/>
      <c r="AD190" s="105"/>
      <c r="AE190" s="105"/>
      <c r="AF190" s="105"/>
      <c r="AG190" s="105"/>
      <c r="AH190" s="105"/>
      <c r="AI190" s="105"/>
      <c r="AJ190" s="105"/>
    </row>
    <row r="191" ht="15.75" customHeight="1">
      <c r="A191" s="23"/>
      <c r="B191" s="123"/>
      <c r="C191" s="23"/>
      <c r="D191" s="23"/>
      <c r="E191" s="23"/>
      <c r="F191" s="124"/>
      <c r="G191" s="125"/>
      <c r="H191" s="104"/>
      <c r="I191" s="124"/>
      <c r="J191" s="126"/>
      <c r="K191" s="104"/>
      <c r="L191" s="124"/>
      <c r="M191" s="127"/>
      <c r="N191" s="22"/>
      <c r="O191" s="128"/>
      <c r="P191" s="129"/>
      <c r="Q191" s="130"/>
      <c r="R191" s="104"/>
      <c r="S191" s="131"/>
      <c r="T191" s="132"/>
      <c r="U191" s="132"/>
      <c r="V191" s="132"/>
      <c r="W191" s="104"/>
      <c r="X191" s="104"/>
      <c r="Y191" s="104"/>
      <c r="Z191" s="104"/>
      <c r="AA191" s="22"/>
      <c r="AB191" s="105"/>
      <c r="AC191" s="105"/>
      <c r="AD191" s="105"/>
      <c r="AE191" s="105"/>
      <c r="AF191" s="105"/>
      <c r="AG191" s="105"/>
      <c r="AH191" s="105"/>
      <c r="AI191" s="105"/>
      <c r="AJ191" s="105"/>
    </row>
    <row r="192" ht="15.75" customHeight="1">
      <c r="A192" s="23"/>
      <c r="B192" s="123"/>
      <c r="C192" s="23"/>
      <c r="D192" s="23"/>
      <c r="E192" s="23"/>
      <c r="F192" s="124"/>
      <c r="G192" s="125"/>
      <c r="H192" s="104"/>
      <c r="I192" s="124"/>
      <c r="J192" s="126"/>
      <c r="K192" s="104"/>
      <c r="L192" s="124"/>
      <c r="M192" s="127"/>
      <c r="N192" s="22"/>
      <c r="O192" s="128"/>
      <c r="P192" s="129"/>
      <c r="Q192" s="130"/>
      <c r="R192" s="104"/>
      <c r="S192" s="131"/>
      <c r="T192" s="132"/>
      <c r="U192" s="132"/>
      <c r="V192" s="132"/>
      <c r="W192" s="104"/>
      <c r="X192" s="104"/>
      <c r="Y192" s="104"/>
      <c r="Z192" s="104"/>
      <c r="AA192" s="22"/>
      <c r="AB192" s="105"/>
      <c r="AC192" s="105"/>
      <c r="AD192" s="105"/>
      <c r="AE192" s="105"/>
      <c r="AF192" s="105"/>
      <c r="AG192" s="105"/>
      <c r="AH192" s="105"/>
      <c r="AI192" s="105"/>
      <c r="AJ192" s="105"/>
    </row>
    <row r="193" ht="15.75" customHeight="1">
      <c r="A193" s="23"/>
      <c r="B193" s="123"/>
      <c r="C193" s="23"/>
      <c r="D193" s="23"/>
      <c r="E193" s="23"/>
      <c r="F193" s="124"/>
      <c r="G193" s="125"/>
      <c r="H193" s="104"/>
      <c r="I193" s="124"/>
      <c r="J193" s="126"/>
      <c r="K193" s="104"/>
      <c r="L193" s="124"/>
      <c r="M193" s="127"/>
      <c r="N193" s="22"/>
      <c r="O193" s="128"/>
      <c r="P193" s="129"/>
      <c r="Q193" s="130"/>
      <c r="R193" s="104"/>
      <c r="S193" s="131"/>
      <c r="T193" s="132"/>
      <c r="U193" s="132"/>
      <c r="V193" s="132"/>
      <c r="W193" s="104"/>
      <c r="X193" s="104"/>
      <c r="Y193" s="104"/>
      <c r="Z193" s="104"/>
      <c r="AA193" s="22"/>
      <c r="AB193" s="105"/>
      <c r="AC193" s="105"/>
      <c r="AD193" s="105"/>
      <c r="AE193" s="105"/>
      <c r="AF193" s="105"/>
      <c r="AG193" s="105"/>
      <c r="AH193" s="105"/>
      <c r="AI193" s="105"/>
      <c r="AJ193" s="105"/>
    </row>
    <row r="194" ht="15.75" customHeight="1">
      <c r="A194" s="23"/>
      <c r="B194" s="123"/>
      <c r="C194" s="23"/>
      <c r="D194" s="23"/>
      <c r="E194" s="23"/>
      <c r="F194" s="124"/>
      <c r="G194" s="125"/>
      <c r="H194" s="104"/>
      <c r="I194" s="124"/>
      <c r="J194" s="126"/>
      <c r="K194" s="104"/>
      <c r="L194" s="124"/>
      <c r="M194" s="127"/>
      <c r="N194" s="22"/>
      <c r="O194" s="128"/>
      <c r="P194" s="129"/>
      <c r="Q194" s="130"/>
      <c r="R194" s="104"/>
      <c r="S194" s="131"/>
      <c r="T194" s="132"/>
      <c r="U194" s="132"/>
      <c r="V194" s="132"/>
      <c r="W194" s="104"/>
      <c r="X194" s="104"/>
      <c r="Y194" s="104"/>
      <c r="Z194" s="104"/>
      <c r="AA194" s="22"/>
      <c r="AB194" s="105"/>
      <c r="AC194" s="105"/>
      <c r="AD194" s="105"/>
      <c r="AE194" s="105"/>
      <c r="AF194" s="105"/>
      <c r="AG194" s="105"/>
      <c r="AH194" s="105"/>
      <c r="AI194" s="105"/>
      <c r="AJ194" s="105"/>
    </row>
    <row r="195" ht="15.75" customHeight="1">
      <c r="A195" s="23"/>
      <c r="B195" s="123"/>
      <c r="C195" s="23"/>
      <c r="D195" s="23"/>
      <c r="E195" s="23"/>
      <c r="F195" s="124"/>
      <c r="G195" s="125"/>
      <c r="H195" s="104"/>
      <c r="I195" s="124"/>
      <c r="J195" s="126"/>
      <c r="K195" s="104"/>
      <c r="L195" s="124"/>
      <c r="M195" s="127"/>
      <c r="N195" s="22"/>
      <c r="O195" s="128"/>
      <c r="P195" s="129"/>
      <c r="Q195" s="130"/>
      <c r="R195" s="104"/>
      <c r="S195" s="131"/>
      <c r="T195" s="132"/>
      <c r="U195" s="132"/>
      <c r="V195" s="132"/>
      <c r="W195" s="104"/>
      <c r="X195" s="104"/>
      <c r="Y195" s="104"/>
      <c r="Z195" s="104"/>
      <c r="AA195" s="22"/>
      <c r="AB195" s="105"/>
      <c r="AC195" s="105"/>
      <c r="AD195" s="105"/>
      <c r="AE195" s="105"/>
      <c r="AF195" s="105"/>
      <c r="AG195" s="105"/>
      <c r="AH195" s="105"/>
      <c r="AI195" s="105"/>
      <c r="AJ195" s="105"/>
    </row>
    <row r="196" ht="15.75" customHeight="1">
      <c r="A196" s="23"/>
      <c r="B196" s="123"/>
      <c r="C196" s="23"/>
      <c r="D196" s="23"/>
      <c r="E196" s="23"/>
      <c r="F196" s="124"/>
      <c r="G196" s="125"/>
      <c r="H196" s="104"/>
      <c r="I196" s="124"/>
      <c r="J196" s="126"/>
      <c r="K196" s="104"/>
      <c r="L196" s="124"/>
      <c r="M196" s="127"/>
      <c r="N196" s="22"/>
      <c r="O196" s="128"/>
      <c r="P196" s="129"/>
      <c r="Q196" s="130"/>
      <c r="R196" s="104"/>
      <c r="S196" s="131"/>
      <c r="T196" s="132"/>
      <c r="U196" s="132"/>
      <c r="V196" s="132"/>
      <c r="W196" s="104"/>
      <c r="X196" s="104"/>
      <c r="Y196" s="104"/>
      <c r="Z196" s="104"/>
      <c r="AA196" s="22"/>
      <c r="AB196" s="105"/>
      <c r="AC196" s="105"/>
      <c r="AD196" s="105"/>
      <c r="AE196" s="105"/>
      <c r="AF196" s="105"/>
      <c r="AG196" s="105"/>
      <c r="AH196" s="105"/>
      <c r="AI196" s="105"/>
      <c r="AJ196" s="105"/>
    </row>
    <row r="197" ht="15.75" customHeight="1">
      <c r="A197" s="23"/>
      <c r="B197" s="123"/>
      <c r="C197" s="23"/>
      <c r="D197" s="23"/>
      <c r="E197" s="23"/>
      <c r="F197" s="124"/>
      <c r="G197" s="125"/>
      <c r="H197" s="104"/>
      <c r="I197" s="124"/>
      <c r="J197" s="126"/>
      <c r="K197" s="104"/>
      <c r="L197" s="124"/>
      <c r="M197" s="127"/>
      <c r="N197" s="22"/>
      <c r="O197" s="128"/>
      <c r="P197" s="129"/>
      <c r="Q197" s="130"/>
      <c r="R197" s="104"/>
      <c r="S197" s="131"/>
      <c r="T197" s="132"/>
      <c r="U197" s="132"/>
      <c r="V197" s="132"/>
      <c r="W197" s="104"/>
      <c r="X197" s="104"/>
      <c r="Y197" s="104"/>
      <c r="Z197" s="104"/>
      <c r="AA197" s="22"/>
      <c r="AB197" s="105"/>
      <c r="AC197" s="105"/>
      <c r="AD197" s="105"/>
      <c r="AE197" s="105"/>
      <c r="AF197" s="105"/>
      <c r="AG197" s="105"/>
      <c r="AH197" s="105"/>
      <c r="AI197" s="105"/>
      <c r="AJ197" s="105"/>
    </row>
    <row r="198" ht="15.75" customHeight="1">
      <c r="A198" s="23"/>
      <c r="B198" s="123"/>
      <c r="C198" s="23"/>
      <c r="D198" s="23"/>
      <c r="E198" s="23"/>
      <c r="F198" s="124"/>
      <c r="G198" s="125"/>
      <c r="H198" s="104"/>
      <c r="I198" s="124"/>
      <c r="J198" s="126"/>
      <c r="K198" s="104"/>
      <c r="L198" s="124"/>
      <c r="M198" s="127"/>
      <c r="N198" s="22"/>
      <c r="O198" s="128"/>
      <c r="P198" s="129"/>
      <c r="Q198" s="130"/>
      <c r="R198" s="104"/>
      <c r="S198" s="131"/>
      <c r="T198" s="132"/>
      <c r="U198" s="132"/>
      <c r="V198" s="132"/>
      <c r="W198" s="104"/>
      <c r="X198" s="104"/>
      <c r="Y198" s="104"/>
      <c r="Z198" s="104"/>
      <c r="AA198" s="22"/>
      <c r="AB198" s="105"/>
      <c r="AC198" s="105"/>
      <c r="AD198" s="105"/>
      <c r="AE198" s="105"/>
      <c r="AF198" s="105"/>
      <c r="AG198" s="105"/>
      <c r="AH198" s="105"/>
      <c r="AI198" s="105"/>
      <c r="AJ198" s="105"/>
    </row>
    <row r="199" ht="15.75" customHeight="1">
      <c r="A199" s="23"/>
      <c r="B199" s="123"/>
      <c r="C199" s="23"/>
      <c r="D199" s="23"/>
      <c r="E199" s="23"/>
      <c r="F199" s="124"/>
      <c r="G199" s="125"/>
      <c r="H199" s="104"/>
      <c r="I199" s="124"/>
      <c r="J199" s="126"/>
      <c r="K199" s="104"/>
      <c r="L199" s="124"/>
      <c r="M199" s="127"/>
      <c r="N199" s="22"/>
      <c r="O199" s="128"/>
      <c r="P199" s="129"/>
      <c r="Q199" s="130"/>
      <c r="R199" s="104"/>
      <c r="S199" s="131"/>
      <c r="T199" s="132"/>
      <c r="U199" s="132"/>
      <c r="V199" s="132"/>
      <c r="W199" s="104"/>
      <c r="X199" s="104"/>
      <c r="Y199" s="104"/>
      <c r="Z199" s="104"/>
      <c r="AA199" s="22"/>
      <c r="AB199" s="105"/>
      <c r="AC199" s="105"/>
      <c r="AD199" s="105"/>
      <c r="AE199" s="105"/>
      <c r="AF199" s="105"/>
      <c r="AG199" s="105"/>
      <c r="AH199" s="105"/>
      <c r="AI199" s="105"/>
      <c r="AJ199" s="105"/>
    </row>
    <row r="200" ht="15.75" customHeight="1">
      <c r="A200" s="23"/>
      <c r="B200" s="123"/>
      <c r="C200" s="23"/>
      <c r="D200" s="23"/>
      <c r="E200" s="23"/>
      <c r="F200" s="124"/>
      <c r="G200" s="125"/>
      <c r="H200" s="104"/>
      <c r="I200" s="124"/>
      <c r="J200" s="126"/>
      <c r="K200" s="104"/>
      <c r="L200" s="124"/>
      <c r="M200" s="127"/>
      <c r="N200" s="22"/>
      <c r="O200" s="128"/>
      <c r="P200" s="129"/>
      <c r="Q200" s="130"/>
      <c r="R200" s="104"/>
      <c r="S200" s="131"/>
      <c r="T200" s="132"/>
      <c r="U200" s="132"/>
      <c r="V200" s="132"/>
      <c r="W200" s="104"/>
      <c r="X200" s="104"/>
      <c r="Y200" s="104"/>
      <c r="Z200" s="104"/>
      <c r="AA200" s="22"/>
      <c r="AB200" s="105"/>
      <c r="AC200" s="105"/>
      <c r="AD200" s="105"/>
      <c r="AE200" s="105"/>
      <c r="AF200" s="105"/>
      <c r="AG200" s="105"/>
      <c r="AH200" s="105"/>
      <c r="AI200" s="105"/>
      <c r="AJ200" s="105"/>
    </row>
    <row r="201" ht="15.75" customHeight="1">
      <c r="A201" s="23"/>
      <c r="B201" s="123"/>
      <c r="C201" s="23"/>
      <c r="D201" s="23"/>
      <c r="E201" s="23"/>
      <c r="F201" s="124"/>
      <c r="G201" s="125"/>
      <c r="H201" s="104"/>
      <c r="I201" s="124"/>
      <c r="J201" s="126"/>
      <c r="K201" s="104"/>
      <c r="L201" s="124"/>
      <c r="M201" s="127"/>
      <c r="N201" s="22"/>
      <c r="O201" s="128"/>
      <c r="P201" s="129"/>
      <c r="Q201" s="130"/>
      <c r="R201" s="104"/>
      <c r="S201" s="131"/>
      <c r="T201" s="132"/>
      <c r="U201" s="132"/>
      <c r="V201" s="132"/>
      <c r="W201" s="104"/>
      <c r="X201" s="104"/>
      <c r="Y201" s="104"/>
      <c r="Z201" s="104"/>
      <c r="AA201" s="22"/>
      <c r="AB201" s="105"/>
      <c r="AC201" s="105"/>
      <c r="AD201" s="105"/>
      <c r="AE201" s="105"/>
      <c r="AF201" s="105"/>
      <c r="AG201" s="105"/>
      <c r="AH201" s="105"/>
      <c r="AI201" s="105"/>
      <c r="AJ201" s="105"/>
    </row>
    <row r="202" ht="15.75" customHeight="1">
      <c r="A202" s="23"/>
      <c r="B202" s="123"/>
      <c r="C202" s="23"/>
      <c r="D202" s="23"/>
      <c r="E202" s="23"/>
      <c r="F202" s="124"/>
      <c r="G202" s="125"/>
      <c r="H202" s="104"/>
      <c r="I202" s="124"/>
      <c r="J202" s="126"/>
      <c r="K202" s="104"/>
      <c r="L202" s="124"/>
      <c r="M202" s="127"/>
      <c r="N202" s="22"/>
      <c r="O202" s="128"/>
      <c r="P202" s="129"/>
      <c r="Q202" s="130"/>
      <c r="R202" s="104"/>
      <c r="S202" s="131"/>
      <c r="T202" s="132"/>
      <c r="U202" s="132"/>
      <c r="V202" s="132"/>
      <c r="W202" s="104"/>
      <c r="X202" s="104"/>
      <c r="Y202" s="104"/>
      <c r="Z202" s="104"/>
      <c r="AA202" s="22"/>
      <c r="AB202" s="105"/>
      <c r="AC202" s="105"/>
      <c r="AD202" s="105"/>
      <c r="AE202" s="105"/>
      <c r="AF202" s="105"/>
      <c r="AG202" s="105"/>
      <c r="AH202" s="105"/>
      <c r="AI202" s="105"/>
      <c r="AJ202" s="105"/>
    </row>
    <row r="203" ht="15.75" customHeight="1">
      <c r="A203" s="23"/>
      <c r="B203" s="123"/>
      <c r="C203" s="23"/>
      <c r="D203" s="23"/>
      <c r="E203" s="23"/>
      <c r="F203" s="124"/>
      <c r="G203" s="125"/>
      <c r="H203" s="104"/>
      <c r="I203" s="124"/>
      <c r="J203" s="126"/>
      <c r="K203" s="104"/>
      <c r="L203" s="124"/>
      <c r="M203" s="127"/>
      <c r="N203" s="22"/>
      <c r="O203" s="128"/>
      <c r="P203" s="129"/>
      <c r="Q203" s="130"/>
      <c r="R203" s="104"/>
      <c r="S203" s="131"/>
      <c r="T203" s="132"/>
      <c r="U203" s="132"/>
      <c r="V203" s="132"/>
      <c r="W203" s="104"/>
      <c r="X203" s="104"/>
      <c r="Y203" s="104"/>
      <c r="Z203" s="104"/>
      <c r="AA203" s="22"/>
      <c r="AB203" s="105"/>
      <c r="AC203" s="105"/>
      <c r="AD203" s="105"/>
      <c r="AE203" s="105"/>
      <c r="AF203" s="105"/>
      <c r="AG203" s="105"/>
      <c r="AH203" s="105"/>
      <c r="AI203" s="105"/>
      <c r="AJ203" s="105"/>
    </row>
    <row r="204" ht="15.75" customHeight="1">
      <c r="A204" s="23"/>
      <c r="B204" s="123"/>
      <c r="C204" s="23"/>
      <c r="D204" s="23"/>
      <c r="E204" s="23"/>
      <c r="F204" s="124"/>
      <c r="G204" s="125"/>
      <c r="H204" s="104"/>
      <c r="I204" s="124"/>
      <c r="J204" s="126"/>
      <c r="K204" s="104"/>
      <c r="L204" s="124"/>
      <c r="M204" s="127"/>
      <c r="N204" s="22"/>
      <c r="O204" s="128"/>
      <c r="P204" s="129"/>
      <c r="Q204" s="130"/>
      <c r="R204" s="104"/>
      <c r="S204" s="131"/>
      <c r="T204" s="132"/>
      <c r="U204" s="132"/>
      <c r="V204" s="132"/>
      <c r="W204" s="104"/>
      <c r="X204" s="104"/>
      <c r="Y204" s="104"/>
      <c r="Z204" s="104"/>
      <c r="AA204" s="22"/>
      <c r="AB204" s="105"/>
      <c r="AC204" s="105"/>
      <c r="AD204" s="105"/>
      <c r="AE204" s="105"/>
      <c r="AF204" s="105"/>
      <c r="AG204" s="105"/>
      <c r="AH204" s="105"/>
      <c r="AI204" s="105"/>
      <c r="AJ204" s="105"/>
    </row>
    <row r="205" ht="15.75" customHeight="1">
      <c r="A205" s="23"/>
      <c r="B205" s="123"/>
      <c r="C205" s="23"/>
      <c r="D205" s="23"/>
      <c r="E205" s="23"/>
      <c r="F205" s="124"/>
      <c r="G205" s="125"/>
      <c r="H205" s="104"/>
      <c r="I205" s="124"/>
      <c r="J205" s="126"/>
      <c r="K205" s="104"/>
      <c r="L205" s="124"/>
      <c r="M205" s="127"/>
      <c r="N205" s="22"/>
      <c r="O205" s="128"/>
      <c r="P205" s="129"/>
      <c r="Q205" s="130"/>
      <c r="R205" s="104"/>
      <c r="S205" s="131"/>
      <c r="T205" s="132"/>
      <c r="U205" s="132"/>
      <c r="V205" s="132"/>
      <c r="W205" s="104"/>
      <c r="X205" s="104"/>
      <c r="Y205" s="104"/>
      <c r="Z205" s="104"/>
      <c r="AA205" s="22"/>
      <c r="AB205" s="105"/>
      <c r="AC205" s="105"/>
      <c r="AD205" s="105"/>
      <c r="AE205" s="105"/>
      <c r="AF205" s="105"/>
      <c r="AG205" s="105"/>
      <c r="AH205" s="105"/>
      <c r="AI205" s="105"/>
      <c r="AJ205" s="105"/>
    </row>
    <row r="206" ht="15.75" customHeight="1">
      <c r="A206" s="23"/>
      <c r="B206" s="123"/>
      <c r="C206" s="23"/>
      <c r="D206" s="23"/>
      <c r="E206" s="23"/>
      <c r="F206" s="124"/>
      <c r="G206" s="125"/>
      <c r="H206" s="104"/>
      <c r="I206" s="124"/>
      <c r="J206" s="126"/>
      <c r="K206" s="104"/>
      <c r="L206" s="124"/>
      <c r="M206" s="127"/>
      <c r="N206" s="22"/>
      <c r="O206" s="128"/>
      <c r="P206" s="129"/>
      <c r="Q206" s="130"/>
      <c r="R206" s="104"/>
      <c r="S206" s="131"/>
      <c r="T206" s="132"/>
      <c r="U206" s="132"/>
      <c r="V206" s="132"/>
      <c r="W206" s="104"/>
      <c r="X206" s="104"/>
      <c r="Y206" s="104"/>
      <c r="Z206" s="104"/>
      <c r="AA206" s="22"/>
      <c r="AB206" s="105"/>
      <c r="AC206" s="105"/>
      <c r="AD206" s="105"/>
      <c r="AE206" s="105"/>
      <c r="AF206" s="105"/>
      <c r="AG206" s="105"/>
      <c r="AH206" s="105"/>
      <c r="AI206" s="105"/>
      <c r="AJ206" s="105"/>
    </row>
    <row r="207" ht="15.75" customHeight="1">
      <c r="A207" s="23"/>
      <c r="B207" s="123"/>
      <c r="C207" s="23"/>
      <c r="D207" s="23"/>
      <c r="E207" s="23"/>
      <c r="F207" s="124"/>
      <c r="G207" s="125"/>
      <c r="H207" s="104"/>
      <c r="I207" s="124"/>
      <c r="J207" s="126"/>
      <c r="K207" s="104"/>
      <c r="L207" s="124"/>
      <c r="M207" s="127"/>
      <c r="N207" s="22"/>
      <c r="O207" s="128"/>
      <c r="P207" s="129"/>
      <c r="Q207" s="130"/>
      <c r="R207" s="104"/>
      <c r="S207" s="131"/>
      <c r="T207" s="132"/>
      <c r="U207" s="132"/>
      <c r="V207" s="132"/>
      <c r="W207" s="104"/>
      <c r="X207" s="104"/>
      <c r="Y207" s="104"/>
      <c r="Z207" s="104"/>
      <c r="AA207" s="22"/>
      <c r="AB207" s="105"/>
      <c r="AC207" s="105"/>
      <c r="AD207" s="105"/>
      <c r="AE207" s="105"/>
      <c r="AF207" s="105"/>
      <c r="AG207" s="105"/>
      <c r="AH207" s="105"/>
      <c r="AI207" s="105"/>
      <c r="AJ207" s="105"/>
    </row>
    <row r="208" ht="15.75" customHeight="1">
      <c r="A208" s="23"/>
      <c r="B208" s="123"/>
      <c r="C208" s="23"/>
      <c r="D208" s="23"/>
      <c r="E208" s="23"/>
      <c r="F208" s="124"/>
      <c r="G208" s="125"/>
      <c r="H208" s="104"/>
      <c r="I208" s="124"/>
      <c r="J208" s="126"/>
      <c r="K208" s="104"/>
      <c r="L208" s="124"/>
      <c r="M208" s="127"/>
      <c r="N208" s="22"/>
      <c r="O208" s="128"/>
      <c r="P208" s="129"/>
      <c r="Q208" s="130"/>
      <c r="R208" s="104"/>
      <c r="S208" s="131"/>
      <c r="T208" s="132"/>
      <c r="U208" s="132"/>
      <c r="V208" s="132"/>
      <c r="W208" s="104"/>
      <c r="X208" s="104"/>
      <c r="Y208" s="104"/>
      <c r="Z208" s="104"/>
      <c r="AA208" s="22"/>
      <c r="AB208" s="105"/>
      <c r="AC208" s="105"/>
      <c r="AD208" s="105"/>
      <c r="AE208" s="105"/>
      <c r="AF208" s="105"/>
      <c r="AG208" s="105"/>
      <c r="AH208" s="105"/>
      <c r="AI208" s="105"/>
      <c r="AJ208" s="105"/>
    </row>
    <row r="209" ht="15.75" customHeight="1">
      <c r="A209" s="23"/>
      <c r="B209" s="123"/>
      <c r="C209" s="23"/>
      <c r="D209" s="23"/>
      <c r="E209" s="23"/>
      <c r="F209" s="124"/>
      <c r="G209" s="125"/>
      <c r="H209" s="104"/>
      <c r="I209" s="124"/>
      <c r="J209" s="126"/>
      <c r="K209" s="104"/>
      <c r="L209" s="124"/>
      <c r="M209" s="127"/>
      <c r="N209" s="22"/>
      <c r="O209" s="128"/>
      <c r="P209" s="129"/>
      <c r="Q209" s="130"/>
      <c r="R209" s="104"/>
      <c r="S209" s="131"/>
      <c r="T209" s="132"/>
      <c r="U209" s="132"/>
      <c r="V209" s="132"/>
      <c r="W209" s="104"/>
      <c r="X209" s="104"/>
      <c r="Y209" s="104"/>
      <c r="Z209" s="104"/>
      <c r="AA209" s="22"/>
      <c r="AB209" s="105"/>
      <c r="AC209" s="105"/>
      <c r="AD209" s="105"/>
      <c r="AE209" s="105"/>
      <c r="AF209" s="105"/>
      <c r="AG209" s="105"/>
      <c r="AH209" s="105"/>
      <c r="AI209" s="105"/>
      <c r="AJ209" s="105"/>
    </row>
    <row r="210" ht="15.75" customHeight="1">
      <c r="A210" s="23"/>
      <c r="B210" s="123"/>
      <c r="C210" s="23"/>
      <c r="D210" s="23"/>
      <c r="E210" s="23"/>
      <c r="F210" s="124"/>
      <c r="G210" s="125"/>
      <c r="H210" s="104"/>
      <c r="I210" s="124"/>
      <c r="J210" s="126"/>
      <c r="K210" s="104"/>
      <c r="L210" s="124"/>
      <c r="M210" s="127"/>
      <c r="N210" s="22"/>
      <c r="O210" s="128"/>
      <c r="P210" s="129"/>
      <c r="Q210" s="130"/>
      <c r="R210" s="104"/>
      <c r="S210" s="131"/>
      <c r="T210" s="132"/>
      <c r="U210" s="132"/>
      <c r="V210" s="132"/>
      <c r="W210" s="104"/>
      <c r="X210" s="104"/>
      <c r="Y210" s="104"/>
      <c r="Z210" s="104"/>
      <c r="AA210" s="22"/>
      <c r="AB210" s="105"/>
      <c r="AC210" s="105"/>
      <c r="AD210" s="105"/>
      <c r="AE210" s="105"/>
      <c r="AF210" s="105"/>
      <c r="AG210" s="105"/>
      <c r="AH210" s="105"/>
      <c r="AI210" s="105"/>
      <c r="AJ210" s="105"/>
    </row>
    <row r="211" ht="15.75" customHeight="1">
      <c r="A211" s="23"/>
      <c r="B211" s="123"/>
      <c r="C211" s="23"/>
      <c r="D211" s="23"/>
      <c r="E211" s="23"/>
      <c r="F211" s="124"/>
      <c r="G211" s="125"/>
      <c r="H211" s="104"/>
      <c r="I211" s="124"/>
      <c r="J211" s="126"/>
      <c r="K211" s="104"/>
      <c r="L211" s="124"/>
      <c r="M211" s="127"/>
      <c r="N211" s="22"/>
      <c r="O211" s="128"/>
      <c r="P211" s="129"/>
      <c r="Q211" s="130"/>
      <c r="R211" s="104"/>
      <c r="S211" s="131"/>
      <c r="T211" s="132"/>
      <c r="U211" s="132"/>
      <c r="V211" s="132"/>
      <c r="W211" s="104"/>
      <c r="X211" s="104"/>
      <c r="Y211" s="104"/>
      <c r="Z211" s="104"/>
      <c r="AA211" s="22"/>
      <c r="AB211" s="105"/>
      <c r="AC211" s="105"/>
      <c r="AD211" s="105"/>
      <c r="AE211" s="105"/>
      <c r="AF211" s="105"/>
      <c r="AG211" s="105"/>
      <c r="AH211" s="105"/>
      <c r="AI211" s="105"/>
      <c r="AJ211" s="105"/>
    </row>
    <row r="212" ht="15.75" customHeight="1">
      <c r="A212" s="23"/>
      <c r="B212" s="123"/>
      <c r="C212" s="23"/>
      <c r="D212" s="23"/>
      <c r="E212" s="23"/>
      <c r="F212" s="124"/>
      <c r="G212" s="125"/>
      <c r="H212" s="104"/>
      <c r="I212" s="124"/>
      <c r="J212" s="126"/>
      <c r="K212" s="104"/>
      <c r="L212" s="124"/>
      <c r="M212" s="127"/>
      <c r="N212" s="22"/>
      <c r="O212" s="128"/>
      <c r="P212" s="129"/>
      <c r="Q212" s="130"/>
      <c r="R212" s="104"/>
      <c r="S212" s="131"/>
      <c r="T212" s="132"/>
      <c r="U212" s="132"/>
      <c r="V212" s="132"/>
      <c r="W212" s="104"/>
      <c r="X212" s="104"/>
      <c r="Y212" s="104"/>
      <c r="Z212" s="104"/>
      <c r="AA212" s="22"/>
      <c r="AB212" s="105"/>
      <c r="AC212" s="105"/>
      <c r="AD212" s="105"/>
      <c r="AE212" s="105"/>
      <c r="AF212" s="105"/>
      <c r="AG212" s="105"/>
      <c r="AH212" s="105"/>
      <c r="AI212" s="105"/>
      <c r="AJ212" s="105"/>
    </row>
    <row r="213" ht="15.75" customHeight="1">
      <c r="A213" s="23"/>
      <c r="B213" s="123"/>
      <c r="C213" s="23"/>
      <c r="D213" s="23"/>
      <c r="E213" s="23"/>
      <c r="F213" s="124"/>
      <c r="G213" s="125"/>
      <c r="H213" s="104"/>
      <c r="I213" s="124"/>
      <c r="J213" s="126"/>
      <c r="K213" s="104"/>
      <c r="L213" s="124"/>
      <c r="M213" s="127"/>
      <c r="N213" s="22"/>
      <c r="O213" s="128"/>
      <c r="P213" s="129"/>
      <c r="Q213" s="130"/>
      <c r="R213" s="104"/>
      <c r="S213" s="131"/>
      <c r="T213" s="132"/>
      <c r="U213" s="132"/>
      <c r="V213" s="132"/>
      <c r="W213" s="104"/>
      <c r="X213" s="104"/>
      <c r="Y213" s="104"/>
      <c r="Z213" s="104"/>
      <c r="AA213" s="22"/>
      <c r="AB213" s="105"/>
      <c r="AC213" s="105"/>
      <c r="AD213" s="105"/>
      <c r="AE213" s="105"/>
      <c r="AF213" s="105"/>
      <c r="AG213" s="105"/>
      <c r="AH213" s="105"/>
      <c r="AI213" s="105"/>
      <c r="AJ213" s="105"/>
    </row>
    <row r="214" ht="15.75" customHeight="1">
      <c r="A214" s="23"/>
      <c r="B214" s="123"/>
      <c r="C214" s="23"/>
      <c r="D214" s="23"/>
      <c r="E214" s="23"/>
      <c r="F214" s="124"/>
      <c r="G214" s="125"/>
      <c r="H214" s="104"/>
      <c r="I214" s="124"/>
      <c r="J214" s="126"/>
      <c r="K214" s="104"/>
      <c r="L214" s="124"/>
      <c r="M214" s="127"/>
      <c r="N214" s="22"/>
      <c r="O214" s="128"/>
      <c r="P214" s="129"/>
      <c r="Q214" s="130"/>
      <c r="R214" s="104"/>
      <c r="S214" s="131"/>
      <c r="T214" s="132"/>
      <c r="U214" s="132"/>
      <c r="V214" s="132"/>
      <c r="W214" s="104"/>
      <c r="X214" s="104"/>
      <c r="Y214" s="104"/>
      <c r="Z214" s="104"/>
      <c r="AA214" s="22"/>
      <c r="AB214" s="105"/>
      <c r="AC214" s="105"/>
      <c r="AD214" s="105"/>
      <c r="AE214" s="105"/>
      <c r="AF214" s="105"/>
      <c r="AG214" s="105"/>
      <c r="AH214" s="105"/>
      <c r="AI214" s="105"/>
      <c r="AJ214" s="105"/>
    </row>
    <row r="215" ht="15.75" customHeight="1">
      <c r="A215" s="23"/>
      <c r="B215" s="123"/>
      <c r="C215" s="23"/>
      <c r="D215" s="23"/>
      <c r="E215" s="23"/>
      <c r="F215" s="124"/>
      <c r="G215" s="125"/>
      <c r="H215" s="104"/>
      <c r="I215" s="124"/>
      <c r="J215" s="126"/>
      <c r="K215" s="104"/>
      <c r="L215" s="124"/>
      <c r="M215" s="127"/>
      <c r="N215" s="22"/>
      <c r="O215" s="128"/>
      <c r="P215" s="129"/>
      <c r="Q215" s="130"/>
      <c r="R215" s="104"/>
      <c r="S215" s="131"/>
      <c r="T215" s="132"/>
      <c r="U215" s="132"/>
      <c r="V215" s="132"/>
      <c r="W215" s="104"/>
      <c r="X215" s="104"/>
      <c r="Y215" s="104"/>
      <c r="Z215" s="104"/>
      <c r="AA215" s="22"/>
      <c r="AB215" s="105"/>
      <c r="AC215" s="105"/>
      <c r="AD215" s="105"/>
      <c r="AE215" s="105"/>
      <c r="AF215" s="105"/>
      <c r="AG215" s="105"/>
      <c r="AH215" s="105"/>
      <c r="AI215" s="105"/>
      <c r="AJ215" s="105"/>
    </row>
    <row r="216" ht="15.75" customHeight="1">
      <c r="A216" s="23"/>
      <c r="B216" s="123"/>
      <c r="C216" s="23"/>
      <c r="D216" s="23"/>
      <c r="E216" s="23"/>
      <c r="F216" s="124"/>
      <c r="G216" s="125"/>
      <c r="H216" s="104"/>
      <c r="I216" s="124"/>
      <c r="J216" s="126"/>
      <c r="K216" s="104"/>
      <c r="L216" s="124"/>
      <c r="M216" s="127"/>
      <c r="N216" s="22"/>
      <c r="O216" s="128"/>
      <c r="P216" s="129"/>
      <c r="Q216" s="130"/>
      <c r="R216" s="104"/>
      <c r="S216" s="131"/>
      <c r="T216" s="132"/>
      <c r="U216" s="132"/>
      <c r="V216" s="132"/>
      <c r="W216" s="104"/>
      <c r="X216" s="104"/>
      <c r="Y216" s="104"/>
      <c r="Z216" s="104"/>
      <c r="AA216" s="22"/>
      <c r="AB216" s="105"/>
      <c r="AC216" s="105"/>
      <c r="AD216" s="105"/>
      <c r="AE216" s="105"/>
      <c r="AF216" s="105"/>
      <c r="AG216" s="105"/>
      <c r="AH216" s="105"/>
      <c r="AI216" s="105"/>
      <c r="AJ216" s="105"/>
    </row>
    <row r="217" ht="15.75" customHeight="1">
      <c r="A217" s="23"/>
      <c r="B217" s="123"/>
      <c r="C217" s="23"/>
      <c r="D217" s="23"/>
      <c r="E217" s="23"/>
      <c r="F217" s="124"/>
      <c r="G217" s="125"/>
      <c r="H217" s="104"/>
      <c r="I217" s="124"/>
      <c r="J217" s="126"/>
      <c r="K217" s="104"/>
      <c r="L217" s="124"/>
      <c r="M217" s="127"/>
      <c r="N217" s="22"/>
      <c r="O217" s="128"/>
      <c r="P217" s="129"/>
      <c r="Q217" s="130"/>
      <c r="R217" s="104"/>
      <c r="S217" s="131"/>
      <c r="T217" s="132"/>
      <c r="U217" s="132"/>
      <c r="V217" s="132"/>
      <c r="W217" s="104"/>
      <c r="X217" s="104"/>
      <c r="Y217" s="104"/>
      <c r="Z217" s="104"/>
      <c r="AA217" s="22"/>
      <c r="AB217" s="105"/>
      <c r="AC217" s="105"/>
      <c r="AD217" s="105"/>
      <c r="AE217" s="105"/>
      <c r="AF217" s="105"/>
      <c r="AG217" s="105"/>
      <c r="AH217" s="105"/>
      <c r="AI217" s="105"/>
      <c r="AJ217" s="105"/>
    </row>
    <row r="218" ht="15.75" customHeight="1">
      <c r="A218" s="23"/>
      <c r="B218" s="123"/>
      <c r="C218" s="23"/>
      <c r="D218" s="23"/>
      <c r="E218" s="23"/>
      <c r="F218" s="124"/>
      <c r="G218" s="125"/>
      <c r="H218" s="104"/>
      <c r="I218" s="124"/>
      <c r="J218" s="126"/>
      <c r="K218" s="104"/>
      <c r="L218" s="124"/>
      <c r="M218" s="127"/>
      <c r="N218" s="22"/>
      <c r="O218" s="128"/>
      <c r="P218" s="129"/>
      <c r="Q218" s="130"/>
      <c r="R218" s="104"/>
      <c r="S218" s="131"/>
      <c r="T218" s="132"/>
      <c r="U218" s="132"/>
      <c r="V218" s="132"/>
      <c r="W218" s="104"/>
      <c r="X218" s="104"/>
      <c r="Y218" s="104"/>
      <c r="Z218" s="104"/>
      <c r="AA218" s="22"/>
      <c r="AB218" s="105"/>
      <c r="AC218" s="105"/>
      <c r="AD218" s="105"/>
      <c r="AE218" s="105"/>
      <c r="AF218" s="105"/>
      <c r="AG218" s="105"/>
      <c r="AH218" s="105"/>
      <c r="AI218" s="105"/>
      <c r="AJ218" s="105"/>
    </row>
    <row r="219" ht="15.75" customHeight="1">
      <c r="A219" s="23"/>
      <c r="B219" s="123"/>
      <c r="C219" s="23"/>
      <c r="D219" s="23"/>
      <c r="E219" s="23"/>
      <c r="F219" s="124"/>
      <c r="G219" s="125"/>
      <c r="H219" s="104"/>
      <c r="I219" s="124"/>
      <c r="J219" s="126"/>
      <c r="K219" s="104"/>
      <c r="L219" s="124"/>
      <c r="M219" s="127"/>
      <c r="N219" s="22"/>
      <c r="O219" s="128"/>
      <c r="P219" s="129"/>
      <c r="Q219" s="130"/>
      <c r="R219" s="104"/>
      <c r="S219" s="131"/>
      <c r="T219" s="132"/>
      <c r="U219" s="132"/>
      <c r="V219" s="132"/>
      <c r="W219" s="104"/>
      <c r="X219" s="104"/>
      <c r="Y219" s="104"/>
      <c r="Z219" s="104"/>
      <c r="AA219" s="22"/>
      <c r="AB219" s="105"/>
      <c r="AC219" s="105"/>
      <c r="AD219" s="105"/>
      <c r="AE219" s="105"/>
      <c r="AF219" s="105"/>
      <c r="AG219" s="105"/>
      <c r="AH219" s="105"/>
      <c r="AI219" s="105"/>
      <c r="AJ219" s="105"/>
    </row>
    <row r="220" ht="15.75" customHeight="1">
      <c r="A220" s="23"/>
      <c r="B220" s="123"/>
      <c r="C220" s="23"/>
      <c r="D220" s="23"/>
      <c r="E220" s="23"/>
      <c r="F220" s="124"/>
      <c r="G220" s="125"/>
      <c r="H220" s="104"/>
      <c r="I220" s="124"/>
      <c r="J220" s="126"/>
      <c r="K220" s="104"/>
      <c r="L220" s="124"/>
      <c r="M220" s="127"/>
      <c r="N220" s="22"/>
      <c r="O220" s="128"/>
      <c r="P220" s="129"/>
      <c r="Q220" s="130"/>
      <c r="R220" s="104"/>
      <c r="S220" s="131"/>
      <c r="T220" s="132"/>
      <c r="U220" s="132"/>
      <c r="V220" s="132"/>
      <c r="W220" s="104"/>
      <c r="X220" s="104"/>
      <c r="Y220" s="104"/>
      <c r="Z220" s="104"/>
      <c r="AA220" s="22"/>
      <c r="AB220" s="105"/>
      <c r="AC220" s="105"/>
      <c r="AD220" s="105"/>
      <c r="AE220" s="105"/>
      <c r="AF220" s="105"/>
      <c r="AG220" s="105"/>
      <c r="AH220" s="105"/>
      <c r="AI220" s="105"/>
      <c r="AJ220" s="105"/>
    </row>
    <row r="221" ht="15.75" customHeight="1">
      <c r="A221" s="23"/>
      <c r="B221" s="123"/>
      <c r="C221" s="23"/>
      <c r="D221" s="23"/>
      <c r="E221" s="23"/>
      <c r="F221" s="124"/>
      <c r="G221" s="125"/>
      <c r="H221" s="104"/>
      <c r="I221" s="124"/>
      <c r="J221" s="126"/>
      <c r="K221" s="104"/>
      <c r="L221" s="124"/>
      <c r="M221" s="127"/>
      <c r="N221" s="22"/>
      <c r="O221" s="128"/>
      <c r="P221" s="129"/>
      <c r="Q221" s="130"/>
      <c r="R221" s="104"/>
      <c r="S221" s="131"/>
      <c r="T221" s="132"/>
      <c r="U221" s="132"/>
      <c r="V221" s="132"/>
      <c r="W221" s="104"/>
      <c r="X221" s="104"/>
      <c r="Y221" s="104"/>
      <c r="Z221" s="104"/>
      <c r="AA221" s="22"/>
      <c r="AB221" s="105"/>
      <c r="AC221" s="105"/>
      <c r="AD221" s="105"/>
      <c r="AE221" s="105"/>
      <c r="AF221" s="105"/>
      <c r="AG221" s="105"/>
      <c r="AH221" s="105"/>
      <c r="AI221" s="105"/>
      <c r="AJ221" s="105"/>
    </row>
    <row r="222" ht="15.75" customHeight="1">
      <c r="A222" s="23"/>
      <c r="B222" s="123"/>
      <c r="C222" s="23"/>
      <c r="D222" s="23"/>
      <c r="E222" s="23"/>
      <c r="F222" s="124"/>
      <c r="G222" s="125"/>
      <c r="H222" s="104"/>
      <c r="I222" s="124"/>
      <c r="J222" s="126"/>
      <c r="K222" s="104"/>
      <c r="L222" s="124"/>
      <c r="M222" s="127"/>
      <c r="N222" s="22"/>
      <c r="O222" s="128"/>
      <c r="P222" s="129"/>
      <c r="Q222" s="130"/>
      <c r="R222" s="104"/>
      <c r="S222" s="131"/>
      <c r="T222" s="132"/>
      <c r="U222" s="132"/>
      <c r="V222" s="132"/>
      <c r="W222" s="104"/>
      <c r="X222" s="104"/>
      <c r="Y222" s="104"/>
      <c r="Z222" s="104"/>
      <c r="AA222" s="22"/>
      <c r="AB222" s="105"/>
      <c r="AC222" s="105"/>
      <c r="AD222" s="105"/>
      <c r="AE222" s="105"/>
      <c r="AF222" s="105"/>
      <c r="AG222" s="105"/>
      <c r="AH222" s="105"/>
      <c r="AI222" s="105"/>
      <c r="AJ222" s="105"/>
    </row>
    <row r="223" ht="15.75" customHeight="1">
      <c r="A223" s="23"/>
      <c r="B223" s="123"/>
      <c r="C223" s="23"/>
      <c r="D223" s="23"/>
      <c r="E223" s="23"/>
      <c r="F223" s="124"/>
      <c r="G223" s="125"/>
      <c r="H223" s="104"/>
      <c r="I223" s="124"/>
      <c r="J223" s="126"/>
      <c r="K223" s="104"/>
      <c r="L223" s="124"/>
      <c r="M223" s="127"/>
      <c r="N223" s="22"/>
      <c r="O223" s="128"/>
      <c r="P223" s="129"/>
      <c r="Q223" s="130"/>
      <c r="R223" s="104"/>
      <c r="S223" s="131"/>
      <c r="T223" s="132"/>
      <c r="U223" s="132"/>
      <c r="V223" s="132"/>
      <c r="W223" s="104"/>
      <c r="X223" s="104"/>
      <c r="Y223" s="104"/>
      <c r="Z223" s="104"/>
      <c r="AA223" s="22"/>
      <c r="AB223" s="105"/>
      <c r="AC223" s="105"/>
      <c r="AD223" s="105"/>
      <c r="AE223" s="105"/>
      <c r="AF223" s="105"/>
      <c r="AG223" s="105"/>
      <c r="AH223" s="105"/>
      <c r="AI223" s="105"/>
      <c r="AJ223" s="105"/>
    </row>
    <row r="224" ht="15.75" customHeight="1">
      <c r="A224" s="23"/>
      <c r="B224" s="123"/>
      <c r="C224" s="23"/>
      <c r="D224" s="23"/>
      <c r="E224" s="23"/>
      <c r="F224" s="124"/>
      <c r="G224" s="125"/>
      <c r="H224" s="104"/>
      <c r="I224" s="124"/>
      <c r="J224" s="126"/>
      <c r="K224" s="104"/>
      <c r="L224" s="124"/>
      <c r="M224" s="127"/>
      <c r="N224" s="22"/>
      <c r="O224" s="128"/>
      <c r="P224" s="129"/>
      <c r="Q224" s="130"/>
      <c r="R224" s="104"/>
      <c r="S224" s="131"/>
      <c r="T224" s="132"/>
      <c r="U224" s="132"/>
      <c r="V224" s="132"/>
      <c r="W224" s="104"/>
      <c r="X224" s="104"/>
      <c r="Y224" s="104"/>
      <c r="Z224" s="104"/>
      <c r="AA224" s="22"/>
      <c r="AB224" s="105"/>
      <c r="AC224" s="105"/>
      <c r="AD224" s="105"/>
      <c r="AE224" s="105"/>
      <c r="AF224" s="105"/>
      <c r="AG224" s="105"/>
      <c r="AH224" s="105"/>
      <c r="AI224" s="105"/>
      <c r="AJ224" s="105"/>
    </row>
    <row r="225" ht="15.75" customHeight="1">
      <c r="A225" s="23"/>
      <c r="B225" s="123"/>
      <c r="C225" s="23"/>
      <c r="D225" s="23"/>
      <c r="E225" s="23"/>
      <c r="F225" s="124"/>
      <c r="G225" s="125"/>
      <c r="H225" s="104"/>
      <c r="I225" s="124"/>
      <c r="J225" s="126"/>
      <c r="K225" s="104"/>
      <c r="L225" s="124"/>
      <c r="M225" s="127"/>
      <c r="N225" s="22"/>
      <c r="O225" s="128"/>
      <c r="P225" s="129"/>
      <c r="Q225" s="130"/>
      <c r="R225" s="104"/>
      <c r="S225" s="131"/>
      <c r="T225" s="132"/>
      <c r="U225" s="132"/>
      <c r="V225" s="132"/>
      <c r="W225" s="104"/>
      <c r="X225" s="104"/>
      <c r="Y225" s="104"/>
      <c r="Z225" s="104"/>
      <c r="AA225" s="22"/>
      <c r="AB225" s="105"/>
      <c r="AC225" s="105"/>
      <c r="AD225" s="105"/>
      <c r="AE225" s="105"/>
      <c r="AF225" s="105"/>
      <c r="AG225" s="105"/>
      <c r="AH225" s="105"/>
      <c r="AI225" s="105"/>
      <c r="AJ225" s="105"/>
    </row>
    <row r="226" ht="15.75" customHeight="1">
      <c r="A226" s="23"/>
      <c r="B226" s="123"/>
      <c r="C226" s="23"/>
      <c r="D226" s="23"/>
      <c r="E226" s="23"/>
      <c r="F226" s="124"/>
      <c r="G226" s="125"/>
      <c r="H226" s="104"/>
      <c r="I226" s="124"/>
      <c r="J226" s="126"/>
      <c r="K226" s="104"/>
      <c r="L226" s="124"/>
      <c r="M226" s="127"/>
      <c r="N226" s="22"/>
      <c r="O226" s="128"/>
      <c r="P226" s="129"/>
      <c r="Q226" s="130"/>
      <c r="R226" s="104"/>
      <c r="S226" s="131"/>
      <c r="T226" s="132"/>
      <c r="U226" s="132"/>
      <c r="V226" s="132"/>
      <c r="W226" s="104"/>
      <c r="X226" s="104"/>
      <c r="Y226" s="104"/>
      <c r="Z226" s="104"/>
      <c r="AA226" s="22"/>
      <c r="AB226" s="105"/>
      <c r="AC226" s="105"/>
      <c r="AD226" s="105"/>
      <c r="AE226" s="105"/>
      <c r="AF226" s="105"/>
      <c r="AG226" s="105"/>
      <c r="AH226" s="105"/>
      <c r="AI226" s="105"/>
      <c r="AJ226" s="105"/>
    </row>
    <row r="227" ht="15.75" customHeight="1">
      <c r="A227" s="23"/>
      <c r="B227" s="123"/>
      <c r="C227" s="23"/>
      <c r="D227" s="23"/>
      <c r="E227" s="23"/>
      <c r="F227" s="124"/>
      <c r="G227" s="125"/>
      <c r="H227" s="104"/>
      <c r="I227" s="124"/>
      <c r="J227" s="126"/>
      <c r="K227" s="104"/>
      <c r="L227" s="124"/>
      <c r="M227" s="127"/>
      <c r="N227" s="22"/>
      <c r="O227" s="128"/>
      <c r="P227" s="129"/>
      <c r="Q227" s="130"/>
      <c r="R227" s="104"/>
      <c r="S227" s="131"/>
      <c r="T227" s="132"/>
      <c r="U227" s="132"/>
      <c r="V227" s="132"/>
      <c r="W227" s="104"/>
      <c r="X227" s="104"/>
      <c r="Y227" s="104"/>
      <c r="Z227" s="104"/>
      <c r="AA227" s="22"/>
      <c r="AB227" s="105"/>
      <c r="AC227" s="105"/>
      <c r="AD227" s="105"/>
      <c r="AE227" s="105"/>
      <c r="AF227" s="105"/>
      <c r="AG227" s="105"/>
      <c r="AH227" s="105"/>
      <c r="AI227" s="105"/>
      <c r="AJ227" s="105"/>
    </row>
    <row r="228" ht="15.75" customHeight="1">
      <c r="A228" s="23"/>
      <c r="B228" s="123"/>
      <c r="C228" s="23"/>
      <c r="D228" s="23"/>
      <c r="E228" s="23"/>
      <c r="F228" s="124"/>
      <c r="G228" s="125"/>
      <c r="H228" s="104"/>
      <c r="I228" s="124"/>
      <c r="J228" s="126"/>
      <c r="K228" s="104"/>
      <c r="L228" s="124"/>
      <c r="M228" s="127"/>
      <c r="N228" s="22"/>
      <c r="O228" s="128"/>
      <c r="P228" s="129"/>
      <c r="Q228" s="130"/>
      <c r="R228" s="104"/>
      <c r="S228" s="131"/>
      <c r="T228" s="132"/>
      <c r="U228" s="132"/>
      <c r="V228" s="132"/>
      <c r="W228" s="104"/>
      <c r="X228" s="104"/>
      <c r="Y228" s="104"/>
      <c r="Z228" s="104"/>
      <c r="AA228" s="22"/>
      <c r="AB228" s="105"/>
      <c r="AC228" s="105"/>
      <c r="AD228" s="105"/>
      <c r="AE228" s="105"/>
      <c r="AF228" s="105"/>
      <c r="AG228" s="105"/>
      <c r="AH228" s="105"/>
      <c r="AI228" s="105"/>
      <c r="AJ228" s="105"/>
    </row>
    <row r="229" ht="15.75" customHeight="1">
      <c r="A229" s="23"/>
      <c r="B229" s="123"/>
      <c r="C229" s="23"/>
      <c r="D229" s="23"/>
      <c r="E229" s="23"/>
      <c r="F229" s="124"/>
      <c r="G229" s="125"/>
      <c r="H229" s="104"/>
      <c r="I229" s="124"/>
      <c r="J229" s="126"/>
      <c r="K229" s="104"/>
      <c r="L229" s="124"/>
      <c r="M229" s="127"/>
      <c r="N229" s="22"/>
      <c r="O229" s="128"/>
      <c r="P229" s="129"/>
      <c r="Q229" s="130"/>
      <c r="R229" s="104"/>
      <c r="S229" s="131"/>
      <c r="T229" s="132"/>
      <c r="U229" s="132"/>
      <c r="V229" s="132"/>
      <c r="W229" s="104"/>
      <c r="X229" s="104"/>
      <c r="Y229" s="104"/>
      <c r="Z229" s="104"/>
      <c r="AA229" s="22"/>
      <c r="AB229" s="105"/>
      <c r="AC229" s="105"/>
      <c r="AD229" s="105"/>
      <c r="AE229" s="105"/>
      <c r="AF229" s="105"/>
      <c r="AG229" s="105"/>
      <c r="AH229" s="105"/>
      <c r="AI229" s="105"/>
      <c r="AJ229" s="105"/>
    </row>
    <row r="230" ht="15.75" customHeight="1">
      <c r="A230" s="23"/>
      <c r="B230" s="123"/>
      <c r="C230" s="23"/>
      <c r="D230" s="23"/>
      <c r="E230" s="23"/>
      <c r="F230" s="124"/>
      <c r="G230" s="125"/>
      <c r="H230" s="104"/>
      <c r="I230" s="124"/>
      <c r="J230" s="126"/>
      <c r="K230" s="104"/>
      <c r="L230" s="124"/>
      <c r="M230" s="127"/>
      <c r="N230" s="22"/>
      <c r="O230" s="128"/>
      <c r="P230" s="129"/>
      <c r="Q230" s="130"/>
      <c r="R230" s="104"/>
      <c r="S230" s="131"/>
      <c r="T230" s="132"/>
      <c r="U230" s="132"/>
      <c r="V230" s="132"/>
      <c r="W230" s="104"/>
      <c r="X230" s="104"/>
      <c r="Y230" s="104"/>
      <c r="Z230" s="104"/>
      <c r="AA230" s="22"/>
      <c r="AB230" s="105"/>
      <c r="AC230" s="105"/>
      <c r="AD230" s="105"/>
      <c r="AE230" s="105"/>
      <c r="AF230" s="105"/>
      <c r="AG230" s="105"/>
      <c r="AH230" s="105"/>
      <c r="AI230" s="105"/>
      <c r="AJ230" s="105"/>
    </row>
    <row r="231" ht="15.75" customHeight="1">
      <c r="A231" s="23"/>
      <c r="B231" s="123"/>
      <c r="C231" s="23"/>
      <c r="D231" s="23"/>
      <c r="E231" s="23"/>
      <c r="F231" s="124"/>
      <c r="G231" s="125"/>
      <c r="H231" s="104"/>
      <c r="I231" s="124"/>
      <c r="J231" s="126"/>
      <c r="K231" s="104"/>
      <c r="L231" s="124"/>
      <c r="M231" s="127"/>
      <c r="N231" s="22"/>
      <c r="O231" s="128"/>
      <c r="P231" s="129"/>
      <c r="Q231" s="130"/>
      <c r="R231" s="104"/>
      <c r="S231" s="131"/>
      <c r="T231" s="132"/>
      <c r="U231" s="132"/>
      <c r="V231" s="132"/>
      <c r="W231" s="104"/>
      <c r="X231" s="104"/>
      <c r="Y231" s="104"/>
      <c r="Z231" s="104"/>
      <c r="AA231" s="22"/>
      <c r="AB231" s="105"/>
      <c r="AC231" s="105"/>
      <c r="AD231" s="105"/>
      <c r="AE231" s="105"/>
      <c r="AF231" s="105"/>
      <c r="AG231" s="105"/>
      <c r="AH231" s="105"/>
      <c r="AI231" s="105"/>
      <c r="AJ231" s="105"/>
    </row>
    <row r="232" ht="15.75" customHeight="1">
      <c r="A232" s="23"/>
      <c r="B232" s="123"/>
      <c r="C232" s="23"/>
      <c r="D232" s="23"/>
      <c r="E232" s="23"/>
      <c r="F232" s="124"/>
      <c r="G232" s="125"/>
      <c r="H232" s="104"/>
      <c r="I232" s="124"/>
      <c r="J232" s="126"/>
      <c r="K232" s="104"/>
      <c r="L232" s="124"/>
      <c r="M232" s="127"/>
      <c r="N232" s="22"/>
      <c r="O232" s="128"/>
      <c r="P232" s="129"/>
      <c r="Q232" s="130"/>
      <c r="R232" s="104"/>
      <c r="S232" s="131"/>
      <c r="T232" s="132"/>
      <c r="U232" s="132"/>
      <c r="V232" s="132"/>
      <c r="W232" s="104"/>
      <c r="X232" s="104"/>
      <c r="Y232" s="104"/>
      <c r="Z232" s="104"/>
      <c r="AA232" s="22"/>
      <c r="AB232" s="105"/>
      <c r="AC232" s="105"/>
      <c r="AD232" s="105"/>
      <c r="AE232" s="105"/>
      <c r="AF232" s="105"/>
      <c r="AG232" s="105"/>
      <c r="AH232" s="105"/>
      <c r="AI232" s="105"/>
      <c r="AJ232" s="105"/>
    </row>
    <row r="233" ht="15.75" customHeight="1">
      <c r="A233" s="23"/>
      <c r="B233" s="123"/>
      <c r="C233" s="23"/>
      <c r="D233" s="23"/>
      <c r="E233" s="23"/>
      <c r="F233" s="124"/>
      <c r="G233" s="125"/>
      <c r="H233" s="104"/>
      <c r="I233" s="124"/>
      <c r="J233" s="126"/>
      <c r="K233" s="104"/>
      <c r="L233" s="124"/>
      <c r="M233" s="127"/>
      <c r="N233" s="22"/>
      <c r="O233" s="128"/>
      <c r="P233" s="129"/>
      <c r="Q233" s="130"/>
      <c r="R233" s="104"/>
      <c r="S233" s="131"/>
      <c r="T233" s="132"/>
      <c r="U233" s="132"/>
      <c r="V233" s="132"/>
      <c r="W233" s="104"/>
      <c r="X233" s="104"/>
      <c r="Y233" s="104"/>
      <c r="Z233" s="104"/>
      <c r="AA233" s="22"/>
      <c r="AB233" s="105"/>
      <c r="AC233" s="105"/>
      <c r="AD233" s="105"/>
      <c r="AE233" s="105"/>
      <c r="AF233" s="105"/>
      <c r="AG233" s="105"/>
      <c r="AH233" s="105"/>
      <c r="AI233" s="105"/>
      <c r="AJ233" s="105"/>
    </row>
    <row r="234" ht="15.75" customHeight="1">
      <c r="A234" s="23"/>
      <c r="B234" s="123"/>
      <c r="C234" s="23"/>
      <c r="D234" s="23"/>
      <c r="E234" s="23"/>
      <c r="F234" s="124"/>
      <c r="G234" s="125"/>
      <c r="H234" s="104"/>
      <c r="I234" s="124"/>
      <c r="J234" s="126"/>
      <c r="K234" s="104"/>
      <c r="L234" s="124"/>
      <c r="M234" s="127"/>
      <c r="N234" s="22"/>
      <c r="O234" s="128"/>
      <c r="P234" s="129"/>
      <c r="Q234" s="130"/>
      <c r="R234" s="104"/>
      <c r="S234" s="131"/>
      <c r="T234" s="132"/>
      <c r="U234" s="132"/>
      <c r="V234" s="132"/>
      <c r="W234" s="104"/>
      <c r="X234" s="104"/>
      <c r="Y234" s="104"/>
      <c r="Z234" s="104"/>
      <c r="AA234" s="22"/>
      <c r="AB234" s="105"/>
      <c r="AC234" s="105"/>
      <c r="AD234" s="105"/>
      <c r="AE234" s="105"/>
      <c r="AF234" s="105"/>
      <c r="AG234" s="105"/>
      <c r="AH234" s="105"/>
      <c r="AI234" s="105"/>
      <c r="AJ234" s="105"/>
    </row>
    <row r="235" ht="15.75" customHeight="1">
      <c r="A235" s="23"/>
      <c r="B235" s="123"/>
      <c r="C235" s="23"/>
      <c r="D235" s="23"/>
      <c r="E235" s="23"/>
      <c r="F235" s="124"/>
      <c r="G235" s="125"/>
      <c r="H235" s="104"/>
      <c r="I235" s="124"/>
      <c r="J235" s="126"/>
      <c r="K235" s="104"/>
      <c r="L235" s="124"/>
      <c r="M235" s="127"/>
      <c r="N235" s="22"/>
      <c r="O235" s="128"/>
      <c r="P235" s="129"/>
      <c r="Q235" s="130"/>
      <c r="R235" s="104"/>
      <c r="S235" s="131"/>
      <c r="T235" s="132"/>
      <c r="U235" s="132"/>
      <c r="V235" s="132"/>
      <c r="W235" s="104"/>
      <c r="X235" s="104"/>
      <c r="Y235" s="104"/>
      <c r="Z235" s="104"/>
      <c r="AA235" s="22"/>
      <c r="AB235" s="105"/>
      <c r="AC235" s="105"/>
      <c r="AD235" s="105"/>
      <c r="AE235" s="105"/>
      <c r="AF235" s="105"/>
      <c r="AG235" s="105"/>
      <c r="AH235" s="105"/>
      <c r="AI235" s="105"/>
      <c r="AJ235" s="105"/>
    </row>
    <row r="236" ht="15.75" customHeight="1">
      <c r="A236" s="23"/>
      <c r="B236" s="123"/>
      <c r="C236" s="23"/>
      <c r="D236" s="23"/>
      <c r="E236" s="23"/>
      <c r="F236" s="124"/>
      <c r="G236" s="125"/>
      <c r="H236" s="104"/>
      <c r="I236" s="124"/>
      <c r="J236" s="126"/>
      <c r="K236" s="104"/>
      <c r="L236" s="124"/>
      <c r="M236" s="127"/>
      <c r="N236" s="22"/>
      <c r="O236" s="128"/>
      <c r="P236" s="129"/>
      <c r="Q236" s="130"/>
      <c r="R236" s="104"/>
      <c r="S236" s="131"/>
      <c r="T236" s="132"/>
      <c r="U236" s="132"/>
      <c r="V236" s="132"/>
      <c r="W236" s="104"/>
      <c r="X236" s="104"/>
      <c r="Y236" s="104"/>
      <c r="Z236" s="104"/>
      <c r="AA236" s="22"/>
      <c r="AB236" s="105"/>
      <c r="AC236" s="105"/>
      <c r="AD236" s="105"/>
      <c r="AE236" s="105"/>
      <c r="AF236" s="105"/>
      <c r="AG236" s="105"/>
      <c r="AH236" s="105"/>
      <c r="AI236" s="105"/>
      <c r="AJ236" s="105"/>
    </row>
    <row r="237" ht="15.75" customHeight="1">
      <c r="A237" s="23"/>
      <c r="B237" s="123"/>
      <c r="C237" s="23"/>
      <c r="D237" s="23"/>
      <c r="E237" s="23"/>
      <c r="F237" s="124"/>
      <c r="G237" s="125"/>
      <c r="H237" s="104"/>
      <c r="I237" s="124"/>
      <c r="J237" s="126"/>
      <c r="K237" s="104"/>
      <c r="L237" s="124"/>
      <c r="M237" s="127"/>
      <c r="N237" s="22"/>
      <c r="O237" s="128"/>
      <c r="P237" s="129"/>
      <c r="Q237" s="130"/>
      <c r="R237" s="104"/>
      <c r="S237" s="131"/>
      <c r="T237" s="132"/>
      <c r="U237" s="132"/>
      <c r="V237" s="132"/>
      <c r="W237" s="104"/>
      <c r="X237" s="104"/>
      <c r="Y237" s="104"/>
      <c r="Z237" s="104"/>
      <c r="AA237" s="22"/>
      <c r="AB237" s="105"/>
      <c r="AC237" s="105"/>
      <c r="AD237" s="105"/>
      <c r="AE237" s="105"/>
      <c r="AF237" s="105"/>
      <c r="AG237" s="105"/>
      <c r="AH237" s="105"/>
      <c r="AI237" s="105"/>
      <c r="AJ237" s="105"/>
    </row>
    <row r="238" ht="15.75" customHeight="1">
      <c r="A238" s="23"/>
      <c r="B238" s="123"/>
      <c r="C238" s="23"/>
      <c r="D238" s="23"/>
      <c r="E238" s="23"/>
      <c r="F238" s="124"/>
      <c r="G238" s="125"/>
      <c r="H238" s="104"/>
      <c r="I238" s="124"/>
      <c r="J238" s="126"/>
      <c r="K238" s="104"/>
      <c r="L238" s="124"/>
      <c r="M238" s="127"/>
      <c r="N238" s="22"/>
      <c r="O238" s="128"/>
      <c r="P238" s="129"/>
      <c r="Q238" s="130"/>
      <c r="R238" s="104"/>
      <c r="S238" s="131"/>
      <c r="T238" s="132"/>
      <c r="U238" s="132"/>
      <c r="V238" s="132"/>
      <c r="W238" s="104"/>
      <c r="X238" s="104"/>
      <c r="Y238" s="104"/>
      <c r="Z238" s="104"/>
      <c r="AA238" s="22"/>
      <c r="AB238" s="105"/>
      <c r="AC238" s="105"/>
      <c r="AD238" s="105"/>
      <c r="AE238" s="105"/>
      <c r="AF238" s="105"/>
      <c r="AG238" s="105"/>
      <c r="AH238" s="105"/>
      <c r="AI238" s="105"/>
      <c r="AJ238" s="105"/>
    </row>
    <row r="239" ht="15.75" customHeight="1">
      <c r="A239" s="23"/>
      <c r="B239" s="123"/>
      <c r="C239" s="23"/>
      <c r="D239" s="23"/>
      <c r="E239" s="23"/>
      <c r="F239" s="124"/>
      <c r="G239" s="125"/>
      <c r="H239" s="104"/>
      <c r="I239" s="124"/>
      <c r="J239" s="126"/>
      <c r="K239" s="104"/>
      <c r="L239" s="124"/>
      <c r="M239" s="127"/>
      <c r="N239" s="22"/>
      <c r="O239" s="128"/>
      <c r="P239" s="129"/>
      <c r="Q239" s="130"/>
      <c r="R239" s="104"/>
      <c r="S239" s="131"/>
      <c r="T239" s="132"/>
      <c r="U239" s="132"/>
      <c r="V239" s="132"/>
      <c r="W239" s="104"/>
      <c r="X239" s="104"/>
      <c r="Y239" s="104"/>
      <c r="Z239" s="104"/>
      <c r="AA239" s="22"/>
      <c r="AB239" s="105"/>
      <c r="AC239" s="105"/>
      <c r="AD239" s="105"/>
      <c r="AE239" s="105"/>
      <c r="AF239" s="105"/>
      <c r="AG239" s="105"/>
      <c r="AH239" s="105"/>
      <c r="AI239" s="105"/>
      <c r="AJ239" s="105"/>
    </row>
    <row r="240" ht="15.75" customHeight="1">
      <c r="A240" s="23"/>
      <c r="B240" s="123"/>
      <c r="C240" s="23"/>
      <c r="D240" s="23"/>
      <c r="E240" s="23"/>
      <c r="F240" s="124"/>
      <c r="G240" s="125"/>
      <c r="H240" s="104"/>
      <c r="I240" s="124"/>
      <c r="J240" s="126"/>
      <c r="K240" s="104"/>
      <c r="L240" s="124"/>
      <c r="M240" s="127"/>
      <c r="N240" s="22"/>
      <c r="O240" s="128"/>
      <c r="P240" s="129"/>
      <c r="Q240" s="130"/>
      <c r="R240" s="104"/>
      <c r="S240" s="131"/>
      <c r="T240" s="132"/>
      <c r="U240" s="132"/>
      <c r="V240" s="132"/>
      <c r="W240" s="104"/>
      <c r="X240" s="104"/>
      <c r="Y240" s="104"/>
      <c r="Z240" s="104"/>
      <c r="AA240" s="22"/>
      <c r="AB240" s="105"/>
      <c r="AC240" s="105"/>
      <c r="AD240" s="105"/>
      <c r="AE240" s="105"/>
      <c r="AF240" s="105"/>
      <c r="AG240" s="105"/>
      <c r="AH240" s="105"/>
      <c r="AI240" s="105"/>
      <c r="AJ240" s="105"/>
    </row>
    <row r="241" ht="15.75" customHeight="1">
      <c r="A241" s="23"/>
      <c r="B241" s="123"/>
      <c r="C241" s="23"/>
      <c r="D241" s="23"/>
      <c r="E241" s="23"/>
      <c r="F241" s="124"/>
      <c r="G241" s="125"/>
      <c r="H241" s="104"/>
      <c r="I241" s="124"/>
      <c r="J241" s="126"/>
      <c r="K241" s="104"/>
      <c r="L241" s="124"/>
      <c r="M241" s="127"/>
      <c r="N241" s="22"/>
      <c r="O241" s="128"/>
      <c r="P241" s="129"/>
      <c r="Q241" s="130"/>
      <c r="R241" s="104"/>
      <c r="S241" s="131"/>
      <c r="T241" s="132"/>
      <c r="U241" s="132"/>
      <c r="V241" s="132"/>
      <c r="W241" s="104"/>
      <c r="X241" s="104"/>
      <c r="Y241" s="104"/>
      <c r="Z241" s="104"/>
      <c r="AA241" s="22"/>
      <c r="AB241" s="105"/>
      <c r="AC241" s="105"/>
      <c r="AD241" s="105"/>
      <c r="AE241" s="105"/>
      <c r="AF241" s="105"/>
      <c r="AG241" s="105"/>
      <c r="AH241" s="105"/>
      <c r="AI241" s="105"/>
      <c r="AJ241" s="105"/>
    </row>
    <row r="242" ht="15.75" customHeight="1">
      <c r="A242" s="23"/>
      <c r="B242" s="123"/>
      <c r="C242" s="23"/>
      <c r="D242" s="23"/>
      <c r="E242" s="23"/>
      <c r="F242" s="124"/>
      <c r="G242" s="125"/>
      <c r="H242" s="104"/>
      <c r="I242" s="124"/>
      <c r="J242" s="126"/>
      <c r="K242" s="104"/>
      <c r="L242" s="124"/>
      <c r="M242" s="127"/>
      <c r="N242" s="22"/>
      <c r="O242" s="128"/>
      <c r="P242" s="129"/>
      <c r="Q242" s="130"/>
      <c r="R242" s="104"/>
      <c r="S242" s="131"/>
      <c r="T242" s="132"/>
      <c r="U242" s="132"/>
      <c r="V242" s="132"/>
      <c r="W242" s="104"/>
      <c r="X242" s="104"/>
      <c r="Y242" s="104"/>
      <c r="Z242" s="104"/>
      <c r="AA242" s="22"/>
      <c r="AB242" s="105"/>
      <c r="AC242" s="105"/>
      <c r="AD242" s="105"/>
      <c r="AE242" s="105"/>
      <c r="AF242" s="105"/>
      <c r="AG242" s="105"/>
      <c r="AH242" s="105"/>
      <c r="AI242" s="105"/>
      <c r="AJ242" s="105"/>
    </row>
    <row r="243" ht="15.75" customHeight="1">
      <c r="A243" s="23"/>
      <c r="B243" s="123"/>
      <c r="C243" s="23"/>
      <c r="D243" s="23"/>
      <c r="E243" s="23"/>
      <c r="F243" s="124"/>
      <c r="G243" s="125"/>
      <c r="H243" s="104"/>
      <c r="I243" s="124"/>
      <c r="J243" s="126"/>
      <c r="K243" s="104"/>
      <c r="L243" s="124"/>
      <c r="M243" s="127"/>
      <c r="N243" s="22"/>
      <c r="O243" s="128"/>
      <c r="P243" s="129"/>
      <c r="Q243" s="130"/>
      <c r="R243" s="104"/>
      <c r="S243" s="131"/>
      <c r="T243" s="132"/>
      <c r="U243" s="132"/>
      <c r="V243" s="132"/>
      <c r="W243" s="104"/>
      <c r="X243" s="104"/>
      <c r="Y243" s="104"/>
      <c r="Z243" s="104"/>
      <c r="AA243" s="22"/>
      <c r="AB243" s="105"/>
      <c r="AC243" s="105"/>
      <c r="AD243" s="105"/>
      <c r="AE243" s="105"/>
      <c r="AF243" s="105"/>
      <c r="AG243" s="105"/>
      <c r="AH243" s="105"/>
      <c r="AI243" s="105"/>
      <c r="AJ243" s="105"/>
    </row>
    <row r="244" ht="15.75" customHeight="1">
      <c r="A244" s="23"/>
      <c r="B244" s="123"/>
      <c r="C244" s="23"/>
      <c r="D244" s="23"/>
      <c r="E244" s="23"/>
      <c r="F244" s="124"/>
      <c r="G244" s="125"/>
      <c r="H244" s="104"/>
      <c r="I244" s="124"/>
      <c r="J244" s="126"/>
      <c r="K244" s="104"/>
      <c r="L244" s="124"/>
      <c r="M244" s="127"/>
      <c r="N244" s="22"/>
      <c r="O244" s="128"/>
      <c r="P244" s="129"/>
      <c r="Q244" s="130"/>
      <c r="R244" s="104"/>
      <c r="S244" s="131"/>
      <c r="T244" s="132"/>
      <c r="U244" s="132"/>
      <c r="V244" s="132"/>
      <c r="W244" s="104"/>
      <c r="X244" s="104"/>
      <c r="Y244" s="104"/>
      <c r="Z244" s="104"/>
      <c r="AA244" s="22"/>
      <c r="AB244" s="105"/>
      <c r="AC244" s="105"/>
      <c r="AD244" s="105"/>
      <c r="AE244" s="105"/>
      <c r="AF244" s="105"/>
      <c r="AG244" s="105"/>
      <c r="AH244" s="105"/>
      <c r="AI244" s="105"/>
      <c r="AJ244" s="105"/>
    </row>
    <row r="245" ht="15.75" customHeight="1">
      <c r="A245" s="23"/>
      <c r="B245" s="123"/>
      <c r="C245" s="23"/>
      <c r="D245" s="23"/>
      <c r="E245" s="23"/>
      <c r="F245" s="124"/>
      <c r="G245" s="125"/>
      <c r="H245" s="104"/>
      <c r="I245" s="124"/>
      <c r="J245" s="126"/>
      <c r="K245" s="104"/>
      <c r="L245" s="124"/>
      <c r="M245" s="127"/>
      <c r="N245" s="22"/>
      <c r="O245" s="128"/>
      <c r="P245" s="129"/>
      <c r="Q245" s="130"/>
      <c r="R245" s="104"/>
      <c r="S245" s="131"/>
      <c r="T245" s="132"/>
      <c r="U245" s="132"/>
      <c r="V245" s="132"/>
      <c r="W245" s="104"/>
      <c r="X245" s="104"/>
      <c r="Y245" s="104"/>
      <c r="Z245" s="104"/>
      <c r="AA245" s="22"/>
      <c r="AB245" s="105"/>
      <c r="AC245" s="105"/>
      <c r="AD245" s="105"/>
      <c r="AE245" s="105"/>
      <c r="AF245" s="105"/>
      <c r="AG245" s="105"/>
      <c r="AH245" s="105"/>
      <c r="AI245" s="105"/>
      <c r="AJ245" s="105"/>
    </row>
    <row r="246" ht="15.75" customHeight="1">
      <c r="A246" s="23"/>
      <c r="B246" s="123"/>
      <c r="C246" s="23"/>
      <c r="D246" s="23"/>
      <c r="E246" s="23"/>
      <c r="F246" s="124"/>
      <c r="G246" s="125"/>
      <c r="H246" s="104"/>
      <c r="I246" s="124"/>
      <c r="J246" s="126"/>
      <c r="K246" s="104"/>
      <c r="L246" s="124"/>
      <c r="M246" s="127"/>
      <c r="N246" s="22"/>
      <c r="O246" s="128"/>
      <c r="P246" s="129"/>
      <c r="Q246" s="130"/>
      <c r="R246" s="104"/>
      <c r="S246" s="131"/>
      <c r="T246" s="132"/>
      <c r="U246" s="132"/>
      <c r="V246" s="132"/>
      <c r="W246" s="104"/>
      <c r="X246" s="104"/>
      <c r="Y246" s="104"/>
      <c r="Z246" s="104"/>
      <c r="AA246" s="22"/>
      <c r="AB246" s="105"/>
      <c r="AC246" s="105"/>
      <c r="AD246" s="105"/>
      <c r="AE246" s="105"/>
      <c r="AF246" s="105"/>
      <c r="AG246" s="105"/>
      <c r="AH246" s="105"/>
      <c r="AI246" s="105"/>
      <c r="AJ246" s="105"/>
    </row>
    <row r="247" ht="15.75" customHeight="1">
      <c r="A247" s="23"/>
      <c r="B247" s="123"/>
      <c r="C247" s="23"/>
      <c r="D247" s="23"/>
      <c r="E247" s="23"/>
      <c r="F247" s="124"/>
      <c r="G247" s="125"/>
      <c r="H247" s="104"/>
      <c r="I247" s="124"/>
      <c r="J247" s="126"/>
      <c r="K247" s="104"/>
      <c r="L247" s="124"/>
      <c r="M247" s="127"/>
      <c r="N247" s="22"/>
      <c r="O247" s="128"/>
      <c r="P247" s="129"/>
      <c r="Q247" s="130"/>
      <c r="R247" s="104"/>
      <c r="S247" s="131"/>
      <c r="T247" s="132"/>
      <c r="U247" s="132"/>
      <c r="V247" s="132"/>
      <c r="W247" s="104"/>
      <c r="X247" s="104"/>
      <c r="Y247" s="104"/>
      <c r="Z247" s="104"/>
      <c r="AA247" s="22"/>
      <c r="AB247" s="105"/>
      <c r="AC247" s="105"/>
      <c r="AD247" s="105"/>
      <c r="AE247" s="105"/>
      <c r="AF247" s="105"/>
      <c r="AG247" s="105"/>
      <c r="AH247" s="105"/>
      <c r="AI247" s="105"/>
      <c r="AJ247" s="105"/>
    </row>
    <row r="248" ht="15.75" customHeight="1">
      <c r="A248" s="23"/>
      <c r="B248" s="123"/>
      <c r="C248" s="23"/>
      <c r="D248" s="23"/>
      <c r="E248" s="23"/>
      <c r="F248" s="124"/>
      <c r="G248" s="125"/>
      <c r="H248" s="104"/>
      <c r="I248" s="124"/>
      <c r="J248" s="126"/>
      <c r="K248" s="104"/>
      <c r="L248" s="124"/>
      <c r="M248" s="127"/>
      <c r="N248" s="22"/>
      <c r="O248" s="128"/>
      <c r="P248" s="129"/>
      <c r="Q248" s="130"/>
      <c r="R248" s="104"/>
      <c r="S248" s="131"/>
      <c r="T248" s="132"/>
      <c r="U248" s="132"/>
      <c r="V248" s="132"/>
      <c r="W248" s="104"/>
      <c r="X248" s="104"/>
      <c r="Y248" s="104"/>
      <c r="Z248" s="104"/>
      <c r="AA248" s="22"/>
      <c r="AB248" s="105"/>
      <c r="AC248" s="105"/>
      <c r="AD248" s="105"/>
      <c r="AE248" s="105"/>
      <c r="AF248" s="105"/>
      <c r="AG248" s="105"/>
      <c r="AH248" s="105"/>
      <c r="AI248" s="105"/>
      <c r="AJ248" s="105"/>
    </row>
    <row r="249" ht="15.75" customHeight="1">
      <c r="A249" s="23"/>
      <c r="B249" s="123"/>
      <c r="C249" s="23"/>
      <c r="D249" s="23"/>
      <c r="E249" s="23"/>
      <c r="F249" s="124"/>
      <c r="G249" s="125"/>
      <c r="H249" s="104"/>
      <c r="I249" s="124"/>
      <c r="J249" s="126"/>
      <c r="K249" s="104"/>
      <c r="L249" s="124"/>
      <c r="M249" s="127"/>
      <c r="N249" s="22"/>
      <c r="O249" s="128"/>
      <c r="P249" s="129"/>
      <c r="Q249" s="130"/>
      <c r="R249" s="104"/>
      <c r="S249" s="131"/>
      <c r="T249" s="132"/>
      <c r="U249" s="132"/>
      <c r="V249" s="132"/>
      <c r="W249" s="104"/>
      <c r="X249" s="104"/>
      <c r="Y249" s="104"/>
      <c r="Z249" s="104"/>
      <c r="AA249" s="22"/>
      <c r="AB249" s="105"/>
      <c r="AC249" s="105"/>
      <c r="AD249" s="105"/>
      <c r="AE249" s="105"/>
      <c r="AF249" s="105"/>
      <c r="AG249" s="105"/>
      <c r="AH249" s="105"/>
      <c r="AI249" s="105"/>
      <c r="AJ249" s="105"/>
    </row>
    <row r="250" ht="15.75" customHeight="1">
      <c r="A250" s="23"/>
      <c r="B250" s="123"/>
      <c r="C250" s="23"/>
      <c r="D250" s="23"/>
      <c r="E250" s="23"/>
      <c r="F250" s="124"/>
      <c r="G250" s="125"/>
      <c r="H250" s="104"/>
      <c r="I250" s="124"/>
      <c r="J250" s="126"/>
      <c r="K250" s="104"/>
      <c r="L250" s="124"/>
      <c r="M250" s="127"/>
      <c r="N250" s="22"/>
      <c r="O250" s="128"/>
      <c r="P250" s="129"/>
      <c r="Q250" s="130"/>
      <c r="R250" s="104"/>
      <c r="S250" s="131"/>
      <c r="T250" s="132"/>
      <c r="U250" s="132"/>
      <c r="V250" s="132"/>
      <c r="W250" s="104"/>
      <c r="X250" s="104"/>
      <c r="Y250" s="104"/>
      <c r="Z250" s="104"/>
      <c r="AA250" s="22"/>
      <c r="AB250" s="105"/>
      <c r="AC250" s="105"/>
      <c r="AD250" s="105"/>
      <c r="AE250" s="105"/>
      <c r="AF250" s="105"/>
      <c r="AG250" s="105"/>
      <c r="AH250" s="105"/>
      <c r="AI250" s="105"/>
      <c r="AJ250" s="105"/>
    </row>
    <row r="251" ht="15.75" customHeight="1">
      <c r="A251" s="23"/>
      <c r="B251" s="123"/>
      <c r="C251" s="23"/>
      <c r="D251" s="23"/>
      <c r="E251" s="23"/>
      <c r="F251" s="124"/>
      <c r="G251" s="125"/>
      <c r="H251" s="104"/>
      <c r="I251" s="124"/>
      <c r="J251" s="126"/>
      <c r="K251" s="104"/>
      <c r="L251" s="124"/>
      <c r="M251" s="127"/>
      <c r="N251" s="22"/>
      <c r="O251" s="128"/>
      <c r="P251" s="129"/>
      <c r="Q251" s="130"/>
      <c r="R251" s="104"/>
      <c r="S251" s="131"/>
      <c r="T251" s="132"/>
      <c r="U251" s="132"/>
      <c r="V251" s="132"/>
      <c r="W251" s="104"/>
      <c r="X251" s="104"/>
      <c r="Y251" s="104"/>
      <c r="Z251" s="104"/>
      <c r="AA251" s="22"/>
      <c r="AB251" s="105"/>
      <c r="AC251" s="105"/>
      <c r="AD251" s="105"/>
      <c r="AE251" s="105"/>
      <c r="AF251" s="105"/>
      <c r="AG251" s="105"/>
      <c r="AH251" s="105"/>
      <c r="AI251" s="105"/>
      <c r="AJ251" s="105"/>
    </row>
    <row r="252" ht="15.75" customHeight="1">
      <c r="A252" s="23"/>
      <c r="B252" s="123"/>
      <c r="C252" s="23"/>
      <c r="D252" s="23"/>
      <c r="E252" s="23"/>
      <c r="F252" s="124"/>
      <c r="G252" s="125"/>
      <c r="H252" s="104"/>
      <c r="I252" s="124"/>
      <c r="J252" s="126"/>
      <c r="K252" s="104"/>
      <c r="L252" s="124"/>
      <c r="M252" s="127"/>
      <c r="N252" s="22"/>
      <c r="O252" s="128"/>
      <c r="P252" s="129"/>
      <c r="Q252" s="130"/>
      <c r="R252" s="104"/>
      <c r="S252" s="131"/>
      <c r="T252" s="132"/>
      <c r="U252" s="132"/>
      <c r="V252" s="132"/>
      <c r="W252" s="104"/>
      <c r="X252" s="104"/>
      <c r="Y252" s="104"/>
      <c r="Z252" s="104"/>
      <c r="AA252" s="22"/>
      <c r="AB252" s="105"/>
      <c r="AC252" s="105"/>
      <c r="AD252" s="105"/>
      <c r="AE252" s="105"/>
      <c r="AF252" s="105"/>
      <c r="AG252" s="105"/>
      <c r="AH252" s="105"/>
      <c r="AI252" s="105"/>
      <c r="AJ252" s="105"/>
    </row>
    <row r="253" ht="15.75" customHeight="1">
      <c r="A253" s="23"/>
      <c r="B253" s="123"/>
      <c r="C253" s="23"/>
      <c r="D253" s="23"/>
      <c r="E253" s="23"/>
      <c r="F253" s="124"/>
      <c r="G253" s="125"/>
      <c r="H253" s="104"/>
      <c r="I253" s="124"/>
      <c r="J253" s="126"/>
      <c r="K253" s="104"/>
      <c r="L253" s="124"/>
      <c r="M253" s="127"/>
      <c r="N253" s="22"/>
      <c r="O253" s="128"/>
      <c r="P253" s="129"/>
      <c r="Q253" s="130"/>
      <c r="R253" s="104"/>
      <c r="S253" s="131"/>
      <c r="T253" s="132"/>
      <c r="U253" s="132"/>
      <c r="V253" s="132"/>
      <c r="W253" s="104"/>
      <c r="X253" s="104"/>
      <c r="Y253" s="104"/>
      <c r="Z253" s="104"/>
      <c r="AA253" s="22"/>
      <c r="AB253" s="105"/>
      <c r="AC253" s="105"/>
      <c r="AD253" s="105"/>
      <c r="AE253" s="105"/>
      <c r="AF253" s="105"/>
      <c r="AG253" s="105"/>
      <c r="AH253" s="105"/>
      <c r="AI253" s="105"/>
      <c r="AJ253" s="105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R1:R3"/>
    <mergeCell ref="S1:S3"/>
    <mergeCell ref="T1:T3"/>
    <mergeCell ref="U1:U3"/>
    <mergeCell ref="V1:V3"/>
    <mergeCell ref="AB17:AD17"/>
    <mergeCell ref="K1:K3"/>
    <mergeCell ref="L1:L3"/>
    <mergeCell ref="M1:M3"/>
    <mergeCell ref="N1:N3"/>
    <mergeCell ref="O1:O3"/>
    <mergeCell ref="P1:P3"/>
    <mergeCell ref="Q1:Q3"/>
    <mergeCell ref="A4:C4"/>
    <mergeCell ref="A5:C5"/>
    <mergeCell ref="A6:C6"/>
    <mergeCell ref="A30:C30"/>
    <mergeCell ref="A31:C31"/>
    <mergeCell ref="A1:C1"/>
    <mergeCell ref="E1:E3"/>
    <mergeCell ref="F1:F3"/>
    <mergeCell ref="G1:G3"/>
    <mergeCell ref="H1:H3"/>
    <mergeCell ref="I1:I3"/>
    <mergeCell ref="J1:J3"/>
  </mergeCells>
  <conditionalFormatting sqref="L1:M1000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9.5"/>
    <col customWidth="1" min="3" max="3" width="6.5"/>
    <col customWidth="1" min="4" max="4" width="9.63"/>
    <col customWidth="1" min="5" max="5" width="25.75"/>
    <col customWidth="1" min="6" max="6" width="16.13"/>
    <col customWidth="1" min="7" max="7" width="14.25"/>
    <col customWidth="1" min="8" max="8" width="12.75"/>
    <col customWidth="1" min="9" max="9" width="10.0"/>
    <col customWidth="1" min="10" max="10" width="41.25"/>
    <col customWidth="1" min="11" max="11" width="20.63"/>
    <col customWidth="1" min="12" max="12" width="10.63"/>
    <col customWidth="1" min="13" max="13" width="17.5"/>
    <col customWidth="1" min="14" max="14" width="7.88"/>
    <col customWidth="1" min="15" max="15" width="22.13"/>
    <col customWidth="1" min="16" max="16" width="18.88"/>
    <col customWidth="1" min="17" max="17" width="19.25"/>
    <col customWidth="1" min="18" max="18" width="24.63"/>
    <col customWidth="1" min="19" max="19" width="22.88"/>
    <col customWidth="1" min="20" max="21" width="11.38"/>
    <col customWidth="1" min="22" max="22" width="15.13"/>
    <col customWidth="1" min="23" max="23" width="19.88"/>
    <col customWidth="1" min="24" max="24" width="11.38"/>
    <col customWidth="1" min="25" max="31" width="22.88"/>
  </cols>
  <sheetData>
    <row r="1" ht="17.25" customHeight="1">
      <c r="A1" s="133" t="s">
        <v>69</v>
      </c>
      <c r="B1" s="133" t="s">
        <v>69</v>
      </c>
      <c r="C1" s="133" t="s">
        <v>69</v>
      </c>
      <c r="D1" s="133" t="s">
        <v>69</v>
      </c>
      <c r="E1" s="133" t="s">
        <v>69</v>
      </c>
      <c r="F1" s="133" t="s">
        <v>69</v>
      </c>
      <c r="G1" s="134" t="s">
        <v>20</v>
      </c>
      <c r="H1" s="133" t="s">
        <v>69</v>
      </c>
      <c r="I1" s="133" t="s">
        <v>69</v>
      </c>
      <c r="J1" s="133" t="s">
        <v>69</v>
      </c>
      <c r="K1" s="133" t="s">
        <v>69</v>
      </c>
      <c r="L1" s="133" t="s">
        <v>69</v>
      </c>
      <c r="M1" s="133" t="s">
        <v>69</v>
      </c>
      <c r="N1" s="133" t="s">
        <v>69</v>
      </c>
      <c r="O1" s="133" t="s">
        <v>69</v>
      </c>
      <c r="P1" s="133" t="s">
        <v>69</v>
      </c>
      <c r="Q1" s="133" t="s">
        <v>69</v>
      </c>
      <c r="R1" s="133" t="s">
        <v>69</v>
      </c>
      <c r="S1" s="133" t="s">
        <v>69</v>
      </c>
      <c r="T1" s="135"/>
      <c r="U1" s="135"/>
      <c r="V1" s="135"/>
      <c r="W1" s="135"/>
      <c r="X1" s="135"/>
      <c r="Y1" s="133"/>
      <c r="Z1" s="133"/>
      <c r="AA1" s="133"/>
      <c r="AB1" s="133"/>
      <c r="AC1" s="133"/>
      <c r="AD1" s="133"/>
      <c r="AE1" s="133"/>
    </row>
    <row r="2" ht="17.25" customHeight="1">
      <c r="A2" s="133">
        <v>1.4601363E7</v>
      </c>
      <c r="B2" s="133"/>
      <c r="C2" s="133"/>
      <c r="D2" s="133"/>
      <c r="E2" s="133"/>
      <c r="F2" s="133"/>
      <c r="G2" s="136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5"/>
      <c r="U2" s="135"/>
      <c r="V2" s="135"/>
      <c r="W2" s="135"/>
      <c r="X2" s="135"/>
      <c r="Y2" s="133"/>
      <c r="Z2" s="133"/>
      <c r="AA2" s="133"/>
      <c r="AB2" s="133"/>
      <c r="AC2" s="133"/>
      <c r="AD2" s="133"/>
      <c r="AE2" s="133"/>
    </row>
    <row r="3" ht="17.25" customHeight="1">
      <c r="A3" s="133" t="s">
        <v>70</v>
      </c>
      <c r="L3" s="133" t="s">
        <v>11</v>
      </c>
      <c r="N3" s="133" t="s">
        <v>71</v>
      </c>
      <c r="O3" s="133"/>
      <c r="P3" s="133" t="s">
        <v>72</v>
      </c>
      <c r="Q3" s="133"/>
      <c r="R3" s="133"/>
      <c r="S3" s="133"/>
      <c r="T3" s="135"/>
      <c r="U3" s="135"/>
      <c r="V3" s="135"/>
      <c r="W3" s="135"/>
      <c r="X3" s="135"/>
      <c r="Y3" s="133"/>
      <c r="Z3" s="133"/>
      <c r="AA3" s="133"/>
      <c r="AB3" s="133"/>
      <c r="AC3" s="133"/>
      <c r="AD3" s="133"/>
      <c r="AE3" s="133"/>
    </row>
    <row r="4" ht="17.25" customHeight="1">
      <c r="A4" s="137" t="s">
        <v>73</v>
      </c>
      <c r="B4" s="137" t="s">
        <v>74</v>
      </c>
      <c r="C4" s="137" t="s">
        <v>75</v>
      </c>
      <c r="D4" s="137" t="s">
        <v>76</v>
      </c>
      <c r="E4" s="137" t="s">
        <v>77</v>
      </c>
      <c r="F4" s="137" t="s">
        <v>78</v>
      </c>
      <c r="G4" s="138" t="s">
        <v>79</v>
      </c>
      <c r="H4" s="137" t="s">
        <v>80</v>
      </c>
      <c r="I4" s="137" t="s">
        <v>81</v>
      </c>
      <c r="J4" s="137" t="s">
        <v>82</v>
      </c>
      <c r="K4" s="137" t="s">
        <v>83</v>
      </c>
      <c r="L4" s="137" t="s">
        <v>84</v>
      </c>
      <c r="M4" s="137" t="s">
        <v>85</v>
      </c>
      <c r="N4" s="137" t="s">
        <v>84</v>
      </c>
      <c r="O4" s="137" t="s">
        <v>85</v>
      </c>
      <c r="P4" s="137" t="s">
        <v>86</v>
      </c>
      <c r="Q4" s="137" t="s">
        <v>87</v>
      </c>
      <c r="R4" s="137" t="s">
        <v>88</v>
      </c>
      <c r="S4" s="137"/>
      <c r="T4" s="139"/>
      <c r="U4" s="139"/>
      <c r="V4" s="139"/>
      <c r="W4" s="139"/>
      <c r="X4" s="139"/>
      <c r="Y4" s="137"/>
      <c r="Z4" s="137"/>
      <c r="AA4" s="137"/>
      <c r="AB4" s="137"/>
      <c r="AC4" s="137"/>
      <c r="AD4" s="137"/>
      <c r="AE4" s="137"/>
    </row>
    <row r="5" ht="17.25" customHeight="1">
      <c r="A5" s="133" t="s">
        <v>23</v>
      </c>
      <c r="B5" s="133" t="s">
        <v>89</v>
      </c>
      <c r="C5" s="133" t="s">
        <v>90</v>
      </c>
      <c r="E5" s="133" t="s">
        <v>91</v>
      </c>
      <c r="F5" s="133" t="s">
        <v>92</v>
      </c>
      <c r="G5" s="140">
        <v>1.4930909E7</v>
      </c>
      <c r="H5" s="141">
        <v>7.410214807204E12</v>
      </c>
      <c r="I5" s="133" t="s">
        <v>93</v>
      </c>
      <c r="J5" s="133" t="s">
        <v>94</v>
      </c>
      <c r="K5" s="133" t="s">
        <v>95</v>
      </c>
      <c r="L5" s="141">
        <v>0.0</v>
      </c>
      <c r="M5" s="141">
        <v>0.0</v>
      </c>
      <c r="N5" s="141">
        <v>1.0</v>
      </c>
      <c r="O5" s="141">
        <v>3468.0</v>
      </c>
      <c r="P5" s="141">
        <v>1.0</v>
      </c>
      <c r="Q5" s="141">
        <v>3468.0</v>
      </c>
      <c r="R5" s="141">
        <v>0.0</v>
      </c>
      <c r="S5" s="141"/>
      <c r="T5" s="142"/>
      <c r="U5" s="142"/>
      <c r="V5" s="142"/>
      <c r="W5" s="142"/>
      <c r="X5" s="142"/>
      <c r="Y5" s="141"/>
      <c r="Z5" s="141"/>
      <c r="AA5" s="141"/>
      <c r="AB5" s="141"/>
      <c r="AC5" s="141"/>
      <c r="AD5" s="141"/>
      <c r="AE5" s="141"/>
    </row>
    <row r="6" ht="17.25" customHeight="1">
      <c r="A6" s="133" t="s">
        <v>23</v>
      </c>
      <c r="B6" s="133" t="s">
        <v>89</v>
      </c>
      <c r="C6" s="133" t="s">
        <v>90</v>
      </c>
      <c r="E6" s="133" t="s">
        <v>91</v>
      </c>
      <c r="F6" s="133" t="s">
        <v>92</v>
      </c>
      <c r="G6" s="140">
        <v>1.4930909E7</v>
      </c>
      <c r="H6" s="141">
        <v>7.4102146072E12</v>
      </c>
      <c r="I6" s="133" t="s">
        <v>96</v>
      </c>
      <c r="J6" s="133" t="s">
        <v>94</v>
      </c>
      <c r="K6" s="133" t="s">
        <v>97</v>
      </c>
      <c r="L6" s="141">
        <v>0.0</v>
      </c>
      <c r="M6" s="141">
        <v>0.0</v>
      </c>
      <c r="N6" s="141">
        <v>0.0</v>
      </c>
      <c r="O6" s="141">
        <v>0.0</v>
      </c>
      <c r="P6" s="141">
        <v>1.0</v>
      </c>
      <c r="Q6" s="141">
        <v>3901.5</v>
      </c>
      <c r="R6" s="141">
        <v>0.0</v>
      </c>
      <c r="S6" s="141"/>
      <c r="T6" s="142"/>
      <c r="U6" s="142"/>
      <c r="V6" s="142"/>
      <c r="W6" s="142"/>
      <c r="X6" s="142"/>
      <c r="Y6" s="141"/>
      <c r="Z6" s="141"/>
      <c r="AA6" s="141"/>
      <c r="AB6" s="141"/>
      <c r="AC6" s="141"/>
      <c r="AD6" s="141"/>
      <c r="AE6" s="141"/>
    </row>
    <row r="7" ht="17.25" customHeight="1">
      <c r="A7" s="133" t="s">
        <v>23</v>
      </c>
      <c r="B7" s="133" t="s">
        <v>98</v>
      </c>
      <c r="C7" s="133" t="s">
        <v>90</v>
      </c>
      <c r="E7" s="133" t="s">
        <v>99</v>
      </c>
      <c r="F7" s="133" t="s">
        <v>100</v>
      </c>
      <c r="G7" s="140">
        <v>1.4967663E7</v>
      </c>
      <c r="H7" s="141">
        <v>7.003065206205E12</v>
      </c>
      <c r="I7" s="133" t="s">
        <v>101</v>
      </c>
      <c r="J7" s="133" t="s">
        <v>102</v>
      </c>
      <c r="K7" s="133" t="s">
        <v>95</v>
      </c>
      <c r="L7" s="141">
        <v>0.0</v>
      </c>
      <c r="M7" s="141">
        <v>0.0</v>
      </c>
      <c r="N7" s="141">
        <v>6.0</v>
      </c>
      <c r="O7" s="141">
        <v>10301.21</v>
      </c>
      <c r="P7" s="141">
        <v>4.0</v>
      </c>
      <c r="Q7" s="141">
        <v>7350.62</v>
      </c>
      <c r="R7" s="141">
        <v>15.0</v>
      </c>
      <c r="S7" s="141"/>
      <c r="T7" s="142"/>
      <c r="U7" s="142"/>
      <c r="V7" s="142"/>
      <c r="W7" s="142"/>
      <c r="X7" s="142"/>
      <c r="Y7" s="141"/>
      <c r="Z7" s="141"/>
      <c r="AA7" s="141"/>
      <c r="AB7" s="141"/>
      <c r="AC7" s="141"/>
      <c r="AD7" s="141"/>
      <c r="AE7" s="141"/>
    </row>
    <row r="8" ht="17.25" customHeight="1">
      <c r="A8" s="133" t="s">
        <v>23</v>
      </c>
      <c r="B8" s="133" t="s">
        <v>89</v>
      </c>
      <c r="C8" s="133" t="s">
        <v>90</v>
      </c>
      <c r="E8" s="133" t="s">
        <v>91</v>
      </c>
      <c r="F8" s="133" t="s">
        <v>92</v>
      </c>
      <c r="G8" s="140">
        <v>1.4930909E7</v>
      </c>
      <c r="H8" s="141">
        <v>7.4102146072E12</v>
      </c>
      <c r="I8" s="133" t="s">
        <v>96</v>
      </c>
      <c r="J8" s="133" t="s">
        <v>94</v>
      </c>
      <c r="K8" s="133" t="s">
        <v>95</v>
      </c>
      <c r="L8" s="141">
        <v>0.0</v>
      </c>
      <c r="M8" s="141">
        <v>0.0</v>
      </c>
      <c r="N8" s="141">
        <v>2.0</v>
      </c>
      <c r="O8" s="141">
        <v>6936.0</v>
      </c>
      <c r="P8" s="141">
        <v>1.0</v>
      </c>
      <c r="Q8" s="141">
        <v>3468.0</v>
      </c>
      <c r="R8" s="141">
        <v>0.0</v>
      </c>
      <c r="S8" s="141"/>
      <c r="T8" s="142"/>
      <c r="U8" s="142"/>
      <c r="V8" s="142"/>
      <c r="W8" s="142"/>
      <c r="X8" s="142"/>
      <c r="Y8" s="141"/>
      <c r="Z8" s="141"/>
      <c r="AA8" s="141"/>
      <c r="AB8" s="141"/>
      <c r="AC8" s="141"/>
      <c r="AD8" s="141"/>
      <c r="AE8" s="141"/>
    </row>
    <row r="9" ht="17.25" customHeight="1">
      <c r="A9" s="133" t="s">
        <v>23</v>
      </c>
      <c r="B9" s="133" t="s">
        <v>89</v>
      </c>
      <c r="C9" s="133" t="s">
        <v>90</v>
      </c>
      <c r="E9" s="133" t="s">
        <v>91</v>
      </c>
      <c r="F9" s="133" t="s">
        <v>103</v>
      </c>
      <c r="G9" s="140">
        <v>1.4930914E7</v>
      </c>
      <c r="H9" s="141">
        <v>7.410264609209E12</v>
      </c>
      <c r="I9" s="133" t="s">
        <v>96</v>
      </c>
      <c r="J9" s="133" t="s">
        <v>94</v>
      </c>
      <c r="K9" s="133" t="s">
        <v>104</v>
      </c>
      <c r="L9" s="141">
        <v>0.0</v>
      </c>
      <c r="M9" s="141">
        <v>0.0</v>
      </c>
      <c r="N9" s="141">
        <v>1.0</v>
      </c>
      <c r="O9" s="141">
        <v>1905.9</v>
      </c>
      <c r="P9" s="141">
        <v>0.0</v>
      </c>
      <c r="Q9" s="141">
        <v>0.0</v>
      </c>
      <c r="R9" s="141">
        <v>0.0</v>
      </c>
      <c r="S9" s="141"/>
      <c r="T9" s="142"/>
      <c r="U9" s="142"/>
      <c r="V9" s="142"/>
      <c r="W9" s="142"/>
      <c r="X9" s="142"/>
      <c r="Y9" s="141"/>
      <c r="Z9" s="141"/>
      <c r="AA9" s="141"/>
      <c r="AB9" s="141"/>
      <c r="AC9" s="141"/>
      <c r="AD9" s="141"/>
      <c r="AE9" s="141"/>
    </row>
    <row r="10" ht="17.25" customHeight="1">
      <c r="A10" s="133" t="s">
        <v>23</v>
      </c>
      <c r="B10" s="133" t="s">
        <v>89</v>
      </c>
      <c r="C10" s="133" t="s">
        <v>90</v>
      </c>
      <c r="E10" s="133" t="s">
        <v>91</v>
      </c>
      <c r="F10" s="133" t="s">
        <v>105</v>
      </c>
      <c r="G10" s="140">
        <v>1.4936013E7</v>
      </c>
      <c r="H10" s="141">
        <v>7.400214607201E12</v>
      </c>
      <c r="I10" s="133" t="s">
        <v>96</v>
      </c>
      <c r="J10" s="133" t="s">
        <v>102</v>
      </c>
      <c r="K10" s="133" t="s">
        <v>95</v>
      </c>
      <c r="L10" s="141">
        <v>0.0</v>
      </c>
      <c r="M10" s="141">
        <v>0.0</v>
      </c>
      <c r="N10" s="141">
        <v>2.0</v>
      </c>
      <c r="O10" s="141">
        <v>3699.07</v>
      </c>
      <c r="P10" s="141">
        <v>1.0</v>
      </c>
      <c r="Q10" s="141">
        <v>1761.46</v>
      </c>
      <c r="R10" s="141">
        <v>4.0</v>
      </c>
      <c r="S10" s="141"/>
      <c r="T10" s="142"/>
      <c r="U10" s="142"/>
      <c r="V10" s="142"/>
      <c r="W10" s="142"/>
      <c r="X10" s="142"/>
      <c r="Y10" s="141"/>
      <c r="Z10" s="141"/>
      <c r="AA10" s="141"/>
      <c r="AB10" s="141"/>
      <c r="AC10" s="141"/>
      <c r="AD10" s="141"/>
      <c r="AE10" s="141"/>
    </row>
    <row r="11" ht="17.25" customHeight="1">
      <c r="A11" s="133" t="s">
        <v>23</v>
      </c>
      <c r="B11" s="133" t="s">
        <v>106</v>
      </c>
      <c r="C11" s="133" t="s">
        <v>90</v>
      </c>
      <c r="E11" s="133" t="s">
        <v>107</v>
      </c>
      <c r="F11" s="133" t="s">
        <v>108</v>
      </c>
      <c r="G11" s="140">
        <v>1.6963758E7</v>
      </c>
      <c r="H11" s="141">
        <v>7.40385440311E12</v>
      </c>
      <c r="I11" s="133" t="s">
        <v>96</v>
      </c>
      <c r="J11" s="133" t="s">
        <v>102</v>
      </c>
      <c r="K11" s="133" t="s">
        <v>95</v>
      </c>
      <c r="L11" s="141">
        <v>0.0</v>
      </c>
      <c r="M11" s="141">
        <v>0.0</v>
      </c>
      <c r="N11" s="141">
        <v>3.0</v>
      </c>
      <c r="O11" s="141">
        <v>8240.07</v>
      </c>
      <c r="P11" s="141">
        <v>0.0</v>
      </c>
      <c r="Q11" s="141">
        <v>-413.6</v>
      </c>
      <c r="R11" s="141">
        <v>35.0</v>
      </c>
      <c r="S11" s="141"/>
      <c r="T11" s="142"/>
      <c r="U11" s="142"/>
      <c r="V11" s="142"/>
      <c r="W11" s="142"/>
      <c r="X11" s="142"/>
      <c r="Y11" s="141"/>
      <c r="Z11" s="141"/>
      <c r="AA11" s="141"/>
      <c r="AB11" s="141"/>
      <c r="AC11" s="141"/>
      <c r="AD11" s="141"/>
      <c r="AE11" s="141"/>
    </row>
    <row r="12" ht="17.25" customHeight="1">
      <c r="A12" s="133" t="s">
        <v>23</v>
      </c>
      <c r="B12" s="133" t="s">
        <v>109</v>
      </c>
      <c r="C12" s="133" t="s">
        <v>90</v>
      </c>
      <c r="E12" s="133" t="s">
        <v>110</v>
      </c>
      <c r="F12" s="133" t="s">
        <v>111</v>
      </c>
      <c r="G12" s="140">
        <v>1.4788631E7</v>
      </c>
      <c r="H12" s="141">
        <v>7.403275609207E12</v>
      </c>
      <c r="I12" s="133" t="s">
        <v>112</v>
      </c>
      <c r="J12" s="133" t="s">
        <v>94</v>
      </c>
      <c r="K12" s="133" t="s">
        <v>95</v>
      </c>
      <c r="L12" s="141">
        <v>0.0</v>
      </c>
      <c r="M12" s="141">
        <v>0.0</v>
      </c>
      <c r="N12" s="141">
        <v>1.0</v>
      </c>
      <c r="O12" s="141">
        <v>1342.32</v>
      </c>
      <c r="P12" s="141">
        <v>1.0</v>
      </c>
      <c r="Q12" s="141">
        <v>1342.32</v>
      </c>
      <c r="R12" s="141">
        <v>0.0</v>
      </c>
      <c r="S12" s="141"/>
      <c r="T12" s="142"/>
      <c r="U12" s="142"/>
      <c r="V12" s="142"/>
      <c r="W12" s="142"/>
      <c r="X12" s="142"/>
      <c r="Y12" s="141"/>
      <c r="Z12" s="141"/>
      <c r="AA12" s="141"/>
      <c r="AB12" s="141"/>
      <c r="AC12" s="141"/>
      <c r="AD12" s="141"/>
      <c r="AE12" s="141"/>
    </row>
    <row r="13" ht="17.25" customHeight="1">
      <c r="A13" s="133" t="s">
        <v>23</v>
      </c>
      <c r="B13" s="133" t="s">
        <v>89</v>
      </c>
      <c r="C13" s="133" t="s">
        <v>90</v>
      </c>
      <c r="E13" s="133" t="s">
        <v>91</v>
      </c>
      <c r="F13" s="133" t="s">
        <v>92</v>
      </c>
      <c r="G13" s="140">
        <v>1.4930909E7</v>
      </c>
      <c r="H13" s="141">
        <v>7.410214807204E12</v>
      </c>
      <c r="I13" s="133" t="s">
        <v>93</v>
      </c>
      <c r="J13" s="133" t="s">
        <v>94</v>
      </c>
      <c r="K13" s="133" t="s">
        <v>97</v>
      </c>
      <c r="L13" s="141">
        <v>0.0</v>
      </c>
      <c r="M13" s="141">
        <v>0.0</v>
      </c>
      <c r="N13" s="141">
        <v>1.0</v>
      </c>
      <c r="O13" s="141">
        <v>3468.0</v>
      </c>
      <c r="P13" s="141">
        <v>0.0</v>
      </c>
      <c r="Q13" s="141">
        <v>0.0</v>
      </c>
      <c r="R13" s="141">
        <v>0.0</v>
      </c>
      <c r="S13" s="141"/>
      <c r="T13" s="142"/>
      <c r="U13" s="142"/>
      <c r="V13" s="142"/>
      <c r="W13" s="142"/>
      <c r="X13" s="142"/>
      <c r="Y13" s="141"/>
      <c r="Z13" s="141"/>
      <c r="AA13" s="141"/>
      <c r="AB13" s="141"/>
      <c r="AC13" s="141"/>
      <c r="AD13" s="141"/>
      <c r="AE13" s="141"/>
    </row>
    <row r="14" ht="17.25" customHeight="1">
      <c r="A14" s="133" t="s">
        <v>23</v>
      </c>
      <c r="B14" s="133" t="s">
        <v>106</v>
      </c>
      <c r="C14" s="133" t="s">
        <v>90</v>
      </c>
      <c r="E14" s="133" t="s">
        <v>107</v>
      </c>
      <c r="F14" s="133" t="s">
        <v>108</v>
      </c>
      <c r="G14" s="140">
        <v>1.6963758E7</v>
      </c>
      <c r="H14" s="141">
        <v>7.40385440311E12</v>
      </c>
      <c r="I14" s="133" t="s">
        <v>96</v>
      </c>
      <c r="J14" s="133" t="s">
        <v>102</v>
      </c>
      <c r="K14" s="133" t="s">
        <v>113</v>
      </c>
      <c r="L14" s="141">
        <v>0.0</v>
      </c>
      <c r="M14" s="141">
        <v>0.0</v>
      </c>
      <c r="N14" s="141">
        <v>0.0</v>
      </c>
      <c r="O14" s="141">
        <v>0.0</v>
      </c>
      <c r="P14" s="141">
        <v>0.0</v>
      </c>
      <c r="Q14" s="141">
        <v>0.0</v>
      </c>
      <c r="R14" s="141">
        <v>2.0</v>
      </c>
      <c r="S14" s="141"/>
      <c r="T14" s="142"/>
      <c r="U14" s="142"/>
      <c r="V14" s="142"/>
      <c r="W14" s="142"/>
      <c r="X14" s="142"/>
      <c r="Y14" s="141"/>
      <c r="Z14" s="141"/>
      <c r="AA14" s="141"/>
      <c r="AB14" s="141"/>
      <c r="AC14" s="141"/>
      <c r="AD14" s="141"/>
      <c r="AE14" s="141"/>
    </row>
    <row r="15" ht="17.25" customHeight="1">
      <c r="A15" s="133" t="s">
        <v>23</v>
      </c>
      <c r="B15" s="133" t="s">
        <v>106</v>
      </c>
      <c r="C15" s="133" t="s">
        <v>90</v>
      </c>
      <c r="E15" s="133" t="s">
        <v>114</v>
      </c>
      <c r="F15" s="133" t="s">
        <v>115</v>
      </c>
      <c r="G15" s="140">
        <v>1.8074633E7</v>
      </c>
      <c r="H15" s="141">
        <v>7.403934415125E12</v>
      </c>
      <c r="I15" s="133" t="s">
        <v>96</v>
      </c>
      <c r="J15" s="133" t="s">
        <v>102</v>
      </c>
      <c r="K15" s="133" t="s">
        <v>95</v>
      </c>
      <c r="L15" s="141">
        <v>0.0</v>
      </c>
      <c r="M15" s="141">
        <v>0.0</v>
      </c>
      <c r="N15" s="141">
        <v>0.0</v>
      </c>
      <c r="O15" s="141">
        <v>0.0</v>
      </c>
      <c r="P15" s="141">
        <v>0.0</v>
      </c>
      <c r="Q15" s="141">
        <v>0.0</v>
      </c>
      <c r="R15" s="141">
        <v>5.0</v>
      </c>
      <c r="S15" s="141"/>
      <c r="T15" s="142"/>
      <c r="U15" s="142"/>
      <c r="V15" s="142"/>
      <c r="W15" s="142"/>
      <c r="X15" s="142"/>
      <c r="Y15" s="141"/>
      <c r="Z15" s="141"/>
      <c r="AA15" s="141"/>
      <c r="AB15" s="141"/>
      <c r="AC15" s="141"/>
      <c r="AD15" s="141"/>
      <c r="AE15" s="141"/>
    </row>
    <row r="16" ht="17.25" customHeight="1">
      <c r="A16" s="133" t="s">
        <v>23</v>
      </c>
      <c r="B16" s="133" t="s">
        <v>106</v>
      </c>
      <c r="C16" s="133" t="s">
        <v>90</v>
      </c>
      <c r="E16" s="133" t="s">
        <v>114</v>
      </c>
      <c r="F16" s="133" t="s">
        <v>115</v>
      </c>
      <c r="G16" s="140">
        <v>1.8074633E7</v>
      </c>
      <c r="H16" s="141">
        <v>7.403934415125E12</v>
      </c>
      <c r="I16" s="133" t="s">
        <v>96</v>
      </c>
      <c r="J16" s="133" t="s">
        <v>102</v>
      </c>
      <c r="K16" s="133" t="s">
        <v>95</v>
      </c>
      <c r="L16" s="141">
        <v>0.0</v>
      </c>
      <c r="M16" s="141">
        <v>0.0</v>
      </c>
      <c r="N16" s="141">
        <v>0.0</v>
      </c>
      <c r="O16" s="141">
        <v>0.0</v>
      </c>
      <c r="P16" s="141">
        <v>0.0</v>
      </c>
      <c r="Q16" s="141">
        <v>0.0</v>
      </c>
      <c r="R16" s="141">
        <v>2.0</v>
      </c>
      <c r="S16" s="141"/>
      <c r="T16" s="142"/>
      <c r="U16" s="142"/>
      <c r="V16" s="142"/>
      <c r="W16" s="142"/>
      <c r="X16" s="142"/>
      <c r="Y16" s="141"/>
      <c r="Z16" s="141"/>
      <c r="AA16" s="141"/>
      <c r="AB16" s="141"/>
      <c r="AC16" s="141"/>
      <c r="AD16" s="141"/>
      <c r="AE16" s="141"/>
    </row>
    <row r="17" ht="17.25" customHeight="1">
      <c r="A17" s="133" t="s">
        <v>23</v>
      </c>
      <c r="B17" s="133" t="s">
        <v>106</v>
      </c>
      <c r="C17" s="133" t="s">
        <v>90</v>
      </c>
      <c r="E17" s="133" t="s">
        <v>107</v>
      </c>
      <c r="F17" s="133" t="s">
        <v>108</v>
      </c>
      <c r="G17" s="140">
        <v>1.6963758E7</v>
      </c>
      <c r="H17" s="141">
        <v>7.40385440311E12</v>
      </c>
      <c r="I17" s="133" t="s">
        <v>96</v>
      </c>
      <c r="J17" s="133" t="s">
        <v>102</v>
      </c>
      <c r="K17" s="133" t="s">
        <v>116</v>
      </c>
      <c r="L17" s="141">
        <v>0.0</v>
      </c>
      <c r="M17" s="141">
        <v>0.0</v>
      </c>
      <c r="N17" s="141">
        <v>0.0</v>
      </c>
      <c r="O17" s="141">
        <v>0.0</v>
      </c>
      <c r="P17" s="141">
        <v>0.0</v>
      </c>
      <c r="Q17" s="141">
        <v>0.0</v>
      </c>
      <c r="R17" s="141">
        <v>1.0</v>
      </c>
      <c r="S17" s="141"/>
      <c r="T17" s="142"/>
      <c r="U17" s="142"/>
      <c r="V17" s="142"/>
      <c r="W17" s="142"/>
      <c r="X17" s="142"/>
      <c r="Y17" s="141"/>
      <c r="Z17" s="141"/>
      <c r="AA17" s="141"/>
      <c r="AB17" s="141"/>
      <c r="AC17" s="141"/>
      <c r="AD17" s="141"/>
      <c r="AE17" s="141"/>
    </row>
    <row r="18" ht="17.25" customHeight="1">
      <c r="A18" s="133" t="s">
        <v>23</v>
      </c>
      <c r="B18" s="133" t="s">
        <v>106</v>
      </c>
      <c r="C18" s="133" t="s">
        <v>90</v>
      </c>
      <c r="E18" s="133" t="s">
        <v>107</v>
      </c>
      <c r="F18" s="133" t="s">
        <v>108</v>
      </c>
      <c r="G18" s="140">
        <v>1.6963758E7</v>
      </c>
      <c r="H18" s="141">
        <v>7.40385440311E12</v>
      </c>
      <c r="I18" s="133" t="s">
        <v>96</v>
      </c>
      <c r="J18" s="133" t="s">
        <v>102</v>
      </c>
      <c r="K18" s="133" t="s">
        <v>95</v>
      </c>
      <c r="L18" s="141">
        <v>0.0</v>
      </c>
      <c r="M18" s="141">
        <v>0.0</v>
      </c>
      <c r="N18" s="141">
        <v>0.0</v>
      </c>
      <c r="O18" s="141">
        <v>0.0</v>
      </c>
      <c r="P18" s="141">
        <v>0.0</v>
      </c>
      <c r="Q18" s="141">
        <v>0.0</v>
      </c>
      <c r="R18" s="141">
        <v>1.0</v>
      </c>
      <c r="S18" s="141"/>
      <c r="T18" s="142"/>
      <c r="U18" s="142"/>
      <c r="V18" s="142"/>
      <c r="W18" s="142"/>
      <c r="X18" s="142"/>
      <c r="Y18" s="141"/>
      <c r="Z18" s="141"/>
      <c r="AA18" s="141"/>
      <c r="AB18" s="141"/>
      <c r="AC18" s="141"/>
      <c r="AD18" s="141"/>
      <c r="AE18" s="141"/>
    </row>
    <row r="19" ht="17.25" customHeight="1">
      <c r="A19" s="133" t="s">
        <v>23</v>
      </c>
      <c r="B19" s="133" t="s">
        <v>89</v>
      </c>
      <c r="C19" s="133" t="s">
        <v>117</v>
      </c>
      <c r="D19" s="133"/>
      <c r="E19" s="133" t="s">
        <v>118</v>
      </c>
      <c r="F19" s="133" t="s">
        <v>119</v>
      </c>
      <c r="G19" s="140">
        <v>1.4930911E7</v>
      </c>
      <c r="H19" s="141">
        <v>7.410234207206E12</v>
      </c>
      <c r="I19" s="133" t="s">
        <v>120</v>
      </c>
      <c r="J19" s="133" t="s">
        <v>102</v>
      </c>
      <c r="K19" s="133" t="s">
        <v>95</v>
      </c>
      <c r="L19" s="141">
        <v>0.0</v>
      </c>
      <c r="M19" s="141">
        <v>0.0</v>
      </c>
      <c r="N19" s="141">
        <v>0.0</v>
      </c>
      <c r="O19" s="141">
        <v>0.0</v>
      </c>
      <c r="P19" s="141">
        <v>0.0</v>
      </c>
      <c r="Q19" s="141">
        <v>0.0</v>
      </c>
      <c r="R19" s="141">
        <v>3.0</v>
      </c>
      <c r="S19" s="141"/>
      <c r="T19" s="142"/>
      <c r="U19" s="142"/>
      <c r="V19" s="142"/>
      <c r="W19" s="142"/>
      <c r="X19" s="142"/>
      <c r="Y19" s="141"/>
      <c r="Z19" s="141"/>
      <c r="AA19" s="141"/>
      <c r="AB19" s="141"/>
      <c r="AC19" s="141"/>
      <c r="AD19" s="141"/>
      <c r="AE19" s="141"/>
    </row>
    <row r="20" ht="17.25" customHeight="1">
      <c r="A20" s="133" t="s">
        <v>23</v>
      </c>
      <c r="B20" s="133" t="s">
        <v>89</v>
      </c>
      <c r="C20" s="133" t="s">
        <v>117</v>
      </c>
      <c r="D20" s="133"/>
      <c r="E20" s="133" t="s">
        <v>118</v>
      </c>
      <c r="F20" s="133" t="s">
        <v>121</v>
      </c>
      <c r="G20" s="140">
        <v>1.4936022E7</v>
      </c>
      <c r="H20" s="141">
        <v>7.400255007206E12</v>
      </c>
      <c r="I20" s="133" t="s">
        <v>122</v>
      </c>
      <c r="J20" s="133" t="s">
        <v>102</v>
      </c>
      <c r="K20" s="133" t="s">
        <v>95</v>
      </c>
      <c r="L20" s="141">
        <v>0.0</v>
      </c>
      <c r="M20" s="141">
        <v>0.0</v>
      </c>
      <c r="N20" s="141">
        <v>0.0</v>
      </c>
      <c r="O20" s="141">
        <v>0.0</v>
      </c>
      <c r="P20" s="141">
        <v>0.0</v>
      </c>
      <c r="Q20" s="141">
        <v>0.0</v>
      </c>
      <c r="R20" s="141">
        <v>6.0</v>
      </c>
      <c r="S20" s="141"/>
      <c r="T20" s="142"/>
      <c r="U20" s="142"/>
      <c r="V20" s="142"/>
      <c r="W20" s="142"/>
      <c r="X20" s="142"/>
      <c r="Y20" s="141"/>
      <c r="Z20" s="141"/>
      <c r="AA20" s="141"/>
      <c r="AB20" s="141"/>
      <c r="AC20" s="141"/>
      <c r="AD20" s="141"/>
      <c r="AE20" s="141"/>
    </row>
    <row r="21" ht="17.25" customHeight="1">
      <c r="A21" s="133" t="s">
        <v>23</v>
      </c>
      <c r="B21" s="133" t="s">
        <v>89</v>
      </c>
      <c r="C21" s="133" t="s">
        <v>117</v>
      </c>
      <c r="D21" s="133"/>
      <c r="E21" s="133" t="s">
        <v>118</v>
      </c>
      <c r="F21" s="133" t="s">
        <v>119</v>
      </c>
      <c r="G21" s="140">
        <v>1.4930911E7</v>
      </c>
      <c r="H21" s="141">
        <v>7.410234207206E12</v>
      </c>
      <c r="I21" s="133" t="s">
        <v>120</v>
      </c>
      <c r="J21" s="133" t="s">
        <v>102</v>
      </c>
      <c r="K21" s="133" t="s">
        <v>95</v>
      </c>
      <c r="L21" s="141">
        <v>0.0</v>
      </c>
      <c r="M21" s="141">
        <v>0.0</v>
      </c>
      <c r="N21" s="141">
        <v>0.0</v>
      </c>
      <c r="O21" s="141">
        <v>0.0</v>
      </c>
      <c r="P21" s="141">
        <v>0.0</v>
      </c>
      <c r="Q21" s="141">
        <v>0.0</v>
      </c>
      <c r="R21" s="141">
        <v>1.0</v>
      </c>
      <c r="S21" s="141"/>
      <c r="T21" s="142"/>
      <c r="U21" s="142"/>
      <c r="V21" s="142"/>
      <c r="W21" s="142"/>
      <c r="X21" s="142"/>
      <c r="Y21" s="141"/>
      <c r="Z21" s="141"/>
      <c r="AA21" s="141"/>
      <c r="AB21" s="141"/>
      <c r="AC21" s="141"/>
      <c r="AD21" s="141"/>
      <c r="AE21" s="141"/>
    </row>
    <row r="22" ht="17.25" customHeight="1">
      <c r="A22" s="133" t="s">
        <v>23</v>
      </c>
      <c r="B22" s="133" t="s">
        <v>89</v>
      </c>
      <c r="C22" s="133" t="s">
        <v>90</v>
      </c>
      <c r="E22" s="133" t="s">
        <v>91</v>
      </c>
      <c r="F22" s="133" t="s">
        <v>123</v>
      </c>
      <c r="G22" s="140">
        <v>1.1210355E7</v>
      </c>
      <c r="H22" s="141">
        <v>7.200205000017E12</v>
      </c>
      <c r="I22" s="133" t="s">
        <v>122</v>
      </c>
      <c r="J22" s="133" t="s">
        <v>94</v>
      </c>
      <c r="K22" s="133" t="s">
        <v>104</v>
      </c>
      <c r="L22" s="141">
        <v>0.0</v>
      </c>
      <c r="M22" s="141">
        <v>0.0</v>
      </c>
      <c r="N22" s="141">
        <v>1.0</v>
      </c>
      <c r="O22" s="141">
        <v>4021.8</v>
      </c>
      <c r="P22" s="141">
        <v>1.0</v>
      </c>
      <c r="Q22" s="141">
        <v>4021.8</v>
      </c>
      <c r="R22" s="141">
        <v>0.0</v>
      </c>
      <c r="S22" s="141"/>
      <c r="T22" s="142"/>
      <c r="U22" s="142"/>
      <c r="V22" s="142"/>
      <c r="W22" s="142"/>
      <c r="X22" s="142"/>
      <c r="Y22" s="141"/>
      <c r="Z22" s="141"/>
      <c r="AA22" s="141"/>
      <c r="AB22" s="141"/>
      <c r="AC22" s="141"/>
      <c r="AD22" s="141"/>
      <c r="AE22" s="141"/>
    </row>
    <row r="23" ht="17.25" customHeight="1">
      <c r="A23" s="133" t="s">
        <v>23</v>
      </c>
      <c r="B23" s="133" t="s">
        <v>89</v>
      </c>
      <c r="C23" s="133" t="s">
        <v>90</v>
      </c>
      <c r="E23" s="133" t="s">
        <v>91</v>
      </c>
      <c r="F23" s="133" t="s">
        <v>123</v>
      </c>
      <c r="G23" s="140">
        <v>1.1210355E7</v>
      </c>
      <c r="H23" s="141">
        <v>7.200205200011E12</v>
      </c>
      <c r="I23" s="133" t="s">
        <v>101</v>
      </c>
      <c r="J23" s="133" t="s">
        <v>94</v>
      </c>
      <c r="K23" s="133" t="s">
        <v>97</v>
      </c>
      <c r="L23" s="141">
        <v>0.0</v>
      </c>
      <c r="M23" s="141">
        <v>0.0</v>
      </c>
      <c r="N23" s="141">
        <v>1.0</v>
      </c>
      <c r="O23" s="141">
        <v>4021.8</v>
      </c>
      <c r="P23" s="141">
        <v>1.0</v>
      </c>
      <c r="Q23" s="141">
        <v>4021.8</v>
      </c>
      <c r="R23" s="141">
        <v>0.0</v>
      </c>
      <c r="S23" s="141"/>
      <c r="T23" s="142"/>
      <c r="U23" s="142"/>
      <c r="V23" s="142"/>
      <c r="W23" s="142"/>
      <c r="X23" s="142"/>
      <c r="Y23" s="141"/>
      <c r="Z23" s="141"/>
      <c r="AA23" s="141"/>
      <c r="AB23" s="141"/>
      <c r="AC23" s="141"/>
      <c r="AD23" s="141"/>
      <c r="AE23" s="141"/>
    </row>
    <row r="24" ht="17.25" customHeight="1">
      <c r="A24" s="133" t="s">
        <v>23</v>
      </c>
      <c r="B24" s="133" t="s">
        <v>89</v>
      </c>
      <c r="C24" s="133" t="s">
        <v>90</v>
      </c>
      <c r="E24" s="133" t="s">
        <v>91</v>
      </c>
      <c r="F24" s="133" t="s">
        <v>123</v>
      </c>
      <c r="G24" s="140">
        <v>1.1210355E7</v>
      </c>
      <c r="H24" s="141">
        <v>7.200205200011E12</v>
      </c>
      <c r="I24" s="133" t="s">
        <v>101</v>
      </c>
      <c r="J24" s="133" t="s">
        <v>94</v>
      </c>
      <c r="K24" s="133" t="s">
        <v>95</v>
      </c>
      <c r="L24" s="141">
        <v>0.0</v>
      </c>
      <c r="M24" s="141">
        <v>0.0</v>
      </c>
      <c r="N24" s="141">
        <v>3.0</v>
      </c>
      <c r="O24" s="141">
        <v>11276.8</v>
      </c>
      <c r="P24" s="141">
        <v>0.0</v>
      </c>
      <c r="Q24" s="141">
        <v>0.0</v>
      </c>
      <c r="R24" s="141">
        <v>0.0</v>
      </c>
      <c r="S24" s="141"/>
      <c r="T24" s="142"/>
      <c r="U24" s="142"/>
      <c r="V24" s="142"/>
      <c r="W24" s="142"/>
      <c r="X24" s="142"/>
      <c r="Y24" s="141"/>
      <c r="Z24" s="141"/>
      <c r="AA24" s="141"/>
      <c r="AB24" s="141"/>
      <c r="AC24" s="141"/>
      <c r="AD24" s="141"/>
      <c r="AE24" s="141"/>
    </row>
    <row r="25" ht="17.25" customHeight="1">
      <c r="A25" s="133" t="s">
        <v>23</v>
      </c>
      <c r="B25" s="133" t="s">
        <v>89</v>
      </c>
      <c r="C25" s="133" t="s">
        <v>90</v>
      </c>
      <c r="E25" s="133" t="s">
        <v>91</v>
      </c>
      <c r="F25" s="133" t="s">
        <v>123</v>
      </c>
      <c r="G25" s="140">
        <v>1.1210355E7</v>
      </c>
      <c r="H25" s="141">
        <v>7.200205000017E12</v>
      </c>
      <c r="I25" s="133" t="s">
        <v>122</v>
      </c>
      <c r="J25" s="133" t="s">
        <v>94</v>
      </c>
      <c r="K25" s="133" t="s">
        <v>97</v>
      </c>
      <c r="L25" s="141">
        <v>0.0</v>
      </c>
      <c r="M25" s="141">
        <v>0.0</v>
      </c>
      <c r="N25" s="141">
        <v>1.0</v>
      </c>
      <c r="O25" s="141">
        <v>4021.8</v>
      </c>
      <c r="P25" s="141">
        <v>0.0</v>
      </c>
      <c r="Q25" s="141">
        <v>0.0</v>
      </c>
      <c r="R25" s="141">
        <v>0.0</v>
      </c>
      <c r="S25" s="141"/>
      <c r="T25" s="142"/>
      <c r="U25" s="142"/>
      <c r="V25" s="142"/>
      <c r="W25" s="142"/>
      <c r="X25" s="142"/>
      <c r="Y25" s="141"/>
      <c r="Z25" s="141"/>
      <c r="AA25" s="141"/>
      <c r="AB25" s="141"/>
      <c r="AC25" s="141"/>
      <c r="AD25" s="141"/>
      <c r="AE25" s="141"/>
    </row>
    <row r="26" ht="17.25" customHeight="1">
      <c r="A26" s="133" t="s">
        <v>23</v>
      </c>
      <c r="B26" s="133" t="s">
        <v>124</v>
      </c>
      <c r="C26" s="133"/>
      <c r="D26" s="133"/>
      <c r="E26" s="133" t="s">
        <v>125</v>
      </c>
      <c r="F26" s="133" t="s">
        <v>126</v>
      </c>
      <c r="G26" s="140">
        <v>1.6073482E7</v>
      </c>
      <c r="H26" s="141">
        <v>7.403705210201E12</v>
      </c>
      <c r="I26" s="133" t="s">
        <v>127</v>
      </c>
      <c r="J26" s="133" t="s">
        <v>94</v>
      </c>
      <c r="K26" s="133" t="s">
        <v>97</v>
      </c>
      <c r="L26" s="141">
        <v>0.0</v>
      </c>
      <c r="M26" s="141">
        <v>0.0</v>
      </c>
      <c r="N26" s="141">
        <v>1.0</v>
      </c>
      <c r="O26" s="141">
        <v>1500.67</v>
      </c>
      <c r="P26" s="141">
        <v>0.0</v>
      </c>
      <c r="Q26" s="141">
        <v>0.0</v>
      </c>
      <c r="R26" s="141">
        <v>0.0</v>
      </c>
      <c r="S26" s="141"/>
      <c r="T26" s="142"/>
      <c r="U26" s="142"/>
      <c r="V26" s="142"/>
      <c r="W26" s="142"/>
      <c r="X26" s="142"/>
      <c r="Y26" s="141"/>
      <c r="Z26" s="141"/>
      <c r="AA26" s="141"/>
      <c r="AB26" s="141"/>
      <c r="AC26" s="141"/>
      <c r="AD26" s="141"/>
      <c r="AE26" s="141"/>
    </row>
    <row r="27" ht="17.25" customHeight="1">
      <c r="A27" s="133" t="s">
        <v>23</v>
      </c>
      <c r="B27" s="133" t="s">
        <v>89</v>
      </c>
      <c r="C27" s="133" t="s">
        <v>90</v>
      </c>
      <c r="E27" s="133" t="s">
        <v>91</v>
      </c>
      <c r="F27" s="133" t="s">
        <v>123</v>
      </c>
      <c r="G27" s="140">
        <v>1.1210355E7</v>
      </c>
      <c r="H27" s="141">
        <v>7.200205000017E12</v>
      </c>
      <c r="I27" s="133" t="s">
        <v>122</v>
      </c>
      <c r="J27" s="133" t="s">
        <v>94</v>
      </c>
      <c r="K27" s="133" t="s">
        <v>95</v>
      </c>
      <c r="L27" s="141">
        <v>0.0</v>
      </c>
      <c r="M27" s="141">
        <v>0.0</v>
      </c>
      <c r="N27" s="141" t="s">
        <v>128</v>
      </c>
      <c r="O27" s="141">
        <v>33436.1</v>
      </c>
      <c r="P27" s="141">
        <v>0.0</v>
      </c>
      <c r="Q27" s="141">
        <v>0.0</v>
      </c>
      <c r="R27" s="141">
        <v>0.0</v>
      </c>
      <c r="S27" s="141"/>
      <c r="T27" s="142"/>
      <c r="U27" s="142"/>
      <c r="V27" s="142"/>
      <c r="W27" s="142"/>
      <c r="X27" s="142"/>
      <c r="Y27" s="141"/>
      <c r="Z27" s="141"/>
      <c r="AA27" s="141"/>
      <c r="AB27" s="141"/>
      <c r="AC27" s="141"/>
      <c r="AD27" s="141"/>
      <c r="AE27" s="141"/>
    </row>
    <row r="28" ht="17.25" customHeight="1">
      <c r="A28" s="133" t="s">
        <v>23</v>
      </c>
      <c r="B28" s="133" t="s">
        <v>129</v>
      </c>
      <c r="C28" s="133" t="s">
        <v>90</v>
      </c>
      <c r="E28" s="133" t="s">
        <v>130</v>
      </c>
      <c r="F28" s="133" t="s">
        <v>131</v>
      </c>
      <c r="G28" s="140">
        <v>1.3176416E7</v>
      </c>
      <c r="H28" s="141">
        <v>7.003313006205E12</v>
      </c>
      <c r="I28" s="133" t="s">
        <v>132</v>
      </c>
      <c r="J28" s="133" t="s">
        <v>94</v>
      </c>
      <c r="K28" s="133" t="s">
        <v>95</v>
      </c>
      <c r="L28" s="141">
        <v>0.0</v>
      </c>
      <c r="M28" s="141">
        <v>0.0</v>
      </c>
      <c r="N28" s="141">
        <v>0.0</v>
      </c>
      <c r="O28" s="141">
        <v>0.0</v>
      </c>
      <c r="P28" s="141">
        <v>1.0</v>
      </c>
      <c r="Q28" s="141">
        <v>1599.36</v>
      </c>
      <c r="R28" s="141">
        <v>0.0</v>
      </c>
      <c r="S28" s="141"/>
      <c r="T28" s="142"/>
      <c r="U28" s="142"/>
      <c r="V28" s="142"/>
      <c r="W28" s="142"/>
      <c r="X28" s="142"/>
      <c r="Y28" s="141"/>
      <c r="Z28" s="141"/>
      <c r="AA28" s="141"/>
      <c r="AB28" s="141"/>
      <c r="AC28" s="141"/>
      <c r="AD28" s="141"/>
      <c r="AE28" s="141"/>
    </row>
    <row r="29" ht="17.25" customHeight="1">
      <c r="A29" s="133" t="s">
        <v>23</v>
      </c>
      <c r="B29" s="133" t="s">
        <v>124</v>
      </c>
      <c r="C29" s="133"/>
      <c r="D29" s="133"/>
      <c r="E29" s="133" t="s">
        <v>125</v>
      </c>
      <c r="F29" s="133" t="s">
        <v>126</v>
      </c>
      <c r="G29" s="140">
        <v>1.6073482E7</v>
      </c>
      <c r="H29" s="141">
        <v>7.403705210201E12</v>
      </c>
      <c r="I29" s="133" t="s">
        <v>127</v>
      </c>
      <c r="J29" s="133" t="s">
        <v>102</v>
      </c>
      <c r="K29" s="133" t="s">
        <v>95</v>
      </c>
      <c r="L29" s="141">
        <v>0.0</v>
      </c>
      <c r="M29" s="141">
        <v>0.0</v>
      </c>
      <c r="N29" s="141">
        <v>13.0</v>
      </c>
      <c r="O29" s="141">
        <v>17069.17</v>
      </c>
      <c r="P29" s="141">
        <v>7.0</v>
      </c>
      <c r="Q29" s="141">
        <v>9959.01</v>
      </c>
      <c r="R29" s="141">
        <v>230.0</v>
      </c>
      <c r="S29" s="141"/>
      <c r="T29" s="142"/>
      <c r="U29" s="142"/>
      <c r="V29" s="142"/>
      <c r="W29" s="142"/>
      <c r="X29" s="142"/>
      <c r="Y29" s="141"/>
      <c r="Z29" s="141"/>
      <c r="AA29" s="141"/>
      <c r="AB29" s="141"/>
      <c r="AC29" s="141"/>
      <c r="AD29" s="141"/>
      <c r="AE29" s="141"/>
    </row>
    <row r="30" ht="17.25" customHeight="1">
      <c r="A30" s="133" t="s">
        <v>23</v>
      </c>
      <c r="B30" s="133" t="s">
        <v>124</v>
      </c>
      <c r="C30" s="133"/>
      <c r="D30" s="133"/>
      <c r="E30" s="133" t="s">
        <v>125</v>
      </c>
      <c r="F30" s="133" t="s">
        <v>126</v>
      </c>
      <c r="G30" s="140">
        <v>1.6073482E7</v>
      </c>
      <c r="H30" s="141">
        <v>7.403705210201E12</v>
      </c>
      <c r="I30" s="133" t="s">
        <v>127</v>
      </c>
      <c r="J30" s="133" t="s">
        <v>102</v>
      </c>
      <c r="K30" s="133" t="s">
        <v>113</v>
      </c>
      <c r="L30" s="141">
        <v>0.0</v>
      </c>
      <c r="M30" s="141">
        <v>0.0</v>
      </c>
      <c r="N30" s="141">
        <v>0.0</v>
      </c>
      <c r="O30" s="141">
        <v>0.0</v>
      </c>
      <c r="P30" s="141">
        <v>0.0</v>
      </c>
      <c r="Q30" s="141">
        <v>0.0</v>
      </c>
      <c r="R30" s="141">
        <v>1.0</v>
      </c>
      <c r="S30" s="141"/>
      <c r="T30" s="142"/>
      <c r="U30" s="142"/>
      <c r="V30" s="142"/>
      <c r="W30" s="142"/>
      <c r="X30" s="142"/>
      <c r="Y30" s="141"/>
      <c r="Z30" s="141"/>
      <c r="AA30" s="141"/>
      <c r="AB30" s="141"/>
      <c r="AC30" s="141"/>
      <c r="AD30" s="141"/>
      <c r="AE30" s="141"/>
    </row>
    <row r="31" ht="17.25" customHeight="1">
      <c r="A31" s="133" t="s">
        <v>23</v>
      </c>
      <c r="B31" s="133" t="s">
        <v>129</v>
      </c>
      <c r="C31" s="133" t="s">
        <v>117</v>
      </c>
      <c r="D31" s="133"/>
      <c r="E31" s="133" t="s">
        <v>133</v>
      </c>
      <c r="F31" s="133" t="s">
        <v>134</v>
      </c>
      <c r="G31" s="140">
        <v>1.3178267E7</v>
      </c>
      <c r="H31" s="141">
        <v>7.003114406204E12</v>
      </c>
      <c r="I31" s="133" t="s">
        <v>135</v>
      </c>
      <c r="J31" s="133" t="s">
        <v>102</v>
      </c>
      <c r="K31" s="133" t="s">
        <v>95</v>
      </c>
      <c r="L31" s="141">
        <v>0.0</v>
      </c>
      <c r="M31" s="141">
        <v>0.0</v>
      </c>
      <c r="N31" s="141">
        <v>0.0</v>
      </c>
      <c r="O31" s="141">
        <v>0.0</v>
      </c>
      <c r="P31" s="141">
        <v>0.0</v>
      </c>
      <c r="Q31" s="141">
        <v>0.0</v>
      </c>
      <c r="R31" s="141">
        <v>4.0</v>
      </c>
      <c r="S31" s="141"/>
      <c r="T31" s="142"/>
      <c r="U31" s="142"/>
      <c r="V31" s="142"/>
      <c r="W31" s="142"/>
      <c r="X31" s="142"/>
      <c r="Y31" s="141"/>
      <c r="Z31" s="141"/>
      <c r="AA31" s="141"/>
      <c r="AB31" s="141"/>
      <c r="AC31" s="141"/>
      <c r="AD31" s="141"/>
      <c r="AE31" s="141"/>
    </row>
    <row r="32" ht="17.25" customHeight="1">
      <c r="A32" s="133" t="s">
        <v>23</v>
      </c>
      <c r="B32" s="133" t="s">
        <v>136</v>
      </c>
      <c r="C32" s="133" t="s">
        <v>90</v>
      </c>
      <c r="E32" s="133" t="s">
        <v>137</v>
      </c>
      <c r="F32" s="133" t="s">
        <v>45</v>
      </c>
      <c r="G32" s="140">
        <v>1.7615254E7</v>
      </c>
      <c r="H32" s="141">
        <v>7.403855410117E12</v>
      </c>
      <c r="I32" s="133" t="s">
        <v>138</v>
      </c>
      <c r="J32" s="133" t="s">
        <v>102</v>
      </c>
      <c r="K32" s="133" t="s">
        <v>95</v>
      </c>
      <c r="L32" s="141">
        <v>0.0</v>
      </c>
      <c r="M32" s="141">
        <v>0.0</v>
      </c>
      <c r="N32" s="141">
        <v>7.0</v>
      </c>
      <c r="O32" s="141">
        <v>7631.79</v>
      </c>
      <c r="P32" s="141">
        <v>4.0</v>
      </c>
      <c r="Q32" s="141">
        <v>4470.26</v>
      </c>
      <c r="R32" s="141">
        <v>116.0</v>
      </c>
      <c r="S32" s="141"/>
      <c r="T32" s="142"/>
      <c r="U32" s="142"/>
      <c r="V32" s="142"/>
      <c r="W32" s="142"/>
      <c r="X32" s="142"/>
      <c r="Y32" s="141"/>
      <c r="Z32" s="141"/>
      <c r="AA32" s="141"/>
      <c r="AB32" s="141"/>
      <c r="AC32" s="141"/>
      <c r="AD32" s="141"/>
      <c r="AE32" s="141"/>
    </row>
    <row r="33" ht="17.25" customHeight="1">
      <c r="A33" s="133" t="s">
        <v>23</v>
      </c>
      <c r="B33" s="133" t="s">
        <v>89</v>
      </c>
      <c r="C33" s="133" t="s">
        <v>90</v>
      </c>
      <c r="E33" s="133" t="s">
        <v>91</v>
      </c>
      <c r="F33" s="133" t="s">
        <v>139</v>
      </c>
      <c r="G33" s="140">
        <v>1.1210356E7</v>
      </c>
      <c r="H33" s="141">
        <v>7.300205400005E12</v>
      </c>
      <c r="I33" s="133" t="s">
        <v>140</v>
      </c>
      <c r="J33" s="133" t="s">
        <v>102</v>
      </c>
      <c r="K33" s="133" t="s">
        <v>95</v>
      </c>
      <c r="L33" s="141">
        <v>0.0</v>
      </c>
      <c r="M33" s="141">
        <v>0.0</v>
      </c>
      <c r="N33" s="141">
        <v>5.0</v>
      </c>
      <c r="O33" s="141">
        <v>16648.09</v>
      </c>
      <c r="P33" s="141">
        <v>3.0</v>
      </c>
      <c r="Q33" s="141">
        <v>10229.55</v>
      </c>
      <c r="R33" s="141">
        <v>3.0</v>
      </c>
      <c r="S33" s="141"/>
      <c r="T33" s="142"/>
      <c r="U33" s="142"/>
      <c r="V33" s="142"/>
      <c r="W33" s="142"/>
      <c r="X33" s="142"/>
      <c r="Y33" s="141"/>
      <c r="Z33" s="141"/>
      <c r="AA33" s="141"/>
      <c r="AB33" s="141"/>
      <c r="AC33" s="141"/>
      <c r="AD33" s="141"/>
      <c r="AE33" s="141"/>
    </row>
    <row r="34" ht="17.25" customHeight="1">
      <c r="A34" s="133" t="s">
        <v>23</v>
      </c>
      <c r="B34" s="133" t="s">
        <v>89</v>
      </c>
      <c r="C34" s="133" t="s">
        <v>90</v>
      </c>
      <c r="E34" s="133" t="s">
        <v>91</v>
      </c>
      <c r="F34" s="133" t="s">
        <v>139</v>
      </c>
      <c r="G34" s="140">
        <v>1.1210356E7</v>
      </c>
      <c r="H34" s="141">
        <v>7.300204800004E12</v>
      </c>
      <c r="I34" s="133" t="s">
        <v>93</v>
      </c>
      <c r="J34" s="133" t="s">
        <v>94</v>
      </c>
      <c r="K34" s="133" t="s">
        <v>95</v>
      </c>
      <c r="L34" s="141">
        <v>0.0</v>
      </c>
      <c r="M34" s="141">
        <v>0.0</v>
      </c>
      <c r="N34" s="141">
        <v>5.0</v>
      </c>
      <c r="O34" s="141">
        <v>17774.77</v>
      </c>
      <c r="P34" s="141">
        <v>6.0</v>
      </c>
      <c r="Q34" s="141">
        <v>20894.43</v>
      </c>
      <c r="R34" s="141">
        <v>0.0</v>
      </c>
      <c r="S34" s="141"/>
      <c r="T34" s="142"/>
      <c r="U34" s="142"/>
      <c r="V34" s="142"/>
      <c r="W34" s="142"/>
      <c r="X34" s="142"/>
      <c r="Y34" s="141"/>
      <c r="Z34" s="141"/>
      <c r="AA34" s="141"/>
      <c r="AB34" s="141"/>
      <c r="AC34" s="141"/>
      <c r="AD34" s="141"/>
      <c r="AE34" s="141"/>
    </row>
    <row r="35" ht="17.25" customHeight="1">
      <c r="A35" s="133" t="s">
        <v>23</v>
      </c>
      <c r="B35" s="133" t="s">
        <v>136</v>
      </c>
      <c r="C35" s="133" t="s">
        <v>90</v>
      </c>
      <c r="E35" s="133" t="s">
        <v>137</v>
      </c>
      <c r="F35" s="133" t="s">
        <v>45</v>
      </c>
      <c r="G35" s="140">
        <v>1.7615254E7</v>
      </c>
      <c r="H35" s="141">
        <v>7.403855410117E12</v>
      </c>
      <c r="I35" s="133" t="s">
        <v>138</v>
      </c>
      <c r="J35" s="133" t="s">
        <v>102</v>
      </c>
      <c r="K35" s="133" t="s">
        <v>97</v>
      </c>
      <c r="L35" s="141">
        <v>0.0</v>
      </c>
      <c r="M35" s="141">
        <v>0.0</v>
      </c>
      <c r="N35" s="141">
        <v>0.0</v>
      </c>
      <c r="O35" s="141">
        <v>0.0</v>
      </c>
      <c r="P35" s="141">
        <v>0.0</v>
      </c>
      <c r="Q35" s="141">
        <v>0.0</v>
      </c>
      <c r="R35" s="141">
        <v>1.0</v>
      </c>
      <c r="S35" s="141"/>
      <c r="T35" s="142"/>
      <c r="U35" s="142"/>
      <c r="V35" s="142"/>
      <c r="W35" s="142"/>
      <c r="X35" s="142"/>
      <c r="Y35" s="141"/>
      <c r="Z35" s="141"/>
      <c r="AA35" s="141"/>
      <c r="AB35" s="141"/>
      <c r="AC35" s="141"/>
      <c r="AD35" s="141"/>
      <c r="AE35" s="141"/>
    </row>
    <row r="36" ht="17.25" customHeight="1">
      <c r="A36" s="133" t="s">
        <v>23</v>
      </c>
      <c r="B36" s="133" t="s">
        <v>136</v>
      </c>
      <c r="C36" s="133" t="s">
        <v>90</v>
      </c>
      <c r="E36" s="133" t="s">
        <v>137</v>
      </c>
      <c r="F36" s="133" t="s">
        <v>63</v>
      </c>
      <c r="G36" s="140">
        <v>1.7615253E7</v>
      </c>
      <c r="H36" s="141">
        <v>7.403915230112E12</v>
      </c>
      <c r="I36" s="133" t="s">
        <v>127</v>
      </c>
      <c r="J36" s="133" t="s">
        <v>102</v>
      </c>
      <c r="K36" s="133" t="s">
        <v>95</v>
      </c>
      <c r="L36" s="141">
        <v>0.0</v>
      </c>
      <c r="M36" s="141">
        <v>0.0</v>
      </c>
      <c r="N36" s="141">
        <v>3.0</v>
      </c>
      <c r="O36" s="141">
        <v>4470.28</v>
      </c>
      <c r="P36" s="141">
        <v>5.0</v>
      </c>
      <c r="Q36" s="141">
        <v>7468.6</v>
      </c>
      <c r="R36" s="141">
        <v>14.0</v>
      </c>
      <c r="S36" s="141"/>
      <c r="T36" s="142"/>
      <c r="U36" s="142"/>
      <c r="V36" s="142"/>
      <c r="W36" s="142"/>
      <c r="X36" s="142"/>
      <c r="Y36" s="141"/>
      <c r="Z36" s="141"/>
      <c r="AA36" s="141"/>
      <c r="AB36" s="141"/>
      <c r="AC36" s="141"/>
      <c r="AD36" s="141"/>
      <c r="AE36" s="141"/>
    </row>
    <row r="37" ht="17.25" customHeight="1">
      <c r="A37" s="133" t="s">
        <v>23</v>
      </c>
      <c r="B37" s="133" t="s">
        <v>89</v>
      </c>
      <c r="C37" s="133" t="s">
        <v>117</v>
      </c>
      <c r="D37" s="133"/>
      <c r="E37" s="133" t="s">
        <v>118</v>
      </c>
      <c r="F37" s="133" t="s">
        <v>141</v>
      </c>
      <c r="G37" s="140">
        <v>1.4936019E7</v>
      </c>
      <c r="H37" s="141">
        <v>7.400225607207E12</v>
      </c>
      <c r="I37" s="133" t="s">
        <v>112</v>
      </c>
      <c r="J37" s="133" t="s">
        <v>94</v>
      </c>
      <c r="K37" s="133" t="s">
        <v>95</v>
      </c>
      <c r="L37" s="141">
        <v>0.0</v>
      </c>
      <c r="M37" s="141">
        <v>0.0</v>
      </c>
      <c r="N37" s="141">
        <v>1.0</v>
      </c>
      <c r="O37" s="141">
        <v>2484.48</v>
      </c>
      <c r="P37" s="141">
        <v>0.0</v>
      </c>
      <c r="Q37" s="141">
        <v>0.0</v>
      </c>
      <c r="R37" s="141">
        <v>0.0</v>
      </c>
      <c r="S37" s="141"/>
      <c r="T37" s="142"/>
      <c r="U37" s="142"/>
      <c r="V37" s="142"/>
      <c r="W37" s="142"/>
      <c r="X37" s="142"/>
      <c r="Y37" s="141"/>
      <c r="Z37" s="141"/>
      <c r="AA37" s="141"/>
      <c r="AB37" s="141"/>
      <c r="AC37" s="141"/>
      <c r="AD37" s="141"/>
      <c r="AE37" s="141"/>
    </row>
    <row r="38" ht="17.25" customHeight="1">
      <c r="A38" s="133" t="s">
        <v>23</v>
      </c>
      <c r="B38" s="133" t="s">
        <v>89</v>
      </c>
      <c r="C38" s="133" t="s">
        <v>90</v>
      </c>
      <c r="E38" s="133" t="s">
        <v>91</v>
      </c>
      <c r="F38" s="133" t="s">
        <v>103</v>
      </c>
      <c r="G38" s="140">
        <v>1.4930914E7</v>
      </c>
      <c r="H38" s="141">
        <v>7.410264209201E12</v>
      </c>
      <c r="I38" s="133" t="s">
        <v>120</v>
      </c>
      <c r="J38" s="133" t="s">
        <v>102</v>
      </c>
      <c r="K38" s="133" t="s">
        <v>95</v>
      </c>
      <c r="L38" s="141">
        <v>0.0</v>
      </c>
      <c r="M38" s="141">
        <v>0.0</v>
      </c>
      <c r="N38" s="141">
        <v>3.0</v>
      </c>
      <c r="O38" s="141">
        <v>5717.7</v>
      </c>
      <c r="P38" s="141">
        <v>0.0</v>
      </c>
      <c r="Q38" s="141">
        <v>0.0</v>
      </c>
      <c r="R38" s="141">
        <v>5.0</v>
      </c>
      <c r="S38" s="141"/>
      <c r="T38" s="142"/>
      <c r="U38" s="142"/>
      <c r="V38" s="142"/>
      <c r="W38" s="142"/>
      <c r="X38" s="142"/>
      <c r="Y38" s="141"/>
      <c r="Z38" s="141"/>
      <c r="AA38" s="141"/>
      <c r="AB38" s="141"/>
      <c r="AC38" s="141"/>
      <c r="AD38" s="141"/>
      <c r="AE38" s="141"/>
    </row>
    <row r="39" ht="17.25" customHeight="1">
      <c r="A39" s="133" t="s">
        <v>23</v>
      </c>
      <c r="B39" s="133" t="s">
        <v>89</v>
      </c>
      <c r="C39" s="133" t="s">
        <v>90</v>
      </c>
      <c r="E39" s="133" t="s">
        <v>91</v>
      </c>
      <c r="F39" s="133" t="s">
        <v>142</v>
      </c>
      <c r="G39" s="140">
        <v>1.4936023E7</v>
      </c>
      <c r="H39" s="141">
        <v>7.400265409205E12</v>
      </c>
      <c r="I39" s="133" t="s">
        <v>140</v>
      </c>
      <c r="J39" s="133" t="s">
        <v>102</v>
      </c>
      <c r="K39" s="133" t="s">
        <v>95</v>
      </c>
      <c r="L39" s="141">
        <v>0.0</v>
      </c>
      <c r="M39" s="141">
        <v>0.0</v>
      </c>
      <c r="N39" s="141">
        <v>4.0</v>
      </c>
      <c r="O39" s="141">
        <v>7261.16</v>
      </c>
      <c r="P39" s="141">
        <v>1.0</v>
      </c>
      <c r="Q39" s="141">
        <v>1815.29</v>
      </c>
      <c r="R39" s="141">
        <v>1.0</v>
      </c>
      <c r="S39" s="141"/>
      <c r="T39" s="142"/>
      <c r="U39" s="142"/>
      <c r="V39" s="142"/>
      <c r="W39" s="142"/>
      <c r="X39" s="142"/>
      <c r="Y39" s="141"/>
      <c r="Z39" s="141"/>
      <c r="AA39" s="141"/>
      <c r="AB39" s="141"/>
      <c r="AC39" s="141"/>
      <c r="AD39" s="141"/>
      <c r="AE39" s="141"/>
    </row>
    <row r="40" ht="17.25" customHeight="1">
      <c r="A40" s="133" t="s">
        <v>23</v>
      </c>
      <c r="B40" s="133" t="s">
        <v>89</v>
      </c>
      <c r="C40" s="133" t="s">
        <v>90</v>
      </c>
      <c r="E40" s="133" t="s">
        <v>91</v>
      </c>
      <c r="F40" s="133" t="s">
        <v>139</v>
      </c>
      <c r="G40" s="140">
        <v>1.1210356E7</v>
      </c>
      <c r="H40" s="141">
        <v>7.300205400005E12</v>
      </c>
      <c r="I40" s="133" t="s">
        <v>140</v>
      </c>
      <c r="J40" s="133" t="s">
        <v>102</v>
      </c>
      <c r="K40" s="133" t="s">
        <v>104</v>
      </c>
      <c r="L40" s="141">
        <v>0.0</v>
      </c>
      <c r="M40" s="141">
        <v>0.0</v>
      </c>
      <c r="N40" s="141">
        <v>0.0</v>
      </c>
      <c r="O40" s="141">
        <v>0.0</v>
      </c>
      <c r="P40" s="141">
        <v>0.0</v>
      </c>
      <c r="Q40" s="141">
        <v>0.0</v>
      </c>
      <c r="R40" s="141">
        <v>3.0</v>
      </c>
      <c r="S40" s="141"/>
      <c r="T40" s="142"/>
      <c r="U40" s="142"/>
      <c r="V40" s="142"/>
      <c r="W40" s="142"/>
      <c r="X40" s="142"/>
      <c r="Y40" s="141"/>
      <c r="Z40" s="141"/>
      <c r="AA40" s="141"/>
      <c r="AB40" s="141"/>
      <c r="AC40" s="141"/>
      <c r="AD40" s="141"/>
      <c r="AE40" s="141"/>
    </row>
    <row r="41" ht="17.25" customHeight="1">
      <c r="A41" s="133" t="s">
        <v>23</v>
      </c>
      <c r="B41" s="133" t="s">
        <v>89</v>
      </c>
      <c r="C41" s="133" t="s">
        <v>90</v>
      </c>
      <c r="E41" s="133" t="s">
        <v>91</v>
      </c>
      <c r="F41" s="133" t="s">
        <v>142</v>
      </c>
      <c r="G41" s="140">
        <v>1.4936023E7</v>
      </c>
      <c r="H41" s="141">
        <v>7.400265409205E12</v>
      </c>
      <c r="I41" s="133" t="s">
        <v>140</v>
      </c>
      <c r="J41" s="133" t="s">
        <v>102</v>
      </c>
      <c r="K41" s="133" t="s">
        <v>143</v>
      </c>
      <c r="L41" s="141">
        <v>0.0</v>
      </c>
      <c r="M41" s="141">
        <v>0.0</v>
      </c>
      <c r="N41" s="141">
        <v>0.0</v>
      </c>
      <c r="O41" s="141">
        <v>0.0</v>
      </c>
      <c r="P41" s="141">
        <v>0.0</v>
      </c>
      <c r="Q41" s="141">
        <v>0.0</v>
      </c>
      <c r="R41" s="141">
        <v>1.0</v>
      </c>
      <c r="S41" s="141"/>
      <c r="T41" s="142"/>
      <c r="U41" s="142"/>
      <c r="V41" s="142"/>
      <c r="W41" s="142"/>
      <c r="X41" s="142"/>
      <c r="Y41" s="141"/>
      <c r="Z41" s="141"/>
      <c r="AA41" s="141"/>
      <c r="AB41" s="141"/>
      <c r="AC41" s="141"/>
      <c r="AD41" s="141"/>
      <c r="AE41" s="141"/>
    </row>
    <row r="42" ht="17.25" customHeight="1">
      <c r="A42" s="133" t="s">
        <v>23</v>
      </c>
      <c r="B42" s="133" t="s">
        <v>106</v>
      </c>
      <c r="C42" s="133" t="s">
        <v>90</v>
      </c>
      <c r="E42" s="133" t="s">
        <v>107</v>
      </c>
      <c r="F42" s="133" t="s">
        <v>144</v>
      </c>
      <c r="G42" s="140">
        <v>1.7615826E7</v>
      </c>
      <c r="H42" s="141">
        <v>7.403894207129E12</v>
      </c>
      <c r="I42" s="133" t="s">
        <v>96</v>
      </c>
      <c r="J42" s="133" t="s">
        <v>102</v>
      </c>
      <c r="K42" s="133" t="s">
        <v>95</v>
      </c>
      <c r="L42" s="141">
        <v>0.0</v>
      </c>
      <c r="M42" s="141">
        <v>0.0</v>
      </c>
      <c r="N42" s="141">
        <v>0.0</v>
      </c>
      <c r="O42" s="141">
        <v>0.0</v>
      </c>
      <c r="P42" s="141">
        <v>0.0</v>
      </c>
      <c r="Q42" s="141">
        <v>0.0</v>
      </c>
      <c r="R42" s="141">
        <v>2.0</v>
      </c>
      <c r="S42" s="141"/>
      <c r="T42" s="142"/>
      <c r="U42" s="142"/>
      <c r="V42" s="142"/>
      <c r="W42" s="142"/>
      <c r="X42" s="142"/>
      <c r="Y42" s="141"/>
      <c r="Z42" s="141"/>
      <c r="AA42" s="141"/>
      <c r="AB42" s="141"/>
      <c r="AC42" s="141"/>
      <c r="AD42" s="141"/>
      <c r="AE42" s="141"/>
    </row>
    <row r="43" ht="17.25" customHeight="1">
      <c r="A43" s="133" t="s">
        <v>23</v>
      </c>
      <c r="B43" s="133" t="s">
        <v>106</v>
      </c>
      <c r="C43" s="133" t="s">
        <v>90</v>
      </c>
      <c r="E43" s="133" t="s">
        <v>107</v>
      </c>
      <c r="F43" s="133" t="s">
        <v>144</v>
      </c>
      <c r="G43" s="140">
        <v>1.7615826E7</v>
      </c>
      <c r="H43" s="141">
        <v>7.403894207129E12</v>
      </c>
      <c r="I43" s="133" t="s">
        <v>96</v>
      </c>
      <c r="J43" s="133" t="s">
        <v>102</v>
      </c>
      <c r="K43" s="133" t="s">
        <v>95</v>
      </c>
      <c r="L43" s="141">
        <v>0.0</v>
      </c>
      <c r="M43" s="141">
        <v>0.0</v>
      </c>
      <c r="N43" s="141">
        <v>0.0</v>
      </c>
      <c r="O43" s="141">
        <v>0.0</v>
      </c>
      <c r="P43" s="141">
        <v>0.0</v>
      </c>
      <c r="Q43" s="141">
        <v>0.0</v>
      </c>
      <c r="R43" s="141">
        <v>21.0</v>
      </c>
      <c r="S43" s="141"/>
      <c r="T43" s="142"/>
      <c r="U43" s="142"/>
      <c r="V43" s="142"/>
      <c r="W43" s="142"/>
      <c r="X43" s="142"/>
      <c r="Y43" s="141"/>
      <c r="Z43" s="141"/>
      <c r="AA43" s="141"/>
      <c r="AB43" s="141"/>
      <c r="AC43" s="141"/>
      <c r="AD43" s="141"/>
      <c r="AE43" s="141"/>
    </row>
    <row r="44" ht="17.25" customHeight="1">
      <c r="A44" s="133" t="s">
        <v>23</v>
      </c>
      <c r="B44" s="133" t="s">
        <v>89</v>
      </c>
      <c r="C44" s="133" t="s">
        <v>90</v>
      </c>
      <c r="E44" s="133" t="s">
        <v>91</v>
      </c>
      <c r="F44" s="133" t="s">
        <v>103</v>
      </c>
      <c r="G44" s="140">
        <v>1.4930914E7</v>
      </c>
      <c r="H44" s="141">
        <v>7.410264209201E12</v>
      </c>
      <c r="I44" s="133" t="s">
        <v>120</v>
      </c>
      <c r="J44" s="133" t="s">
        <v>102</v>
      </c>
      <c r="K44" s="133" t="s">
        <v>95</v>
      </c>
      <c r="L44" s="141">
        <v>0.0</v>
      </c>
      <c r="M44" s="141">
        <v>0.0</v>
      </c>
      <c r="N44" s="141">
        <v>0.0</v>
      </c>
      <c r="O44" s="141">
        <v>0.0</v>
      </c>
      <c r="P44" s="141">
        <v>0.0</v>
      </c>
      <c r="Q44" s="141">
        <v>0.0</v>
      </c>
      <c r="R44" s="141">
        <v>1.0</v>
      </c>
      <c r="S44" s="141"/>
      <c r="T44" s="142"/>
      <c r="U44" s="142"/>
      <c r="V44" s="142"/>
      <c r="W44" s="142"/>
      <c r="X44" s="142"/>
      <c r="Y44" s="141"/>
      <c r="Z44" s="141"/>
      <c r="AA44" s="141"/>
      <c r="AB44" s="141"/>
      <c r="AC44" s="141"/>
      <c r="AD44" s="141"/>
      <c r="AE44" s="141"/>
    </row>
    <row r="45" ht="17.25" customHeight="1">
      <c r="A45" s="133" t="s">
        <v>23</v>
      </c>
      <c r="B45" s="133" t="s">
        <v>89</v>
      </c>
      <c r="C45" s="133" t="s">
        <v>90</v>
      </c>
      <c r="E45" s="133" t="s">
        <v>91</v>
      </c>
      <c r="F45" s="133" t="s">
        <v>142</v>
      </c>
      <c r="G45" s="140">
        <v>1.4936023E7</v>
      </c>
      <c r="H45" s="141">
        <v>7.400265409205E12</v>
      </c>
      <c r="I45" s="133" t="s">
        <v>140</v>
      </c>
      <c r="J45" s="133" t="s">
        <v>102</v>
      </c>
      <c r="K45" s="133" t="s">
        <v>95</v>
      </c>
      <c r="L45" s="141">
        <v>0.0</v>
      </c>
      <c r="M45" s="141">
        <v>0.0</v>
      </c>
      <c r="N45" s="141">
        <v>0.0</v>
      </c>
      <c r="O45" s="141">
        <v>0.0</v>
      </c>
      <c r="P45" s="141">
        <v>0.0</v>
      </c>
      <c r="Q45" s="141">
        <v>0.0</v>
      </c>
      <c r="R45" s="141">
        <v>1.0</v>
      </c>
      <c r="S45" s="141"/>
      <c r="T45" s="142"/>
      <c r="U45" s="142"/>
      <c r="V45" s="142"/>
      <c r="W45" s="142"/>
      <c r="X45" s="142"/>
      <c r="Y45" s="141"/>
      <c r="Z45" s="141"/>
      <c r="AA45" s="141"/>
      <c r="AB45" s="141"/>
      <c r="AC45" s="141"/>
      <c r="AD45" s="141"/>
      <c r="AE45" s="141"/>
    </row>
    <row r="46" ht="17.25" customHeight="1">
      <c r="A46" s="133" t="s">
        <v>23</v>
      </c>
      <c r="B46" s="133" t="s">
        <v>106</v>
      </c>
      <c r="C46" s="133" t="s">
        <v>90</v>
      </c>
      <c r="E46" s="133" t="s">
        <v>107</v>
      </c>
      <c r="F46" s="133" t="s">
        <v>144</v>
      </c>
      <c r="G46" s="140">
        <v>1.7615826E7</v>
      </c>
      <c r="H46" s="141">
        <v>7.403894207129E12</v>
      </c>
      <c r="I46" s="133" t="s">
        <v>96</v>
      </c>
      <c r="J46" s="133" t="s">
        <v>102</v>
      </c>
      <c r="K46" s="133" t="s">
        <v>143</v>
      </c>
      <c r="L46" s="141">
        <v>0.0</v>
      </c>
      <c r="M46" s="141">
        <v>0.0</v>
      </c>
      <c r="N46" s="141">
        <v>0.0</v>
      </c>
      <c r="O46" s="141">
        <v>0.0</v>
      </c>
      <c r="P46" s="141">
        <v>0.0</v>
      </c>
      <c r="Q46" s="141">
        <v>0.0</v>
      </c>
      <c r="R46" s="141">
        <v>1.0</v>
      </c>
      <c r="S46" s="141"/>
      <c r="T46" s="142"/>
      <c r="U46" s="142"/>
      <c r="V46" s="142"/>
      <c r="W46" s="142"/>
      <c r="X46" s="142"/>
      <c r="Y46" s="141"/>
      <c r="Z46" s="141"/>
      <c r="AA46" s="141"/>
      <c r="AB46" s="141"/>
      <c r="AC46" s="141"/>
      <c r="AD46" s="141"/>
      <c r="AE46" s="141"/>
    </row>
    <row r="47" ht="17.25" customHeight="1">
      <c r="A47" s="133" t="s">
        <v>23</v>
      </c>
      <c r="B47" s="133" t="s">
        <v>89</v>
      </c>
      <c r="C47" s="133" t="s">
        <v>90</v>
      </c>
      <c r="E47" s="133" t="s">
        <v>91</v>
      </c>
      <c r="F47" s="133" t="s">
        <v>142</v>
      </c>
      <c r="G47" s="140">
        <v>1.4936023E7</v>
      </c>
      <c r="H47" s="141">
        <v>7.400265409205E12</v>
      </c>
      <c r="I47" s="133" t="s">
        <v>140</v>
      </c>
      <c r="J47" s="133" t="s">
        <v>102</v>
      </c>
      <c r="K47" s="133" t="s">
        <v>104</v>
      </c>
      <c r="L47" s="141">
        <v>0.0</v>
      </c>
      <c r="M47" s="141">
        <v>0.0</v>
      </c>
      <c r="N47" s="141">
        <v>0.0</v>
      </c>
      <c r="O47" s="141">
        <v>0.0</v>
      </c>
      <c r="P47" s="141">
        <v>0.0</v>
      </c>
      <c r="Q47" s="141">
        <v>0.0</v>
      </c>
      <c r="R47" s="141">
        <v>1.0</v>
      </c>
      <c r="S47" s="141"/>
      <c r="T47" s="142"/>
      <c r="U47" s="142"/>
      <c r="V47" s="142"/>
      <c r="W47" s="142"/>
      <c r="X47" s="142"/>
      <c r="Y47" s="141"/>
      <c r="Z47" s="141"/>
      <c r="AA47" s="141"/>
      <c r="AB47" s="141"/>
      <c r="AC47" s="141"/>
      <c r="AD47" s="141"/>
      <c r="AE47" s="141"/>
    </row>
    <row r="48" ht="17.25" customHeight="1">
      <c r="A48" s="133" t="s">
        <v>23</v>
      </c>
      <c r="B48" s="133" t="s">
        <v>89</v>
      </c>
      <c r="C48" s="133" t="s">
        <v>117</v>
      </c>
      <c r="D48" s="133"/>
      <c r="E48" s="133" t="s">
        <v>118</v>
      </c>
      <c r="F48" s="133" t="s">
        <v>141</v>
      </c>
      <c r="G48" s="140">
        <v>1.4936019E7</v>
      </c>
      <c r="H48" s="141">
        <v>7.400224607208E12</v>
      </c>
      <c r="I48" s="133" t="s">
        <v>96</v>
      </c>
      <c r="J48" s="133" t="s">
        <v>145</v>
      </c>
      <c r="K48" s="133" t="s">
        <v>95</v>
      </c>
      <c r="L48" s="141">
        <v>0.0</v>
      </c>
      <c r="M48" s="141">
        <v>0.0</v>
      </c>
      <c r="N48" s="141">
        <v>0.0</v>
      </c>
      <c r="O48" s="141">
        <v>0.0</v>
      </c>
      <c r="P48" s="141">
        <v>0.0</v>
      </c>
      <c r="Q48" s="141">
        <v>0.0</v>
      </c>
      <c r="R48" s="141">
        <v>2.0</v>
      </c>
      <c r="S48" s="141"/>
      <c r="T48" s="142"/>
      <c r="U48" s="142"/>
      <c r="V48" s="142"/>
      <c r="W48" s="142"/>
      <c r="X48" s="142"/>
      <c r="Y48" s="141"/>
      <c r="Z48" s="141"/>
      <c r="AA48" s="141"/>
      <c r="AB48" s="141"/>
      <c r="AC48" s="141"/>
      <c r="AD48" s="141"/>
      <c r="AE48" s="141"/>
    </row>
    <row r="49" ht="17.25" customHeight="1">
      <c r="A49" s="133" t="s">
        <v>23</v>
      </c>
      <c r="B49" s="133" t="s">
        <v>106</v>
      </c>
      <c r="C49" s="133" t="s">
        <v>90</v>
      </c>
      <c r="E49" s="133" t="s">
        <v>107</v>
      </c>
      <c r="F49" s="133" t="s">
        <v>144</v>
      </c>
      <c r="G49" s="140">
        <v>1.7615826E7</v>
      </c>
      <c r="H49" s="141">
        <v>7.403894207129E12</v>
      </c>
      <c r="I49" s="133" t="s">
        <v>96</v>
      </c>
      <c r="J49" s="133" t="s">
        <v>102</v>
      </c>
      <c r="K49" s="133" t="s">
        <v>104</v>
      </c>
      <c r="L49" s="141">
        <v>0.0</v>
      </c>
      <c r="M49" s="141">
        <v>0.0</v>
      </c>
      <c r="N49" s="141">
        <v>0.0</v>
      </c>
      <c r="O49" s="141">
        <v>0.0</v>
      </c>
      <c r="P49" s="141">
        <v>0.0</v>
      </c>
      <c r="Q49" s="141">
        <v>0.0</v>
      </c>
      <c r="R49" s="141">
        <v>1.0</v>
      </c>
      <c r="S49" s="141"/>
      <c r="T49" s="142"/>
      <c r="U49" s="142"/>
      <c r="V49" s="142"/>
      <c r="W49" s="142"/>
      <c r="X49" s="142"/>
      <c r="Y49" s="141"/>
      <c r="Z49" s="141"/>
      <c r="AA49" s="141"/>
      <c r="AB49" s="141"/>
      <c r="AC49" s="141"/>
      <c r="AD49" s="141"/>
      <c r="AE49" s="141"/>
    </row>
    <row r="50" ht="17.25" customHeight="1">
      <c r="A50" s="133" t="s">
        <v>23</v>
      </c>
      <c r="B50" s="133" t="s">
        <v>136</v>
      </c>
      <c r="C50" s="133" t="s">
        <v>90</v>
      </c>
      <c r="E50" s="133" t="s">
        <v>136</v>
      </c>
      <c r="F50" s="133" t="s">
        <v>54</v>
      </c>
      <c r="G50" s="140">
        <v>1.8923931E7</v>
      </c>
      <c r="H50" s="141">
        <v>7.403975229125E12</v>
      </c>
      <c r="I50" s="133" t="s">
        <v>127</v>
      </c>
      <c r="J50" s="133" t="s">
        <v>102</v>
      </c>
      <c r="K50" s="133" t="s">
        <v>95</v>
      </c>
      <c r="L50" s="141">
        <v>0.0</v>
      </c>
      <c r="M50" s="141">
        <v>0.0</v>
      </c>
      <c r="N50" s="141">
        <v>1.0</v>
      </c>
      <c r="O50" s="141">
        <v>1695.62</v>
      </c>
      <c r="P50" s="141">
        <v>1.0</v>
      </c>
      <c r="Q50" s="141">
        <v>1695.62</v>
      </c>
      <c r="R50" s="141">
        <v>2.0</v>
      </c>
      <c r="S50" s="141"/>
      <c r="T50" s="142"/>
      <c r="U50" s="142"/>
      <c r="V50" s="142"/>
      <c r="W50" s="142"/>
      <c r="X50" s="142"/>
      <c r="Y50" s="141"/>
      <c r="Z50" s="141"/>
      <c r="AA50" s="141"/>
      <c r="AB50" s="141"/>
      <c r="AC50" s="141"/>
      <c r="AD50" s="141"/>
      <c r="AE50" s="141"/>
    </row>
    <row r="51" ht="17.25" customHeight="1">
      <c r="A51" s="133" t="s">
        <v>23</v>
      </c>
      <c r="B51" s="133" t="s">
        <v>89</v>
      </c>
      <c r="C51" s="133" t="s">
        <v>90</v>
      </c>
      <c r="E51" s="133" t="s">
        <v>91</v>
      </c>
      <c r="F51" s="133" t="s">
        <v>142</v>
      </c>
      <c r="G51" s="140">
        <v>1.4936023E7</v>
      </c>
      <c r="H51" s="141">
        <v>7.4002646092E12</v>
      </c>
      <c r="I51" s="133" t="s">
        <v>96</v>
      </c>
      <c r="J51" s="133" t="s">
        <v>102</v>
      </c>
      <c r="K51" s="133" t="s">
        <v>95</v>
      </c>
      <c r="L51" s="141">
        <v>0.0</v>
      </c>
      <c r="M51" s="141">
        <v>0.0</v>
      </c>
      <c r="N51" s="141">
        <v>3.0</v>
      </c>
      <c r="O51" s="141">
        <v>5428.56</v>
      </c>
      <c r="P51" s="141">
        <v>0.0</v>
      </c>
      <c r="Q51" s="141">
        <v>0.0</v>
      </c>
      <c r="R51" s="141">
        <v>15.0</v>
      </c>
      <c r="S51" s="141"/>
      <c r="T51" s="142"/>
      <c r="U51" s="142"/>
      <c r="V51" s="142"/>
      <c r="W51" s="142"/>
      <c r="X51" s="142"/>
      <c r="Y51" s="141"/>
      <c r="Z51" s="141"/>
      <c r="AA51" s="141"/>
      <c r="AB51" s="141"/>
      <c r="AC51" s="141"/>
      <c r="AD51" s="141"/>
      <c r="AE51" s="141"/>
    </row>
    <row r="52" ht="17.25" customHeight="1">
      <c r="A52" s="133" t="s">
        <v>23</v>
      </c>
      <c r="B52" s="133" t="s">
        <v>136</v>
      </c>
      <c r="C52" s="133" t="s">
        <v>90</v>
      </c>
      <c r="E52" s="133" t="s">
        <v>136</v>
      </c>
      <c r="F52" s="133" t="s">
        <v>54</v>
      </c>
      <c r="G52" s="140">
        <v>1.8923931E7</v>
      </c>
      <c r="H52" s="141">
        <v>7.403975229125E12</v>
      </c>
      <c r="I52" s="133" t="s">
        <v>127</v>
      </c>
      <c r="J52" s="133" t="s">
        <v>94</v>
      </c>
      <c r="K52" s="133" t="s">
        <v>146</v>
      </c>
      <c r="L52" s="141">
        <v>0.0</v>
      </c>
      <c r="M52" s="141">
        <v>0.0</v>
      </c>
      <c r="N52" s="141">
        <v>1.0</v>
      </c>
      <c r="O52" s="141">
        <v>1695.62</v>
      </c>
      <c r="P52" s="141">
        <v>1.0</v>
      </c>
      <c r="Q52" s="141">
        <v>1695.62</v>
      </c>
      <c r="R52" s="141">
        <v>0.0</v>
      </c>
      <c r="S52" s="141"/>
      <c r="T52" s="142"/>
      <c r="U52" s="142"/>
      <c r="V52" s="142"/>
      <c r="W52" s="142"/>
      <c r="X52" s="142"/>
      <c r="Y52" s="141"/>
      <c r="Z52" s="141"/>
      <c r="AA52" s="141"/>
      <c r="AB52" s="141"/>
      <c r="AC52" s="141"/>
      <c r="AD52" s="141"/>
      <c r="AE52" s="141"/>
    </row>
    <row r="53" ht="17.25" customHeight="1">
      <c r="A53" s="133" t="s">
        <v>23</v>
      </c>
      <c r="B53" s="133" t="s">
        <v>136</v>
      </c>
      <c r="C53" s="133" t="s">
        <v>90</v>
      </c>
      <c r="E53" s="133" t="s">
        <v>137</v>
      </c>
      <c r="F53" s="133" t="s">
        <v>28</v>
      </c>
      <c r="G53" s="140">
        <v>1.8460858E7</v>
      </c>
      <c r="H53" s="141">
        <v>7.403635409201E12</v>
      </c>
      <c r="I53" s="133" t="s">
        <v>138</v>
      </c>
      <c r="J53" s="133" t="s">
        <v>102</v>
      </c>
      <c r="K53" s="133" t="s">
        <v>95</v>
      </c>
      <c r="L53" s="141">
        <v>0.0</v>
      </c>
      <c r="M53" s="141">
        <v>0.0</v>
      </c>
      <c r="N53" s="141">
        <v>19.0</v>
      </c>
      <c r="O53" s="141">
        <v>31199.42</v>
      </c>
      <c r="P53" s="141">
        <v>17.0</v>
      </c>
      <c r="Q53" s="141">
        <v>29056.05</v>
      </c>
      <c r="R53" s="141">
        <v>312.0</v>
      </c>
      <c r="S53" s="141"/>
      <c r="T53" s="142"/>
      <c r="U53" s="142"/>
      <c r="V53" s="142"/>
      <c r="W53" s="142"/>
      <c r="X53" s="142"/>
      <c r="Y53" s="141"/>
      <c r="Z53" s="141"/>
      <c r="AA53" s="141"/>
      <c r="AB53" s="141"/>
      <c r="AC53" s="141"/>
      <c r="AD53" s="141"/>
      <c r="AE53" s="141"/>
    </row>
    <row r="54" ht="17.25" customHeight="1">
      <c r="A54" s="133" t="s">
        <v>23</v>
      </c>
      <c r="B54" s="133" t="s">
        <v>147</v>
      </c>
      <c r="C54" s="133" t="s">
        <v>90</v>
      </c>
      <c r="E54" s="133" t="s">
        <v>148</v>
      </c>
      <c r="F54" s="133" t="s">
        <v>149</v>
      </c>
      <c r="G54" s="140">
        <v>1.4620437E7</v>
      </c>
      <c r="H54" s="141">
        <v>7.403584208207E12</v>
      </c>
      <c r="I54" s="133" t="s">
        <v>135</v>
      </c>
      <c r="J54" s="133" t="s">
        <v>94</v>
      </c>
      <c r="K54" s="133" t="s">
        <v>113</v>
      </c>
      <c r="L54" s="141">
        <v>0.0</v>
      </c>
      <c r="M54" s="141">
        <v>0.0</v>
      </c>
      <c r="N54" s="141">
        <v>0.0</v>
      </c>
      <c r="O54" s="141">
        <v>0.0</v>
      </c>
      <c r="P54" s="141">
        <v>1.0</v>
      </c>
      <c r="Q54" s="141">
        <v>1542.75</v>
      </c>
      <c r="R54" s="141">
        <v>0.0</v>
      </c>
      <c r="S54" s="141"/>
      <c r="T54" s="142"/>
      <c r="U54" s="142"/>
      <c r="V54" s="142"/>
      <c r="W54" s="142"/>
      <c r="X54" s="142"/>
      <c r="Y54" s="141"/>
      <c r="Z54" s="141"/>
      <c r="AA54" s="141"/>
      <c r="AB54" s="141"/>
      <c r="AC54" s="141"/>
      <c r="AD54" s="141"/>
      <c r="AE54" s="141"/>
    </row>
    <row r="55" ht="17.25" customHeight="1">
      <c r="A55" s="133" t="s">
        <v>23</v>
      </c>
      <c r="B55" s="133" t="s">
        <v>136</v>
      </c>
      <c r="C55" s="133" t="s">
        <v>90</v>
      </c>
      <c r="E55" s="133" t="s">
        <v>137</v>
      </c>
      <c r="F55" s="133" t="s">
        <v>28</v>
      </c>
      <c r="G55" s="140">
        <v>1.8460858E7</v>
      </c>
      <c r="H55" s="141">
        <v>7.403635409201E12</v>
      </c>
      <c r="I55" s="133" t="s">
        <v>138</v>
      </c>
      <c r="J55" s="133" t="s">
        <v>102</v>
      </c>
      <c r="K55" s="133" t="s">
        <v>143</v>
      </c>
      <c r="L55" s="141">
        <v>0.0</v>
      </c>
      <c r="M55" s="141">
        <v>0.0</v>
      </c>
      <c r="N55" s="141">
        <v>0.0</v>
      </c>
      <c r="O55" s="141">
        <v>0.0</v>
      </c>
      <c r="P55" s="141">
        <v>0.0</v>
      </c>
      <c r="Q55" s="141">
        <v>0.0</v>
      </c>
      <c r="R55" s="141">
        <v>1.0</v>
      </c>
      <c r="S55" s="141"/>
      <c r="T55" s="142"/>
      <c r="U55" s="142"/>
      <c r="V55" s="142"/>
      <c r="W55" s="142"/>
      <c r="X55" s="142"/>
      <c r="Y55" s="141"/>
      <c r="Z55" s="141"/>
      <c r="AA55" s="141"/>
      <c r="AB55" s="141"/>
      <c r="AC55" s="141"/>
      <c r="AD55" s="141"/>
      <c r="AE55" s="141"/>
    </row>
    <row r="56" ht="17.25" customHeight="1">
      <c r="A56" s="133" t="s">
        <v>23</v>
      </c>
      <c r="B56" s="133" t="s">
        <v>109</v>
      </c>
      <c r="C56" s="133" t="s">
        <v>90</v>
      </c>
      <c r="E56" s="133" t="s">
        <v>150</v>
      </c>
      <c r="F56" s="133" t="s">
        <v>151</v>
      </c>
      <c r="G56" s="140">
        <v>1.3922324E7</v>
      </c>
      <c r="H56" s="141">
        <v>7.003274806203E12</v>
      </c>
      <c r="I56" s="133" t="s">
        <v>93</v>
      </c>
      <c r="J56" s="133" t="s">
        <v>102</v>
      </c>
      <c r="K56" s="133" t="s">
        <v>113</v>
      </c>
      <c r="L56" s="141">
        <v>0.0</v>
      </c>
      <c r="M56" s="141">
        <v>0.0</v>
      </c>
      <c r="N56" s="141">
        <v>0.0</v>
      </c>
      <c r="O56" s="141">
        <v>0.0</v>
      </c>
      <c r="P56" s="141">
        <v>0.0</v>
      </c>
      <c r="Q56" s="141">
        <v>0.0</v>
      </c>
      <c r="R56" s="141">
        <v>1.0</v>
      </c>
      <c r="S56" s="141"/>
      <c r="T56" s="142"/>
      <c r="U56" s="142"/>
      <c r="V56" s="142"/>
      <c r="W56" s="142"/>
      <c r="X56" s="142"/>
      <c r="Y56" s="141"/>
      <c r="Z56" s="141"/>
      <c r="AA56" s="141"/>
      <c r="AB56" s="141"/>
      <c r="AC56" s="141"/>
      <c r="AD56" s="141"/>
      <c r="AE56" s="141"/>
    </row>
    <row r="57" ht="17.25" customHeight="1">
      <c r="A57" s="133" t="s">
        <v>23</v>
      </c>
      <c r="B57" s="133" t="s">
        <v>147</v>
      </c>
      <c r="C57" s="133" t="s">
        <v>90</v>
      </c>
      <c r="E57" s="133" t="s">
        <v>148</v>
      </c>
      <c r="F57" s="133" t="s">
        <v>149</v>
      </c>
      <c r="G57" s="140">
        <v>1.4620437E7</v>
      </c>
      <c r="H57" s="141">
        <v>7.403584208207E12</v>
      </c>
      <c r="I57" s="133" t="s">
        <v>135</v>
      </c>
      <c r="J57" s="133" t="s">
        <v>102</v>
      </c>
      <c r="K57" s="133" t="s">
        <v>97</v>
      </c>
      <c r="L57" s="141">
        <v>0.0</v>
      </c>
      <c r="M57" s="141">
        <v>0.0</v>
      </c>
      <c r="N57" s="141">
        <v>0.0</v>
      </c>
      <c r="O57" s="141">
        <v>0.0</v>
      </c>
      <c r="P57" s="141">
        <v>0.0</v>
      </c>
      <c r="Q57" s="141">
        <v>0.0</v>
      </c>
      <c r="R57" s="141">
        <v>1.0</v>
      </c>
      <c r="S57" s="141"/>
      <c r="T57" s="142"/>
      <c r="U57" s="142"/>
      <c r="V57" s="142"/>
      <c r="W57" s="142"/>
      <c r="X57" s="142"/>
      <c r="Y57" s="141"/>
      <c r="Z57" s="141"/>
      <c r="AA57" s="141"/>
      <c r="AB57" s="141"/>
      <c r="AC57" s="141"/>
      <c r="AD57" s="141"/>
      <c r="AE57" s="141"/>
    </row>
    <row r="58" ht="17.25" customHeight="1">
      <c r="A58" s="133" t="s">
        <v>23</v>
      </c>
      <c r="B58" s="133" t="s">
        <v>147</v>
      </c>
      <c r="C58" s="133" t="s">
        <v>90</v>
      </c>
      <c r="E58" s="133" t="s">
        <v>148</v>
      </c>
      <c r="F58" s="133" t="s">
        <v>149</v>
      </c>
      <c r="G58" s="140">
        <v>1.4620437E7</v>
      </c>
      <c r="H58" s="141">
        <v>7.403584208207E12</v>
      </c>
      <c r="I58" s="133" t="s">
        <v>135</v>
      </c>
      <c r="J58" s="133" t="s">
        <v>102</v>
      </c>
      <c r="K58" s="133" t="s">
        <v>143</v>
      </c>
      <c r="L58" s="141">
        <v>0.0</v>
      </c>
      <c r="M58" s="141">
        <v>0.0</v>
      </c>
      <c r="N58" s="141">
        <v>0.0</v>
      </c>
      <c r="O58" s="141">
        <v>0.0</v>
      </c>
      <c r="P58" s="141">
        <v>0.0</v>
      </c>
      <c r="Q58" s="141">
        <v>0.0</v>
      </c>
      <c r="R58" s="141">
        <v>1.0</v>
      </c>
      <c r="S58" s="141"/>
      <c r="T58" s="142"/>
      <c r="U58" s="142"/>
      <c r="V58" s="142"/>
      <c r="W58" s="142"/>
      <c r="X58" s="142"/>
      <c r="Y58" s="141"/>
      <c r="Z58" s="141"/>
      <c r="AA58" s="141"/>
      <c r="AB58" s="141"/>
      <c r="AC58" s="141"/>
      <c r="AD58" s="141"/>
      <c r="AE58" s="141"/>
    </row>
    <row r="59" ht="17.25" customHeight="1">
      <c r="A59" s="133" t="s">
        <v>23</v>
      </c>
      <c r="B59" s="133" t="s">
        <v>152</v>
      </c>
      <c r="C59" s="133" t="s">
        <v>153</v>
      </c>
      <c r="D59" s="133"/>
      <c r="E59" s="133" t="s">
        <v>154</v>
      </c>
      <c r="F59" s="133" t="s">
        <v>155</v>
      </c>
      <c r="G59" s="140">
        <v>1.3515427E7</v>
      </c>
      <c r="H59" s="141">
        <v>7.003262906205E12</v>
      </c>
      <c r="I59" s="141">
        <v>29.0</v>
      </c>
      <c r="J59" s="133" t="s">
        <v>102</v>
      </c>
      <c r="K59" s="133" t="s">
        <v>95</v>
      </c>
      <c r="L59" s="141">
        <v>0.0</v>
      </c>
      <c r="M59" s="141">
        <v>0.0</v>
      </c>
      <c r="N59" s="141">
        <v>0.0</v>
      </c>
      <c r="O59" s="141">
        <v>0.0</v>
      </c>
      <c r="P59" s="141">
        <v>0.0</v>
      </c>
      <c r="Q59" s="141">
        <v>0.0</v>
      </c>
      <c r="R59" s="141">
        <v>1.0</v>
      </c>
      <c r="S59" s="141"/>
      <c r="T59" s="142"/>
      <c r="U59" s="142"/>
      <c r="V59" s="142"/>
      <c r="W59" s="142"/>
      <c r="X59" s="142"/>
      <c r="Y59" s="141"/>
      <c r="Z59" s="141"/>
      <c r="AA59" s="141"/>
      <c r="AB59" s="141"/>
      <c r="AC59" s="141"/>
      <c r="AD59" s="141"/>
      <c r="AE59" s="141"/>
    </row>
    <row r="60" ht="17.25" customHeight="1">
      <c r="A60" s="133" t="s">
        <v>23</v>
      </c>
      <c r="B60" s="133" t="s">
        <v>147</v>
      </c>
      <c r="C60" s="133" t="s">
        <v>90</v>
      </c>
      <c r="E60" s="133" t="s">
        <v>148</v>
      </c>
      <c r="F60" s="133" t="s">
        <v>149</v>
      </c>
      <c r="G60" s="140">
        <v>1.4620437E7</v>
      </c>
      <c r="H60" s="141">
        <v>7.403584208207E12</v>
      </c>
      <c r="I60" s="133" t="s">
        <v>135</v>
      </c>
      <c r="J60" s="133" t="s">
        <v>102</v>
      </c>
      <c r="K60" s="133" t="s">
        <v>95</v>
      </c>
      <c r="L60" s="141">
        <v>0.0</v>
      </c>
      <c r="M60" s="141">
        <v>0.0</v>
      </c>
      <c r="N60" s="141">
        <v>0.0</v>
      </c>
      <c r="O60" s="141">
        <v>0.0</v>
      </c>
      <c r="P60" s="141">
        <v>0.0</v>
      </c>
      <c r="Q60" s="141">
        <v>0.0</v>
      </c>
      <c r="R60" s="141">
        <v>11.0</v>
      </c>
      <c r="S60" s="141"/>
      <c r="T60" s="142"/>
      <c r="U60" s="142"/>
      <c r="V60" s="142"/>
      <c r="W60" s="142"/>
      <c r="X60" s="142"/>
      <c r="Y60" s="141"/>
      <c r="Z60" s="141"/>
      <c r="AA60" s="141"/>
      <c r="AB60" s="141"/>
      <c r="AC60" s="141"/>
      <c r="AD60" s="141"/>
      <c r="AE60" s="141"/>
    </row>
    <row r="61" ht="17.25" customHeight="1">
      <c r="A61" s="133" t="s">
        <v>23</v>
      </c>
      <c r="B61" s="133" t="s">
        <v>89</v>
      </c>
      <c r="C61" s="133" t="s">
        <v>90</v>
      </c>
      <c r="E61" s="133" t="s">
        <v>91</v>
      </c>
      <c r="F61" s="133" t="s">
        <v>156</v>
      </c>
      <c r="G61" s="140">
        <v>1.1210359E7</v>
      </c>
      <c r="H61" s="141">
        <v>7.600205400006E12</v>
      </c>
      <c r="I61" s="133" t="s">
        <v>140</v>
      </c>
      <c r="J61" s="133" t="s">
        <v>102</v>
      </c>
      <c r="K61" s="133" t="s">
        <v>95</v>
      </c>
      <c r="L61" s="141">
        <v>0.0</v>
      </c>
      <c r="M61" s="141">
        <v>0.0</v>
      </c>
      <c r="N61" s="141">
        <v>5.0</v>
      </c>
      <c r="O61" s="141">
        <v>14558.94</v>
      </c>
      <c r="P61" s="141">
        <v>2.0</v>
      </c>
      <c r="Q61" s="141">
        <v>5880.95</v>
      </c>
      <c r="R61" s="141">
        <v>9.0</v>
      </c>
      <c r="S61" s="141"/>
      <c r="T61" s="142"/>
      <c r="U61" s="142"/>
      <c r="V61" s="142"/>
      <c r="W61" s="142"/>
      <c r="X61" s="142"/>
      <c r="Y61" s="141"/>
      <c r="Z61" s="141"/>
      <c r="AA61" s="141"/>
      <c r="AB61" s="141"/>
      <c r="AC61" s="141"/>
      <c r="AD61" s="141"/>
      <c r="AE61" s="141"/>
    </row>
    <row r="62" ht="17.25" customHeight="1">
      <c r="A62" s="133" t="s">
        <v>23</v>
      </c>
      <c r="B62" s="133" t="s">
        <v>89</v>
      </c>
      <c r="C62" s="133" t="s">
        <v>90</v>
      </c>
      <c r="E62" s="133" t="s">
        <v>91</v>
      </c>
      <c r="F62" s="133" t="s">
        <v>92</v>
      </c>
      <c r="G62" s="140">
        <v>1.4930909E7</v>
      </c>
      <c r="H62" s="141">
        <v>7.410215407205E12</v>
      </c>
      <c r="I62" s="133" t="s">
        <v>140</v>
      </c>
      <c r="J62" s="133" t="s">
        <v>94</v>
      </c>
      <c r="K62" s="133" t="s">
        <v>95</v>
      </c>
      <c r="L62" s="141">
        <v>0.0</v>
      </c>
      <c r="M62" s="141">
        <v>0.0</v>
      </c>
      <c r="N62" s="141">
        <v>1.0</v>
      </c>
      <c r="O62" s="141">
        <v>3468.0</v>
      </c>
      <c r="P62" s="141">
        <v>0.0</v>
      </c>
      <c r="Q62" s="141">
        <v>0.0</v>
      </c>
      <c r="R62" s="141">
        <v>0.0</v>
      </c>
      <c r="S62" s="141"/>
      <c r="T62" s="142"/>
      <c r="U62" s="142"/>
      <c r="V62" s="142"/>
      <c r="W62" s="142"/>
      <c r="X62" s="142"/>
      <c r="Y62" s="141"/>
      <c r="Z62" s="141"/>
      <c r="AA62" s="141"/>
      <c r="AB62" s="141"/>
      <c r="AC62" s="141"/>
      <c r="AD62" s="141"/>
      <c r="AE62" s="141"/>
    </row>
    <row r="63" ht="17.25" customHeight="1">
      <c r="A63" s="133" t="s">
        <v>23</v>
      </c>
      <c r="B63" s="133" t="s">
        <v>89</v>
      </c>
      <c r="C63" s="133" t="s">
        <v>90</v>
      </c>
      <c r="E63" s="133" t="s">
        <v>91</v>
      </c>
      <c r="F63" s="133" t="s">
        <v>92</v>
      </c>
      <c r="G63" s="140">
        <v>1.4930909E7</v>
      </c>
      <c r="H63" s="141">
        <v>7.410215407205E12</v>
      </c>
      <c r="I63" s="133" t="s">
        <v>140</v>
      </c>
      <c r="J63" s="133" t="s">
        <v>94</v>
      </c>
      <c r="K63" s="133" t="s">
        <v>97</v>
      </c>
      <c r="L63" s="141">
        <v>0.0</v>
      </c>
      <c r="M63" s="141">
        <v>0.0</v>
      </c>
      <c r="N63" s="141">
        <v>1.0</v>
      </c>
      <c r="O63" s="141">
        <v>3468.0</v>
      </c>
      <c r="P63" s="141">
        <v>0.0</v>
      </c>
      <c r="Q63" s="141">
        <v>0.0</v>
      </c>
      <c r="R63" s="141">
        <v>0.0</v>
      </c>
      <c r="S63" s="141"/>
      <c r="T63" s="142"/>
      <c r="U63" s="142"/>
      <c r="V63" s="142"/>
      <c r="W63" s="142"/>
      <c r="X63" s="142"/>
      <c r="Y63" s="141"/>
      <c r="Z63" s="141"/>
      <c r="AA63" s="141"/>
      <c r="AB63" s="141"/>
      <c r="AC63" s="141"/>
      <c r="AD63" s="141"/>
      <c r="AE63" s="141"/>
    </row>
    <row r="64" ht="17.25" customHeight="1">
      <c r="A64" s="133" t="s">
        <v>23</v>
      </c>
      <c r="B64" s="133" t="s">
        <v>89</v>
      </c>
      <c r="C64" s="133" t="s">
        <v>90</v>
      </c>
      <c r="E64" s="133" t="s">
        <v>91</v>
      </c>
      <c r="F64" s="133" t="s">
        <v>156</v>
      </c>
      <c r="G64" s="140">
        <v>1.1210359E7</v>
      </c>
      <c r="H64" s="141">
        <v>7.600205400006E12</v>
      </c>
      <c r="I64" s="133" t="s">
        <v>140</v>
      </c>
      <c r="J64" s="133" t="s">
        <v>94</v>
      </c>
      <c r="K64" s="133" t="s">
        <v>113</v>
      </c>
      <c r="L64" s="141">
        <v>0.0</v>
      </c>
      <c r="M64" s="141">
        <v>0.0</v>
      </c>
      <c r="N64" s="141">
        <v>1.0</v>
      </c>
      <c r="O64" s="141">
        <v>2797.04</v>
      </c>
      <c r="P64" s="141">
        <v>0.0</v>
      </c>
      <c r="Q64" s="141">
        <v>0.0</v>
      </c>
      <c r="R64" s="141">
        <v>0.0</v>
      </c>
      <c r="S64" s="141"/>
      <c r="T64" s="142"/>
      <c r="U64" s="142"/>
      <c r="V64" s="142"/>
      <c r="W64" s="142"/>
      <c r="X64" s="142"/>
      <c r="Y64" s="141"/>
      <c r="Z64" s="141"/>
      <c r="AA64" s="141"/>
      <c r="AB64" s="141"/>
      <c r="AC64" s="141"/>
      <c r="AD64" s="141"/>
      <c r="AE64" s="141"/>
    </row>
    <row r="65" ht="17.25" customHeight="1">
      <c r="A65" s="133" t="s">
        <v>23</v>
      </c>
      <c r="B65" s="133" t="s">
        <v>89</v>
      </c>
      <c r="C65" s="133" t="s">
        <v>90</v>
      </c>
      <c r="E65" s="133" t="s">
        <v>91</v>
      </c>
      <c r="F65" s="133" t="s">
        <v>157</v>
      </c>
      <c r="G65" s="140">
        <v>1.1210357E7</v>
      </c>
      <c r="H65" s="141">
        <v>7.400205200008E12</v>
      </c>
      <c r="I65" s="133" t="s">
        <v>101</v>
      </c>
      <c r="J65" s="133" t="s">
        <v>94</v>
      </c>
      <c r="K65" s="133" t="s">
        <v>95</v>
      </c>
      <c r="L65" s="141">
        <v>0.0</v>
      </c>
      <c r="M65" s="141">
        <v>0.0</v>
      </c>
      <c r="N65" s="141">
        <v>8.0</v>
      </c>
      <c r="O65" s="141">
        <v>17543.25</v>
      </c>
      <c r="P65" s="141">
        <v>2.0</v>
      </c>
      <c r="Q65" s="141">
        <v>4292.92</v>
      </c>
      <c r="R65" s="141">
        <v>0.0</v>
      </c>
      <c r="S65" s="141"/>
      <c r="T65" s="142"/>
      <c r="U65" s="142"/>
      <c r="V65" s="142"/>
      <c r="W65" s="142"/>
      <c r="X65" s="142"/>
      <c r="Y65" s="141"/>
      <c r="Z65" s="141"/>
      <c r="AA65" s="141"/>
      <c r="AB65" s="141"/>
      <c r="AC65" s="141"/>
      <c r="AD65" s="141"/>
      <c r="AE65" s="141"/>
    </row>
    <row r="66" ht="17.25" customHeight="1">
      <c r="A66" s="133" t="s">
        <v>23</v>
      </c>
      <c r="B66" s="133" t="s">
        <v>89</v>
      </c>
      <c r="C66" s="133" t="s">
        <v>90</v>
      </c>
      <c r="E66" s="133" t="s">
        <v>91</v>
      </c>
      <c r="F66" s="133" t="s">
        <v>157</v>
      </c>
      <c r="G66" s="140">
        <v>1.1210357E7</v>
      </c>
      <c r="H66" s="141">
        <v>7.400205200008E12</v>
      </c>
      <c r="I66" s="133" t="s">
        <v>101</v>
      </c>
      <c r="J66" s="133" t="s">
        <v>94</v>
      </c>
      <c r="K66" s="133" t="s">
        <v>143</v>
      </c>
      <c r="L66" s="141">
        <v>0.0</v>
      </c>
      <c r="M66" s="141">
        <v>0.0</v>
      </c>
      <c r="N66" s="141">
        <v>1.0</v>
      </c>
      <c r="O66" s="141">
        <v>2391.77</v>
      </c>
      <c r="P66" s="141">
        <v>1.0</v>
      </c>
      <c r="Q66" s="141">
        <v>2391.77</v>
      </c>
      <c r="R66" s="141">
        <v>0.0</v>
      </c>
      <c r="S66" s="141"/>
      <c r="T66" s="142"/>
      <c r="U66" s="142"/>
      <c r="V66" s="142"/>
      <c r="W66" s="142"/>
      <c r="X66" s="142"/>
      <c r="Y66" s="141"/>
      <c r="Z66" s="141"/>
      <c r="AA66" s="141"/>
      <c r="AB66" s="141"/>
      <c r="AC66" s="141"/>
      <c r="AD66" s="141"/>
      <c r="AE66" s="141"/>
    </row>
    <row r="67" ht="17.25" customHeight="1">
      <c r="A67" s="133" t="s">
        <v>23</v>
      </c>
      <c r="B67" s="133" t="s">
        <v>89</v>
      </c>
      <c r="C67" s="133" t="s">
        <v>90</v>
      </c>
      <c r="E67" s="133" t="s">
        <v>91</v>
      </c>
      <c r="F67" s="133" t="s">
        <v>157</v>
      </c>
      <c r="G67" s="140">
        <v>1.1210357E7</v>
      </c>
      <c r="H67" s="141">
        <v>7.400205200008E12</v>
      </c>
      <c r="I67" s="133" t="s">
        <v>101</v>
      </c>
      <c r="J67" s="133" t="s">
        <v>102</v>
      </c>
      <c r="K67" s="133" t="s">
        <v>97</v>
      </c>
      <c r="L67" s="141">
        <v>0.0</v>
      </c>
      <c r="M67" s="141">
        <v>0.0</v>
      </c>
      <c r="N67" s="141">
        <v>0.0</v>
      </c>
      <c r="O67" s="141">
        <v>0.0</v>
      </c>
      <c r="P67" s="141">
        <v>0.0</v>
      </c>
      <c r="Q67" s="141">
        <v>0.0</v>
      </c>
      <c r="R67" s="141">
        <v>1.0</v>
      </c>
      <c r="S67" s="141"/>
      <c r="T67" s="142"/>
      <c r="U67" s="142"/>
      <c r="V67" s="142"/>
      <c r="W67" s="142"/>
      <c r="X67" s="142"/>
      <c r="Y67" s="141"/>
      <c r="Z67" s="141"/>
      <c r="AA67" s="141"/>
      <c r="AB67" s="141"/>
      <c r="AC67" s="141"/>
      <c r="AD67" s="141"/>
      <c r="AE67" s="141"/>
    </row>
    <row r="68" ht="17.25" customHeight="1">
      <c r="A68" s="133" t="s">
        <v>23</v>
      </c>
      <c r="B68" s="133" t="s">
        <v>89</v>
      </c>
      <c r="C68" s="133" t="s">
        <v>90</v>
      </c>
      <c r="E68" s="133" t="s">
        <v>91</v>
      </c>
      <c r="F68" s="133" t="s">
        <v>156</v>
      </c>
      <c r="G68" s="140">
        <v>1.1210359E7</v>
      </c>
      <c r="H68" s="141">
        <v>7.600205400006E12</v>
      </c>
      <c r="I68" s="133" t="s">
        <v>140</v>
      </c>
      <c r="J68" s="133" t="s">
        <v>102</v>
      </c>
      <c r="K68" s="133" t="s">
        <v>104</v>
      </c>
      <c r="L68" s="141">
        <v>0.0</v>
      </c>
      <c r="M68" s="141">
        <v>0.0</v>
      </c>
      <c r="N68" s="141">
        <v>0.0</v>
      </c>
      <c r="O68" s="141">
        <v>0.0</v>
      </c>
      <c r="P68" s="141">
        <v>0.0</v>
      </c>
      <c r="Q68" s="141">
        <v>0.0</v>
      </c>
      <c r="R68" s="141">
        <v>1.0</v>
      </c>
      <c r="S68" s="141"/>
      <c r="T68" s="142"/>
      <c r="U68" s="142"/>
      <c r="V68" s="142"/>
      <c r="W68" s="142"/>
      <c r="X68" s="142"/>
      <c r="Y68" s="141"/>
      <c r="Z68" s="141"/>
      <c r="AA68" s="141"/>
      <c r="AB68" s="141"/>
      <c r="AC68" s="141"/>
      <c r="AD68" s="141"/>
      <c r="AE68" s="141"/>
    </row>
    <row r="69" ht="17.25" customHeight="1">
      <c r="A69" s="133" t="s">
        <v>23</v>
      </c>
      <c r="B69" s="133" t="s">
        <v>89</v>
      </c>
      <c r="C69" s="133" t="s">
        <v>117</v>
      </c>
      <c r="D69" s="133"/>
      <c r="E69" s="133" t="s">
        <v>118</v>
      </c>
      <c r="F69" s="133" t="s">
        <v>141</v>
      </c>
      <c r="G69" s="140">
        <v>1.4936019E7</v>
      </c>
      <c r="H69" s="141">
        <v>7.400224607208E12</v>
      </c>
      <c r="I69" s="133" t="s">
        <v>96</v>
      </c>
      <c r="J69" s="133" t="s">
        <v>102</v>
      </c>
      <c r="K69" s="133" t="s">
        <v>95</v>
      </c>
      <c r="L69" s="141">
        <v>0.0</v>
      </c>
      <c r="M69" s="141">
        <v>0.0</v>
      </c>
      <c r="N69" s="141">
        <v>0.0</v>
      </c>
      <c r="O69" s="141">
        <v>0.0</v>
      </c>
      <c r="P69" s="141">
        <v>0.0</v>
      </c>
      <c r="Q69" s="141">
        <v>0.0</v>
      </c>
      <c r="R69" s="141">
        <v>6.0</v>
      </c>
      <c r="S69" s="141"/>
      <c r="T69" s="142"/>
      <c r="U69" s="142"/>
      <c r="V69" s="142"/>
      <c r="W69" s="142"/>
      <c r="X69" s="142"/>
      <c r="Y69" s="141"/>
      <c r="Z69" s="141"/>
      <c r="AA69" s="141"/>
      <c r="AB69" s="141"/>
      <c r="AC69" s="141"/>
      <c r="AD69" s="141"/>
      <c r="AE69" s="141"/>
    </row>
    <row r="70" ht="17.25" customHeight="1">
      <c r="A70" s="133" t="s">
        <v>23</v>
      </c>
      <c r="B70" s="133" t="s">
        <v>89</v>
      </c>
      <c r="C70" s="133" t="s">
        <v>90</v>
      </c>
      <c r="E70" s="133" t="s">
        <v>91</v>
      </c>
      <c r="F70" s="133" t="s">
        <v>156</v>
      </c>
      <c r="G70" s="140">
        <v>1.1210359E7</v>
      </c>
      <c r="H70" s="141">
        <v>7.600205400006E12</v>
      </c>
      <c r="I70" s="133" t="s">
        <v>140</v>
      </c>
      <c r="J70" s="133" t="s">
        <v>102</v>
      </c>
      <c r="K70" s="133" t="s">
        <v>95</v>
      </c>
      <c r="L70" s="141">
        <v>0.0</v>
      </c>
      <c r="M70" s="141">
        <v>0.0</v>
      </c>
      <c r="N70" s="141">
        <v>0.0</v>
      </c>
      <c r="O70" s="141">
        <v>0.0</v>
      </c>
      <c r="P70" s="141">
        <v>0.0</v>
      </c>
      <c r="Q70" s="141">
        <v>0.0</v>
      </c>
      <c r="R70" s="141">
        <v>2.0</v>
      </c>
      <c r="S70" s="141"/>
      <c r="T70" s="142"/>
      <c r="U70" s="142"/>
      <c r="V70" s="142"/>
      <c r="W70" s="142"/>
      <c r="X70" s="142"/>
      <c r="Y70" s="141"/>
      <c r="Z70" s="141"/>
      <c r="AA70" s="141"/>
      <c r="AB70" s="141"/>
      <c r="AC70" s="141"/>
      <c r="AD70" s="141"/>
      <c r="AE70" s="141"/>
    </row>
    <row r="71" ht="17.25" customHeight="1">
      <c r="A71" s="133" t="s">
        <v>23</v>
      </c>
      <c r="B71" s="133" t="s">
        <v>158</v>
      </c>
      <c r="C71" s="133"/>
      <c r="D71" s="133"/>
      <c r="E71" s="133" t="s">
        <v>159</v>
      </c>
      <c r="F71" s="133" t="s">
        <v>160</v>
      </c>
      <c r="G71" s="140">
        <v>1.6123097E7</v>
      </c>
      <c r="H71" s="141">
        <v>7.003464609201E12</v>
      </c>
      <c r="I71" s="133" t="s">
        <v>96</v>
      </c>
      <c r="J71" s="133" t="s">
        <v>94</v>
      </c>
      <c r="K71" s="133" t="s">
        <v>97</v>
      </c>
      <c r="L71" s="141">
        <v>0.0</v>
      </c>
      <c r="M71" s="141">
        <v>0.0</v>
      </c>
      <c r="N71" s="141">
        <v>0.0</v>
      </c>
      <c r="O71" s="141">
        <v>0.0</v>
      </c>
      <c r="P71" s="141">
        <v>1.0</v>
      </c>
      <c r="Q71" s="141">
        <v>6385.81</v>
      </c>
      <c r="R71" s="141">
        <v>0.0</v>
      </c>
      <c r="S71" s="141"/>
      <c r="T71" s="142"/>
      <c r="U71" s="142"/>
      <c r="V71" s="142"/>
      <c r="W71" s="142"/>
      <c r="X71" s="142"/>
      <c r="Y71" s="141"/>
      <c r="Z71" s="141"/>
      <c r="AA71" s="141"/>
      <c r="AB71" s="141"/>
      <c r="AC71" s="141"/>
      <c r="AD71" s="141"/>
      <c r="AE71" s="141"/>
    </row>
    <row r="72" ht="17.25" customHeight="1">
      <c r="A72" s="133" t="s">
        <v>23</v>
      </c>
      <c r="B72" s="133" t="s">
        <v>136</v>
      </c>
      <c r="C72" s="133" t="s">
        <v>90</v>
      </c>
      <c r="E72" s="133" t="s">
        <v>161</v>
      </c>
      <c r="F72" s="133" t="s">
        <v>64</v>
      </c>
      <c r="G72" s="140">
        <v>1.4601362E7</v>
      </c>
      <c r="H72" s="141">
        <v>7.403555208205E12</v>
      </c>
      <c r="I72" s="133" t="s">
        <v>127</v>
      </c>
      <c r="J72" s="133" t="s">
        <v>102</v>
      </c>
      <c r="K72" s="133" t="s">
        <v>162</v>
      </c>
      <c r="L72" s="141">
        <v>0.0</v>
      </c>
      <c r="M72" s="141">
        <v>0.0</v>
      </c>
      <c r="N72" s="141">
        <v>2.0</v>
      </c>
      <c r="O72" s="141">
        <v>4269.2</v>
      </c>
      <c r="P72" s="141">
        <v>0.0</v>
      </c>
      <c r="Q72" s="141">
        <v>0.0</v>
      </c>
      <c r="R72" s="141">
        <v>89.0</v>
      </c>
      <c r="S72" s="141"/>
      <c r="T72" s="142"/>
      <c r="U72" s="142"/>
      <c r="V72" s="142"/>
      <c r="W72" s="142"/>
      <c r="X72" s="142"/>
      <c r="Y72" s="141"/>
      <c r="Z72" s="141"/>
      <c r="AA72" s="141"/>
      <c r="AB72" s="141"/>
      <c r="AC72" s="141"/>
      <c r="AD72" s="141"/>
      <c r="AE72" s="141"/>
    </row>
    <row r="73" ht="17.25" customHeight="1">
      <c r="A73" s="133" t="s">
        <v>23</v>
      </c>
      <c r="B73" s="133" t="s">
        <v>89</v>
      </c>
      <c r="C73" s="133" t="s">
        <v>90</v>
      </c>
      <c r="E73" s="133" t="s">
        <v>91</v>
      </c>
      <c r="F73" s="133" t="s">
        <v>163</v>
      </c>
      <c r="G73" s="140">
        <v>1.1210358E7</v>
      </c>
      <c r="H73" s="141">
        <v>7.500204800008E12</v>
      </c>
      <c r="I73" s="133" t="s">
        <v>93</v>
      </c>
      <c r="J73" s="133" t="s">
        <v>94</v>
      </c>
      <c r="K73" s="133" t="s">
        <v>95</v>
      </c>
      <c r="L73" s="141">
        <v>0.0</v>
      </c>
      <c r="M73" s="141">
        <v>0.0</v>
      </c>
      <c r="N73" s="141">
        <v>6.0</v>
      </c>
      <c r="O73" s="141">
        <v>18283.47</v>
      </c>
      <c r="P73" s="141">
        <v>4.0</v>
      </c>
      <c r="Q73" s="141">
        <v>12806.66</v>
      </c>
      <c r="R73" s="141">
        <v>0.0</v>
      </c>
      <c r="S73" s="141"/>
      <c r="T73" s="142"/>
      <c r="U73" s="142"/>
      <c r="V73" s="142"/>
      <c r="W73" s="142"/>
      <c r="X73" s="142"/>
      <c r="Y73" s="141"/>
      <c r="Z73" s="141"/>
      <c r="AA73" s="141"/>
      <c r="AB73" s="141"/>
      <c r="AC73" s="141"/>
      <c r="AD73" s="141"/>
      <c r="AE73" s="141"/>
    </row>
    <row r="74" ht="17.25" customHeight="1">
      <c r="A74" s="133" t="s">
        <v>23</v>
      </c>
      <c r="B74" s="133" t="s">
        <v>89</v>
      </c>
      <c r="C74" s="133" t="s">
        <v>90</v>
      </c>
      <c r="E74" s="133" t="s">
        <v>91</v>
      </c>
      <c r="F74" s="133" t="s">
        <v>105</v>
      </c>
      <c r="G74" s="140">
        <v>1.4936013E7</v>
      </c>
      <c r="H74" s="141">
        <v>7.400215207202E12</v>
      </c>
      <c r="I74" s="133" t="s">
        <v>101</v>
      </c>
      <c r="J74" s="133" t="s">
        <v>102</v>
      </c>
      <c r="K74" s="133" t="s">
        <v>95</v>
      </c>
      <c r="L74" s="141">
        <v>0.0</v>
      </c>
      <c r="M74" s="141">
        <v>0.0</v>
      </c>
      <c r="N74" s="141">
        <v>1.0</v>
      </c>
      <c r="O74" s="141">
        <v>1644.04</v>
      </c>
      <c r="P74" s="141">
        <v>0.0</v>
      </c>
      <c r="Q74" s="141">
        <v>0.0</v>
      </c>
      <c r="R74" s="141">
        <v>12.0</v>
      </c>
      <c r="S74" s="141"/>
      <c r="T74" s="142"/>
      <c r="U74" s="142"/>
      <c r="V74" s="142"/>
      <c r="W74" s="142"/>
      <c r="X74" s="142"/>
      <c r="Y74" s="141"/>
      <c r="Z74" s="141"/>
      <c r="AA74" s="141"/>
      <c r="AB74" s="141"/>
      <c r="AC74" s="141"/>
      <c r="AD74" s="141"/>
      <c r="AE74" s="141"/>
    </row>
    <row r="75" ht="17.25" customHeight="1">
      <c r="A75" s="133" t="s">
        <v>23</v>
      </c>
      <c r="B75" s="133" t="s">
        <v>136</v>
      </c>
      <c r="C75" s="133" t="s">
        <v>90</v>
      </c>
      <c r="E75" s="133" t="s">
        <v>161</v>
      </c>
      <c r="F75" s="133" t="s">
        <v>64</v>
      </c>
      <c r="G75" s="140">
        <v>1.4601362E7</v>
      </c>
      <c r="H75" s="141">
        <v>7.403555208205E12</v>
      </c>
      <c r="I75" s="133" t="s">
        <v>127</v>
      </c>
      <c r="J75" s="133" t="s">
        <v>102</v>
      </c>
      <c r="K75" s="133" t="s">
        <v>95</v>
      </c>
      <c r="L75" s="141">
        <v>0.0</v>
      </c>
      <c r="M75" s="141">
        <v>0.0</v>
      </c>
      <c r="N75" s="141">
        <v>7.0</v>
      </c>
      <c r="O75" s="141">
        <v>15504.42</v>
      </c>
      <c r="P75" s="141">
        <v>7.0</v>
      </c>
      <c r="Q75" s="141">
        <v>16297.78</v>
      </c>
      <c r="R75" s="141">
        <v>84.0</v>
      </c>
      <c r="S75" s="141"/>
      <c r="T75" s="142"/>
      <c r="U75" s="142"/>
      <c r="V75" s="142"/>
      <c r="W75" s="142"/>
      <c r="X75" s="142"/>
      <c r="Y75" s="141"/>
      <c r="Z75" s="141"/>
      <c r="AA75" s="141"/>
      <c r="AB75" s="141"/>
      <c r="AC75" s="141"/>
      <c r="AD75" s="141"/>
      <c r="AE75" s="141"/>
    </row>
    <row r="76" ht="17.25" customHeight="1">
      <c r="A76" s="133" t="s">
        <v>23</v>
      </c>
      <c r="B76" s="133" t="s">
        <v>158</v>
      </c>
      <c r="C76" s="133"/>
      <c r="D76" s="133"/>
      <c r="E76" s="133" t="s">
        <v>164</v>
      </c>
      <c r="F76" s="133" t="s">
        <v>165</v>
      </c>
      <c r="G76" s="140">
        <v>1.6123099E7</v>
      </c>
      <c r="H76" s="141">
        <v>7.003495609201E12</v>
      </c>
      <c r="I76" s="133" t="s">
        <v>112</v>
      </c>
      <c r="J76" s="133" t="s">
        <v>94</v>
      </c>
      <c r="K76" s="133" t="s">
        <v>97</v>
      </c>
      <c r="L76" s="141">
        <v>0.0</v>
      </c>
      <c r="M76" s="141">
        <v>0.0</v>
      </c>
      <c r="N76" s="141">
        <v>1.0</v>
      </c>
      <c r="O76" s="141">
        <v>6267.01</v>
      </c>
      <c r="P76" s="141">
        <v>0.0</v>
      </c>
      <c r="Q76" s="141">
        <v>0.0</v>
      </c>
      <c r="R76" s="141">
        <v>0.0</v>
      </c>
      <c r="S76" s="141"/>
      <c r="T76" s="142"/>
      <c r="U76" s="142"/>
      <c r="V76" s="142"/>
      <c r="W76" s="142"/>
      <c r="X76" s="142"/>
      <c r="Y76" s="141"/>
      <c r="Z76" s="141"/>
      <c r="AA76" s="141"/>
      <c r="AB76" s="141"/>
      <c r="AC76" s="141"/>
      <c r="AD76" s="141"/>
      <c r="AE76" s="141"/>
    </row>
    <row r="77" ht="17.25" customHeight="1">
      <c r="A77" s="133" t="s">
        <v>23</v>
      </c>
      <c r="B77" s="133" t="s">
        <v>136</v>
      </c>
      <c r="C77" s="133" t="s">
        <v>90</v>
      </c>
      <c r="E77" s="133" t="s">
        <v>137</v>
      </c>
      <c r="F77" s="133" t="s">
        <v>52</v>
      </c>
      <c r="G77" s="140">
        <v>1.8583834E7</v>
      </c>
      <c r="H77" s="141">
        <v>7.403955229121E12</v>
      </c>
      <c r="I77" s="133" t="s">
        <v>127</v>
      </c>
      <c r="J77" s="133" t="s">
        <v>102</v>
      </c>
      <c r="K77" s="133" t="s">
        <v>95</v>
      </c>
      <c r="L77" s="141">
        <v>0.0</v>
      </c>
      <c r="M77" s="141">
        <v>0.0</v>
      </c>
      <c r="N77" s="141">
        <v>2.0</v>
      </c>
      <c r="O77" s="141">
        <v>3646.14</v>
      </c>
      <c r="P77" s="141">
        <v>1.0</v>
      </c>
      <c r="Q77" s="141">
        <v>2110.11</v>
      </c>
      <c r="R77" s="141">
        <v>61.0</v>
      </c>
      <c r="S77" s="141"/>
      <c r="T77" s="142"/>
      <c r="U77" s="142"/>
      <c r="V77" s="142"/>
      <c r="W77" s="142"/>
      <c r="X77" s="142"/>
      <c r="Y77" s="141"/>
      <c r="Z77" s="141"/>
      <c r="AA77" s="141"/>
      <c r="AB77" s="141"/>
      <c r="AC77" s="141"/>
      <c r="AD77" s="141"/>
      <c r="AE77" s="141"/>
    </row>
    <row r="78" ht="17.25" customHeight="1">
      <c r="A78" s="133" t="s">
        <v>23</v>
      </c>
      <c r="B78" s="133" t="s">
        <v>158</v>
      </c>
      <c r="C78" s="133"/>
      <c r="D78" s="133"/>
      <c r="E78" s="133" t="s">
        <v>164</v>
      </c>
      <c r="F78" s="133" t="s">
        <v>166</v>
      </c>
      <c r="G78" s="140">
        <v>1.6123098E7</v>
      </c>
      <c r="H78" s="141">
        <v>7.003475409203E12</v>
      </c>
      <c r="I78" s="133" t="s">
        <v>140</v>
      </c>
      <c r="J78" s="133" t="s">
        <v>94</v>
      </c>
      <c r="K78" s="133" t="s">
        <v>146</v>
      </c>
      <c r="L78" s="141">
        <v>0.0</v>
      </c>
      <c r="M78" s="141">
        <v>0.0</v>
      </c>
      <c r="N78" s="141">
        <v>0.0</v>
      </c>
      <c r="O78" s="141">
        <v>0.0</v>
      </c>
      <c r="P78" s="141">
        <v>1.0</v>
      </c>
      <c r="Q78" s="141">
        <v>6893.71</v>
      </c>
      <c r="R78" s="141">
        <v>0.0</v>
      </c>
      <c r="S78" s="141"/>
      <c r="T78" s="142"/>
      <c r="U78" s="142"/>
      <c r="V78" s="142"/>
      <c r="W78" s="142"/>
      <c r="X78" s="142"/>
      <c r="Y78" s="141"/>
      <c r="Z78" s="141"/>
      <c r="AA78" s="141"/>
      <c r="AB78" s="141"/>
      <c r="AC78" s="141"/>
      <c r="AD78" s="141"/>
      <c r="AE78" s="141"/>
    </row>
    <row r="79" ht="17.25" customHeight="1">
      <c r="A79" s="133" t="s">
        <v>23</v>
      </c>
      <c r="B79" s="133" t="s">
        <v>89</v>
      </c>
      <c r="C79" s="133" t="s">
        <v>90</v>
      </c>
      <c r="E79" s="133" t="s">
        <v>91</v>
      </c>
      <c r="F79" s="133" t="s">
        <v>142</v>
      </c>
      <c r="G79" s="140">
        <v>1.4936023E7</v>
      </c>
      <c r="H79" s="141">
        <v>7.400265209201E12</v>
      </c>
      <c r="I79" s="133" t="s">
        <v>101</v>
      </c>
      <c r="J79" s="133"/>
      <c r="K79" s="133" t="s">
        <v>143</v>
      </c>
      <c r="L79" s="141">
        <v>0.0</v>
      </c>
      <c r="M79" s="141">
        <v>0.0</v>
      </c>
      <c r="N79" s="141">
        <v>1.0</v>
      </c>
      <c r="O79" s="141">
        <v>1815.29</v>
      </c>
      <c r="P79" s="141">
        <v>1.0</v>
      </c>
      <c r="Q79" s="141">
        <v>1815.29</v>
      </c>
      <c r="R79" s="141">
        <v>0.0</v>
      </c>
      <c r="S79" s="141"/>
      <c r="T79" s="142"/>
      <c r="U79" s="142"/>
      <c r="V79" s="142"/>
      <c r="W79" s="142"/>
      <c r="X79" s="142"/>
      <c r="Y79" s="141"/>
      <c r="Z79" s="141"/>
      <c r="AA79" s="141"/>
      <c r="AB79" s="141"/>
      <c r="AC79" s="141"/>
      <c r="AD79" s="141"/>
      <c r="AE79" s="141"/>
    </row>
    <row r="80" ht="17.25" customHeight="1">
      <c r="A80" s="133" t="s">
        <v>23</v>
      </c>
      <c r="B80" s="133" t="s">
        <v>89</v>
      </c>
      <c r="C80" s="133" t="s">
        <v>90</v>
      </c>
      <c r="E80" s="133" t="s">
        <v>91</v>
      </c>
      <c r="F80" s="133" t="s">
        <v>142</v>
      </c>
      <c r="G80" s="140">
        <v>1.4936023E7</v>
      </c>
      <c r="H80" s="141">
        <v>7.400265209201E12</v>
      </c>
      <c r="I80" s="133" t="s">
        <v>101</v>
      </c>
      <c r="J80" s="133" t="s">
        <v>94</v>
      </c>
      <c r="K80" s="133" t="s">
        <v>95</v>
      </c>
      <c r="L80" s="141">
        <v>0.0</v>
      </c>
      <c r="M80" s="141"/>
      <c r="N80" s="141">
        <v>3.0</v>
      </c>
      <c r="O80" s="141">
        <v>5232.31</v>
      </c>
      <c r="P80" s="141">
        <v>1.0</v>
      </c>
      <c r="Q80" s="141">
        <v>1815.29</v>
      </c>
      <c r="R80" s="141">
        <v>0.0</v>
      </c>
      <c r="S80" s="141"/>
      <c r="T80" s="142"/>
      <c r="U80" s="142"/>
      <c r="V80" s="142"/>
      <c r="W80" s="142"/>
      <c r="X80" s="142"/>
      <c r="Y80" s="141"/>
      <c r="Z80" s="141"/>
      <c r="AA80" s="141"/>
      <c r="AB80" s="141"/>
      <c r="AC80" s="141"/>
      <c r="AD80" s="141"/>
      <c r="AE80" s="141"/>
    </row>
    <row r="81" ht="17.25" customHeight="1">
      <c r="A81" s="133" t="s">
        <v>23</v>
      </c>
      <c r="B81" s="133" t="s">
        <v>136</v>
      </c>
      <c r="C81" s="133" t="s">
        <v>90</v>
      </c>
      <c r="E81" s="133" t="s">
        <v>137</v>
      </c>
      <c r="F81" s="133" t="s">
        <v>52</v>
      </c>
      <c r="G81" s="140">
        <v>1.8583834E7</v>
      </c>
      <c r="H81" s="141">
        <v>7.403955229121E12</v>
      </c>
      <c r="I81" s="133" t="s">
        <v>127</v>
      </c>
      <c r="J81" s="133" t="s">
        <v>94</v>
      </c>
      <c r="K81" s="133" t="s">
        <v>143</v>
      </c>
      <c r="L81" s="141">
        <v>0.0</v>
      </c>
      <c r="M81" s="141">
        <v>0.0</v>
      </c>
      <c r="N81" s="141">
        <v>1.0</v>
      </c>
      <c r="O81" s="141">
        <v>2110.11</v>
      </c>
      <c r="P81" s="141">
        <v>1.0</v>
      </c>
      <c r="Q81" s="141">
        <v>2110.11</v>
      </c>
      <c r="R81" s="141">
        <v>0.0</v>
      </c>
      <c r="S81" s="141"/>
      <c r="T81" s="142"/>
      <c r="U81" s="142"/>
      <c r="V81" s="142"/>
      <c r="W81" s="142"/>
      <c r="X81" s="142"/>
      <c r="Y81" s="141"/>
      <c r="Z81" s="141"/>
      <c r="AA81" s="141"/>
      <c r="AB81" s="141"/>
      <c r="AC81" s="141"/>
      <c r="AD81" s="141"/>
      <c r="AE81" s="141"/>
    </row>
    <row r="82" ht="17.25" customHeight="1">
      <c r="A82" s="133" t="s">
        <v>23</v>
      </c>
      <c r="B82" s="133" t="s">
        <v>89</v>
      </c>
      <c r="C82" s="133" t="s">
        <v>90</v>
      </c>
      <c r="E82" s="133" t="s">
        <v>91</v>
      </c>
      <c r="F82" s="133" t="s">
        <v>157</v>
      </c>
      <c r="G82" s="140">
        <v>1.1210357E7</v>
      </c>
      <c r="H82" s="141">
        <v>7.400205400002E12</v>
      </c>
      <c r="I82" s="133" t="s">
        <v>140</v>
      </c>
      <c r="J82" s="133" t="s">
        <v>94</v>
      </c>
      <c r="K82" s="133" t="s">
        <v>95</v>
      </c>
      <c r="L82" s="141">
        <v>0.0</v>
      </c>
      <c r="M82" s="141">
        <v>0.0</v>
      </c>
      <c r="N82" s="141">
        <v>3.0</v>
      </c>
      <c r="O82" s="141">
        <v>6439.38</v>
      </c>
      <c r="P82" s="141">
        <v>0.0</v>
      </c>
      <c r="Q82" s="141">
        <v>0.0</v>
      </c>
      <c r="R82" s="141">
        <v>0.0</v>
      </c>
      <c r="S82" s="141"/>
      <c r="T82" s="142"/>
      <c r="U82" s="142"/>
      <c r="V82" s="142"/>
      <c r="W82" s="142"/>
      <c r="X82" s="142"/>
      <c r="Y82" s="141"/>
      <c r="Z82" s="141"/>
      <c r="AA82" s="141"/>
      <c r="AB82" s="141"/>
      <c r="AC82" s="141"/>
      <c r="AD82" s="141"/>
      <c r="AE82" s="141"/>
    </row>
    <row r="83" ht="17.25" customHeight="1">
      <c r="A83" s="133" t="s">
        <v>23</v>
      </c>
      <c r="B83" s="133" t="s">
        <v>89</v>
      </c>
      <c r="C83" s="133" t="s">
        <v>90</v>
      </c>
      <c r="E83" s="133" t="s">
        <v>91</v>
      </c>
      <c r="F83" s="133" t="s">
        <v>142</v>
      </c>
      <c r="G83" s="140">
        <v>1.4936023E7</v>
      </c>
      <c r="H83" s="141">
        <v>7.400265209201E12</v>
      </c>
      <c r="I83" s="133" t="s">
        <v>101</v>
      </c>
      <c r="J83" s="133" t="s">
        <v>94</v>
      </c>
      <c r="K83" s="133" t="s">
        <v>146</v>
      </c>
      <c r="L83" s="141">
        <v>0.0</v>
      </c>
      <c r="M83" s="141">
        <v>0.0</v>
      </c>
      <c r="N83" s="141">
        <v>1.0</v>
      </c>
      <c r="O83" s="141">
        <v>2011.54</v>
      </c>
      <c r="P83" s="141">
        <v>0.0</v>
      </c>
      <c r="Q83" s="141">
        <v>0.0</v>
      </c>
      <c r="R83" s="141">
        <v>0.0</v>
      </c>
      <c r="S83" s="141"/>
      <c r="T83" s="142"/>
      <c r="U83" s="142"/>
      <c r="V83" s="142"/>
      <c r="W83" s="142"/>
      <c r="X83" s="142"/>
      <c r="Y83" s="141"/>
      <c r="Z83" s="141"/>
      <c r="AA83" s="141"/>
      <c r="AB83" s="141"/>
      <c r="AC83" s="141"/>
      <c r="AD83" s="141"/>
      <c r="AE83" s="141"/>
    </row>
    <row r="84" ht="17.25" customHeight="1">
      <c r="A84" s="133" t="s">
        <v>23</v>
      </c>
      <c r="B84" s="133" t="s">
        <v>136</v>
      </c>
      <c r="C84" s="133" t="s">
        <v>90</v>
      </c>
      <c r="E84" s="133" t="s">
        <v>137</v>
      </c>
      <c r="F84" s="133" t="s">
        <v>52</v>
      </c>
      <c r="G84" s="140">
        <v>1.8583834E7</v>
      </c>
      <c r="H84" s="141">
        <v>7.403955229121E12</v>
      </c>
      <c r="I84" s="133" t="s">
        <v>127</v>
      </c>
      <c r="J84" s="133" t="s">
        <v>94</v>
      </c>
      <c r="K84" s="133" t="s">
        <v>97</v>
      </c>
      <c r="L84" s="141">
        <v>0.0</v>
      </c>
      <c r="M84" s="141">
        <v>0.0</v>
      </c>
      <c r="N84" s="141">
        <v>1.0</v>
      </c>
      <c r="O84" s="141">
        <v>1875.16</v>
      </c>
      <c r="P84" s="141">
        <v>0.0</v>
      </c>
      <c r="Q84" s="141">
        <v>0.0</v>
      </c>
      <c r="R84" s="141">
        <v>0.0</v>
      </c>
      <c r="S84" s="141"/>
      <c r="T84" s="142"/>
      <c r="U84" s="142"/>
      <c r="V84" s="142"/>
      <c r="W84" s="142"/>
      <c r="X84" s="142"/>
      <c r="Y84" s="141"/>
      <c r="Z84" s="141"/>
      <c r="AA84" s="141"/>
      <c r="AB84" s="141"/>
      <c r="AC84" s="141"/>
      <c r="AD84" s="141"/>
      <c r="AE84" s="141"/>
    </row>
    <row r="85" ht="17.25" customHeight="1">
      <c r="A85" s="133" t="s">
        <v>23</v>
      </c>
      <c r="B85" s="133" t="s">
        <v>158</v>
      </c>
      <c r="C85" s="133"/>
      <c r="D85" s="133"/>
      <c r="E85" s="133" t="s">
        <v>164</v>
      </c>
      <c r="F85" s="133" t="s">
        <v>165</v>
      </c>
      <c r="G85" s="140">
        <v>1.6123099E7</v>
      </c>
      <c r="H85" s="141">
        <v>7.003495609201E12</v>
      </c>
      <c r="I85" s="133" t="s">
        <v>112</v>
      </c>
      <c r="J85" s="133" t="s">
        <v>102</v>
      </c>
      <c r="K85" s="133" t="s">
        <v>116</v>
      </c>
      <c r="L85" s="141">
        <v>0.0</v>
      </c>
      <c r="M85" s="141">
        <v>0.0</v>
      </c>
      <c r="N85" s="141">
        <v>0.0</v>
      </c>
      <c r="O85" s="141">
        <v>0.0</v>
      </c>
      <c r="P85" s="141">
        <v>0.0</v>
      </c>
      <c r="Q85" s="141">
        <v>0.0</v>
      </c>
      <c r="R85" s="141">
        <v>1.0</v>
      </c>
      <c r="S85" s="141"/>
      <c r="T85" s="142"/>
      <c r="U85" s="142"/>
      <c r="V85" s="142"/>
      <c r="W85" s="142"/>
      <c r="X85" s="142"/>
      <c r="Y85" s="141"/>
      <c r="Z85" s="141"/>
      <c r="AA85" s="141"/>
      <c r="AB85" s="141"/>
      <c r="AC85" s="141"/>
      <c r="AD85" s="141"/>
      <c r="AE85" s="141"/>
    </row>
    <row r="86" ht="17.25" customHeight="1">
      <c r="A86" s="133" t="s">
        <v>23</v>
      </c>
      <c r="B86" s="133" t="s">
        <v>158</v>
      </c>
      <c r="C86" s="133"/>
      <c r="D86" s="133"/>
      <c r="E86" s="133" t="s">
        <v>164</v>
      </c>
      <c r="F86" s="133" t="s">
        <v>165</v>
      </c>
      <c r="G86" s="140">
        <v>1.6123099E7</v>
      </c>
      <c r="H86" s="141">
        <v>7.003495609201E12</v>
      </c>
      <c r="I86" s="133" t="s">
        <v>112</v>
      </c>
      <c r="J86" s="133" t="s">
        <v>102</v>
      </c>
      <c r="K86" s="133" t="s">
        <v>113</v>
      </c>
      <c r="L86" s="141">
        <v>0.0</v>
      </c>
      <c r="M86" s="141">
        <v>0.0</v>
      </c>
      <c r="N86" s="141">
        <v>0.0</v>
      </c>
      <c r="O86" s="141">
        <v>0.0</v>
      </c>
      <c r="P86" s="141">
        <v>0.0</v>
      </c>
      <c r="Q86" s="141">
        <v>0.0</v>
      </c>
      <c r="R86" s="141">
        <v>2.0</v>
      </c>
      <c r="S86" s="141"/>
      <c r="T86" s="142"/>
      <c r="U86" s="142"/>
      <c r="V86" s="142"/>
      <c r="W86" s="142"/>
      <c r="X86" s="142"/>
      <c r="Y86" s="141"/>
      <c r="Z86" s="141"/>
      <c r="AA86" s="141"/>
      <c r="AB86" s="141"/>
      <c r="AC86" s="141"/>
      <c r="AD86" s="141"/>
      <c r="AE86" s="141"/>
    </row>
    <row r="87" ht="17.25" customHeight="1">
      <c r="A87" s="133" t="s">
        <v>23</v>
      </c>
      <c r="B87" s="133" t="s">
        <v>89</v>
      </c>
      <c r="C87" s="133" t="s">
        <v>90</v>
      </c>
      <c r="E87" s="133" t="s">
        <v>91</v>
      </c>
      <c r="F87" s="133" t="s">
        <v>142</v>
      </c>
      <c r="G87" s="140">
        <v>1.4936023E7</v>
      </c>
      <c r="H87" s="141">
        <v>7.400265209201E12</v>
      </c>
      <c r="I87" s="133" t="s">
        <v>101</v>
      </c>
      <c r="J87" s="133" t="s">
        <v>102</v>
      </c>
      <c r="K87" s="133" t="s">
        <v>104</v>
      </c>
      <c r="L87" s="141">
        <v>0.0</v>
      </c>
      <c r="M87" s="141">
        <v>0.0</v>
      </c>
      <c r="N87" s="141">
        <v>0.0</v>
      </c>
      <c r="O87" s="141">
        <v>0.0</v>
      </c>
      <c r="P87" s="141">
        <v>0.0</v>
      </c>
      <c r="Q87" s="141">
        <v>0.0</v>
      </c>
      <c r="R87" s="141">
        <v>1.0</v>
      </c>
      <c r="S87" s="141"/>
      <c r="T87" s="142"/>
      <c r="U87" s="142"/>
      <c r="V87" s="142"/>
      <c r="W87" s="142"/>
      <c r="X87" s="142"/>
      <c r="Y87" s="141"/>
      <c r="Z87" s="141"/>
      <c r="AA87" s="141"/>
      <c r="AB87" s="141"/>
      <c r="AC87" s="141"/>
      <c r="AD87" s="141"/>
      <c r="AE87" s="141"/>
    </row>
    <row r="88" ht="17.25" customHeight="1">
      <c r="A88" s="133" t="s">
        <v>23</v>
      </c>
      <c r="B88" s="133" t="s">
        <v>129</v>
      </c>
      <c r="C88" s="133" t="s">
        <v>90</v>
      </c>
      <c r="E88" s="133" t="s">
        <v>130</v>
      </c>
      <c r="F88" s="133" t="s">
        <v>167</v>
      </c>
      <c r="G88" s="140">
        <v>1.3176414E7</v>
      </c>
      <c r="H88" s="141">
        <v>7.003083006207E12</v>
      </c>
      <c r="I88" s="133" t="s">
        <v>168</v>
      </c>
      <c r="J88" s="133" t="s">
        <v>102</v>
      </c>
      <c r="K88" s="133" t="s">
        <v>97</v>
      </c>
      <c r="L88" s="141">
        <v>0.0</v>
      </c>
      <c r="M88" s="141">
        <v>0.0</v>
      </c>
      <c r="N88" s="141">
        <v>0.0</v>
      </c>
      <c r="O88" s="141">
        <v>0.0</v>
      </c>
      <c r="P88" s="141">
        <v>0.0</v>
      </c>
      <c r="Q88" s="141">
        <v>0.0</v>
      </c>
      <c r="R88" s="141">
        <v>1.0</v>
      </c>
      <c r="S88" s="141"/>
      <c r="T88" s="142"/>
      <c r="U88" s="142"/>
      <c r="V88" s="142"/>
      <c r="W88" s="142"/>
      <c r="X88" s="142"/>
      <c r="Y88" s="141"/>
      <c r="Z88" s="141"/>
      <c r="AA88" s="141"/>
      <c r="AB88" s="141"/>
      <c r="AC88" s="141"/>
      <c r="AD88" s="141"/>
      <c r="AE88" s="141"/>
    </row>
    <row r="89" ht="17.25" customHeight="1">
      <c r="A89" s="133" t="s">
        <v>23</v>
      </c>
      <c r="B89" s="133" t="s">
        <v>89</v>
      </c>
      <c r="C89" s="133" t="s">
        <v>90</v>
      </c>
      <c r="E89" s="133" t="s">
        <v>91</v>
      </c>
      <c r="F89" s="133" t="s">
        <v>142</v>
      </c>
      <c r="G89" s="140">
        <v>1.4936023E7</v>
      </c>
      <c r="H89" s="141">
        <v>7.400265209201E12</v>
      </c>
      <c r="I89" s="133" t="s">
        <v>101</v>
      </c>
      <c r="J89" s="133" t="s">
        <v>102</v>
      </c>
      <c r="K89" s="133" t="s">
        <v>95</v>
      </c>
      <c r="L89" s="141">
        <v>0.0</v>
      </c>
      <c r="M89" s="141">
        <v>0.0</v>
      </c>
      <c r="N89" s="141">
        <v>0.0</v>
      </c>
      <c r="O89" s="141">
        <v>0.0</v>
      </c>
      <c r="P89" s="141">
        <v>0.0</v>
      </c>
      <c r="Q89" s="141">
        <v>0.0</v>
      </c>
      <c r="R89" s="141">
        <v>1.0</v>
      </c>
      <c r="S89" s="141"/>
      <c r="T89" s="142"/>
      <c r="U89" s="142"/>
      <c r="V89" s="142"/>
      <c r="W89" s="142"/>
      <c r="X89" s="142"/>
      <c r="Y89" s="141"/>
      <c r="Z89" s="141"/>
      <c r="AA89" s="141"/>
      <c r="AB89" s="141"/>
      <c r="AC89" s="141"/>
      <c r="AD89" s="141"/>
      <c r="AE89" s="141"/>
    </row>
    <row r="90" ht="17.25" customHeight="1">
      <c r="A90" s="133" t="s">
        <v>23</v>
      </c>
      <c r="B90" s="133" t="s">
        <v>158</v>
      </c>
      <c r="C90" s="133"/>
      <c r="D90" s="133"/>
      <c r="E90" s="133" t="s">
        <v>164</v>
      </c>
      <c r="F90" s="133" t="s">
        <v>166</v>
      </c>
      <c r="G90" s="140">
        <v>1.6123098E7</v>
      </c>
      <c r="H90" s="141">
        <v>7.003475409203E12</v>
      </c>
      <c r="I90" s="133" t="s">
        <v>140</v>
      </c>
      <c r="J90" s="133" t="s">
        <v>102</v>
      </c>
      <c r="K90" s="133" t="s">
        <v>113</v>
      </c>
      <c r="L90" s="141">
        <v>0.0</v>
      </c>
      <c r="M90" s="141">
        <v>0.0</v>
      </c>
      <c r="N90" s="141">
        <v>0.0</v>
      </c>
      <c r="O90" s="141">
        <v>0.0</v>
      </c>
      <c r="P90" s="141">
        <v>0.0</v>
      </c>
      <c r="Q90" s="141">
        <v>0.0</v>
      </c>
      <c r="R90" s="141">
        <v>1.0</v>
      </c>
      <c r="S90" s="141"/>
      <c r="T90" s="142"/>
      <c r="U90" s="142"/>
      <c r="V90" s="142"/>
      <c r="W90" s="142"/>
      <c r="X90" s="142"/>
      <c r="Y90" s="141"/>
      <c r="Z90" s="141"/>
      <c r="AA90" s="141"/>
      <c r="AB90" s="141"/>
      <c r="AC90" s="141"/>
      <c r="AD90" s="141"/>
      <c r="AE90" s="141"/>
    </row>
    <row r="91" ht="17.25" customHeight="1">
      <c r="A91" s="133" t="s">
        <v>23</v>
      </c>
      <c r="B91" s="133" t="s">
        <v>89</v>
      </c>
      <c r="C91" s="133" t="s">
        <v>90</v>
      </c>
      <c r="E91" s="133" t="s">
        <v>91</v>
      </c>
      <c r="F91" s="133" t="s">
        <v>157</v>
      </c>
      <c r="G91" s="140">
        <v>1.1210357E7</v>
      </c>
      <c r="H91" s="141">
        <v>7.400205400002E12</v>
      </c>
      <c r="I91" s="133" t="s">
        <v>140</v>
      </c>
      <c r="J91" s="133" t="s">
        <v>102</v>
      </c>
      <c r="K91" s="133" t="s">
        <v>97</v>
      </c>
      <c r="L91" s="141">
        <v>0.0</v>
      </c>
      <c r="M91" s="141">
        <v>0.0</v>
      </c>
      <c r="N91" s="141">
        <v>0.0</v>
      </c>
      <c r="O91" s="141">
        <v>0.0</v>
      </c>
      <c r="P91" s="141">
        <v>0.0</v>
      </c>
      <c r="Q91" s="141">
        <v>0.0</v>
      </c>
      <c r="R91" s="141">
        <v>1.0</v>
      </c>
      <c r="S91" s="141"/>
      <c r="T91" s="142"/>
      <c r="U91" s="142"/>
      <c r="V91" s="142"/>
      <c r="W91" s="142"/>
      <c r="X91" s="142"/>
      <c r="Y91" s="141"/>
      <c r="Z91" s="141"/>
      <c r="AA91" s="141"/>
      <c r="AB91" s="141"/>
      <c r="AC91" s="141"/>
      <c r="AD91" s="141"/>
      <c r="AE91" s="141"/>
    </row>
    <row r="92" ht="17.25" customHeight="1">
      <c r="A92" s="133" t="s">
        <v>23</v>
      </c>
      <c r="B92" s="133" t="s">
        <v>158</v>
      </c>
      <c r="C92" s="133"/>
      <c r="D92" s="133"/>
      <c r="E92" s="133" t="s">
        <v>164</v>
      </c>
      <c r="F92" s="133" t="s">
        <v>165</v>
      </c>
      <c r="G92" s="140">
        <v>1.6123099E7</v>
      </c>
      <c r="H92" s="141">
        <v>7.003495609201E12</v>
      </c>
      <c r="I92" s="133" t="s">
        <v>112</v>
      </c>
      <c r="J92" s="133" t="s">
        <v>102</v>
      </c>
      <c r="K92" s="133" t="s">
        <v>95</v>
      </c>
      <c r="L92" s="141">
        <v>0.0</v>
      </c>
      <c r="M92" s="141">
        <v>0.0</v>
      </c>
      <c r="N92" s="141">
        <v>0.0</v>
      </c>
      <c r="O92" s="141">
        <v>0.0</v>
      </c>
      <c r="P92" s="141">
        <v>0.0</v>
      </c>
      <c r="Q92" s="141">
        <v>0.0</v>
      </c>
      <c r="R92" s="141">
        <v>2.0</v>
      </c>
      <c r="S92" s="141"/>
      <c r="T92" s="142"/>
      <c r="U92" s="142"/>
      <c r="V92" s="142"/>
      <c r="W92" s="142"/>
      <c r="X92" s="142"/>
      <c r="Y92" s="141"/>
      <c r="Z92" s="141"/>
      <c r="AA92" s="141"/>
      <c r="AB92" s="141"/>
      <c r="AC92" s="141"/>
      <c r="AD92" s="141"/>
      <c r="AE92" s="141"/>
    </row>
    <row r="93" ht="17.25" customHeight="1">
      <c r="A93" s="133" t="s">
        <v>23</v>
      </c>
      <c r="B93" s="133" t="s">
        <v>106</v>
      </c>
      <c r="C93" s="133" t="s">
        <v>90</v>
      </c>
      <c r="E93" s="133" t="s">
        <v>114</v>
      </c>
      <c r="F93" s="133" t="s">
        <v>169</v>
      </c>
      <c r="G93" s="140">
        <v>1.696376E7</v>
      </c>
      <c r="H93" s="141">
        <v>7.403874403114E12</v>
      </c>
      <c r="I93" s="133" t="s">
        <v>96</v>
      </c>
      <c r="J93" s="133" t="s">
        <v>102</v>
      </c>
      <c r="K93" s="133" t="s">
        <v>95</v>
      </c>
      <c r="L93" s="141">
        <v>0.0</v>
      </c>
      <c r="M93" s="141">
        <v>0.0</v>
      </c>
      <c r="N93" s="141">
        <v>0.0</v>
      </c>
      <c r="O93" s="141">
        <v>0.0</v>
      </c>
      <c r="P93" s="141">
        <v>0.0</v>
      </c>
      <c r="Q93" s="141">
        <v>0.0</v>
      </c>
      <c r="R93" s="141">
        <v>1.0</v>
      </c>
      <c r="S93" s="141"/>
      <c r="T93" s="142"/>
      <c r="U93" s="142"/>
      <c r="V93" s="142"/>
      <c r="W93" s="142"/>
      <c r="X93" s="142"/>
      <c r="Y93" s="141"/>
      <c r="Z93" s="141"/>
      <c r="AA93" s="141"/>
      <c r="AB93" s="141"/>
      <c r="AC93" s="141"/>
      <c r="AD93" s="141"/>
      <c r="AE93" s="141"/>
    </row>
    <row r="94" ht="17.25" customHeight="1">
      <c r="A94" s="133" t="s">
        <v>23</v>
      </c>
      <c r="B94" s="133" t="s">
        <v>106</v>
      </c>
      <c r="C94" s="133" t="s">
        <v>90</v>
      </c>
      <c r="E94" s="133" t="s">
        <v>114</v>
      </c>
      <c r="F94" s="133" t="s">
        <v>169</v>
      </c>
      <c r="G94" s="140">
        <v>1.696376E7</v>
      </c>
      <c r="H94" s="141">
        <v>7.403874403114E12</v>
      </c>
      <c r="I94" s="133" t="s">
        <v>96</v>
      </c>
      <c r="J94" s="133" t="s">
        <v>102</v>
      </c>
      <c r="K94" s="133" t="s">
        <v>95</v>
      </c>
      <c r="L94" s="141">
        <v>0.0</v>
      </c>
      <c r="M94" s="141">
        <v>0.0</v>
      </c>
      <c r="N94" s="141">
        <v>0.0</v>
      </c>
      <c r="O94" s="141">
        <v>0.0</v>
      </c>
      <c r="P94" s="141">
        <v>0.0</v>
      </c>
      <c r="Q94" s="141">
        <v>0.0</v>
      </c>
      <c r="R94" s="141">
        <v>1.0</v>
      </c>
      <c r="S94" s="141"/>
      <c r="T94" s="142"/>
      <c r="U94" s="142"/>
      <c r="V94" s="142"/>
      <c r="W94" s="142"/>
      <c r="X94" s="142"/>
      <c r="Y94" s="141"/>
      <c r="Z94" s="141"/>
      <c r="AA94" s="141"/>
      <c r="AB94" s="141"/>
      <c r="AC94" s="141"/>
      <c r="AD94" s="141"/>
      <c r="AE94" s="141"/>
    </row>
    <row r="95" ht="17.25" customHeight="1">
      <c r="A95" s="133" t="s">
        <v>23</v>
      </c>
      <c r="B95" s="133" t="s">
        <v>98</v>
      </c>
      <c r="C95" s="133" t="s">
        <v>90</v>
      </c>
      <c r="E95" s="133" t="s">
        <v>99</v>
      </c>
      <c r="F95" s="133" t="s">
        <v>100</v>
      </c>
      <c r="G95" s="140">
        <v>1.4967663E7</v>
      </c>
      <c r="H95" s="141">
        <v>7.003065006201E12</v>
      </c>
      <c r="I95" s="133" t="s">
        <v>122</v>
      </c>
      <c r="J95" s="133" t="s">
        <v>102</v>
      </c>
      <c r="K95" s="133" t="s">
        <v>113</v>
      </c>
      <c r="L95" s="141">
        <v>0.0</v>
      </c>
      <c r="M95" s="141">
        <v>0.0</v>
      </c>
      <c r="N95" s="141">
        <v>0.0</v>
      </c>
      <c r="O95" s="141">
        <v>0.0</v>
      </c>
      <c r="P95" s="141">
        <v>0.0</v>
      </c>
      <c r="Q95" s="141">
        <v>0.0</v>
      </c>
      <c r="R95" s="141">
        <v>1.0</v>
      </c>
      <c r="S95" s="141"/>
      <c r="T95" s="142"/>
      <c r="U95" s="142"/>
      <c r="V95" s="142"/>
      <c r="W95" s="142"/>
      <c r="X95" s="142"/>
      <c r="Y95" s="141"/>
      <c r="Z95" s="141"/>
      <c r="AA95" s="141"/>
      <c r="AB95" s="141"/>
      <c r="AC95" s="141"/>
      <c r="AD95" s="141"/>
      <c r="AE95" s="141"/>
    </row>
    <row r="96" ht="17.25" customHeight="1">
      <c r="A96" s="133" t="s">
        <v>23</v>
      </c>
      <c r="B96" s="133" t="s">
        <v>170</v>
      </c>
      <c r="C96" s="133" t="s">
        <v>90</v>
      </c>
      <c r="E96" s="133" t="s">
        <v>171</v>
      </c>
      <c r="F96" s="133" t="s">
        <v>172</v>
      </c>
      <c r="G96" s="140">
        <v>1.4790928E7</v>
      </c>
      <c r="H96" s="141">
        <v>7.003075006208E12</v>
      </c>
      <c r="I96" s="133" t="s">
        <v>122</v>
      </c>
      <c r="J96" s="133" t="s">
        <v>94</v>
      </c>
      <c r="K96" s="133" t="s">
        <v>95</v>
      </c>
      <c r="L96" s="141">
        <v>0.0</v>
      </c>
      <c r="M96" s="141">
        <v>0.0</v>
      </c>
      <c r="N96" s="141">
        <v>2.0</v>
      </c>
      <c r="O96" s="141">
        <v>3554.7</v>
      </c>
      <c r="P96" s="141">
        <v>2.0</v>
      </c>
      <c r="Q96" s="141">
        <v>3554.7</v>
      </c>
      <c r="R96" s="141">
        <v>0.0</v>
      </c>
      <c r="S96" s="141"/>
      <c r="T96" s="142"/>
      <c r="U96" s="142"/>
      <c r="V96" s="142"/>
      <c r="W96" s="142"/>
      <c r="X96" s="142"/>
      <c r="Y96" s="141"/>
      <c r="Z96" s="141"/>
      <c r="AA96" s="141"/>
      <c r="AB96" s="141"/>
      <c r="AC96" s="141"/>
      <c r="AD96" s="141"/>
      <c r="AE96" s="141"/>
    </row>
    <row r="97" ht="17.25" customHeight="1">
      <c r="A97" s="133" t="s">
        <v>23</v>
      </c>
      <c r="B97" s="133" t="s">
        <v>170</v>
      </c>
      <c r="C97" s="133" t="s">
        <v>90</v>
      </c>
      <c r="E97" s="133" t="s">
        <v>171</v>
      </c>
      <c r="F97" s="133" t="s">
        <v>172</v>
      </c>
      <c r="G97" s="140">
        <v>1.4790928E7</v>
      </c>
      <c r="H97" s="141">
        <v>7.003074806205E12</v>
      </c>
      <c r="I97" s="133" t="s">
        <v>93</v>
      </c>
      <c r="J97" s="133" t="s">
        <v>94</v>
      </c>
      <c r="K97" s="133" t="s">
        <v>143</v>
      </c>
      <c r="L97" s="141">
        <v>0.0</v>
      </c>
      <c r="M97" s="141">
        <v>0.0</v>
      </c>
      <c r="N97" s="141">
        <v>1.0</v>
      </c>
      <c r="O97" s="141">
        <v>1690.65</v>
      </c>
      <c r="P97" s="141">
        <v>0.0</v>
      </c>
      <c r="Q97" s="141">
        <v>0.0</v>
      </c>
      <c r="R97" s="141">
        <v>0.0</v>
      </c>
      <c r="S97" s="141"/>
      <c r="T97" s="142"/>
      <c r="U97" s="142"/>
      <c r="V97" s="142"/>
      <c r="W97" s="142"/>
      <c r="X97" s="142"/>
      <c r="Y97" s="141"/>
      <c r="Z97" s="141"/>
      <c r="AA97" s="141"/>
      <c r="AB97" s="141"/>
      <c r="AC97" s="141"/>
      <c r="AD97" s="141"/>
      <c r="AE97" s="141"/>
    </row>
    <row r="98" ht="17.25" customHeight="1">
      <c r="A98" s="133" t="s">
        <v>23</v>
      </c>
      <c r="B98" s="133" t="s">
        <v>98</v>
      </c>
      <c r="C98" s="133" t="s">
        <v>90</v>
      </c>
      <c r="E98" s="133" t="s">
        <v>99</v>
      </c>
      <c r="F98" s="133" t="s">
        <v>100</v>
      </c>
      <c r="G98" s="140">
        <v>1.4967663E7</v>
      </c>
      <c r="H98" s="141">
        <v>7.003064606204E12</v>
      </c>
      <c r="I98" s="133" t="s">
        <v>96</v>
      </c>
      <c r="J98" s="133" t="s">
        <v>102</v>
      </c>
      <c r="K98" s="133" t="s">
        <v>95</v>
      </c>
      <c r="L98" s="141">
        <v>0.0</v>
      </c>
      <c r="M98" s="141">
        <v>0.0</v>
      </c>
      <c r="N98" s="141">
        <v>1.0</v>
      </c>
      <c r="O98" s="141">
        <v>1708.24</v>
      </c>
      <c r="P98" s="141">
        <v>1.0</v>
      </c>
      <c r="Q98" s="141">
        <v>1967.07</v>
      </c>
      <c r="R98" s="141">
        <v>26.0</v>
      </c>
      <c r="S98" s="141"/>
      <c r="T98" s="142"/>
      <c r="U98" s="142"/>
      <c r="V98" s="142"/>
      <c r="W98" s="142"/>
      <c r="X98" s="142"/>
      <c r="Y98" s="141"/>
      <c r="Z98" s="141"/>
      <c r="AA98" s="141"/>
      <c r="AB98" s="141"/>
      <c r="AC98" s="141"/>
      <c r="AD98" s="141"/>
      <c r="AE98" s="141"/>
    </row>
    <row r="99" ht="17.25" customHeight="1">
      <c r="A99" s="133" t="s">
        <v>23</v>
      </c>
      <c r="B99" s="133" t="s">
        <v>89</v>
      </c>
      <c r="C99" s="133" t="s">
        <v>90</v>
      </c>
      <c r="E99" s="133" t="s">
        <v>91</v>
      </c>
      <c r="F99" s="133" t="s">
        <v>105</v>
      </c>
      <c r="G99" s="140">
        <v>1.4936013E7</v>
      </c>
      <c r="H99" s="141">
        <v>7.400215407206E12</v>
      </c>
      <c r="I99" s="133" t="s">
        <v>140</v>
      </c>
      <c r="J99" s="133" t="s">
        <v>102</v>
      </c>
      <c r="K99" s="133" t="s">
        <v>95</v>
      </c>
      <c r="L99" s="141">
        <v>0.0</v>
      </c>
      <c r="M99" s="141">
        <v>0.0</v>
      </c>
      <c r="N99" s="141">
        <v>0.0</v>
      </c>
      <c r="O99" s="141">
        <v>0.0</v>
      </c>
      <c r="P99" s="141">
        <v>0.0</v>
      </c>
      <c r="Q99" s="141">
        <v>0.0</v>
      </c>
      <c r="R99" s="141">
        <v>8.0</v>
      </c>
      <c r="S99" s="141"/>
      <c r="T99" s="142"/>
      <c r="U99" s="142"/>
      <c r="V99" s="142"/>
      <c r="W99" s="142"/>
      <c r="X99" s="142"/>
      <c r="Y99" s="141"/>
      <c r="Z99" s="141"/>
      <c r="AA99" s="141"/>
      <c r="AB99" s="141"/>
      <c r="AC99" s="141"/>
      <c r="AD99" s="141"/>
      <c r="AE99" s="141"/>
    </row>
    <row r="100" ht="17.25" customHeight="1">
      <c r="A100" s="133" t="s">
        <v>23</v>
      </c>
      <c r="B100" s="133" t="s">
        <v>170</v>
      </c>
      <c r="C100" s="133" t="s">
        <v>90</v>
      </c>
      <c r="E100" s="133" t="s">
        <v>171</v>
      </c>
      <c r="F100" s="133" t="s">
        <v>172</v>
      </c>
      <c r="G100" s="140">
        <v>1.4790928E7</v>
      </c>
      <c r="H100" s="141">
        <v>7.003074806205E12</v>
      </c>
      <c r="I100" s="133" t="s">
        <v>93</v>
      </c>
      <c r="J100" s="133" t="s">
        <v>94</v>
      </c>
      <c r="K100" s="133" t="s">
        <v>95</v>
      </c>
      <c r="L100" s="141">
        <v>0.0</v>
      </c>
      <c r="M100" s="141">
        <v>0.0</v>
      </c>
      <c r="N100" s="141">
        <v>3.0</v>
      </c>
      <c r="O100" s="141">
        <v>4847.55</v>
      </c>
      <c r="P100" s="141">
        <v>3.0</v>
      </c>
      <c r="Q100" s="141">
        <v>5592.15</v>
      </c>
      <c r="R100" s="141">
        <v>0.0</v>
      </c>
      <c r="S100" s="141"/>
      <c r="T100" s="142"/>
      <c r="U100" s="142"/>
      <c r="V100" s="142"/>
      <c r="W100" s="142"/>
      <c r="X100" s="142"/>
      <c r="Y100" s="141"/>
      <c r="Z100" s="141"/>
      <c r="AA100" s="141"/>
      <c r="AB100" s="141"/>
      <c r="AC100" s="141"/>
      <c r="AD100" s="141"/>
      <c r="AE100" s="141"/>
    </row>
    <row r="101" ht="17.25" customHeight="1">
      <c r="A101" s="133" t="s">
        <v>23</v>
      </c>
      <c r="B101" s="133" t="s">
        <v>98</v>
      </c>
      <c r="C101" s="133" t="s">
        <v>90</v>
      </c>
      <c r="E101" s="133" t="s">
        <v>99</v>
      </c>
      <c r="F101" s="133" t="s">
        <v>100</v>
      </c>
      <c r="G101" s="140">
        <v>1.4967663E7</v>
      </c>
      <c r="H101" s="141">
        <v>7.003065006201E12</v>
      </c>
      <c r="I101" s="133" t="s">
        <v>122</v>
      </c>
      <c r="J101" s="133" t="s">
        <v>102</v>
      </c>
      <c r="K101" s="133" t="s">
        <v>95</v>
      </c>
      <c r="L101" s="141">
        <v>0.0</v>
      </c>
      <c r="M101" s="141">
        <v>0.0</v>
      </c>
      <c r="N101" s="141">
        <v>2.0</v>
      </c>
      <c r="O101" s="141">
        <v>3416.48</v>
      </c>
      <c r="P101" s="141">
        <v>0.0</v>
      </c>
      <c r="Q101" s="141">
        <v>0.0</v>
      </c>
      <c r="R101" s="141">
        <v>33.0</v>
      </c>
      <c r="S101" s="141"/>
      <c r="T101" s="142"/>
      <c r="U101" s="142"/>
      <c r="V101" s="142"/>
      <c r="W101" s="142"/>
      <c r="X101" s="142"/>
      <c r="Y101" s="141"/>
      <c r="Z101" s="141"/>
      <c r="AA101" s="141"/>
      <c r="AB101" s="141"/>
      <c r="AC101" s="141"/>
      <c r="AD101" s="141"/>
      <c r="AE101" s="141"/>
    </row>
    <row r="102" ht="17.25" customHeight="1">
      <c r="A102" s="133" t="s">
        <v>23</v>
      </c>
      <c r="B102" s="133" t="s">
        <v>89</v>
      </c>
      <c r="C102" s="133" t="s">
        <v>90</v>
      </c>
      <c r="E102" s="133" t="s">
        <v>91</v>
      </c>
      <c r="F102" s="133" t="s">
        <v>139</v>
      </c>
      <c r="G102" s="140">
        <v>1.1210356E7</v>
      </c>
      <c r="H102" s="141">
        <v>7.300204400006E12</v>
      </c>
      <c r="I102" s="133" t="s">
        <v>135</v>
      </c>
      <c r="J102" s="133" t="s">
        <v>102</v>
      </c>
      <c r="K102" s="133" t="s">
        <v>95</v>
      </c>
      <c r="L102" s="141">
        <v>0.0</v>
      </c>
      <c r="M102" s="141">
        <v>0.0</v>
      </c>
      <c r="N102" s="141">
        <v>3.0</v>
      </c>
      <c r="O102" s="141">
        <v>10229.55</v>
      </c>
      <c r="P102" s="141">
        <v>0.0</v>
      </c>
      <c r="Q102" s="141">
        <v>0.0</v>
      </c>
      <c r="R102" s="141">
        <v>18.0</v>
      </c>
      <c r="S102" s="141"/>
      <c r="T102" s="142"/>
      <c r="U102" s="142"/>
      <c r="V102" s="142"/>
      <c r="W102" s="142"/>
      <c r="X102" s="142"/>
      <c r="Y102" s="141"/>
      <c r="Z102" s="141"/>
      <c r="AA102" s="141"/>
      <c r="AB102" s="141"/>
      <c r="AC102" s="141"/>
      <c r="AD102" s="141"/>
      <c r="AE102" s="141"/>
    </row>
    <row r="103" ht="16.5" customHeight="1">
      <c r="A103" s="133" t="s">
        <v>23</v>
      </c>
      <c r="B103" s="133" t="s">
        <v>136</v>
      </c>
      <c r="C103" s="133" t="s">
        <v>90</v>
      </c>
      <c r="E103" s="133" t="s">
        <v>161</v>
      </c>
      <c r="F103" s="133" t="s">
        <v>173</v>
      </c>
      <c r="G103" s="140">
        <v>1.9459471E7</v>
      </c>
      <c r="H103" s="141">
        <v>7.403985211028E12</v>
      </c>
      <c r="I103" s="133" t="s">
        <v>174</v>
      </c>
      <c r="J103" s="133" t="s">
        <v>102</v>
      </c>
      <c r="K103" s="133" t="s">
        <v>95</v>
      </c>
      <c r="L103" s="141">
        <v>0.0</v>
      </c>
      <c r="M103" s="141">
        <v>0.0</v>
      </c>
      <c r="N103" s="141">
        <v>10.0</v>
      </c>
      <c r="O103" s="141">
        <v>17931.99</v>
      </c>
      <c r="P103" s="141">
        <v>2.0</v>
      </c>
      <c r="Q103" s="141">
        <v>4005.6</v>
      </c>
      <c r="R103" s="141">
        <v>78.0</v>
      </c>
      <c r="S103" s="141"/>
      <c r="T103" s="142"/>
      <c r="U103" s="142"/>
      <c r="V103" s="142"/>
      <c r="W103" s="142"/>
      <c r="X103" s="142"/>
      <c r="Y103" s="141"/>
      <c r="Z103" s="141"/>
      <c r="AA103" s="141"/>
      <c r="AB103" s="141"/>
      <c r="AC103" s="141"/>
      <c r="AD103" s="141"/>
      <c r="AE103" s="141"/>
    </row>
    <row r="104" ht="17.25" customHeight="1">
      <c r="A104" s="133" t="s">
        <v>23</v>
      </c>
      <c r="B104" s="133" t="s">
        <v>89</v>
      </c>
      <c r="C104" s="133" t="s">
        <v>90</v>
      </c>
      <c r="E104" s="133" t="s">
        <v>91</v>
      </c>
      <c r="F104" s="133" t="s">
        <v>105</v>
      </c>
      <c r="G104" s="140">
        <v>1.4936013E7</v>
      </c>
      <c r="H104" s="141">
        <v>7.400215407206E12</v>
      </c>
      <c r="I104" s="133" t="s">
        <v>140</v>
      </c>
      <c r="J104" s="133" t="s">
        <v>102</v>
      </c>
      <c r="K104" s="133" t="s">
        <v>113</v>
      </c>
      <c r="L104" s="141">
        <v>0.0</v>
      </c>
      <c r="M104" s="141">
        <v>0.0</v>
      </c>
      <c r="N104" s="141">
        <v>0.0</v>
      </c>
      <c r="O104" s="141">
        <v>0.0</v>
      </c>
      <c r="P104" s="141">
        <v>0.0</v>
      </c>
      <c r="Q104" s="141">
        <v>0.0</v>
      </c>
      <c r="R104" s="141">
        <v>1.0</v>
      </c>
      <c r="S104" s="141"/>
      <c r="T104" s="142"/>
      <c r="U104" s="142"/>
      <c r="V104" s="142"/>
      <c r="W104" s="142"/>
      <c r="X104" s="142"/>
      <c r="Y104" s="141"/>
      <c r="Z104" s="141"/>
      <c r="AA104" s="141"/>
      <c r="AB104" s="141"/>
      <c r="AC104" s="141"/>
      <c r="AD104" s="141"/>
      <c r="AE104" s="141"/>
    </row>
    <row r="105" ht="17.25" customHeight="1">
      <c r="A105" s="133" t="s">
        <v>23</v>
      </c>
      <c r="B105" s="133" t="s">
        <v>89</v>
      </c>
      <c r="C105" s="133" t="s">
        <v>90</v>
      </c>
      <c r="E105" s="133" t="s">
        <v>91</v>
      </c>
      <c r="F105" s="133" t="s">
        <v>139</v>
      </c>
      <c r="G105" s="140">
        <v>1.1210356E7</v>
      </c>
      <c r="H105" s="141">
        <v>7.300204400006E12</v>
      </c>
      <c r="I105" s="133" t="s">
        <v>135</v>
      </c>
      <c r="J105" s="133" t="s">
        <v>102</v>
      </c>
      <c r="K105" s="133" t="s">
        <v>143</v>
      </c>
      <c r="L105" s="141">
        <v>0.0</v>
      </c>
      <c r="M105" s="141">
        <v>0.0</v>
      </c>
      <c r="N105" s="141">
        <v>0.0</v>
      </c>
      <c r="O105" s="141">
        <v>0.0</v>
      </c>
      <c r="P105" s="141">
        <v>0.0</v>
      </c>
      <c r="Q105" s="141">
        <v>0.0</v>
      </c>
      <c r="R105" s="141">
        <v>1.0</v>
      </c>
      <c r="S105" s="141"/>
      <c r="T105" s="142"/>
      <c r="U105" s="142"/>
      <c r="V105" s="142"/>
      <c r="W105" s="142"/>
      <c r="X105" s="142"/>
      <c r="Y105" s="141"/>
      <c r="Z105" s="141"/>
      <c r="AA105" s="141"/>
      <c r="AB105" s="141"/>
      <c r="AC105" s="141"/>
      <c r="AD105" s="141"/>
      <c r="AE105" s="141"/>
    </row>
    <row r="106" ht="17.25" customHeight="1">
      <c r="A106" s="133" t="s">
        <v>23</v>
      </c>
      <c r="B106" s="133" t="s">
        <v>89</v>
      </c>
      <c r="C106" s="133" t="s">
        <v>90</v>
      </c>
      <c r="E106" s="133" t="s">
        <v>91</v>
      </c>
      <c r="F106" s="133" t="s">
        <v>139</v>
      </c>
      <c r="G106" s="140">
        <v>1.1210356E7</v>
      </c>
      <c r="H106" s="141">
        <v>7.300204400006E12</v>
      </c>
      <c r="I106" s="133" t="s">
        <v>135</v>
      </c>
      <c r="J106" s="133" t="s">
        <v>102</v>
      </c>
      <c r="K106" s="133" t="s">
        <v>95</v>
      </c>
      <c r="L106" s="141">
        <v>0.0</v>
      </c>
      <c r="M106" s="141">
        <v>0.0</v>
      </c>
      <c r="N106" s="141">
        <v>0.0</v>
      </c>
      <c r="O106" s="141">
        <v>0.0</v>
      </c>
      <c r="P106" s="141">
        <v>0.0</v>
      </c>
      <c r="Q106" s="141">
        <v>0.0</v>
      </c>
      <c r="R106" s="141">
        <v>1.0</v>
      </c>
      <c r="S106" s="141"/>
      <c r="T106" s="142"/>
      <c r="U106" s="142"/>
      <c r="V106" s="142"/>
      <c r="W106" s="142"/>
      <c r="X106" s="142"/>
      <c r="Y106" s="141"/>
      <c r="Z106" s="141"/>
      <c r="AA106" s="141"/>
      <c r="AB106" s="141"/>
      <c r="AC106" s="141"/>
      <c r="AD106" s="141"/>
      <c r="AE106" s="141"/>
    </row>
    <row r="107" ht="17.25" customHeight="1">
      <c r="A107" s="133" t="s">
        <v>23</v>
      </c>
      <c r="B107" s="133" t="s">
        <v>89</v>
      </c>
      <c r="C107" s="133" t="s">
        <v>90</v>
      </c>
      <c r="E107" s="133" t="s">
        <v>91</v>
      </c>
      <c r="F107" s="133" t="s">
        <v>139</v>
      </c>
      <c r="G107" s="140">
        <v>1.1210356E7</v>
      </c>
      <c r="H107" s="141">
        <v>7.300204400006E12</v>
      </c>
      <c r="I107" s="133" t="s">
        <v>135</v>
      </c>
      <c r="J107" s="133" t="s">
        <v>102</v>
      </c>
      <c r="K107" s="133" t="s">
        <v>116</v>
      </c>
      <c r="L107" s="141">
        <v>0.0</v>
      </c>
      <c r="M107" s="141">
        <v>0.0</v>
      </c>
      <c r="N107" s="141">
        <v>0.0</v>
      </c>
      <c r="O107" s="141">
        <v>0.0</v>
      </c>
      <c r="P107" s="141">
        <v>0.0</v>
      </c>
      <c r="Q107" s="141">
        <v>0.0</v>
      </c>
      <c r="R107" s="141">
        <v>1.0</v>
      </c>
      <c r="S107" s="141"/>
      <c r="T107" s="142"/>
      <c r="U107" s="142"/>
      <c r="V107" s="142"/>
      <c r="W107" s="142"/>
      <c r="X107" s="142"/>
      <c r="Y107" s="141"/>
      <c r="Z107" s="141"/>
      <c r="AA107" s="141"/>
      <c r="AB107" s="141"/>
      <c r="AC107" s="141"/>
      <c r="AD107" s="141"/>
      <c r="AE107" s="141"/>
    </row>
    <row r="108" ht="17.25" customHeight="1">
      <c r="A108" s="133" t="s">
        <v>23</v>
      </c>
      <c r="B108" s="133" t="s">
        <v>89</v>
      </c>
      <c r="C108" s="133" t="s">
        <v>90</v>
      </c>
      <c r="E108" s="133" t="s">
        <v>91</v>
      </c>
      <c r="F108" s="133" t="s">
        <v>139</v>
      </c>
      <c r="G108" s="140">
        <v>1.1210356E7</v>
      </c>
      <c r="H108" s="141">
        <v>7.300204400006E12</v>
      </c>
      <c r="I108" s="133" t="s">
        <v>135</v>
      </c>
      <c r="J108" s="133" t="s">
        <v>102</v>
      </c>
      <c r="K108" s="133" t="s">
        <v>104</v>
      </c>
      <c r="L108" s="141">
        <v>0.0</v>
      </c>
      <c r="M108" s="141">
        <v>0.0</v>
      </c>
      <c r="N108" s="141">
        <v>0.0</v>
      </c>
      <c r="O108" s="141">
        <v>0.0</v>
      </c>
      <c r="P108" s="141">
        <v>0.0</v>
      </c>
      <c r="Q108" s="141">
        <v>0.0</v>
      </c>
      <c r="R108" s="141">
        <v>1.0</v>
      </c>
      <c r="S108" s="141"/>
      <c r="T108" s="142"/>
      <c r="U108" s="142"/>
      <c r="V108" s="142"/>
      <c r="W108" s="142"/>
      <c r="X108" s="142"/>
      <c r="Y108" s="141"/>
      <c r="Z108" s="141"/>
      <c r="AA108" s="141"/>
      <c r="AB108" s="141"/>
      <c r="AC108" s="141"/>
      <c r="AD108" s="141"/>
      <c r="AE108" s="141"/>
    </row>
    <row r="109" ht="17.25" customHeight="1">
      <c r="A109" s="133" t="s">
        <v>23</v>
      </c>
      <c r="B109" s="133" t="s">
        <v>136</v>
      </c>
      <c r="C109" s="133" t="s">
        <v>90</v>
      </c>
      <c r="E109" s="133" t="s">
        <v>137</v>
      </c>
      <c r="F109" s="133" t="s">
        <v>40</v>
      </c>
      <c r="G109" s="140">
        <v>1.8583837E7</v>
      </c>
      <c r="H109" s="141">
        <v>7.403945429128E12</v>
      </c>
      <c r="I109" s="133" t="s">
        <v>138</v>
      </c>
      <c r="J109" s="133" t="s">
        <v>94</v>
      </c>
      <c r="K109" s="133" t="s">
        <v>113</v>
      </c>
      <c r="L109" s="141">
        <v>0.0</v>
      </c>
      <c r="M109" s="141">
        <v>0.0</v>
      </c>
      <c r="N109" s="141">
        <v>0.0</v>
      </c>
      <c r="O109" s="141">
        <v>0.0</v>
      </c>
      <c r="P109" s="141">
        <v>1.0</v>
      </c>
      <c r="Q109" s="141">
        <v>1356.5</v>
      </c>
      <c r="R109" s="141">
        <v>0.0</v>
      </c>
      <c r="S109" s="141"/>
      <c r="T109" s="142"/>
      <c r="U109" s="142"/>
      <c r="V109" s="142"/>
      <c r="W109" s="142"/>
      <c r="X109" s="142"/>
      <c r="Y109" s="141"/>
      <c r="Z109" s="141"/>
      <c r="AA109" s="141"/>
      <c r="AB109" s="141"/>
      <c r="AC109" s="141"/>
      <c r="AD109" s="141"/>
      <c r="AE109" s="141"/>
    </row>
    <row r="110" ht="17.25" customHeight="1">
      <c r="A110" s="133" t="s">
        <v>23</v>
      </c>
      <c r="B110" s="133" t="s">
        <v>89</v>
      </c>
      <c r="C110" s="133" t="s">
        <v>117</v>
      </c>
      <c r="D110" s="133"/>
      <c r="E110" s="133" t="s">
        <v>118</v>
      </c>
      <c r="F110" s="133" t="s">
        <v>141</v>
      </c>
      <c r="G110" s="140">
        <v>1.4936019E7</v>
      </c>
      <c r="H110" s="141">
        <v>7.400225407203E12</v>
      </c>
      <c r="I110" s="133" t="s">
        <v>140</v>
      </c>
      <c r="J110" s="133" t="s">
        <v>94</v>
      </c>
      <c r="K110" s="133" t="s">
        <v>104</v>
      </c>
      <c r="L110" s="141">
        <v>0.0</v>
      </c>
      <c r="M110" s="141">
        <v>0.0</v>
      </c>
      <c r="N110" s="141">
        <v>1.0</v>
      </c>
      <c r="O110" s="141">
        <v>2484.48</v>
      </c>
      <c r="P110" s="141">
        <v>0.0</v>
      </c>
      <c r="Q110" s="141">
        <v>0.0</v>
      </c>
      <c r="R110" s="141">
        <v>0.0</v>
      </c>
      <c r="S110" s="141"/>
      <c r="T110" s="143"/>
      <c r="U110" s="142"/>
      <c r="V110" s="142"/>
      <c r="W110" s="142"/>
      <c r="X110" s="142"/>
      <c r="Y110" s="141"/>
      <c r="Z110" s="141"/>
      <c r="AA110" s="141"/>
      <c r="AB110" s="141"/>
      <c r="AC110" s="141"/>
      <c r="AD110" s="141"/>
      <c r="AE110" s="141"/>
    </row>
    <row r="111" ht="17.25" customHeight="1">
      <c r="A111" s="133" t="s">
        <v>23</v>
      </c>
      <c r="B111" s="133" t="s">
        <v>136</v>
      </c>
      <c r="C111" s="133" t="s">
        <v>90</v>
      </c>
      <c r="E111" s="133" t="s">
        <v>137</v>
      </c>
      <c r="F111" s="133" t="s">
        <v>40</v>
      </c>
      <c r="G111" s="140">
        <v>1.8583837E7</v>
      </c>
      <c r="H111" s="141">
        <v>7.403945429128E12</v>
      </c>
      <c r="I111" s="133" t="s">
        <v>138</v>
      </c>
      <c r="J111" s="133" t="s">
        <v>102</v>
      </c>
      <c r="K111" s="133" t="s">
        <v>95</v>
      </c>
      <c r="L111" s="141">
        <v>0.0</v>
      </c>
      <c r="M111" s="141">
        <v>0.0</v>
      </c>
      <c r="N111" s="141">
        <v>10.0</v>
      </c>
      <c r="O111" s="141">
        <v>12501.08</v>
      </c>
      <c r="P111" s="141">
        <v>8.0</v>
      </c>
      <c r="Q111" s="141">
        <v>10249.12</v>
      </c>
      <c r="R111" s="141">
        <v>184.0</v>
      </c>
      <c r="S111" s="141"/>
      <c r="T111" s="142"/>
      <c r="U111" s="142"/>
      <c r="V111" s="142"/>
      <c r="W111" s="142"/>
      <c r="X111" s="142"/>
      <c r="Y111" s="141"/>
      <c r="Z111" s="141"/>
      <c r="AA111" s="141"/>
      <c r="AB111" s="141"/>
      <c r="AC111" s="141"/>
      <c r="AD111" s="141"/>
      <c r="AE111" s="141"/>
    </row>
    <row r="112" ht="17.25" customHeight="1">
      <c r="A112" s="133" t="s">
        <v>23</v>
      </c>
      <c r="B112" s="133" t="s">
        <v>147</v>
      </c>
      <c r="C112" s="133" t="s">
        <v>90</v>
      </c>
      <c r="E112" s="133" t="s">
        <v>148</v>
      </c>
      <c r="F112" s="133" t="s">
        <v>175</v>
      </c>
      <c r="G112" s="140">
        <v>1.4620438E7</v>
      </c>
      <c r="H112" s="141">
        <v>7.403594208204E12</v>
      </c>
      <c r="I112" s="133" t="s">
        <v>135</v>
      </c>
      <c r="J112" s="133" t="s">
        <v>102</v>
      </c>
      <c r="K112" s="133" t="s">
        <v>95</v>
      </c>
      <c r="L112" s="141">
        <v>0.0</v>
      </c>
      <c r="M112" s="141">
        <v>0.0</v>
      </c>
      <c r="N112" s="141">
        <v>0.0</v>
      </c>
      <c r="O112" s="141">
        <v>0.0</v>
      </c>
      <c r="P112" s="141">
        <v>-1.0</v>
      </c>
      <c r="Q112" s="141">
        <v>-1270.15</v>
      </c>
      <c r="R112" s="141">
        <v>27.0</v>
      </c>
      <c r="S112" s="141"/>
      <c r="T112" s="142"/>
      <c r="U112" s="142"/>
      <c r="V112" s="142"/>
      <c r="W112" s="142"/>
      <c r="X112" s="142"/>
      <c r="Y112" s="141"/>
      <c r="Z112" s="141"/>
      <c r="AA112" s="141"/>
      <c r="AB112" s="141"/>
      <c r="AC112" s="141"/>
      <c r="AD112" s="141"/>
      <c r="AE112" s="141"/>
    </row>
    <row r="113" ht="17.25" customHeight="1">
      <c r="A113" s="133" t="s">
        <v>23</v>
      </c>
      <c r="B113" s="133" t="s">
        <v>136</v>
      </c>
      <c r="C113" s="133" t="s">
        <v>90</v>
      </c>
      <c r="E113" s="133" t="s">
        <v>137</v>
      </c>
      <c r="F113" s="133" t="s">
        <v>40</v>
      </c>
      <c r="G113" s="140">
        <v>1.8583837E7</v>
      </c>
      <c r="H113" s="141">
        <v>7.403945429128E12</v>
      </c>
      <c r="I113" s="133" t="s">
        <v>138</v>
      </c>
      <c r="J113" s="133" t="s">
        <v>94</v>
      </c>
      <c r="K113" s="133" t="s">
        <v>104</v>
      </c>
      <c r="L113" s="141">
        <v>0.0</v>
      </c>
      <c r="M113" s="141">
        <v>0.0</v>
      </c>
      <c r="N113" s="141">
        <v>1.0</v>
      </c>
      <c r="O113" s="141">
        <v>1356.5</v>
      </c>
      <c r="P113" s="141">
        <v>1.0</v>
      </c>
      <c r="Q113" s="141">
        <v>1356.5</v>
      </c>
      <c r="R113" s="141">
        <v>0.0</v>
      </c>
      <c r="S113" s="141"/>
      <c r="T113" s="142"/>
      <c r="U113" s="142"/>
      <c r="V113" s="142"/>
      <c r="W113" s="142"/>
      <c r="X113" s="142"/>
      <c r="Y113" s="141"/>
      <c r="Z113" s="141"/>
      <c r="AA113" s="141"/>
      <c r="AB113" s="141"/>
      <c r="AC113" s="141"/>
      <c r="AD113" s="141"/>
      <c r="AE113" s="141"/>
    </row>
    <row r="114" ht="17.25" customHeight="1">
      <c r="A114" s="133" t="s">
        <v>23</v>
      </c>
      <c r="B114" s="133" t="s">
        <v>89</v>
      </c>
      <c r="C114" s="133" t="s">
        <v>90</v>
      </c>
      <c r="E114" s="133" t="s">
        <v>91</v>
      </c>
      <c r="F114" s="133" t="s">
        <v>142</v>
      </c>
      <c r="G114" s="140">
        <v>1.4936023E7</v>
      </c>
      <c r="H114" s="141">
        <v>7.400265609209E12</v>
      </c>
      <c r="I114" s="133" t="s">
        <v>112</v>
      </c>
      <c r="J114" s="133" t="s">
        <v>94</v>
      </c>
      <c r="K114" s="133" t="s">
        <v>95</v>
      </c>
      <c r="L114" s="141">
        <v>0.0</v>
      </c>
      <c r="M114" s="141">
        <v>0.0</v>
      </c>
      <c r="N114" s="141">
        <v>0.0</v>
      </c>
      <c r="O114" s="141">
        <v>0.0</v>
      </c>
      <c r="P114" s="141">
        <v>0.0</v>
      </c>
      <c r="Q114" s="141">
        <v>0.0</v>
      </c>
      <c r="R114" s="141">
        <v>0.0</v>
      </c>
      <c r="S114" s="141"/>
      <c r="T114" s="142"/>
      <c r="U114" s="142"/>
      <c r="V114" s="142"/>
      <c r="W114" s="142"/>
      <c r="X114" s="142"/>
      <c r="Y114" s="141"/>
      <c r="Z114" s="141"/>
      <c r="AA114" s="141"/>
      <c r="AB114" s="141"/>
      <c r="AC114" s="141"/>
      <c r="AD114" s="141"/>
      <c r="AE114" s="141"/>
    </row>
    <row r="115" ht="17.25" customHeight="1">
      <c r="A115" s="133" t="s">
        <v>23</v>
      </c>
      <c r="B115" s="133" t="s">
        <v>136</v>
      </c>
      <c r="C115" s="133" t="s">
        <v>90</v>
      </c>
      <c r="E115" s="133" t="s">
        <v>137</v>
      </c>
      <c r="F115" s="133" t="s">
        <v>32</v>
      </c>
      <c r="G115" s="140">
        <v>1.3889287E7</v>
      </c>
      <c r="H115" s="141">
        <v>7.003465406205E12</v>
      </c>
      <c r="I115" s="133" t="s">
        <v>138</v>
      </c>
      <c r="J115" s="133" t="s">
        <v>94</v>
      </c>
      <c r="K115" s="133" t="s">
        <v>104</v>
      </c>
      <c r="L115" s="141">
        <v>0.0</v>
      </c>
      <c r="M115" s="141">
        <v>0.0</v>
      </c>
      <c r="N115" s="141">
        <v>0.0</v>
      </c>
      <c r="O115" s="141">
        <v>0.0</v>
      </c>
      <c r="P115" s="141">
        <v>0.0</v>
      </c>
      <c r="Q115" s="141">
        <v>0.0</v>
      </c>
      <c r="R115" s="141">
        <v>0.0</v>
      </c>
      <c r="S115" s="141"/>
      <c r="T115" s="142"/>
      <c r="U115" s="142"/>
      <c r="V115" s="142"/>
      <c r="W115" s="142"/>
      <c r="X115" s="142"/>
      <c r="Y115" s="141"/>
      <c r="Z115" s="141"/>
      <c r="AA115" s="141"/>
      <c r="AB115" s="141"/>
      <c r="AC115" s="141"/>
      <c r="AD115" s="141"/>
      <c r="AE115" s="141"/>
    </row>
    <row r="116" ht="17.25" customHeight="1">
      <c r="A116" s="133" t="s">
        <v>23</v>
      </c>
      <c r="B116" s="133" t="s">
        <v>136</v>
      </c>
      <c r="C116" s="133" t="s">
        <v>90</v>
      </c>
      <c r="E116" s="133" t="s">
        <v>137</v>
      </c>
      <c r="F116" s="133" t="s">
        <v>32</v>
      </c>
      <c r="G116" s="140">
        <v>1.3889287E7</v>
      </c>
      <c r="H116" s="141">
        <v>7.003465406205E12</v>
      </c>
      <c r="I116" s="133" t="s">
        <v>138</v>
      </c>
      <c r="J116" s="133" t="s">
        <v>94</v>
      </c>
      <c r="K116" s="133" t="s">
        <v>97</v>
      </c>
      <c r="L116" s="141">
        <v>0.0</v>
      </c>
      <c r="M116" s="141">
        <v>0.0</v>
      </c>
      <c r="N116" s="141">
        <v>2.0</v>
      </c>
      <c r="O116" s="141">
        <v>2926.12</v>
      </c>
      <c r="P116" s="141">
        <v>1.0</v>
      </c>
      <c r="Q116" s="141">
        <v>1463.06</v>
      </c>
      <c r="R116" s="141">
        <v>0.0</v>
      </c>
      <c r="S116" s="141"/>
      <c r="T116" s="142"/>
      <c r="U116" s="142"/>
      <c r="V116" s="142"/>
      <c r="W116" s="142"/>
      <c r="X116" s="142"/>
      <c r="Y116" s="141"/>
      <c r="Z116" s="141"/>
      <c r="AA116" s="141"/>
      <c r="AB116" s="141"/>
      <c r="AC116" s="141"/>
      <c r="AD116" s="141"/>
      <c r="AE116" s="141"/>
    </row>
    <row r="117" ht="17.25" customHeight="1">
      <c r="A117" s="133" t="s">
        <v>23</v>
      </c>
      <c r="B117" s="133" t="s">
        <v>136</v>
      </c>
      <c r="C117" s="133" t="s">
        <v>90</v>
      </c>
      <c r="E117" s="133" t="s">
        <v>137</v>
      </c>
      <c r="F117" s="133" t="s">
        <v>32</v>
      </c>
      <c r="G117" s="140">
        <v>1.3889287E7</v>
      </c>
      <c r="H117" s="141">
        <v>7.003465406205E12</v>
      </c>
      <c r="I117" s="133" t="s">
        <v>138</v>
      </c>
      <c r="J117" s="133" t="s">
        <v>102</v>
      </c>
      <c r="K117" s="133" t="s">
        <v>95</v>
      </c>
      <c r="L117" s="141">
        <v>0.0</v>
      </c>
      <c r="M117" s="141">
        <v>0.0</v>
      </c>
      <c r="N117" s="141">
        <v>22.0</v>
      </c>
      <c r="O117" s="141">
        <v>33258.3</v>
      </c>
      <c r="P117" s="141">
        <v>14.0</v>
      </c>
      <c r="Q117" s="141">
        <v>22108.44</v>
      </c>
      <c r="R117" s="141">
        <v>197.0</v>
      </c>
      <c r="S117" s="141"/>
      <c r="T117" s="142"/>
      <c r="U117" s="142"/>
      <c r="V117" s="142"/>
      <c r="W117" s="142"/>
      <c r="X117" s="142"/>
      <c r="Y117" s="141"/>
      <c r="Z117" s="141"/>
      <c r="AA117" s="141"/>
      <c r="AB117" s="141"/>
      <c r="AC117" s="141"/>
      <c r="AD117" s="141"/>
      <c r="AE117" s="141"/>
    </row>
    <row r="118" ht="17.25" customHeight="1">
      <c r="A118" s="133" t="s">
        <v>23</v>
      </c>
      <c r="B118" s="133" t="s">
        <v>89</v>
      </c>
      <c r="C118" s="133" t="s">
        <v>117</v>
      </c>
      <c r="D118" s="133"/>
      <c r="E118" s="133" t="s">
        <v>118</v>
      </c>
      <c r="F118" s="133" t="s">
        <v>176</v>
      </c>
      <c r="G118" s="140">
        <v>1.4930912E7</v>
      </c>
      <c r="H118" s="141">
        <v>7.410244207203E12</v>
      </c>
      <c r="I118" s="133" t="s">
        <v>120</v>
      </c>
      <c r="J118" s="133" t="s">
        <v>94</v>
      </c>
      <c r="K118" s="133" t="s">
        <v>113</v>
      </c>
      <c r="L118" s="141">
        <v>0.0</v>
      </c>
      <c r="M118" s="141">
        <v>0.0</v>
      </c>
      <c r="N118" s="141">
        <v>0.0</v>
      </c>
      <c r="O118" s="141">
        <v>0.0</v>
      </c>
      <c r="P118" s="141">
        <v>1.0</v>
      </c>
      <c r="Q118" s="141">
        <v>3656.83</v>
      </c>
      <c r="R118" s="141">
        <v>0.0</v>
      </c>
      <c r="S118" s="141"/>
      <c r="T118" s="142"/>
      <c r="U118" s="142"/>
      <c r="V118" s="142"/>
      <c r="W118" s="142"/>
      <c r="X118" s="142"/>
      <c r="Y118" s="141"/>
      <c r="Z118" s="141"/>
      <c r="AA118" s="141"/>
      <c r="AB118" s="141"/>
      <c r="AC118" s="141"/>
      <c r="AD118" s="141"/>
      <c r="AE118" s="141"/>
    </row>
    <row r="119" ht="17.25" customHeight="1">
      <c r="A119" s="133" t="s">
        <v>23</v>
      </c>
      <c r="B119" s="133" t="s">
        <v>106</v>
      </c>
      <c r="C119" s="133" t="s">
        <v>90</v>
      </c>
      <c r="E119" s="133" t="s">
        <v>114</v>
      </c>
      <c r="F119" s="133" t="s">
        <v>115</v>
      </c>
      <c r="G119" s="140">
        <v>1.8074633E7</v>
      </c>
      <c r="H119" s="141">
        <v>7.403935015126E12</v>
      </c>
      <c r="I119" s="133" t="s">
        <v>101</v>
      </c>
      <c r="J119" s="133" t="s">
        <v>102</v>
      </c>
      <c r="K119" s="133" t="s">
        <v>95</v>
      </c>
      <c r="L119" s="141">
        <v>0.0</v>
      </c>
      <c r="M119" s="141">
        <v>0.0</v>
      </c>
      <c r="N119" s="141">
        <v>1.0</v>
      </c>
      <c r="O119" s="141">
        <v>4254.12</v>
      </c>
      <c r="P119" s="141">
        <v>0.0</v>
      </c>
      <c r="Q119" s="141">
        <v>0.0</v>
      </c>
      <c r="R119" s="141">
        <v>1.0</v>
      </c>
      <c r="S119" s="141"/>
      <c r="T119" s="142"/>
      <c r="U119" s="142"/>
      <c r="V119" s="142"/>
      <c r="W119" s="142"/>
      <c r="X119" s="142"/>
      <c r="Y119" s="141"/>
      <c r="Z119" s="141"/>
      <c r="AA119" s="141"/>
      <c r="AB119" s="141"/>
      <c r="AC119" s="141"/>
      <c r="AD119" s="141"/>
      <c r="AE119" s="141"/>
    </row>
    <row r="120" ht="17.25" customHeight="1">
      <c r="A120" s="133" t="s">
        <v>23</v>
      </c>
      <c r="B120" s="133" t="s">
        <v>89</v>
      </c>
      <c r="C120" s="133" t="s">
        <v>117</v>
      </c>
      <c r="D120" s="133"/>
      <c r="E120" s="133" t="s">
        <v>118</v>
      </c>
      <c r="F120" s="133" t="s">
        <v>141</v>
      </c>
      <c r="G120" s="140">
        <v>1.4936019E7</v>
      </c>
      <c r="H120" s="141">
        <v>7.400225207209E12</v>
      </c>
      <c r="I120" s="133" t="s">
        <v>101</v>
      </c>
      <c r="J120" s="133" t="s">
        <v>94</v>
      </c>
      <c r="K120" s="133" t="s">
        <v>116</v>
      </c>
      <c r="L120" s="141">
        <v>0.0</v>
      </c>
      <c r="M120" s="141">
        <v>0.0</v>
      </c>
      <c r="N120" s="141">
        <v>1.0</v>
      </c>
      <c r="O120" s="141">
        <v>2484.48</v>
      </c>
      <c r="P120" s="141">
        <v>0.0</v>
      </c>
      <c r="Q120" s="141">
        <v>0.0</v>
      </c>
      <c r="R120" s="141">
        <v>0.0</v>
      </c>
      <c r="S120" s="141"/>
      <c r="T120" s="142"/>
      <c r="U120" s="142"/>
      <c r="V120" s="142"/>
      <c r="W120" s="142"/>
      <c r="X120" s="142"/>
      <c r="Y120" s="141"/>
      <c r="Z120" s="141"/>
      <c r="AA120" s="141"/>
      <c r="AB120" s="141"/>
      <c r="AC120" s="141"/>
      <c r="AD120" s="141"/>
      <c r="AE120" s="141"/>
    </row>
    <row r="121" ht="17.25" customHeight="1">
      <c r="A121" s="133" t="s">
        <v>23</v>
      </c>
      <c r="B121" s="133" t="s">
        <v>89</v>
      </c>
      <c r="C121" s="133" t="s">
        <v>117</v>
      </c>
      <c r="D121" s="133"/>
      <c r="E121" s="133" t="s">
        <v>118</v>
      </c>
      <c r="F121" s="133" t="s">
        <v>141</v>
      </c>
      <c r="G121" s="140">
        <v>1.4936019E7</v>
      </c>
      <c r="H121" s="141">
        <v>7.400225407203E12</v>
      </c>
      <c r="I121" s="133" t="s">
        <v>140</v>
      </c>
      <c r="J121" s="133" t="s">
        <v>94</v>
      </c>
      <c r="K121" s="133" t="s">
        <v>95</v>
      </c>
      <c r="L121" s="141">
        <v>0.0</v>
      </c>
      <c r="M121" s="141">
        <v>0.0</v>
      </c>
      <c r="N121" s="141">
        <v>0.0</v>
      </c>
      <c r="O121" s="141">
        <v>0.0</v>
      </c>
      <c r="P121" s="141">
        <v>0.0</v>
      </c>
      <c r="Q121" s="141">
        <v>0.0</v>
      </c>
      <c r="R121" s="141">
        <v>0.0</v>
      </c>
      <c r="S121" s="141"/>
      <c r="T121" s="142"/>
      <c r="U121" s="142"/>
      <c r="V121" s="142"/>
      <c r="W121" s="142"/>
      <c r="X121" s="142"/>
      <c r="Y121" s="141"/>
      <c r="Z121" s="141"/>
      <c r="AA121" s="141"/>
      <c r="AB121" s="141"/>
      <c r="AC121" s="141"/>
      <c r="AD121" s="141"/>
      <c r="AE121" s="141"/>
    </row>
    <row r="122" ht="17.25" customHeight="1">
      <c r="A122" s="133" t="s">
        <v>23</v>
      </c>
      <c r="B122" s="133" t="s">
        <v>106</v>
      </c>
      <c r="C122" s="133" t="s">
        <v>90</v>
      </c>
      <c r="E122" s="133" t="s">
        <v>114</v>
      </c>
      <c r="F122" s="133" t="s">
        <v>115</v>
      </c>
      <c r="G122" s="140">
        <v>1.8074633E7</v>
      </c>
      <c r="H122" s="141">
        <v>7.403935015126E12</v>
      </c>
      <c r="I122" s="133" t="s">
        <v>101</v>
      </c>
      <c r="J122" s="133" t="s">
        <v>94</v>
      </c>
      <c r="K122" s="133" t="s">
        <v>104</v>
      </c>
      <c r="L122" s="141">
        <v>0.0</v>
      </c>
      <c r="M122" s="141">
        <v>0.0</v>
      </c>
      <c r="N122" s="141">
        <v>1.0</v>
      </c>
      <c r="O122" s="141">
        <v>4095.04</v>
      </c>
      <c r="P122" s="141">
        <v>0.0</v>
      </c>
      <c r="Q122" s="141">
        <v>0.0</v>
      </c>
      <c r="R122" s="141">
        <v>0.0</v>
      </c>
      <c r="S122" s="141"/>
      <c r="T122" s="142"/>
      <c r="U122" s="142"/>
      <c r="V122" s="142"/>
      <c r="W122" s="142"/>
      <c r="X122" s="142"/>
      <c r="Y122" s="141"/>
      <c r="Z122" s="141"/>
      <c r="AA122" s="141"/>
      <c r="AB122" s="141"/>
      <c r="AC122" s="141"/>
      <c r="AD122" s="141"/>
      <c r="AE122" s="141"/>
    </row>
    <row r="123" ht="17.25" customHeight="1">
      <c r="A123" s="133" t="s">
        <v>23</v>
      </c>
      <c r="B123" s="133" t="s">
        <v>147</v>
      </c>
      <c r="C123" s="133" t="s">
        <v>90</v>
      </c>
      <c r="E123" s="133" t="s">
        <v>148</v>
      </c>
      <c r="F123" s="133" t="s">
        <v>175</v>
      </c>
      <c r="G123" s="140">
        <v>1.4620438E7</v>
      </c>
      <c r="H123" s="141">
        <v>7.403594208204E12</v>
      </c>
      <c r="I123" s="133" t="s">
        <v>135</v>
      </c>
      <c r="J123" s="133" t="s">
        <v>94</v>
      </c>
      <c r="K123" s="133" t="s">
        <v>97</v>
      </c>
      <c r="L123" s="141">
        <v>0.0</v>
      </c>
      <c r="M123" s="141">
        <v>0.0</v>
      </c>
      <c r="N123" s="141">
        <v>0.0</v>
      </c>
      <c r="O123" s="141">
        <v>0.0</v>
      </c>
      <c r="P123" s="141">
        <v>0.0</v>
      </c>
      <c r="Q123" s="141">
        <v>0.0</v>
      </c>
      <c r="R123" s="141">
        <v>0.0</v>
      </c>
      <c r="S123" s="141"/>
      <c r="T123" s="142"/>
      <c r="U123" s="142"/>
      <c r="V123" s="142"/>
      <c r="W123" s="142"/>
      <c r="X123" s="142"/>
      <c r="Y123" s="141"/>
      <c r="Z123" s="141"/>
      <c r="AA123" s="141"/>
      <c r="AB123" s="141"/>
      <c r="AC123" s="141"/>
      <c r="AD123" s="141"/>
      <c r="AE123" s="141"/>
    </row>
    <row r="124" ht="17.25" customHeight="1">
      <c r="A124" s="133" t="s">
        <v>23</v>
      </c>
      <c r="B124" s="133" t="s">
        <v>147</v>
      </c>
      <c r="C124" s="133" t="s">
        <v>90</v>
      </c>
      <c r="E124" s="133" t="s">
        <v>148</v>
      </c>
      <c r="F124" s="133" t="s">
        <v>175</v>
      </c>
      <c r="G124" s="140">
        <v>1.4620438E7</v>
      </c>
      <c r="H124" s="141">
        <v>7.403594208204E12</v>
      </c>
      <c r="I124" s="133" t="s">
        <v>135</v>
      </c>
      <c r="J124" s="133" t="s">
        <v>102</v>
      </c>
      <c r="K124" s="133" t="s">
        <v>113</v>
      </c>
      <c r="L124" s="141">
        <v>0.0</v>
      </c>
      <c r="M124" s="141">
        <v>0.0</v>
      </c>
      <c r="N124" s="141">
        <v>0.0</v>
      </c>
      <c r="O124" s="141">
        <v>0.0</v>
      </c>
      <c r="P124" s="141">
        <v>0.0</v>
      </c>
      <c r="Q124" s="141">
        <v>0.0</v>
      </c>
      <c r="R124" s="141">
        <v>1.0</v>
      </c>
      <c r="S124" s="141"/>
      <c r="T124" s="142"/>
      <c r="U124" s="142"/>
      <c r="V124" s="142"/>
      <c r="W124" s="142"/>
      <c r="X124" s="142"/>
      <c r="Y124" s="141"/>
      <c r="Z124" s="141"/>
      <c r="AA124" s="141"/>
      <c r="AB124" s="141"/>
      <c r="AC124" s="141"/>
      <c r="AD124" s="141"/>
      <c r="AE124" s="141"/>
    </row>
    <row r="125" ht="17.25" customHeight="1">
      <c r="A125" s="133" t="s">
        <v>23</v>
      </c>
      <c r="B125" s="133" t="s">
        <v>147</v>
      </c>
      <c r="C125" s="133" t="s">
        <v>90</v>
      </c>
      <c r="E125" s="133" t="s">
        <v>148</v>
      </c>
      <c r="F125" s="133" t="s">
        <v>175</v>
      </c>
      <c r="G125" s="140">
        <v>1.4620438E7</v>
      </c>
      <c r="H125" s="141">
        <v>7.403594208204E12</v>
      </c>
      <c r="I125" s="133" t="s">
        <v>135</v>
      </c>
      <c r="J125" s="133" t="s">
        <v>102</v>
      </c>
      <c r="K125" s="133" t="s">
        <v>116</v>
      </c>
      <c r="L125" s="141">
        <v>0.0</v>
      </c>
      <c r="M125" s="141">
        <v>0.0</v>
      </c>
      <c r="N125" s="141">
        <v>0.0</v>
      </c>
      <c r="O125" s="141">
        <v>0.0</v>
      </c>
      <c r="P125" s="141">
        <v>0.0</v>
      </c>
      <c r="Q125" s="141">
        <v>0.0</v>
      </c>
      <c r="R125" s="141">
        <v>1.0</v>
      </c>
      <c r="S125" s="141"/>
      <c r="T125" s="142"/>
      <c r="U125" s="142"/>
      <c r="V125" s="142"/>
      <c r="W125" s="142"/>
      <c r="X125" s="142"/>
      <c r="Y125" s="141"/>
      <c r="Z125" s="141"/>
      <c r="AA125" s="141"/>
      <c r="AB125" s="141"/>
      <c r="AC125" s="141"/>
      <c r="AD125" s="141"/>
      <c r="AE125" s="141"/>
    </row>
    <row r="126" ht="17.25" customHeight="1">
      <c r="A126" s="133" t="s">
        <v>23</v>
      </c>
      <c r="B126" s="133" t="s">
        <v>136</v>
      </c>
      <c r="C126" s="133" t="s">
        <v>90</v>
      </c>
      <c r="E126" s="133" t="s">
        <v>137</v>
      </c>
      <c r="F126" s="133" t="s">
        <v>40</v>
      </c>
      <c r="G126" s="140">
        <v>1.8583837E7</v>
      </c>
      <c r="H126" s="141">
        <v>7.403945429128E12</v>
      </c>
      <c r="I126" s="133" t="s">
        <v>138</v>
      </c>
      <c r="J126" s="133" t="s">
        <v>102</v>
      </c>
      <c r="K126" s="133" t="s">
        <v>143</v>
      </c>
      <c r="L126" s="141">
        <v>0.0</v>
      </c>
      <c r="M126" s="141">
        <v>0.0</v>
      </c>
      <c r="N126" s="141">
        <v>0.0</v>
      </c>
      <c r="O126" s="141">
        <v>0.0</v>
      </c>
      <c r="P126" s="141">
        <v>0.0</v>
      </c>
      <c r="Q126" s="141">
        <v>0.0</v>
      </c>
      <c r="R126" s="141">
        <v>1.0</v>
      </c>
      <c r="S126" s="141"/>
      <c r="T126" s="142"/>
      <c r="U126" s="142"/>
      <c r="V126" s="142"/>
      <c r="W126" s="142"/>
      <c r="X126" s="142"/>
      <c r="Y126" s="141"/>
      <c r="Z126" s="141"/>
      <c r="AA126" s="141"/>
      <c r="AB126" s="141"/>
      <c r="AC126" s="141"/>
      <c r="AD126" s="141"/>
      <c r="AE126" s="141"/>
    </row>
    <row r="127" ht="17.25" customHeight="1">
      <c r="A127" s="133" t="s">
        <v>23</v>
      </c>
      <c r="B127" s="133" t="s">
        <v>106</v>
      </c>
      <c r="C127" s="133" t="s">
        <v>90</v>
      </c>
      <c r="E127" s="133" t="s">
        <v>114</v>
      </c>
      <c r="F127" s="133" t="s">
        <v>115</v>
      </c>
      <c r="G127" s="140">
        <v>1.8074633E7</v>
      </c>
      <c r="H127" s="141">
        <v>7.403935015126E12</v>
      </c>
      <c r="I127" s="133" t="s">
        <v>101</v>
      </c>
      <c r="J127" s="133" t="s">
        <v>102</v>
      </c>
      <c r="K127" s="133" t="s">
        <v>97</v>
      </c>
      <c r="L127" s="141">
        <v>0.0</v>
      </c>
      <c r="M127" s="141">
        <v>0.0</v>
      </c>
      <c r="N127" s="141">
        <v>0.0</v>
      </c>
      <c r="O127" s="141">
        <v>0.0</v>
      </c>
      <c r="P127" s="141">
        <v>0.0</v>
      </c>
      <c r="Q127" s="141">
        <v>0.0</v>
      </c>
      <c r="R127" s="141">
        <v>2.0</v>
      </c>
      <c r="S127" s="141"/>
      <c r="T127" s="142"/>
      <c r="U127" s="142"/>
      <c r="V127" s="142"/>
      <c r="W127" s="142"/>
      <c r="X127" s="142"/>
      <c r="Y127" s="141"/>
      <c r="Z127" s="141"/>
      <c r="AA127" s="141"/>
      <c r="AB127" s="141"/>
      <c r="AC127" s="141"/>
      <c r="AD127" s="141"/>
      <c r="AE127" s="141"/>
    </row>
    <row r="128" ht="17.25" customHeight="1">
      <c r="A128" s="133" t="s">
        <v>23</v>
      </c>
      <c r="B128" s="133" t="s">
        <v>89</v>
      </c>
      <c r="C128" s="133" t="s">
        <v>117</v>
      </c>
      <c r="D128" s="133"/>
      <c r="E128" s="133" t="s">
        <v>118</v>
      </c>
      <c r="F128" s="133" t="s">
        <v>176</v>
      </c>
      <c r="G128" s="140">
        <v>1.4930912E7</v>
      </c>
      <c r="H128" s="141">
        <v>7.410244207203E12</v>
      </c>
      <c r="I128" s="133" t="s">
        <v>120</v>
      </c>
      <c r="J128" s="133" t="s">
        <v>102</v>
      </c>
      <c r="K128" s="133" t="s">
        <v>104</v>
      </c>
      <c r="L128" s="141">
        <v>0.0</v>
      </c>
      <c r="M128" s="141">
        <v>0.0</v>
      </c>
      <c r="N128" s="141">
        <v>0.0</v>
      </c>
      <c r="O128" s="141">
        <v>0.0</v>
      </c>
      <c r="P128" s="141">
        <v>0.0</v>
      </c>
      <c r="Q128" s="141">
        <v>0.0</v>
      </c>
      <c r="R128" s="141">
        <v>1.0</v>
      </c>
      <c r="S128" s="141"/>
      <c r="T128" s="142"/>
      <c r="U128" s="142"/>
      <c r="V128" s="142"/>
      <c r="W128" s="142"/>
      <c r="X128" s="142"/>
      <c r="Y128" s="141"/>
      <c r="Z128" s="141"/>
      <c r="AA128" s="141"/>
      <c r="AB128" s="141"/>
      <c r="AC128" s="141"/>
      <c r="AD128" s="141"/>
      <c r="AE128" s="141"/>
    </row>
    <row r="129" ht="17.25" customHeight="1">
      <c r="A129" s="133" t="s">
        <v>23</v>
      </c>
      <c r="B129" s="133" t="s">
        <v>147</v>
      </c>
      <c r="C129" s="133" t="s">
        <v>90</v>
      </c>
      <c r="E129" s="133" t="s">
        <v>148</v>
      </c>
      <c r="F129" s="133" t="s">
        <v>175</v>
      </c>
      <c r="G129" s="140">
        <v>1.4620438E7</v>
      </c>
      <c r="H129" s="141">
        <v>7.403594208204E12</v>
      </c>
      <c r="I129" s="133" t="s">
        <v>135</v>
      </c>
      <c r="J129" s="133" t="s">
        <v>102</v>
      </c>
      <c r="K129" s="133" t="s">
        <v>143</v>
      </c>
      <c r="L129" s="141">
        <v>0.0</v>
      </c>
      <c r="M129" s="141">
        <v>0.0</v>
      </c>
      <c r="N129" s="141">
        <v>0.0</v>
      </c>
      <c r="O129" s="141">
        <v>0.0</v>
      </c>
      <c r="P129" s="141">
        <v>0.0</v>
      </c>
      <c r="Q129" s="141">
        <v>0.0</v>
      </c>
      <c r="R129" s="141">
        <v>1.0</v>
      </c>
      <c r="S129" s="141"/>
      <c r="T129" s="142"/>
      <c r="U129" s="142"/>
      <c r="V129" s="142"/>
      <c r="W129" s="142"/>
      <c r="X129" s="142"/>
      <c r="Y129" s="141"/>
      <c r="Z129" s="141"/>
      <c r="AA129" s="141"/>
      <c r="AB129" s="141"/>
      <c r="AC129" s="141"/>
      <c r="AD129" s="141"/>
      <c r="AE129" s="141"/>
    </row>
    <row r="130" ht="17.25" customHeight="1">
      <c r="A130" s="133" t="s">
        <v>23</v>
      </c>
      <c r="B130" s="133" t="s">
        <v>136</v>
      </c>
      <c r="C130" s="133" t="s">
        <v>90</v>
      </c>
      <c r="E130" s="133" t="s">
        <v>137</v>
      </c>
      <c r="F130" s="133" t="s">
        <v>29</v>
      </c>
      <c r="G130" s="140">
        <v>1.5626659E7</v>
      </c>
      <c r="H130" s="141">
        <v>7.403595409204E12</v>
      </c>
      <c r="I130" s="133" t="s">
        <v>138</v>
      </c>
      <c r="J130" s="133" t="s">
        <v>102</v>
      </c>
      <c r="K130" s="133" t="s">
        <v>95</v>
      </c>
      <c r="L130" s="141">
        <v>0.0</v>
      </c>
      <c r="M130" s="141">
        <v>0.0</v>
      </c>
      <c r="N130" s="141">
        <v>14.0</v>
      </c>
      <c r="O130" s="141">
        <v>22465.78</v>
      </c>
      <c r="P130" s="141">
        <v>16.0</v>
      </c>
      <c r="Q130" s="141">
        <v>27492.94</v>
      </c>
      <c r="R130" s="141">
        <v>209.0</v>
      </c>
      <c r="S130" s="141"/>
      <c r="T130" s="142"/>
      <c r="U130" s="142"/>
      <c r="V130" s="142"/>
      <c r="W130" s="142"/>
      <c r="X130" s="142"/>
      <c r="Y130" s="141"/>
      <c r="Z130" s="141"/>
      <c r="AA130" s="141"/>
      <c r="AB130" s="141"/>
      <c r="AC130" s="141"/>
      <c r="AD130" s="141"/>
      <c r="AE130" s="141"/>
    </row>
    <row r="131" ht="17.25" customHeight="1">
      <c r="A131" s="133" t="s">
        <v>23</v>
      </c>
      <c r="B131" s="133" t="s">
        <v>124</v>
      </c>
      <c r="C131" s="133" t="s">
        <v>90</v>
      </c>
      <c r="E131" s="133" t="s">
        <v>125</v>
      </c>
      <c r="F131" s="133" t="s">
        <v>177</v>
      </c>
      <c r="G131" s="140">
        <v>1.6784332E7</v>
      </c>
      <c r="H131" s="141">
        <v>7.403685410202E12</v>
      </c>
      <c r="I131" s="133" t="s">
        <v>138</v>
      </c>
      <c r="J131" s="133" t="s">
        <v>94</v>
      </c>
      <c r="K131" s="133" t="s">
        <v>104</v>
      </c>
      <c r="L131" s="141">
        <v>0.0</v>
      </c>
      <c r="M131" s="141">
        <v>0.0</v>
      </c>
      <c r="N131" s="141">
        <v>1.0</v>
      </c>
      <c r="O131" s="141">
        <v>990.95</v>
      </c>
      <c r="P131" s="141">
        <v>0.0</v>
      </c>
      <c r="Q131" s="141">
        <v>0.0</v>
      </c>
      <c r="R131" s="141">
        <v>0.0</v>
      </c>
      <c r="S131" s="141"/>
      <c r="T131" s="142"/>
      <c r="U131" s="142"/>
      <c r="V131" s="142"/>
      <c r="W131" s="142"/>
      <c r="X131" s="142"/>
      <c r="Y131" s="141"/>
      <c r="Z131" s="141"/>
      <c r="AA131" s="141"/>
      <c r="AB131" s="141"/>
      <c r="AC131" s="141"/>
      <c r="AD131" s="141"/>
      <c r="AE131" s="141"/>
    </row>
    <row r="132" ht="17.25" customHeight="1">
      <c r="A132" s="133" t="s">
        <v>23</v>
      </c>
      <c r="B132" s="133" t="s">
        <v>89</v>
      </c>
      <c r="C132" s="133" t="s">
        <v>90</v>
      </c>
      <c r="E132" s="133" t="s">
        <v>91</v>
      </c>
      <c r="F132" s="133" t="s">
        <v>163</v>
      </c>
      <c r="G132" s="140">
        <v>1.1210358E7</v>
      </c>
      <c r="H132" s="141">
        <v>7.500205200005E12</v>
      </c>
      <c r="I132" s="133" t="s">
        <v>101</v>
      </c>
      <c r="J132" s="133" t="s">
        <v>94</v>
      </c>
      <c r="K132" s="133" t="s">
        <v>143</v>
      </c>
      <c r="L132" s="141">
        <v>0.0</v>
      </c>
      <c r="M132" s="141">
        <v>0.0</v>
      </c>
      <c r="N132" s="141">
        <v>1.0</v>
      </c>
      <c r="O132" s="141">
        <v>3017.66</v>
      </c>
      <c r="P132" s="141">
        <v>0.0</v>
      </c>
      <c r="Q132" s="141">
        <v>0.0</v>
      </c>
      <c r="R132" s="141">
        <v>0.0</v>
      </c>
      <c r="S132" s="141"/>
      <c r="T132" s="142"/>
      <c r="U132" s="142"/>
      <c r="V132" s="142"/>
      <c r="W132" s="142"/>
      <c r="X132" s="142"/>
      <c r="Y132" s="141"/>
      <c r="Z132" s="141"/>
      <c r="AA132" s="141"/>
      <c r="AB132" s="141"/>
      <c r="AC132" s="141"/>
      <c r="AD132" s="141"/>
      <c r="AE132" s="141"/>
    </row>
    <row r="133" ht="17.25" customHeight="1">
      <c r="A133" s="133" t="s">
        <v>23</v>
      </c>
      <c r="B133" s="133" t="s">
        <v>89</v>
      </c>
      <c r="C133" s="133" t="s">
        <v>90</v>
      </c>
      <c r="E133" s="133" t="s">
        <v>91</v>
      </c>
      <c r="F133" s="133" t="s">
        <v>142</v>
      </c>
      <c r="G133" s="140">
        <v>1.4936023E7</v>
      </c>
      <c r="H133" s="141">
        <v>7.400265009207E12</v>
      </c>
      <c r="I133" s="133" t="s">
        <v>122</v>
      </c>
      <c r="J133" s="133" t="s">
        <v>94</v>
      </c>
      <c r="K133" s="133" t="s">
        <v>104</v>
      </c>
      <c r="L133" s="141">
        <v>0.0</v>
      </c>
      <c r="M133" s="141">
        <v>0.0</v>
      </c>
      <c r="N133" s="141">
        <v>1.0</v>
      </c>
      <c r="O133" s="141">
        <v>1815.29</v>
      </c>
      <c r="P133" s="141">
        <v>0.0</v>
      </c>
      <c r="Q133" s="141">
        <v>0.0</v>
      </c>
      <c r="R133" s="141">
        <v>0.0</v>
      </c>
      <c r="S133" s="141"/>
      <c r="T133" s="142"/>
      <c r="U133" s="142"/>
      <c r="V133" s="142"/>
      <c r="W133" s="142"/>
      <c r="X133" s="142"/>
      <c r="Y133" s="141"/>
      <c r="Z133" s="141"/>
      <c r="AA133" s="141"/>
      <c r="AB133" s="141"/>
      <c r="AC133" s="141"/>
      <c r="AD133" s="141"/>
      <c r="AE133" s="141"/>
    </row>
    <row r="134" ht="17.25" customHeight="1">
      <c r="A134" s="133" t="s">
        <v>23</v>
      </c>
      <c r="B134" s="133" t="s">
        <v>124</v>
      </c>
      <c r="C134" s="133" t="s">
        <v>90</v>
      </c>
      <c r="E134" s="133" t="s">
        <v>125</v>
      </c>
      <c r="F134" s="133" t="s">
        <v>177</v>
      </c>
      <c r="G134" s="140">
        <v>1.6784332E7</v>
      </c>
      <c r="H134" s="141">
        <v>7.403685410202E12</v>
      </c>
      <c r="I134" s="133" t="s">
        <v>138</v>
      </c>
      <c r="J134" s="133" t="s">
        <v>102</v>
      </c>
      <c r="K134" s="133" t="s">
        <v>95</v>
      </c>
      <c r="L134" s="141">
        <v>0.0</v>
      </c>
      <c r="M134" s="141">
        <v>0.0</v>
      </c>
      <c r="N134" s="141">
        <v>10.0</v>
      </c>
      <c r="O134" s="141">
        <v>9166.3</v>
      </c>
      <c r="P134" s="141">
        <v>6.0</v>
      </c>
      <c r="Q134" s="141">
        <v>5667.0</v>
      </c>
      <c r="R134" s="141">
        <v>152.0</v>
      </c>
      <c r="S134" s="141"/>
      <c r="T134" s="142"/>
      <c r="U134" s="142"/>
      <c r="V134" s="142"/>
      <c r="W134" s="142"/>
      <c r="X134" s="142"/>
      <c r="Y134" s="141"/>
      <c r="Z134" s="141"/>
      <c r="AA134" s="141"/>
      <c r="AB134" s="141"/>
      <c r="AC134" s="141"/>
      <c r="AD134" s="141"/>
      <c r="AE134" s="141"/>
    </row>
    <row r="135" ht="17.25" customHeight="1">
      <c r="A135" s="133" t="s">
        <v>23</v>
      </c>
      <c r="B135" s="133" t="s">
        <v>106</v>
      </c>
      <c r="C135" s="133" t="s">
        <v>90</v>
      </c>
      <c r="E135" s="133" t="s">
        <v>114</v>
      </c>
      <c r="F135" s="133" t="s">
        <v>178</v>
      </c>
      <c r="G135" s="140">
        <v>1.6963759E7</v>
      </c>
      <c r="H135" s="141">
        <v>7.403864603111E12</v>
      </c>
      <c r="I135" s="133" t="s">
        <v>93</v>
      </c>
      <c r="J135" s="133" t="s">
        <v>94</v>
      </c>
      <c r="K135" s="133" t="s">
        <v>97</v>
      </c>
      <c r="L135" s="141">
        <v>0.0</v>
      </c>
      <c r="M135" s="141">
        <v>0.0</v>
      </c>
      <c r="N135" s="141">
        <v>1.0</v>
      </c>
      <c r="O135" s="141">
        <v>4017.78</v>
      </c>
      <c r="P135" s="141">
        <v>0.0</v>
      </c>
      <c r="Q135" s="141">
        <v>0.0</v>
      </c>
      <c r="R135" s="141">
        <v>0.0</v>
      </c>
      <c r="S135" s="141"/>
      <c r="T135" s="142"/>
      <c r="U135" s="142"/>
      <c r="V135" s="142"/>
      <c r="W135" s="142"/>
      <c r="X135" s="142"/>
      <c r="Y135" s="141"/>
      <c r="Z135" s="141"/>
      <c r="AA135" s="141"/>
      <c r="AB135" s="141"/>
      <c r="AC135" s="141"/>
      <c r="AD135" s="141"/>
      <c r="AE135" s="141"/>
    </row>
    <row r="136" ht="17.25" customHeight="1">
      <c r="A136" s="133" t="s">
        <v>23</v>
      </c>
      <c r="B136" s="133" t="s">
        <v>124</v>
      </c>
      <c r="C136" s="133" t="s">
        <v>90</v>
      </c>
      <c r="E136" s="133" t="s">
        <v>125</v>
      </c>
      <c r="F136" s="133" t="s">
        <v>177</v>
      </c>
      <c r="G136" s="140">
        <v>1.6784332E7</v>
      </c>
      <c r="H136" s="141">
        <v>7.403685410202E12</v>
      </c>
      <c r="I136" s="133" t="s">
        <v>138</v>
      </c>
      <c r="J136" s="133" t="s">
        <v>94</v>
      </c>
      <c r="K136" s="133" t="s">
        <v>97</v>
      </c>
      <c r="L136" s="141">
        <v>0.0</v>
      </c>
      <c r="M136" s="141">
        <v>0.0</v>
      </c>
      <c r="N136" s="141">
        <v>1.0</v>
      </c>
      <c r="O136" s="141">
        <v>990.95</v>
      </c>
      <c r="P136" s="141">
        <v>1.0</v>
      </c>
      <c r="Q136" s="141">
        <v>990.95</v>
      </c>
      <c r="R136" s="141">
        <v>0.0</v>
      </c>
      <c r="S136" s="141"/>
      <c r="T136" s="142"/>
      <c r="U136" s="142"/>
      <c r="V136" s="142"/>
      <c r="W136" s="142"/>
      <c r="X136" s="142"/>
      <c r="Y136" s="141"/>
      <c r="Z136" s="141"/>
      <c r="AA136" s="141"/>
      <c r="AB136" s="141"/>
      <c r="AC136" s="141"/>
      <c r="AD136" s="141"/>
      <c r="AE136" s="141"/>
    </row>
    <row r="137" ht="17.25" customHeight="1">
      <c r="A137" s="133" t="s">
        <v>23</v>
      </c>
      <c r="B137" s="133" t="s">
        <v>89</v>
      </c>
      <c r="C137" s="133" t="s">
        <v>90</v>
      </c>
      <c r="E137" s="133" t="s">
        <v>91</v>
      </c>
      <c r="F137" s="133" t="s">
        <v>142</v>
      </c>
      <c r="G137" s="140">
        <v>1.4936023E7</v>
      </c>
      <c r="H137" s="141">
        <v>7.400265009207E12</v>
      </c>
      <c r="I137" s="133" t="s">
        <v>122</v>
      </c>
      <c r="J137" s="133" t="s">
        <v>102</v>
      </c>
      <c r="K137" s="133" t="s">
        <v>95</v>
      </c>
      <c r="L137" s="141">
        <v>0.0</v>
      </c>
      <c r="M137" s="141">
        <v>0.0</v>
      </c>
      <c r="N137" s="141">
        <v>7.0</v>
      </c>
      <c r="O137" s="141">
        <v>12903.28</v>
      </c>
      <c r="P137" s="141">
        <v>8.0</v>
      </c>
      <c r="Q137" s="141">
        <v>15070.67</v>
      </c>
      <c r="R137" s="141">
        <v>1.0</v>
      </c>
      <c r="S137" s="141"/>
      <c r="T137" s="142"/>
      <c r="U137" s="142"/>
      <c r="V137" s="142"/>
      <c r="W137" s="142"/>
      <c r="X137" s="142"/>
      <c r="Y137" s="141"/>
      <c r="Z137" s="141"/>
      <c r="AA137" s="141"/>
      <c r="AB137" s="141"/>
      <c r="AC137" s="141"/>
      <c r="AD137" s="141"/>
      <c r="AE137" s="141"/>
    </row>
    <row r="138" ht="17.25" customHeight="1">
      <c r="A138" s="133" t="s">
        <v>23</v>
      </c>
      <c r="B138" s="133" t="s">
        <v>89</v>
      </c>
      <c r="C138" s="133" t="s">
        <v>90</v>
      </c>
      <c r="E138" s="133" t="s">
        <v>91</v>
      </c>
      <c r="F138" s="133" t="s">
        <v>156</v>
      </c>
      <c r="G138" s="140">
        <v>1.1210359E7</v>
      </c>
      <c r="H138" s="141">
        <v>7.600204800005E12</v>
      </c>
      <c r="I138" s="133" t="s">
        <v>93</v>
      </c>
      <c r="J138" s="133" t="s">
        <v>102</v>
      </c>
      <c r="K138" s="133" t="s">
        <v>95</v>
      </c>
      <c r="L138" s="141">
        <v>0.0</v>
      </c>
      <c r="M138" s="141">
        <v>0.0</v>
      </c>
      <c r="N138" s="141">
        <v>2.0</v>
      </c>
      <c r="O138" s="141">
        <v>5594.08</v>
      </c>
      <c r="P138" s="141">
        <v>0.0</v>
      </c>
      <c r="Q138" s="141">
        <v>202.51</v>
      </c>
      <c r="R138" s="141">
        <v>6.0</v>
      </c>
      <c r="S138" s="141"/>
      <c r="T138" s="142"/>
      <c r="U138" s="142"/>
      <c r="V138" s="142"/>
      <c r="W138" s="142"/>
      <c r="X138" s="142"/>
      <c r="Y138" s="141"/>
      <c r="Z138" s="141"/>
      <c r="AA138" s="141"/>
      <c r="AB138" s="141"/>
      <c r="AC138" s="141"/>
      <c r="AD138" s="141"/>
      <c r="AE138" s="141"/>
    </row>
    <row r="139" ht="17.25" customHeight="1">
      <c r="A139" s="133" t="s">
        <v>23</v>
      </c>
      <c r="B139" s="133" t="s">
        <v>106</v>
      </c>
      <c r="C139" s="133" t="s">
        <v>90</v>
      </c>
      <c r="E139" s="133" t="s">
        <v>114</v>
      </c>
      <c r="F139" s="133" t="s">
        <v>178</v>
      </c>
      <c r="G139" s="140">
        <v>1.6963759E7</v>
      </c>
      <c r="H139" s="141">
        <v>7.403864603111E12</v>
      </c>
      <c r="I139" s="133" t="s">
        <v>93</v>
      </c>
      <c r="J139" s="133" t="s">
        <v>102</v>
      </c>
      <c r="K139" s="133" t="s">
        <v>95</v>
      </c>
      <c r="L139" s="141">
        <v>0.0</v>
      </c>
      <c r="M139" s="141">
        <v>0.0</v>
      </c>
      <c r="N139" s="141">
        <v>3.0</v>
      </c>
      <c r="O139" s="141">
        <v>12289.68</v>
      </c>
      <c r="P139" s="141">
        <v>3.0</v>
      </c>
      <c r="Q139" s="141">
        <v>12980.52</v>
      </c>
      <c r="R139" s="141">
        <v>17.0</v>
      </c>
      <c r="S139" s="141"/>
      <c r="T139" s="142"/>
      <c r="U139" s="142"/>
      <c r="V139" s="142"/>
      <c r="W139" s="142"/>
      <c r="X139" s="142"/>
      <c r="Y139" s="141"/>
      <c r="Z139" s="141"/>
      <c r="AA139" s="141"/>
      <c r="AB139" s="141"/>
      <c r="AC139" s="141"/>
      <c r="AD139" s="141"/>
      <c r="AE139" s="141"/>
    </row>
    <row r="140" ht="17.25" customHeight="1">
      <c r="A140" s="133" t="s">
        <v>23</v>
      </c>
      <c r="B140" s="133" t="s">
        <v>106</v>
      </c>
      <c r="C140" s="133" t="s">
        <v>90</v>
      </c>
      <c r="E140" s="133" t="s">
        <v>107</v>
      </c>
      <c r="F140" s="133" t="s">
        <v>144</v>
      </c>
      <c r="G140" s="140">
        <v>1.7615826E7</v>
      </c>
      <c r="H140" s="141">
        <v>7.403894407123E12</v>
      </c>
      <c r="I140" s="133" t="s">
        <v>93</v>
      </c>
      <c r="J140" s="133" t="s">
        <v>102</v>
      </c>
      <c r="K140" s="133" t="s">
        <v>95</v>
      </c>
      <c r="L140" s="141">
        <v>0.0</v>
      </c>
      <c r="M140" s="141">
        <v>0.0</v>
      </c>
      <c r="N140" s="141">
        <v>2.0</v>
      </c>
      <c r="O140" s="141">
        <v>5099.49</v>
      </c>
      <c r="P140" s="141">
        <v>0.0</v>
      </c>
      <c r="Q140" s="141">
        <v>0.0</v>
      </c>
      <c r="R140" s="141">
        <v>27.0</v>
      </c>
      <c r="S140" s="141"/>
      <c r="T140" s="142"/>
      <c r="U140" s="142"/>
      <c r="V140" s="142"/>
      <c r="W140" s="142"/>
      <c r="X140" s="142"/>
      <c r="Y140" s="141"/>
      <c r="Z140" s="141"/>
      <c r="AA140" s="141"/>
      <c r="AB140" s="141"/>
      <c r="AC140" s="141"/>
      <c r="AD140" s="141"/>
      <c r="AE140" s="141"/>
    </row>
    <row r="141" ht="17.25" customHeight="1">
      <c r="A141" s="133" t="s">
        <v>23</v>
      </c>
      <c r="B141" s="133" t="s">
        <v>89</v>
      </c>
      <c r="C141" s="133" t="s">
        <v>90</v>
      </c>
      <c r="E141" s="133" t="s">
        <v>91</v>
      </c>
      <c r="F141" s="133" t="s">
        <v>163</v>
      </c>
      <c r="G141" s="140">
        <v>1.1210358E7</v>
      </c>
      <c r="H141" s="141">
        <v>7.500205200005E12</v>
      </c>
      <c r="I141" s="133" t="s">
        <v>101</v>
      </c>
      <c r="J141" s="133" t="s">
        <v>94</v>
      </c>
      <c r="K141" s="133" t="s">
        <v>113</v>
      </c>
      <c r="L141" s="141">
        <v>0.0</v>
      </c>
      <c r="M141" s="141">
        <v>0.0</v>
      </c>
      <c r="N141" s="141">
        <v>1.0</v>
      </c>
      <c r="O141" s="141">
        <v>3385.67</v>
      </c>
      <c r="P141" s="141">
        <v>1.0</v>
      </c>
      <c r="Q141" s="141">
        <v>3385.67</v>
      </c>
      <c r="R141" s="141">
        <v>0.0</v>
      </c>
      <c r="S141" s="141"/>
      <c r="T141" s="142"/>
      <c r="U141" s="142"/>
      <c r="V141" s="142"/>
      <c r="W141" s="142"/>
      <c r="X141" s="142"/>
      <c r="Y141" s="141"/>
      <c r="Z141" s="141"/>
      <c r="AA141" s="141"/>
      <c r="AB141" s="141"/>
      <c r="AC141" s="141"/>
      <c r="AD141" s="141"/>
      <c r="AE141" s="141"/>
    </row>
    <row r="142" ht="17.25" customHeight="1">
      <c r="A142" s="133" t="s">
        <v>23</v>
      </c>
      <c r="B142" s="133" t="s">
        <v>89</v>
      </c>
      <c r="C142" s="133" t="s">
        <v>90</v>
      </c>
      <c r="E142" s="133" t="s">
        <v>91</v>
      </c>
      <c r="F142" s="133" t="s">
        <v>142</v>
      </c>
      <c r="G142" s="140">
        <v>1.4936023E7</v>
      </c>
      <c r="H142" s="141">
        <v>7.400265009207E12</v>
      </c>
      <c r="I142" s="133" t="s">
        <v>122</v>
      </c>
      <c r="J142" s="133" t="s">
        <v>94</v>
      </c>
      <c r="K142" s="133" t="s">
        <v>113</v>
      </c>
      <c r="L142" s="141">
        <v>0.0</v>
      </c>
      <c r="M142" s="141">
        <v>0.0</v>
      </c>
      <c r="N142" s="141">
        <v>0.0</v>
      </c>
      <c r="O142" s="141">
        <v>0.0</v>
      </c>
      <c r="P142" s="141">
        <v>-1.0</v>
      </c>
      <c r="Q142" s="141">
        <v>-1774.89</v>
      </c>
      <c r="R142" s="141">
        <v>0.0</v>
      </c>
      <c r="S142" s="141"/>
      <c r="T142" s="142"/>
      <c r="U142" s="142"/>
      <c r="V142" s="142"/>
      <c r="W142" s="142"/>
      <c r="X142" s="142"/>
      <c r="Y142" s="141"/>
      <c r="Z142" s="141"/>
      <c r="AA142" s="141"/>
      <c r="AB142" s="141"/>
      <c r="AC142" s="141"/>
      <c r="AD142" s="141"/>
      <c r="AE142" s="141"/>
    </row>
    <row r="143" ht="17.25" customHeight="1">
      <c r="A143" s="133" t="s">
        <v>23</v>
      </c>
      <c r="B143" s="133" t="s">
        <v>106</v>
      </c>
      <c r="C143" s="133" t="s">
        <v>90</v>
      </c>
      <c r="E143" s="133" t="s">
        <v>107</v>
      </c>
      <c r="F143" s="133" t="s">
        <v>179</v>
      </c>
      <c r="G143" s="140">
        <v>1.6962867E7</v>
      </c>
      <c r="H143" s="141">
        <v>7.403714410203E12</v>
      </c>
      <c r="I143" s="133" t="s">
        <v>96</v>
      </c>
      <c r="J143" s="133" t="s">
        <v>102</v>
      </c>
      <c r="K143" s="133" t="s">
        <v>95</v>
      </c>
      <c r="L143" s="141">
        <v>0.0</v>
      </c>
      <c r="M143" s="141">
        <v>0.0</v>
      </c>
      <c r="N143" s="141">
        <v>1.0</v>
      </c>
      <c r="O143" s="141">
        <v>1816.87</v>
      </c>
      <c r="P143" s="141">
        <v>0.0</v>
      </c>
      <c r="Q143" s="141">
        <v>0.0</v>
      </c>
      <c r="R143" s="141">
        <v>5.0</v>
      </c>
      <c r="S143" s="141"/>
      <c r="T143" s="142"/>
      <c r="U143" s="142"/>
      <c r="V143" s="142"/>
      <c r="W143" s="142"/>
      <c r="X143" s="142"/>
      <c r="Y143" s="141"/>
      <c r="Z143" s="141"/>
      <c r="AA143" s="141"/>
      <c r="AB143" s="141"/>
      <c r="AC143" s="141"/>
      <c r="AD143" s="141"/>
      <c r="AE143" s="141"/>
    </row>
    <row r="144" ht="17.25" customHeight="1">
      <c r="A144" s="133" t="s">
        <v>23</v>
      </c>
      <c r="B144" s="133" t="s">
        <v>89</v>
      </c>
      <c r="C144" s="133" t="s">
        <v>90</v>
      </c>
      <c r="E144" s="133" t="s">
        <v>91</v>
      </c>
      <c r="F144" s="133" t="s">
        <v>163</v>
      </c>
      <c r="G144" s="140">
        <v>1.1210358E7</v>
      </c>
      <c r="H144" s="141">
        <v>7.500205200005E12</v>
      </c>
      <c r="I144" s="133" t="s">
        <v>101</v>
      </c>
      <c r="J144" s="133" t="s">
        <v>94</v>
      </c>
      <c r="K144" s="133" t="s">
        <v>95</v>
      </c>
      <c r="L144" s="141">
        <v>0.0</v>
      </c>
      <c r="M144" s="141">
        <v>0.0</v>
      </c>
      <c r="N144" s="141">
        <v>0.0</v>
      </c>
      <c r="O144" s="141">
        <v>0.0</v>
      </c>
      <c r="P144" s="141">
        <v>1.0</v>
      </c>
      <c r="Q144" s="141">
        <v>3385.67</v>
      </c>
      <c r="R144" s="141">
        <v>0.0</v>
      </c>
      <c r="S144" s="141"/>
      <c r="T144" s="142"/>
      <c r="U144" s="142"/>
      <c r="V144" s="142"/>
      <c r="W144" s="142"/>
      <c r="X144" s="142"/>
      <c r="Y144" s="141"/>
      <c r="Z144" s="141"/>
      <c r="AA144" s="141"/>
      <c r="AB144" s="141"/>
      <c r="AC144" s="141"/>
      <c r="AD144" s="141"/>
      <c r="AE144" s="141"/>
    </row>
    <row r="145" ht="17.25" customHeight="1">
      <c r="A145" s="133" t="s">
        <v>23</v>
      </c>
      <c r="B145" s="133" t="s">
        <v>152</v>
      </c>
      <c r="C145" s="133" t="s">
        <v>153</v>
      </c>
      <c r="D145" s="133"/>
      <c r="E145" s="133" t="s">
        <v>154</v>
      </c>
      <c r="F145" s="133" t="s">
        <v>155</v>
      </c>
      <c r="G145" s="140">
        <v>1.3515427E7</v>
      </c>
      <c r="H145" s="141">
        <v>7.003263306202E12</v>
      </c>
      <c r="I145" s="141">
        <v>33.0</v>
      </c>
      <c r="J145" s="133" t="s">
        <v>94</v>
      </c>
      <c r="K145" s="133" t="s">
        <v>95</v>
      </c>
      <c r="L145" s="141">
        <v>0.0</v>
      </c>
      <c r="M145" s="141">
        <v>0.0</v>
      </c>
      <c r="N145" s="141">
        <v>0.0</v>
      </c>
      <c r="O145" s="141">
        <v>0.0</v>
      </c>
      <c r="P145" s="141">
        <v>-1.0</v>
      </c>
      <c r="Q145" s="141">
        <v>-948.19</v>
      </c>
      <c r="R145" s="141">
        <v>0.0</v>
      </c>
      <c r="S145" s="141"/>
      <c r="T145" s="142"/>
      <c r="U145" s="142"/>
      <c r="V145" s="142"/>
      <c r="W145" s="142"/>
      <c r="X145" s="142"/>
      <c r="Y145" s="141"/>
      <c r="Z145" s="141"/>
      <c r="AA145" s="141"/>
      <c r="AB145" s="141"/>
      <c r="AC145" s="141"/>
      <c r="AD145" s="141"/>
      <c r="AE145" s="141"/>
    </row>
    <row r="146" ht="17.25" customHeight="1">
      <c r="A146" s="133" t="s">
        <v>23</v>
      </c>
      <c r="B146" s="133" t="s">
        <v>152</v>
      </c>
      <c r="C146" s="133" t="s">
        <v>153</v>
      </c>
      <c r="D146" s="133"/>
      <c r="E146" s="133" t="s">
        <v>154</v>
      </c>
      <c r="F146" s="133" t="s">
        <v>155</v>
      </c>
      <c r="G146" s="140">
        <v>1.3515427E7</v>
      </c>
      <c r="H146" s="141">
        <v>7.003263306202E12</v>
      </c>
      <c r="I146" s="141">
        <v>33.0</v>
      </c>
      <c r="J146" s="133" t="s">
        <v>102</v>
      </c>
      <c r="K146" s="133" t="s">
        <v>143</v>
      </c>
      <c r="L146" s="141">
        <v>0.0</v>
      </c>
      <c r="M146" s="141">
        <v>0.0</v>
      </c>
      <c r="N146" s="141">
        <v>0.0</v>
      </c>
      <c r="O146" s="141">
        <v>0.0</v>
      </c>
      <c r="P146" s="141">
        <v>0.0</v>
      </c>
      <c r="Q146" s="141">
        <v>0.0</v>
      </c>
      <c r="R146" s="141">
        <v>1.0</v>
      </c>
      <c r="S146" s="141"/>
      <c r="T146" s="142"/>
      <c r="U146" s="142"/>
      <c r="V146" s="142"/>
      <c r="W146" s="142"/>
      <c r="X146" s="142"/>
      <c r="Y146" s="141"/>
      <c r="Z146" s="141"/>
      <c r="AA146" s="141"/>
      <c r="AB146" s="141"/>
      <c r="AC146" s="141"/>
      <c r="AD146" s="141"/>
      <c r="AE146" s="141"/>
    </row>
    <row r="147" ht="17.25" customHeight="1">
      <c r="A147" s="133" t="s">
        <v>23</v>
      </c>
      <c r="B147" s="133" t="s">
        <v>89</v>
      </c>
      <c r="C147" s="133" t="s">
        <v>117</v>
      </c>
      <c r="D147" s="133"/>
      <c r="E147" s="133" t="s">
        <v>118</v>
      </c>
      <c r="F147" s="133" t="s">
        <v>180</v>
      </c>
      <c r="G147" s="140">
        <v>1.493602E7</v>
      </c>
      <c r="H147" s="141">
        <v>7.400234607205E12</v>
      </c>
      <c r="I147" s="133" t="s">
        <v>96</v>
      </c>
      <c r="J147" s="133" t="s">
        <v>102</v>
      </c>
      <c r="K147" s="133" t="s">
        <v>95</v>
      </c>
      <c r="L147" s="141">
        <v>0.0</v>
      </c>
      <c r="M147" s="141">
        <v>0.0</v>
      </c>
      <c r="N147" s="141">
        <v>0.0</v>
      </c>
      <c r="O147" s="141">
        <v>0.0</v>
      </c>
      <c r="P147" s="141">
        <v>0.0</v>
      </c>
      <c r="Q147" s="141">
        <v>0.0</v>
      </c>
      <c r="R147" s="141">
        <v>4.0</v>
      </c>
      <c r="S147" s="141"/>
      <c r="T147" s="142"/>
      <c r="U147" s="142"/>
      <c r="V147" s="142"/>
      <c r="W147" s="142"/>
      <c r="X147" s="142"/>
      <c r="Y147" s="141"/>
      <c r="Z147" s="141"/>
      <c r="AA147" s="141"/>
      <c r="AB147" s="141"/>
      <c r="AC147" s="141"/>
      <c r="AD147" s="141"/>
      <c r="AE147" s="141"/>
    </row>
    <row r="148" ht="17.25" customHeight="1">
      <c r="A148" s="133" t="s">
        <v>23</v>
      </c>
      <c r="B148" s="133" t="s">
        <v>152</v>
      </c>
      <c r="C148" s="133" t="s">
        <v>153</v>
      </c>
      <c r="D148" s="133"/>
      <c r="E148" s="133" t="s">
        <v>154</v>
      </c>
      <c r="F148" s="133" t="s">
        <v>155</v>
      </c>
      <c r="G148" s="140">
        <v>1.3515427E7</v>
      </c>
      <c r="H148" s="141">
        <v>7.003263106208E12</v>
      </c>
      <c r="I148" s="141">
        <v>31.0</v>
      </c>
      <c r="J148" s="133" t="s">
        <v>102</v>
      </c>
      <c r="K148" s="133" t="s">
        <v>95</v>
      </c>
      <c r="L148" s="141">
        <v>0.0</v>
      </c>
      <c r="M148" s="141">
        <v>0.0</v>
      </c>
      <c r="N148" s="141">
        <v>0.0</v>
      </c>
      <c r="O148" s="141">
        <v>0.0</v>
      </c>
      <c r="P148" s="141">
        <v>0.0</v>
      </c>
      <c r="Q148" s="141">
        <v>0.0</v>
      </c>
      <c r="R148" s="141">
        <v>1.0</v>
      </c>
      <c r="S148" s="141"/>
      <c r="T148" s="142"/>
      <c r="U148" s="142"/>
      <c r="V148" s="142"/>
      <c r="W148" s="142"/>
      <c r="X148" s="142"/>
      <c r="Y148" s="141"/>
      <c r="Z148" s="141"/>
      <c r="AA148" s="141"/>
      <c r="AB148" s="141"/>
      <c r="AC148" s="141"/>
      <c r="AD148" s="141"/>
      <c r="AE148" s="141"/>
    </row>
    <row r="149" ht="17.25" customHeight="1">
      <c r="A149" s="133" t="s">
        <v>23</v>
      </c>
      <c r="B149" s="133" t="s">
        <v>152</v>
      </c>
      <c r="C149" s="133" t="s">
        <v>153</v>
      </c>
      <c r="D149" s="133"/>
      <c r="E149" s="133" t="s">
        <v>154</v>
      </c>
      <c r="F149" s="133" t="s">
        <v>155</v>
      </c>
      <c r="G149" s="140">
        <v>1.3515427E7</v>
      </c>
      <c r="H149" s="141">
        <v>7.003263306202E12</v>
      </c>
      <c r="I149" s="141">
        <v>33.0</v>
      </c>
      <c r="J149" s="133" t="s">
        <v>102</v>
      </c>
      <c r="K149" s="133" t="s">
        <v>104</v>
      </c>
      <c r="L149" s="141">
        <v>0.0</v>
      </c>
      <c r="M149" s="141">
        <v>0.0</v>
      </c>
      <c r="N149" s="141">
        <v>0.0</v>
      </c>
      <c r="O149" s="141">
        <v>0.0</v>
      </c>
      <c r="P149" s="141">
        <v>0.0</v>
      </c>
      <c r="Q149" s="141">
        <v>0.0</v>
      </c>
      <c r="R149" s="141">
        <v>1.0</v>
      </c>
      <c r="S149" s="141"/>
      <c r="T149" s="142"/>
      <c r="U149" s="142"/>
      <c r="V149" s="142"/>
      <c r="W149" s="142"/>
      <c r="X149" s="142"/>
      <c r="Y149" s="141"/>
      <c r="Z149" s="141"/>
      <c r="AA149" s="141"/>
      <c r="AB149" s="141"/>
      <c r="AC149" s="141"/>
      <c r="AD149" s="141"/>
      <c r="AE149" s="141"/>
    </row>
    <row r="150" ht="17.25" customHeight="1">
      <c r="A150" s="133" t="s">
        <v>23</v>
      </c>
      <c r="B150" s="133" t="s">
        <v>106</v>
      </c>
      <c r="C150" s="133" t="s">
        <v>90</v>
      </c>
      <c r="E150" s="133" t="s">
        <v>107</v>
      </c>
      <c r="F150" s="133" t="s">
        <v>144</v>
      </c>
      <c r="G150" s="140">
        <v>1.7615826E7</v>
      </c>
      <c r="H150" s="141">
        <v>7.403894407123E12</v>
      </c>
      <c r="I150" s="133" t="s">
        <v>93</v>
      </c>
      <c r="J150" s="133" t="s">
        <v>102</v>
      </c>
      <c r="K150" s="133" t="s">
        <v>104</v>
      </c>
      <c r="L150" s="141">
        <v>0.0</v>
      </c>
      <c r="M150" s="141">
        <v>0.0</v>
      </c>
      <c r="N150" s="141">
        <v>0.0</v>
      </c>
      <c r="O150" s="141">
        <v>0.0</v>
      </c>
      <c r="P150" s="141">
        <v>0.0</v>
      </c>
      <c r="Q150" s="141">
        <v>0.0</v>
      </c>
      <c r="R150" s="141">
        <v>1.0</v>
      </c>
      <c r="S150" s="141"/>
      <c r="T150" s="142"/>
      <c r="U150" s="142"/>
      <c r="V150" s="142"/>
      <c r="W150" s="142"/>
      <c r="X150" s="142"/>
      <c r="Y150" s="141"/>
      <c r="Z150" s="141"/>
      <c r="AA150" s="141"/>
      <c r="AB150" s="141"/>
      <c r="AC150" s="141"/>
      <c r="AD150" s="141"/>
      <c r="AE150" s="141"/>
    </row>
    <row r="151" ht="17.25" customHeight="1">
      <c r="A151" s="133" t="s">
        <v>23</v>
      </c>
      <c r="B151" s="133" t="s">
        <v>152</v>
      </c>
      <c r="C151" s="133" t="s">
        <v>153</v>
      </c>
      <c r="D151" s="133"/>
      <c r="E151" s="133" t="s">
        <v>154</v>
      </c>
      <c r="F151" s="133" t="s">
        <v>155</v>
      </c>
      <c r="G151" s="140">
        <v>1.3515427E7</v>
      </c>
      <c r="H151" s="141">
        <v>7.003263106208E12</v>
      </c>
      <c r="I151" s="141">
        <v>31.0</v>
      </c>
      <c r="J151" s="133" t="s">
        <v>102</v>
      </c>
      <c r="K151" s="133" t="s">
        <v>113</v>
      </c>
      <c r="L151" s="141">
        <v>0.0</v>
      </c>
      <c r="M151" s="141">
        <v>0.0</v>
      </c>
      <c r="N151" s="141">
        <v>0.0</v>
      </c>
      <c r="O151" s="141">
        <v>0.0</v>
      </c>
      <c r="P151" s="141">
        <v>0.0</v>
      </c>
      <c r="Q151" s="141">
        <v>0.0</v>
      </c>
      <c r="R151" s="141">
        <v>1.0</v>
      </c>
      <c r="S151" s="141"/>
      <c r="T151" s="142"/>
      <c r="U151" s="142"/>
      <c r="V151" s="142"/>
      <c r="W151" s="142"/>
      <c r="X151" s="142"/>
      <c r="Y151" s="141"/>
      <c r="Z151" s="141"/>
      <c r="AA151" s="141"/>
      <c r="AB151" s="141"/>
      <c r="AC151" s="141"/>
      <c r="AD151" s="141"/>
      <c r="AE151" s="141"/>
    </row>
    <row r="152" ht="17.25" customHeight="1">
      <c r="A152" s="133" t="s">
        <v>23</v>
      </c>
      <c r="B152" s="133" t="s">
        <v>89</v>
      </c>
      <c r="C152" s="133" t="s">
        <v>90</v>
      </c>
      <c r="E152" s="133" t="s">
        <v>91</v>
      </c>
      <c r="F152" s="133" t="s">
        <v>156</v>
      </c>
      <c r="G152" s="140">
        <v>1.1210359E7</v>
      </c>
      <c r="H152" s="141">
        <v>7.600204800005E12</v>
      </c>
      <c r="I152" s="133" t="s">
        <v>93</v>
      </c>
      <c r="J152" s="133" t="s">
        <v>102</v>
      </c>
      <c r="K152" s="133" t="s">
        <v>104</v>
      </c>
      <c r="L152" s="141">
        <v>0.0</v>
      </c>
      <c r="M152" s="141">
        <v>0.0</v>
      </c>
      <c r="N152" s="141">
        <v>0.0</v>
      </c>
      <c r="O152" s="141">
        <v>0.0</v>
      </c>
      <c r="P152" s="141">
        <v>0.0</v>
      </c>
      <c r="Q152" s="141">
        <v>0.0</v>
      </c>
      <c r="R152" s="141">
        <v>1.0</v>
      </c>
      <c r="S152" s="141"/>
      <c r="T152" s="142"/>
      <c r="U152" s="142"/>
      <c r="V152" s="142"/>
      <c r="W152" s="142"/>
      <c r="X152" s="142"/>
      <c r="Y152" s="141"/>
      <c r="Z152" s="141"/>
      <c r="AA152" s="141"/>
      <c r="AB152" s="141"/>
      <c r="AC152" s="141"/>
      <c r="AD152" s="141"/>
      <c r="AE152" s="141"/>
    </row>
    <row r="153" ht="17.25" customHeight="1">
      <c r="A153" s="133" t="s">
        <v>23</v>
      </c>
      <c r="B153" s="133" t="s">
        <v>106</v>
      </c>
      <c r="C153" s="133" t="s">
        <v>90</v>
      </c>
      <c r="E153" s="133" t="s">
        <v>114</v>
      </c>
      <c r="F153" s="133" t="s">
        <v>178</v>
      </c>
      <c r="G153" s="140">
        <v>1.6963759E7</v>
      </c>
      <c r="H153" s="141">
        <v>7.403864803115E12</v>
      </c>
      <c r="I153" s="133" t="s">
        <v>122</v>
      </c>
      <c r="J153" s="133" t="s">
        <v>94</v>
      </c>
      <c r="K153" s="133" t="s">
        <v>104</v>
      </c>
      <c r="L153" s="141">
        <v>0.0</v>
      </c>
      <c r="M153" s="141">
        <v>0.0</v>
      </c>
      <c r="N153" s="141">
        <v>1.0</v>
      </c>
      <c r="O153" s="141">
        <v>4254.12</v>
      </c>
      <c r="P153" s="141">
        <v>0.0</v>
      </c>
      <c r="Q153" s="141">
        <v>0.0</v>
      </c>
      <c r="R153" s="141">
        <v>0.0</v>
      </c>
      <c r="S153" s="141"/>
      <c r="T153" s="142"/>
      <c r="U153" s="142"/>
      <c r="V153" s="142"/>
      <c r="W153" s="142"/>
      <c r="X153" s="142"/>
      <c r="Y153" s="141"/>
      <c r="Z153" s="141"/>
      <c r="AA153" s="141"/>
      <c r="AB153" s="141"/>
      <c r="AC153" s="141"/>
      <c r="AD153" s="141"/>
      <c r="AE153" s="141"/>
    </row>
    <row r="154" ht="17.25" customHeight="1">
      <c r="A154" s="133" t="s">
        <v>23</v>
      </c>
      <c r="B154" s="133" t="s">
        <v>136</v>
      </c>
      <c r="C154" s="133" t="s">
        <v>90</v>
      </c>
      <c r="E154" s="133" t="s">
        <v>161</v>
      </c>
      <c r="F154" s="133" t="s">
        <v>181</v>
      </c>
      <c r="G154" s="140">
        <v>1.3889781E7</v>
      </c>
      <c r="H154" s="141">
        <v>7.003535406203E12</v>
      </c>
      <c r="I154" s="133" t="s">
        <v>127</v>
      </c>
      <c r="J154" s="133" t="s">
        <v>102</v>
      </c>
      <c r="K154" s="133" t="s">
        <v>95</v>
      </c>
      <c r="L154" s="141">
        <v>0.0</v>
      </c>
      <c r="M154" s="141">
        <v>0.0</v>
      </c>
      <c r="N154" s="141">
        <v>6.0</v>
      </c>
      <c r="O154" s="141">
        <v>16611.18</v>
      </c>
      <c r="P154" s="141">
        <v>4.0</v>
      </c>
      <c r="Q154" s="141">
        <v>11655.25</v>
      </c>
      <c r="R154" s="141">
        <v>30.0</v>
      </c>
      <c r="S154" s="141"/>
      <c r="T154" s="142"/>
      <c r="U154" s="142"/>
      <c r="V154" s="142"/>
      <c r="W154" s="142"/>
      <c r="X154" s="142"/>
      <c r="Y154" s="141"/>
      <c r="Z154" s="141"/>
      <c r="AA154" s="141"/>
      <c r="AB154" s="141"/>
      <c r="AC154" s="141"/>
      <c r="AD154" s="141"/>
      <c r="AE154" s="141"/>
    </row>
    <row r="155" ht="17.25" customHeight="1">
      <c r="A155" s="133" t="s">
        <v>23</v>
      </c>
      <c r="B155" s="133" t="s">
        <v>136</v>
      </c>
      <c r="C155" s="133" t="s">
        <v>90</v>
      </c>
      <c r="E155" s="133" t="s">
        <v>137</v>
      </c>
      <c r="F155" s="133" t="s">
        <v>39</v>
      </c>
      <c r="G155" s="140">
        <v>1.9454469E7</v>
      </c>
      <c r="H155" s="141">
        <v>2.040054882007E12</v>
      </c>
      <c r="I155" s="133" t="s">
        <v>138</v>
      </c>
      <c r="J155" s="133" t="s">
        <v>102</v>
      </c>
      <c r="K155" s="133" t="s">
        <v>95</v>
      </c>
      <c r="L155" s="141">
        <v>0.0</v>
      </c>
      <c r="M155" s="141">
        <v>0.0</v>
      </c>
      <c r="N155" s="141">
        <v>22.0</v>
      </c>
      <c r="O155" s="141">
        <v>26226.64</v>
      </c>
      <c r="P155" s="141">
        <v>27.0</v>
      </c>
      <c r="Q155" s="141">
        <v>32349.81</v>
      </c>
      <c r="R155" s="141">
        <v>102.0</v>
      </c>
      <c r="S155" s="141"/>
      <c r="T155" s="142"/>
      <c r="U155" s="142"/>
      <c r="V155" s="142"/>
      <c r="W155" s="142"/>
      <c r="X155" s="142"/>
      <c r="Y155" s="141"/>
      <c r="Z155" s="141"/>
      <c r="AA155" s="141"/>
      <c r="AB155" s="141"/>
      <c r="AC155" s="141"/>
      <c r="AD155" s="141"/>
      <c r="AE155" s="141"/>
    </row>
    <row r="156" ht="17.25" customHeight="1">
      <c r="A156" s="133" t="s">
        <v>23</v>
      </c>
      <c r="B156" s="133" t="s">
        <v>106</v>
      </c>
      <c r="C156" s="133" t="s">
        <v>90</v>
      </c>
      <c r="E156" s="133" t="s">
        <v>107</v>
      </c>
      <c r="F156" s="133" t="s">
        <v>108</v>
      </c>
      <c r="G156" s="140">
        <v>1.6963758E7</v>
      </c>
      <c r="H156" s="141">
        <v>7.403854803118E12</v>
      </c>
      <c r="I156" s="133" t="s">
        <v>122</v>
      </c>
      <c r="J156" s="133" t="s">
        <v>102</v>
      </c>
      <c r="K156" s="133" t="s">
        <v>95</v>
      </c>
      <c r="L156" s="141">
        <v>0.0</v>
      </c>
      <c r="M156" s="141">
        <v>0.0</v>
      </c>
      <c r="N156" s="141">
        <v>3.0</v>
      </c>
      <c r="O156" s="141">
        <v>8858.19</v>
      </c>
      <c r="P156" s="141">
        <v>2.0</v>
      </c>
      <c r="Q156" s="141">
        <v>6335.72</v>
      </c>
      <c r="R156" s="141">
        <v>25.0</v>
      </c>
      <c r="S156" s="141"/>
      <c r="T156" s="142"/>
      <c r="U156" s="142"/>
      <c r="V156" s="142"/>
      <c r="W156" s="142"/>
      <c r="X156" s="142"/>
      <c r="Y156" s="141"/>
      <c r="Z156" s="141"/>
      <c r="AA156" s="141"/>
      <c r="AB156" s="141"/>
      <c r="AC156" s="141"/>
      <c r="AD156" s="141"/>
      <c r="AE156" s="141"/>
    </row>
    <row r="157" ht="17.25" customHeight="1">
      <c r="A157" s="133" t="s">
        <v>23</v>
      </c>
      <c r="B157" s="133" t="s">
        <v>106</v>
      </c>
      <c r="C157" s="133" t="s">
        <v>90</v>
      </c>
      <c r="E157" s="133" t="s">
        <v>114</v>
      </c>
      <c r="F157" s="133" t="s">
        <v>178</v>
      </c>
      <c r="G157" s="140">
        <v>1.6963759E7</v>
      </c>
      <c r="H157" s="141">
        <v>7.403864803115E12</v>
      </c>
      <c r="I157" s="133" t="s">
        <v>122</v>
      </c>
      <c r="J157" s="133" t="s">
        <v>102</v>
      </c>
      <c r="K157" s="133" t="s">
        <v>143</v>
      </c>
      <c r="L157" s="141">
        <v>0.0</v>
      </c>
      <c r="M157" s="141">
        <v>0.0</v>
      </c>
      <c r="N157" s="141">
        <v>1.0</v>
      </c>
      <c r="O157" s="141">
        <v>4481.37</v>
      </c>
      <c r="P157" s="141">
        <v>0.0</v>
      </c>
      <c r="Q157" s="141">
        <v>0.0</v>
      </c>
      <c r="R157" s="141">
        <v>1.0</v>
      </c>
      <c r="S157" s="141"/>
      <c r="T157" s="142"/>
      <c r="U157" s="142"/>
      <c r="V157" s="142"/>
      <c r="W157" s="142"/>
      <c r="X157" s="142"/>
      <c r="Y157" s="141"/>
      <c r="Z157" s="141"/>
      <c r="AA157" s="141"/>
      <c r="AB157" s="141"/>
      <c r="AC157" s="141"/>
      <c r="AD157" s="141"/>
      <c r="AE157" s="141"/>
    </row>
    <row r="158" ht="17.25" customHeight="1">
      <c r="A158" s="133" t="s">
        <v>23</v>
      </c>
      <c r="B158" s="133" t="s">
        <v>136</v>
      </c>
      <c r="C158" s="133" t="s">
        <v>90</v>
      </c>
      <c r="E158" s="133" t="s">
        <v>137</v>
      </c>
      <c r="F158" s="133" t="s">
        <v>51</v>
      </c>
      <c r="G158" s="140">
        <v>1.8583835E7</v>
      </c>
      <c r="H158" s="141">
        <v>7.403965229128E12</v>
      </c>
      <c r="I158" s="133" t="s">
        <v>127</v>
      </c>
      <c r="J158" s="133" t="s">
        <v>94</v>
      </c>
      <c r="K158" s="133" t="s">
        <v>104</v>
      </c>
      <c r="L158" s="141">
        <v>0.0</v>
      </c>
      <c r="M158" s="141">
        <v>0.0</v>
      </c>
      <c r="N158" s="141">
        <v>0.0</v>
      </c>
      <c r="O158" s="141">
        <v>0.0</v>
      </c>
      <c r="P158" s="141">
        <v>0.0</v>
      </c>
      <c r="Q158" s="141">
        <v>166.23</v>
      </c>
      <c r="R158" s="141">
        <v>0.0</v>
      </c>
      <c r="S158" s="141"/>
      <c r="T158" s="142"/>
      <c r="U158" s="142"/>
      <c r="V158" s="142"/>
      <c r="W158" s="142"/>
      <c r="X158" s="142"/>
      <c r="Y158" s="141"/>
      <c r="Z158" s="141"/>
      <c r="AA158" s="141"/>
      <c r="AB158" s="141"/>
      <c r="AC158" s="141"/>
      <c r="AD158" s="141"/>
      <c r="AE158" s="141"/>
    </row>
    <row r="159" ht="17.25" customHeight="1">
      <c r="A159" s="133" t="s">
        <v>23</v>
      </c>
      <c r="B159" s="133" t="s">
        <v>106</v>
      </c>
      <c r="C159" s="133" t="s">
        <v>90</v>
      </c>
      <c r="E159" s="133" t="s">
        <v>114</v>
      </c>
      <c r="F159" s="133" t="s">
        <v>178</v>
      </c>
      <c r="G159" s="140">
        <v>1.6963759E7</v>
      </c>
      <c r="H159" s="141">
        <v>7.403864803115E12</v>
      </c>
      <c r="I159" s="133" t="s">
        <v>122</v>
      </c>
      <c r="J159" s="133" t="s">
        <v>94</v>
      </c>
      <c r="K159" s="133" t="s">
        <v>97</v>
      </c>
      <c r="L159" s="141">
        <v>0.0</v>
      </c>
      <c r="M159" s="141">
        <v>0.0</v>
      </c>
      <c r="N159" s="141">
        <v>0.0</v>
      </c>
      <c r="O159" s="141">
        <v>0.0</v>
      </c>
      <c r="P159" s="141">
        <v>0.0</v>
      </c>
      <c r="Q159" s="141">
        <v>0.0</v>
      </c>
      <c r="R159" s="141">
        <v>0.0</v>
      </c>
      <c r="S159" s="141"/>
      <c r="T159" s="142"/>
      <c r="U159" s="142"/>
      <c r="V159" s="142"/>
      <c r="W159" s="142"/>
      <c r="X159" s="142"/>
      <c r="Y159" s="141"/>
      <c r="Z159" s="141"/>
      <c r="AA159" s="141"/>
      <c r="AB159" s="141"/>
      <c r="AC159" s="141"/>
      <c r="AD159" s="141"/>
      <c r="AE159" s="141"/>
    </row>
    <row r="160" ht="17.25" customHeight="1">
      <c r="A160" s="133" t="s">
        <v>23</v>
      </c>
      <c r="B160" s="133" t="s">
        <v>89</v>
      </c>
      <c r="C160" s="133" t="s">
        <v>90</v>
      </c>
      <c r="E160" s="133" t="s">
        <v>91</v>
      </c>
      <c r="F160" s="133" t="s">
        <v>139</v>
      </c>
      <c r="G160" s="140">
        <v>1.1210356E7</v>
      </c>
      <c r="H160" s="141">
        <v>7.3002046E12</v>
      </c>
      <c r="I160" s="133" t="s">
        <v>96</v>
      </c>
      <c r="J160" s="133" t="s">
        <v>94</v>
      </c>
      <c r="K160" s="133" t="s">
        <v>97</v>
      </c>
      <c r="L160" s="141">
        <v>0.0</v>
      </c>
      <c r="M160" s="141">
        <v>0.0</v>
      </c>
      <c r="N160" s="141">
        <v>1.0</v>
      </c>
      <c r="O160" s="141">
        <v>3409.85</v>
      </c>
      <c r="P160" s="141">
        <v>0.0</v>
      </c>
      <c r="Q160" s="141">
        <v>0.0</v>
      </c>
      <c r="R160" s="141">
        <v>0.0</v>
      </c>
      <c r="S160" s="141"/>
      <c r="T160" s="142"/>
      <c r="U160" s="142"/>
      <c r="V160" s="142"/>
      <c r="W160" s="142"/>
      <c r="X160" s="142"/>
      <c r="Y160" s="141"/>
      <c r="Z160" s="141"/>
      <c r="AA160" s="141"/>
      <c r="AB160" s="141"/>
      <c r="AC160" s="141"/>
      <c r="AD160" s="141"/>
      <c r="AE160" s="141"/>
    </row>
    <row r="161" ht="17.25" customHeight="1">
      <c r="A161" s="133" t="s">
        <v>23</v>
      </c>
      <c r="B161" s="133" t="s">
        <v>106</v>
      </c>
      <c r="C161" s="133" t="s">
        <v>90</v>
      </c>
      <c r="E161" s="133" t="s">
        <v>107</v>
      </c>
      <c r="F161" s="133" t="s">
        <v>182</v>
      </c>
      <c r="G161" s="140">
        <v>1.8693271E7</v>
      </c>
      <c r="H161" s="141">
        <v>7.403914608127E12</v>
      </c>
      <c r="I161" s="133" t="s">
        <v>122</v>
      </c>
      <c r="J161" s="133" t="s">
        <v>94</v>
      </c>
      <c r="K161" s="133" t="s">
        <v>97</v>
      </c>
      <c r="L161" s="141">
        <v>0.0</v>
      </c>
      <c r="M161" s="141">
        <v>0.0</v>
      </c>
      <c r="N161" s="141">
        <v>1.0</v>
      </c>
      <c r="O161" s="141">
        <v>2395.21</v>
      </c>
      <c r="P161" s="141">
        <v>0.0</v>
      </c>
      <c r="Q161" s="141">
        <v>0.0</v>
      </c>
      <c r="R161" s="141">
        <v>0.0</v>
      </c>
      <c r="S161" s="141"/>
      <c r="T161" s="142"/>
      <c r="U161" s="142"/>
      <c r="V161" s="142"/>
      <c r="W161" s="142"/>
      <c r="X161" s="142"/>
      <c r="Y161" s="141"/>
      <c r="Z161" s="141"/>
      <c r="AA161" s="141"/>
      <c r="AB161" s="141"/>
      <c r="AC161" s="141"/>
      <c r="AD161" s="141"/>
      <c r="AE161" s="141"/>
    </row>
    <row r="162" ht="17.25" customHeight="1">
      <c r="A162" s="133" t="s">
        <v>23</v>
      </c>
      <c r="B162" s="133" t="s">
        <v>136</v>
      </c>
      <c r="C162" s="133" t="s">
        <v>90</v>
      </c>
      <c r="E162" s="133" t="s">
        <v>137</v>
      </c>
      <c r="F162" s="133" t="s">
        <v>39</v>
      </c>
      <c r="G162" s="140">
        <v>1.9454469E7</v>
      </c>
      <c r="H162" s="141">
        <v>2.040054882007E12</v>
      </c>
      <c r="I162" s="133" t="s">
        <v>138</v>
      </c>
      <c r="J162" s="133" t="s">
        <v>94</v>
      </c>
      <c r="K162" s="133" t="s">
        <v>146</v>
      </c>
      <c r="L162" s="141">
        <v>0.0</v>
      </c>
      <c r="M162" s="141">
        <v>0.0</v>
      </c>
      <c r="N162" s="141">
        <v>1.0</v>
      </c>
      <c r="O162" s="141">
        <v>1192.12</v>
      </c>
      <c r="P162" s="141">
        <v>0.0</v>
      </c>
      <c r="Q162" s="141">
        <v>0.0</v>
      </c>
      <c r="R162" s="141">
        <v>0.0</v>
      </c>
      <c r="S162" s="141"/>
      <c r="T162" s="142"/>
      <c r="U162" s="142"/>
      <c r="V162" s="142"/>
      <c r="W162" s="142"/>
      <c r="X162" s="142"/>
      <c r="Y162" s="141"/>
      <c r="Z162" s="141"/>
      <c r="AA162" s="141"/>
      <c r="AB162" s="141"/>
      <c r="AC162" s="141"/>
      <c r="AD162" s="141"/>
      <c r="AE162" s="141"/>
    </row>
    <row r="163" ht="17.25" customHeight="1">
      <c r="A163" s="133" t="s">
        <v>23</v>
      </c>
      <c r="B163" s="133" t="s">
        <v>124</v>
      </c>
      <c r="C163" s="133" t="s">
        <v>90</v>
      </c>
      <c r="E163" s="133" t="s">
        <v>125</v>
      </c>
      <c r="F163" s="133" t="s">
        <v>183</v>
      </c>
      <c r="G163" s="140">
        <v>1.6851019E7</v>
      </c>
      <c r="H163" s="141">
        <v>7.403695210205E12</v>
      </c>
      <c r="I163" s="133" t="s">
        <v>127</v>
      </c>
      <c r="J163" s="133" t="s">
        <v>94</v>
      </c>
      <c r="K163" s="133" t="s">
        <v>143</v>
      </c>
      <c r="L163" s="141">
        <v>0.0</v>
      </c>
      <c r="M163" s="141">
        <v>0.0</v>
      </c>
      <c r="N163" s="141">
        <v>1.0</v>
      </c>
      <c r="O163" s="141">
        <v>1520.21</v>
      </c>
      <c r="P163" s="141">
        <v>1.0</v>
      </c>
      <c r="Q163" s="141">
        <v>1520.21</v>
      </c>
      <c r="R163" s="141">
        <v>0.0</v>
      </c>
      <c r="S163" s="141"/>
      <c r="T163" s="142"/>
      <c r="U163" s="142"/>
      <c r="V163" s="142"/>
      <c r="W163" s="142"/>
      <c r="X163" s="142"/>
      <c r="Y163" s="141"/>
      <c r="Z163" s="141"/>
      <c r="AA163" s="141"/>
      <c r="AB163" s="141"/>
      <c r="AC163" s="141"/>
      <c r="AD163" s="141"/>
      <c r="AE163" s="141"/>
    </row>
    <row r="164" ht="17.25" customHeight="1">
      <c r="A164" s="133" t="s">
        <v>23</v>
      </c>
      <c r="B164" s="133" t="s">
        <v>136</v>
      </c>
      <c r="C164" s="133" t="s">
        <v>90</v>
      </c>
      <c r="E164" s="133" t="s">
        <v>137</v>
      </c>
      <c r="F164" s="133" t="s">
        <v>26</v>
      </c>
      <c r="G164" s="140">
        <v>1.3889285E7</v>
      </c>
      <c r="H164" s="141">
        <v>7.003445406201E12</v>
      </c>
      <c r="I164" s="133" t="s">
        <v>138</v>
      </c>
      <c r="J164" s="133" t="s">
        <v>102</v>
      </c>
      <c r="K164" s="133" t="s">
        <v>95</v>
      </c>
      <c r="L164" s="141">
        <v>0.0</v>
      </c>
      <c r="M164" s="141">
        <v>0.0</v>
      </c>
      <c r="N164" s="141">
        <v>34.0</v>
      </c>
      <c r="O164" s="141">
        <v>53619.58</v>
      </c>
      <c r="P164" s="141">
        <v>20.0</v>
      </c>
      <c r="Q164" s="141">
        <v>32313.8</v>
      </c>
      <c r="R164" s="141">
        <v>175.0</v>
      </c>
      <c r="S164" s="141"/>
      <c r="T164" s="142"/>
      <c r="U164" s="142"/>
      <c r="V164" s="142"/>
      <c r="W164" s="142"/>
      <c r="X164" s="142"/>
      <c r="Y164" s="141"/>
      <c r="Z164" s="141"/>
      <c r="AA164" s="141"/>
      <c r="AB164" s="141"/>
      <c r="AC164" s="141"/>
      <c r="AD164" s="141"/>
      <c r="AE164" s="141"/>
    </row>
    <row r="165" ht="17.25" customHeight="1">
      <c r="A165" s="133" t="s">
        <v>23</v>
      </c>
      <c r="B165" s="133" t="s">
        <v>98</v>
      </c>
      <c r="C165" s="133" t="s">
        <v>90</v>
      </c>
      <c r="E165" s="133" t="s">
        <v>99</v>
      </c>
      <c r="F165" s="133" t="s">
        <v>100</v>
      </c>
      <c r="G165" s="140">
        <v>1.4967663E7</v>
      </c>
      <c r="H165" s="141">
        <v>7.003064806208E12</v>
      </c>
      <c r="I165" s="133" t="s">
        <v>93</v>
      </c>
      <c r="J165" s="133" t="s">
        <v>102</v>
      </c>
      <c r="K165" s="133" t="s">
        <v>95</v>
      </c>
      <c r="L165" s="141">
        <v>0.0</v>
      </c>
      <c r="M165" s="141">
        <v>0.0</v>
      </c>
      <c r="N165" s="141">
        <v>3.0</v>
      </c>
      <c r="O165" s="141">
        <v>5383.55</v>
      </c>
      <c r="P165" s="141">
        <v>3.0</v>
      </c>
      <c r="Q165" s="141">
        <v>5642.38</v>
      </c>
      <c r="R165" s="141">
        <v>40.0</v>
      </c>
      <c r="S165" s="141"/>
      <c r="T165" s="142"/>
      <c r="U165" s="142"/>
      <c r="V165" s="142"/>
      <c r="W165" s="142"/>
      <c r="X165" s="142"/>
      <c r="Y165" s="141"/>
      <c r="Z165" s="141"/>
      <c r="AA165" s="141"/>
      <c r="AB165" s="141"/>
      <c r="AC165" s="141"/>
      <c r="AD165" s="141"/>
      <c r="AE165" s="141"/>
    </row>
    <row r="166">
      <c r="A166" s="133" t="s">
        <v>23</v>
      </c>
      <c r="B166" s="133" t="s">
        <v>136</v>
      </c>
      <c r="C166" s="133" t="s">
        <v>90</v>
      </c>
      <c r="E166" s="133" t="s">
        <v>137</v>
      </c>
      <c r="F166" s="133" t="s">
        <v>39</v>
      </c>
      <c r="G166" s="140">
        <v>1.9454469E7</v>
      </c>
      <c r="H166" s="141">
        <v>2.040054882007E12</v>
      </c>
      <c r="I166" s="133" t="s">
        <v>138</v>
      </c>
      <c r="J166" s="133" t="s">
        <v>94</v>
      </c>
      <c r="K166" s="133" t="s">
        <v>97</v>
      </c>
      <c r="L166" s="141">
        <v>0.0</v>
      </c>
      <c r="M166" s="141">
        <v>0.0</v>
      </c>
      <c r="N166" s="141">
        <v>1.0</v>
      </c>
      <c r="O166" s="141">
        <v>1192.12</v>
      </c>
      <c r="P166" s="141">
        <v>0.0</v>
      </c>
      <c r="Q166" s="141">
        <v>0.0</v>
      </c>
      <c r="R166" s="141">
        <v>0.0</v>
      </c>
      <c r="S166" s="141"/>
      <c r="T166" s="142"/>
      <c r="U166" s="142"/>
      <c r="V166" s="142"/>
      <c r="W166" s="142"/>
      <c r="X166" s="142"/>
      <c r="Y166" s="141"/>
      <c r="Z166" s="141"/>
      <c r="AA166" s="141"/>
      <c r="AB166" s="141"/>
      <c r="AC166" s="141"/>
      <c r="AD166" s="141"/>
      <c r="AE166" s="141"/>
    </row>
    <row r="167" ht="17.25" customHeight="1">
      <c r="A167" s="133" t="s">
        <v>23</v>
      </c>
      <c r="B167" s="133" t="s">
        <v>136</v>
      </c>
      <c r="C167" s="133" t="s">
        <v>90</v>
      </c>
      <c r="E167" s="133" t="s">
        <v>137</v>
      </c>
      <c r="F167" s="133" t="s">
        <v>51</v>
      </c>
      <c r="G167" s="140">
        <v>1.8583835E7</v>
      </c>
      <c r="H167" s="141">
        <v>7.403965229128E12</v>
      </c>
      <c r="I167" s="133" t="s">
        <v>127</v>
      </c>
      <c r="J167" s="133" t="s">
        <v>102</v>
      </c>
      <c r="K167" s="133" t="s">
        <v>95</v>
      </c>
      <c r="L167" s="141">
        <v>0.0</v>
      </c>
      <c r="M167" s="141">
        <v>0.0</v>
      </c>
      <c r="N167" s="141">
        <v>5.0</v>
      </c>
      <c r="O167" s="141">
        <v>8192.18</v>
      </c>
      <c r="P167" s="141">
        <v>2.0</v>
      </c>
      <c r="Q167" s="141">
        <v>3240.52</v>
      </c>
      <c r="R167" s="141">
        <v>130.0</v>
      </c>
      <c r="S167" s="141"/>
      <c r="T167" s="142"/>
      <c r="U167" s="142"/>
      <c r="V167" s="142"/>
      <c r="W167" s="142"/>
      <c r="X167" s="142"/>
      <c r="Y167" s="141"/>
      <c r="Z167" s="141"/>
      <c r="AA167" s="141"/>
      <c r="AB167" s="141"/>
      <c r="AC167" s="141"/>
      <c r="AD167" s="141"/>
      <c r="AE167" s="141"/>
    </row>
    <row r="168" ht="17.25" customHeight="1">
      <c r="A168" s="133" t="s">
        <v>23</v>
      </c>
      <c r="B168" s="133" t="s">
        <v>106</v>
      </c>
      <c r="C168" s="133" t="s">
        <v>90</v>
      </c>
      <c r="E168" s="133" t="s">
        <v>114</v>
      </c>
      <c r="F168" s="133" t="s">
        <v>178</v>
      </c>
      <c r="G168" s="140">
        <v>1.6963759E7</v>
      </c>
      <c r="H168" s="141">
        <v>7.403864803115E12</v>
      </c>
      <c r="I168" s="133" t="s">
        <v>122</v>
      </c>
      <c r="J168" s="133" t="s">
        <v>102</v>
      </c>
      <c r="K168" s="133" t="s">
        <v>95</v>
      </c>
      <c r="L168" s="141">
        <v>0.0</v>
      </c>
      <c r="M168" s="141">
        <v>0.0</v>
      </c>
      <c r="N168" s="141">
        <v>6.0</v>
      </c>
      <c r="O168" s="141">
        <v>24570.27</v>
      </c>
      <c r="P168" s="141">
        <v>5.0</v>
      </c>
      <c r="Q168" s="141">
        <v>20552.49</v>
      </c>
      <c r="R168" s="141">
        <v>5.0</v>
      </c>
      <c r="S168" s="141"/>
      <c r="T168" s="142"/>
      <c r="U168" s="142"/>
      <c r="V168" s="142"/>
      <c r="W168" s="142"/>
      <c r="X168" s="142"/>
      <c r="Y168" s="141"/>
      <c r="Z168" s="141"/>
      <c r="AA168" s="141"/>
      <c r="AB168" s="141"/>
      <c r="AC168" s="141"/>
      <c r="AD168" s="141"/>
      <c r="AE168" s="141"/>
    </row>
    <row r="169" ht="17.25" customHeight="1">
      <c r="A169" s="133" t="s">
        <v>23</v>
      </c>
      <c r="B169" s="133" t="s">
        <v>106</v>
      </c>
      <c r="C169" s="133" t="s">
        <v>90</v>
      </c>
      <c r="E169" s="133" t="s">
        <v>107</v>
      </c>
      <c r="F169" s="133" t="s">
        <v>108</v>
      </c>
      <c r="G169" s="140">
        <v>1.6963758E7</v>
      </c>
      <c r="H169" s="141">
        <v>7.403854803118E12</v>
      </c>
      <c r="I169" s="133" t="s">
        <v>122</v>
      </c>
      <c r="J169" s="133" t="s">
        <v>94</v>
      </c>
      <c r="K169" s="133" t="s">
        <v>143</v>
      </c>
      <c r="L169" s="141">
        <v>0.0</v>
      </c>
      <c r="M169" s="141">
        <v>0.0</v>
      </c>
      <c r="N169" s="141">
        <v>0.0</v>
      </c>
      <c r="O169" s="141">
        <v>0.0</v>
      </c>
      <c r="P169" s="141">
        <v>1.0</v>
      </c>
      <c r="Q169" s="141">
        <v>3167.86</v>
      </c>
      <c r="R169" s="141">
        <v>0.0</v>
      </c>
      <c r="S169" s="141"/>
      <c r="T169" s="142"/>
      <c r="U169" s="142"/>
      <c r="V169" s="142"/>
      <c r="W169" s="142"/>
      <c r="X169" s="142"/>
      <c r="Y169" s="141"/>
      <c r="Z169" s="141"/>
      <c r="AA169" s="141"/>
      <c r="AB169" s="141"/>
      <c r="AC169" s="141"/>
      <c r="AD169" s="141"/>
      <c r="AE169" s="141"/>
    </row>
    <row r="170" ht="17.25" customHeight="1">
      <c r="A170" s="133" t="s">
        <v>23</v>
      </c>
      <c r="B170" s="133" t="s">
        <v>106</v>
      </c>
      <c r="C170" s="133" t="s">
        <v>90</v>
      </c>
      <c r="E170" s="133" t="s">
        <v>107</v>
      </c>
      <c r="F170" s="133" t="s">
        <v>108</v>
      </c>
      <c r="G170" s="140">
        <v>1.6963758E7</v>
      </c>
      <c r="H170" s="141">
        <v>7.403854803118E12</v>
      </c>
      <c r="I170" s="133" t="s">
        <v>122</v>
      </c>
      <c r="J170" s="133" t="s">
        <v>94</v>
      </c>
      <c r="K170" s="133" t="s">
        <v>104</v>
      </c>
      <c r="L170" s="141">
        <v>0.0</v>
      </c>
      <c r="M170" s="141">
        <v>0.0</v>
      </c>
      <c r="N170" s="141">
        <v>0.0</v>
      </c>
      <c r="O170" s="141">
        <v>0.0</v>
      </c>
      <c r="P170" s="141">
        <v>0.0</v>
      </c>
      <c r="Q170" s="141">
        <v>0.0</v>
      </c>
      <c r="R170" s="141">
        <v>0.0</v>
      </c>
      <c r="S170" s="141"/>
      <c r="T170" s="142"/>
      <c r="U170" s="142"/>
      <c r="V170" s="142"/>
      <c r="W170" s="142"/>
      <c r="X170" s="142"/>
      <c r="Y170" s="141"/>
      <c r="Z170" s="141"/>
      <c r="AA170" s="141"/>
      <c r="AB170" s="141"/>
      <c r="AC170" s="141"/>
      <c r="AD170" s="141"/>
      <c r="AE170" s="141"/>
    </row>
    <row r="171" ht="17.25" customHeight="1">
      <c r="A171" s="133" t="s">
        <v>23</v>
      </c>
      <c r="B171" s="133" t="s">
        <v>89</v>
      </c>
      <c r="C171" s="133" t="s">
        <v>90</v>
      </c>
      <c r="E171" s="133" t="s">
        <v>91</v>
      </c>
      <c r="F171" s="133" t="s">
        <v>139</v>
      </c>
      <c r="G171" s="140">
        <v>1.1210356E7</v>
      </c>
      <c r="H171" s="141">
        <v>7.3002046E12</v>
      </c>
      <c r="I171" s="133" t="s">
        <v>96</v>
      </c>
      <c r="J171" s="133" t="s">
        <v>102</v>
      </c>
      <c r="K171" s="133" t="s">
        <v>95</v>
      </c>
      <c r="L171" s="141">
        <v>0.0</v>
      </c>
      <c r="M171" s="141">
        <v>0.0</v>
      </c>
      <c r="N171" s="141">
        <v>1.0</v>
      </c>
      <c r="O171" s="141">
        <v>3008.69</v>
      </c>
      <c r="P171" s="141">
        <v>0.0</v>
      </c>
      <c r="Q171" s="141">
        <v>0.0</v>
      </c>
      <c r="R171" s="141">
        <v>26.0</v>
      </c>
      <c r="S171" s="141"/>
      <c r="T171" s="142"/>
      <c r="U171" s="142"/>
      <c r="V171" s="142"/>
      <c r="W171" s="142"/>
      <c r="X171" s="142"/>
      <c r="Y171" s="141"/>
      <c r="Z171" s="141"/>
      <c r="AA171" s="141"/>
      <c r="AB171" s="141"/>
      <c r="AC171" s="141"/>
      <c r="AD171" s="141"/>
      <c r="AE171" s="141"/>
    </row>
    <row r="172" ht="17.25" customHeight="1">
      <c r="A172" s="133" t="s">
        <v>23</v>
      </c>
      <c r="B172" s="133" t="s">
        <v>124</v>
      </c>
      <c r="C172" s="133" t="s">
        <v>90</v>
      </c>
      <c r="E172" s="133" t="s">
        <v>125</v>
      </c>
      <c r="F172" s="133" t="s">
        <v>183</v>
      </c>
      <c r="G172" s="140">
        <v>1.6851019E7</v>
      </c>
      <c r="H172" s="141">
        <v>7.403695210205E12</v>
      </c>
      <c r="I172" s="133" t="s">
        <v>127</v>
      </c>
      <c r="J172" s="133" t="s">
        <v>102</v>
      </c>
      <c r="K172" s="133" t="s">
        <v>95</v>
      </c>
      <c r="L172" s="141">
        <v>0.0</v>
      </c>
      <c r="M172" s="141">
        <v>0.0</v>
      </c>
      <c r="N172" s="141">
        <v>6.0</v>
      </c>
      <c r="O172" s="141">
        <v>9417.46</v>
      </c>
      <c r="P172" s="141">
        <v>7.0</v>
      </c>
      <c r="Q172" s="141">
        <v>11433.22</v>
      </c>
      <c r="R172" s="141">
        <v>28.0</v>
      </c>
      <c r="S172" s="141"/>
      <c r="T172" s="142"/>
      <c r="U172" s="142"/>
      <c r="V172" s="142"/>
      <c r="W172" s="142"/>
      <c r="X172" s="142"/>
      <c r="Y172" s="141"/>
      <c r="Z172" s="141"/>
      <c r="AA172" s="141"/>
      <c r="AB172" s="141"/>
      <c r="AC172" s="141"/>
      <c r="AD172" s="141"/>
      <c r="AE172" s="141"/>
    </row>
    <row r="173" ht="17.25" customHeight="1">
      <c r="A173" s="133" t="s">
        <v>23</v>
      </c>
      <c r="B173" s="133" t="s">
        <v>136</v>
      </c>
      <c r="C173" s="133" t="s">
        <v>90</v>
      </c>
      <c r="E173" s="133" t="s">
        <v>137</v>
      </c>
      <c r="F173" s="133" t="s">
        <v>26</v>
      </c>
      <c r="G173" s="140">
        <v>1.3889285E7</v>
      </c>
      <c r="H173" s="141">
        <v>7.003445406201E12</v>
      </c>
      <c r="I173" s="133" t="s">
        <v>138</v>
      </c>
      <c r="J173" s="133" t="s">
        <v>94</v>
      </c>
      <c r="K173" s="133" t="s">
        <v>97</v>
      </c>
      <c r="L173" s="141">
        <v>0.0</v>
      </c>
      <c r="M173" s="141">
        <v>0.0</v>
      </c>
      <c r="N173" s="141">
        <v>1.0</v>
      </c>
      <c r="O173" s="141">
        <v>1597.93</v>
      </c>
      <c r="P173" s="141">
        <v>0.0</v>
      </c>
      <c r="Q173" s="141">
        <v>0.0</v>
      </c>
      <c r="R173" s="141">
        <v>0.0</v>
      </c>
      <c r="S173" s="141"/>
      <c r="T173" s="142"/>
      <c r="U173" s="142"/>
      <c r="V173" s="142"/>
      <c r="W173" s="142"/>
      <c r="X173" s="142"/>
      <c r="Y173" s="141"/>
      <c r="Z173" s="141"/>
      <c r="AA173" s="141"/>
      <c r="AB173" s="141"/>
      <c r="AC173" s="141"/>
      <c r="AD173" s="141"/>
      <c r="AE173" s="141"/>
    </row>
    <row r="174" ht="17.25" customHeight="1">
      <c r="A174" s="133" t="s">
        <v>23</v>
      </c>
      <c r="B174" s="133" t="s">
        <v>129</v>
      </c>
      <c r="C174" s="133" t="s">
        <v>90</v>
      </c>
      <c r="E174" s="133" t="s">
        <v>184</v>
      </c>
      <c r="F174" s="133" t="s">
        <v>185</v>
      </c>
      <c r="G174" s="140">
        <v>1.4069668E7</v>
      </c>
      <c r="H174" s="141">
        <v>7.4035644072E12</v>
      </c>
      <c r="I174" s="133" t="s">
        <v>186</v>
      </c>
      <c r="J174" s="133" t="s">
        <v>102</v>
      </c>
      <c r="K174" s="133" t="s">
        <v>95</v>
      </c>
      <c r="L174" s="141">
        <v>0.0</v>
      </c>
      <c r="M174" s="141">
        <v>0.0</v>
      </c>
      <c r="N174" s="141">
        <v>0.0</v>
      </c>
      <c r="O174" s="141">
        <v>0.0</v>
      </c>
      <c r="P174" s="141">
        <v>0.0</v>
      </c>
      <c r="Q174" s="141">
        <v>0.0</v>
      </c>
      <c r="R174" s="141">
        <v>1.0</v>
      </c>
      <c r="S174" s="141"/>
      <c r="T174" s="142"/>
      <c r="U174" s="142"/>
      <c r="V174" s="142"/>
      <c r="W174" s="142"/>
      <c r="X174" s="142"/>
      <c r="Y174" s="141"/>
      <c r="Z174" s="141"/>
      <c r="AA174" s="141"/>
      <c r="AB174" s="141"/>
      <c r="AC174" s="141"/>
      <c r="AD174" s="141"/>
      <c r="AE174" s="141"/>
    </row>
    <row r="175" ht="17.25" customHeight="1">
      <c r="A175" s="133" t="s">
        <v>23</v>
      </c>
      <c r="B175" s="133" t="s">
        <v>106</v>
      </c>
      <c r="C175" s="133" t="s">
        <v>90</v>
      </c>
      <c r="E175" s="133" t="s">
        <v>107</v>
      </c>
      <c r="F175" s="133" t="s">
        <v>179</v>
      </c>
      <c r="G175" s="140">
        <v>1.6962867E7</v>
      </c>
      <c r="H175" s="141">
        <v>7.403715010204E12</v>
      </c>
      <c r="I175" s="133" t="s">
        <v>101</v>
      </c>
      <c r="J175" s="133" t="s">
        <v>102</v>
      </c>
      <c r="K175" s="133" t="s">
        <v>143</v>
      </c>
      <c r="L175" s="141">
        <v>0.0</v>
      </c>
      <c r="M175" s="141">
        <v>0.0</v>
      </c>
      <c r="N175" s="141">
        <v>0.0</v>
      </c>
      <c r="O175" s="141">
        <v>0.0</v>
      </c>
      <c r="P175" s="141">
        <v>0.0</v>
      </c>
      <c r="Q175" s="141">
        <v>0.0</v>
      </c>
      <c r="R175" s="141">
        <v>1.0</v>
      </c>
      <c r="S175" s="141"/>
      <c r="T175" s="142"/>
      <c r="U175" s="142"/>
      <c r="V175" s="142"/>
      <c r="W175" s="142"/>
      <c r="X175" s="142"/>
      <c r="Y175" s="141"/>
      <c r="Z175" s="141"/>
      <c r="AA175" s="141"/>
      <c r="AB175" s="141"/>
      <c r="AC175" s="141"/>
      <c r="AD175" s="141"/>
      <c r="AE175" s="141"/>
    </row>
    <row r="176" ht="17.25" customHeight="1">
      <c r="A176" s="133" t="s">
        <v>23</v>
      </c>
      <c r="B176" s="133" t="s">
        <v>106</v>
      </c>
      <c r="C176" s="133" t="s">
        <v>90</v>
      </c>
      <c r="E176" s="133" t="s">
        <v>107</v>
      </c>
      <c r="F176" s="133" t="s">
        <v>179</v>
      </c>
      <c r="G176" s="140">
        <v>1.6962867E7</v>
      </c>
      <c r="H176" s="141">
        <v>7.403714610207E12</v>
      </c>
      <c r="I176" s="133" t="s">
        <v>93</v>
      </c>
      <c r="J176" s="133" t="s">
        <v>102</v>
      </c>
      <c r="K176" s="133" t="s">
        <v>95</v>
      </c>
      <c r="L176" s="141">
        <v>0.0</v>
      </c>
      <c r="M176" s="141">
        <v>0.0</v>
      </c>
      <c r="N176" s="141">
        <v>0.0</v>
      </c>
      <c r="O176" s="141">
        <v>0.0</v>
      </c>
      <c r="P176" s="141">
        <v>0.0</v>
      </c>
      <c r="Q176" s="141">
        <v>0.0</v>
      </c>
      <c r="R176" s="141">
        <v>1.0</v>
      </c>
      <c r="S176" s="141"/>
      <c r="T176" s="142"/>
      <c r="U176" s="142"/>
      <c r="V176" s="142"/>
      <c r="W176" s="142"/>
      <c r="X176" s="142"/>
      <c r="Y176" s="141"/>
      <c r="Z176" s="141"/>
      <c r="AA176" s="141"/>
      <c r="AB176" s="141"/>
      <c r="AC176" s="141"/>
      <c r="AD176" s="141"/>
      <c r="AE176" s="141"/>
    </row>
    <row r="177" ht="17.25" customHeight="1">
      <c r="A177" s="133" t="s">
        <v>23</v>
      </c>
      <c r="B177" s="133" t="s">
        <v>106</v>
      </c>
      <c r="C177" s="133" t="s">
        <v>90</v>
      </c>
      <c r="E177" s="133" t="s">
        <v>107</v>
      </c>
      <c r="F177" s="133" t="s">
        <v>179</v>
      </c>
      <c r="G177" s="140">
        <v>1.6962867E7</v>
      </c>
      <c r="H177" s="141">
        <v>7.403714610207E12</v>
      </c>
      <c r="I177" s="133" t="s">
        <v>93</v>
      </c>
      <c r="J177" s="133" t="s">
        <v>102</v>
      </c>
      <c r="K177" s="133" t="s">
        <v>95</v>
      </c>
      <c r="L177" s="141">
        <v>0.0</v>
      </c>
      <c r="M177" s="141">
        <v>0.0</v>
      </c>
      <c r="N177" s="141">
        <v>0.0</v>
      </c>
      <c r="O177" s="141">
        <v>0.0</v>
      </c>
      <c r="P177" s="141">
        <v>0.0</v>
      </c>
      <c r="Q177" s="141">
        <v>0.0</v>
      </c>
      <c r="R177" s="141">
        <v>7.0</v>
      </c>
      <c r="S177" s="141"/>
      <c r="T177" s="142"/>
      <c r="U177" s="142"/>
      <c r="V177" s="142"/>
      <c r="W177" s="142"/>
      <c r="X177" s="142"/>
      <c r="Y177" s="141"/>
      <c r="Z177" s="141"/>
      <c r="AA177" s="141"/>
      <c r="AB177" s="141"/>
      <c r="AC177" s="141"/>
      <c r="AD177" s="141"/>
      <c r="AE177" s="141"/>
    </row>
    <row r="178" ht="17.25" customHeight="1">
      <c r="A178" s="133" t="s">
        <v>23</v>
      </c>
      <c r="B178" s="133" t="s">
        <v>106</v>
      </c>
      <c r="C178" s="133" t="s">
        <v>90</v>
      </c>
      <c r="E178" s="133" t="s">
        <v>107</v>
      </c>
      <c r="F178" s="133" t="s">
        <v>179</v>
      </c>
      <c r="G178" s="140">
        <v>1.6962867E7</v>
      </c>
      <c r="H178" s="141">
        <v>7.403714610207E12</v>
      </c>
      <c r="I178" s="133" t="s">
        <v>93</v>
      </c>
      <c r="J178" s="133" t="s">
        <v>102</v>
      </c>
      <c r="K178" s="133" t="s">
        <v>113</v>
      </c>
      <c r="L178" s="141">
        <v>0.0</v>
      </c>
      <c r="M178" s="141">
        <v>0.0</v>
      </c>
      <c r="N178" s="141">
        <v>0.0</v>
      </c>
      <c r="O178" s="141">
        <v>0.0</v>
      </c>
      <c r="P178" s="141">
        <v>0.0</v>
      </c>
      <c r="Q178" s="141">
        <v>0.0</v>
      </c>
      <c r="R178" s="141">
        <v>1.0</v>
      </c>
      <c r="S178" s="141"/>
      <c r="T178" s="142"/>
      <c r="U178" s="142"/>
      <c r="V178" s="142"/>
      <c r="W178" s="142"/>
      <c r="X178" s="142"/>
      <c r="Y178" s="141"/>
      <c r="Z178" s="141"/>
      <c r="AA178" s="141"/>
      <c r="AB178" s="141"/>
      <c r="AC178" s="141"/>
      <c r="AD178" s="141"/>
      <c r="AE178" s="141"/>
    </row>
    <row r="179" ht="17.25" customHeight="1">
      <c r="A179" s="133" t="s">
        <v>23</v>
      </c>
      <c r="B179" s="133" t="s">
        <v>136</v>
      </c>
      <c r="C179" s="133" t="s">
        <v>90</v>
      </c>
      <c r="E179" s="133" t="s">
        <v>161</v>
      </c>
      <c r="F179" s="133" t="s">
        <v>181</v>
      </c>
      <c r="G179" s="140">
        <v>1.3889781E7</v>
      </c>
      <c r="H179" s="141">
        <v>7.003535406203E12</v>
      </c>
      <c r="I179" s="133" t="s">
        <v>127</v>
      </c>
      <c r="J179" s="133" t="s">
        <v>102</v>
      </c>
      <c r="K179" s="133" t="s">
        <v>143</v>
      </c>
      <c r="L179" s="141">
        <v>0.0</v>
      </c>
      <c r="M179" s="141">
        <v>0.0</v>
      </c>
      <c r="N179" s="141">
        <v>0.0</v>
      </c>
      <c r="O179" s="141">
        <v>0.0</v>
      </c>
      <c r="P179" s="141">
        <v>0.0</v>
      </c>
      <c r="Q179" s="141">
        <v>0.0</v>
      </c>
      <c r="R179" s="141">
        <v>1.0</v>
      </c>
      <c r="S179" s="141"/>
      <c r="T179" s="142"/>
      <c r="U179" s="142"/>
      <c r="V179" s="142"/>
      <c r="W179" s="142"/>
      <c r="X179" s="142"/>
      <c r="Y179" s="141"/>
      <c r="Z179" s="141"/>
      <c r="AA179" s="141"/>
      <c r="AB179" s="141"/>
      <c r="AC179" s="141"/>
      <c r="AD179" s="141"/>
      <c r="AE179" s="141"/>
    </row>
    <row r="180" ht="17.25" customHeight="1">
      <c r="A180" s="133" t="s">
        <v>23</v>
      </c>
      <c r="B180" s="133" t="s">
        <v>106</v>
      </c>
      <c r="C180" s="133" t="s">
        <v>90</v>
      </c>
      <c r="E180" s="133" t="s">
        <v>107</v>
      </c>
      <c r="F180" s="133" t="s">
        <v>179</v>
      </c>
      <c r="G180" s="140">
        <v>1.6962867E7</v>
      </c>
      <c r="H180" s="141">
        <v>7.403715010204E12</v>
      </c>
      <c r="I180" s="133" t="s">
        <v>101</v>
      </c>
      <c r="J180" s="133" t="s">
        <v>102</v>
      </c>
      <c r="K180" s="133" t="s">
        <v>113</v>
      </c>
      <c r="L180" s="141">
        <v>0.0</v>
      </c>
      <c r="M180" s="141">
        <v>0.0</v>
      </c>
      <c r="N180" s="141">
        <v>0.0</v>
      </c>
      <c r="O180" s="141">
        <v>0.0</v>
      </c>
      <c r="P180" s="141">
        <v>0.0</v>
      </c>
      <c r="Q180" s="141">
        <v>0.0</v>
      </c>
      <c r="R180" s="141">
        <v>3.0</v>
      </c>
      <c r="S180" s="141"/>
      <c r="T180" s="142"/>
      <c r="U180" s="142"/>
      <c r="V180" s="142"/>
      <c r="W180" s="142"/>
      <c r="X180" s="142"/>
      <c r="Y180" s="141"/>
      <c r="Z180" s="141"/>
      <c r="AA180" s="141"/>
      <c r="AB180" s="141"/>
      <c r="AC180" s="141"/>
      <c r="AD180" s="141"/>
      <c r="AE180" s="141"/>
    </row>
    <row r="181" ht="17.25" customHeight="1">
      <c r="A181" s="133" t="s">
        <v>23</v>
      </c>
      <c r="B181" s="133" t="s">
        <v>106</v>
      </c>
      <c r="C181" s="133" t="s">
        <v>90</v>
      </c>
      <c r="E181" s="133" t="s">
        <v>107</v>
      </c>
      <c r="F181" s="133" t="s">
        <v>182</v>
      </c>
      <c r="G181" s="140">
        <v>1.8693271E7</v>
      </c>
      <c r="H181" s="141">
        <v>7.403914608127E12</v>
      </c>
      <c r="I181" s="133" t="s">
        <v>122</v>
      </c>
      <c r="J181" s="133" t="s">
        <v>102</v>
      </c>
      <c r="K181" s="133" t="s">
        <v>95</v>
      </c>
      <c r="L181" s="141">
        <v>0.0</v>
      </c>
      <c r="M181" s="141">
        <v>0.0</v>
      </c>
      <c r="N181" s="141">
        <v>0.0</v>
      </c>
      <c r="O181" s="141">
        <v>0.0</v>
      </c>
      <c r="P181" s="141">
        <v>0.0</v>
      </c>
      <c r="Q181" s="141">
        <v>0.0</v>
      </c>
      <c r="R181" s="141">
        <v>26.0</v>
      </c>
      <c r="S181" s="141"/>
      <c r="T181" s="142"/>
      <c r="U181" s="142"/>
      <c r="V181" s="142"/>
      <c r="W181" s="142"/>
      <c r="X181" s="142"/>
      <c r="Y181" s="141"/>
      <c r="Z181" s="141"/>
      <c r="AA181" s="141"/>
      <c r="AB181" s="141"/>
      <c r="AC181" s="141"/>
      <c r="AD181" s="141"/>
      <c r="AE181" s="141"/>
    </row>
    <row r="182" ht="17.25" customHeight="1">
      <c r="A182" s="133" t="s">
        <v>23</v>
      </c>
      <c r="B182" s="133" t="s">
        <v>89</v>
      </c>
      <c r="C182" s="133" t="s">
        <v>90</v>
      </c>
      <c r="E182" s="133" t="s">
        <v>91</v>
      </c>
      <c r="F182" s="133" t="s">
        <v>123</v>
      </c>
      <c r="G182" s="140">
        <v>1.1210355E7</v>
      </c>
      <c r="H182" s="141">
        <v>7.200204400009E12</v>
      </c>
      <c r="I182" s="133" t="s">
        <v>135</v>
      </c>
      <c r="J182" s="133" t="s">
        <v>102</v>
      </c>
      <c r="K182" s="133" t="s">
        <v>95</v>
      </c>
      <c r="L182" s="141">
        <v>0.0</v>
      </c>
      <c r="M182" s="141">
        <v>0.0</v>
      </c>
      <c r="N182" s="141">
        <v>3.0</v>
      </c>
      <c r="O182" s="141">
        <v>10882.5</v>
      </c>
      <c r="P182" s="141">
        <v>1.0</v>
      </c>
      <c r="Q182" s="141">
        <v>3627.5</v>
      </c>
      <c r="R182" s="141">
        <v>9.0</v>
      </c>
      <c r="S182" s="141"/>
      <c r="T182" s="142"/>
      <c r="U182" s="142"/>
      <c r="V182" s="142"/>
      <c r="W182" s="142"/>
      <c r="X182" s="142"/>
      <c r="Y182" s="141"/>
      <c r="Z182" s="141"/>
      <c r="AA182" s="141"/>
      <c r="AB182" s="141"/>
      <c r="AC182" s="141"/>
      <c r="AD182" s="141"/>
      <c r="AE182" s="141"/>
    </row>
    <row r="183" ht="17.25" customHeight="1">
      <c r="A183" s="133" t="s">
        <v>23</v>
      </c>
      <c r="B183" s="133" t="s">
        <v>147</v>
      </c>
      <c r="C183" s="133" t="s">
        <v>90</v>
      </c>
      <c r="E183" s="133" t="s">
        <v>148</v>
      </c>
      <c r="F183" s="133" t="s">
        <v>149</v>
      </c>
      <c r="G183" s="140">
        <v>1.4620437E7</v>
      </c>
      <c r="H183" s="141">
        <v>7.403584408201E12</v>
      </c>
      <c r="I183" s="133" t="s">
        <v>96</v>
      </c>
      <c r="J183" s="133" t="s">
        <v>94</v>
      </c>
      <c r="K183" s="133" t="s">
        <v>95</v>
      </c>
      <c r="L183" s="141">
        <v>0.0</v>
      </c>
      <c r="M183" s="141">
        <v>0.0</v>
      </c>
      <c r="N183" s="141">
        <v>2.0</v>
      </c>
      <c r="O183" s="141">
        <v>2776.94</v>
      </c>
      <c r="P183" s="141">
        <v>2.0</v>
      </c>
      <c r="Q183" s="141">
        <v>2776.94</v>
      </c>
      <c r="R183" s="141">
        <v>0.0</v>
      </c>
      <c r="S183" s="141"/>
      <c r="T183" s="142"/>
      <c r="U183" s="142"/>
      <c r="V183" s="142"/>
      <c r="W183" s="142"/>
      <c r="X183" s="142"/>
      <c r="Y183" s="141"/>
      <c r="Z183" s="141"/>
      <c r="AA183" s="141"/>
      <c r="AB183" s="141"/>
      <c r="AC183" s="141"/>
      <c r="AD183" s="141"/>
      <c r="AE183" s="141"/>
    </row>
    <row r="184" ht="17.25" customHeight="1">
      <c r="A184" s="133" t="s">
        <v>23</v>
      </c>
      <c r="B184" s="133" t="s">
        <v>152</v>
      </c>
      <c r="C184" s="133" t="s">
        <v>153</v>
      </c>
      <c r="D184" s="133"/>
      <c r="E184" s="133" t="s">
        <v>154</v>
      </c>
      <c r="F184" s="133" t="s">
        <v>155</v>
      </c>
      <c r="G184" s="140">
        <v>1.3515427E7</v>
      </c>
      <c r="H184" s="141">
        <v>7.003263606203E12</v>
      </c>
      <c r="I184" s="141">
        <v>36.0</v>
      </c>
      <c r="J184" s="133" t="s">
        <v>94</v>
      </c>
      <c r="K184" s="133" t="s">
        <v>95</v>
      </c>
      <c r="L184" s="141">
        <v>0.0</v>
      </c>
      <c r="M184" s="141">
        <v>0.0</v>
      </c>
      <c r="N184" s="141">
        <v>0.0</v>
      </c>
      <c r="O184" s="141">
        <v>0.0</v>
      </c>
      <c r="P184" s="141">
        <v>-1.0</v>
      </c>
      <c r="Q184" s="141">
        <v>-836.64</v>
      </c>
      <c r="R184" s="141">
        <v>0.0</v>
      </c>
      <c r="S184" s="141"/>
      <c r="T184" s="142"/>
      <c r="U184" s="142"/>
      <c r="V184" s="142"/>
      <c r="W184" s="142"/>
      <c r="X184" s="142"/>
      <c r="Y184" s="141"/>
      <c r="Z184" s="141"/>
      <c r="AA184" s="141"/>
      <c r="AB184" s="141"/>
      <c r="AC184" s="141"/>
      <c r="AD184" s="141"/>
      <c r="AE184" s="141"/>
    </row>
    <row r="185" ht="17.25" customHeight="1">
      <c r="A185" s="133" t="s">
        <v>23</v>
      </c>
      <c r="B185" s="133" t="s">
        <v>136</v>
      </c>
      <c r="C185" s="133" t="s">
        <v>90</v>
      </c>
      <c r="E185" s="133" t="s">
        <v>137</v>
      </c>
      <c r="F185" s="133" t="s">
        <v>27</v>
      </c>
      <c r="G185" s="140">
        <v>1.4601364E7</v>
      </c>
      <c r="H185" s="141">
        <v>7.403575408203E12</v>
      </c>
      <c r="I185" s="133" t="s">
        <v>138</v>
      </c>
      <c r="J185" s="133" t="s">
        <v>94</v>
      </c>
      <c r="K185" s="133" t="s">
        <v>143</v>
      </c>
      <c r="L185" s="141">
        <v>0.0</v>
      </c>
      <c r="M185" s="141">
        <v>0.0</v>
      </c>
      <c r="N185" s="141">
        <v>0.0</v>
      </c>
      <c r="O185" s="141">
        <v>0.0</v>
      </c>
      <c r="P185" s="141">
        <v>1.0</v>
      </c>
      <c r="Q185" s="141">
        <v>1609.83</v>
      </c>
      <c r="R185" s="141">
        <v>0.0</v>
      </c>
      <c r="S185" s="141"/>
      <c r="T185" s="142"/>
      <c r="U185" s="142"/>
      <c r="V185" s="142"/>
      <c r="W185" s="142"/>
      <c r="X185" s="142"/>
      <c r="Y185" s="141"/>
      <c r="Z185" s="141"/>
      <c r="AA185" s="141"/>
      <c r="AB185" s="141"/>
      <c r="AC185" s="141"/>
      <c r="AD185" s="141"/>
      <c r="AE185" s="141"/>
    </row>
    <row r="186" ht="17.25" customHeight="1">
      <c r="A186" s="133" t="s">
        <v>23</v>
      </c>
      <c r="B186" s="133" t="s">
        <v>136</v>
      </c>
      <c r="C186" s="133" t="s">
        <v>90</v>
      </c>
      <c r="E186" s="133" t="s">
        <v>137</v>
      </c>
      <c r="F186" s="133" t="s">
        <v>27</v>
      </c>
      <c r="G186" s="140">
        <v>1.4601364E7</v>
      </c>
      <c r="H186" s="141">
        <v>7.403575408203E12</v>
      </c>
      <c r="I186" s="133" t="s">
        <v>138</v>
      </c>
      <c r="J186" s="133" t="s">
        <v>94</v>
      </c>
      <c r="K186" s="133" t="s">
        <v>113</v>
      </c>
      <c r="L186" s="141">
        <v>0.0</v>
      </c>
      <c r="M186" s="141">
        <v>0.0</v>
      </c>
      <c r="N186" s="141">
        <v>0.0</v>
      </c>
      <c r="O186" s="141">
        <v>0.0</v>
      </c>
      <c r="P186" s="141">
        <v>1.0</v>
      </c>
      <c r="Q186" s="141">
        <v>1520.39</v>
      </c>
      <c r="R186" s="141">
        <v>0.0</v>
      </c>
      <c r="S186" s="141"/>
      <c r="T186" s="142"/>
      <c r="U186" s="142"/>
      <c r="V186" s="142"/>
      <c r="W186" s="142"/>
      <c r="X186" s="142"/>
      <c r="Y186" s="141"/>
      <c r="Z186" s="141"/>
      <c r="AA186" s="141"/>
      <c r="AB186" s="141"/>
      <c r="AC186" s="141"/>
      <c r="AD186" s="141"/>
      <c r="AE186" s="141"/>
    </row>
    <row r="187" ht="17.25" customHeight="1">
      <c r="A187" s="133" t="s">
        <v>23</v>
      </c>
      <c r="B187" s="133" t="s">
        <v>136</v>
      </c>
      <c r="C187" s="133" t="s">
        <v>90</v>
      </c>
      <c r="E187" s="133" t="s">
        <v>161</v>
      </c>
      <c r="F187" s="133" t="s">
        <v>48</v>
      </c>
      <c r="G187" s="140">
        <v>1.4601363E7</v>
      </c>
      <c r="H187" s="141">
        <v>7.403565208202E12</v>
      </c>
      <c r="I187" s="133" t="s">
        <v>127</v>
      </c>
      <c r="J187" s="133" t="s">
        <v>102</v>
      </c>
      <c r="K187" s="133" t="s">
        <v>95</v>
      </c>
      <c r="L187" s="141">
        <v>0.0</v>
      </c>
      <c r="M187" s="141">
        <v>0.0</v>
      </c>
      <c r="N187" s="141">
        <v>5.0</v>
      </c>
      <c r="O187" s="141">
        <v>8910.92</v>
      </c>
      <c r="P187" s="141">
        <v>2.0</v>
      </c>
      <c r="Q187" s="141">
        <v>3628.4</v>
      </c>
      <c r="R187" s="141">
        <v>117.0</v>
      </c>
      <c r="S187" s="141"/>
      <c r="T187" s="142"/>
      <c r="U187" s="142"/>
      <c r="V187" s="142"/>
      <c r="W187" s="142"/>
      <c r="X187" s="142"/>
      <c r="Y187" s="141"/>
      <c r="Z187" s="141"/>
      <c r="AA187" s="141"/>
      <c r="AB187" s="141"/>
      <c r="AC187" s="141"/>
      <c r="AD187" s="141"/>
      <c r="AE187" s="141"/>
    </row>
    <row r="188" ht="17.25" customHeight="1">
      <c r="A188" s="133" t="s">
        <v>23</v>
      </c>
      <c r="B188" s="133" t="s">
        <v>89</v>
      </c>
      <c r="C188" s="133" t="s">
        <v>90</v>
      </c>
      <c r="E188" s="133" t="s">
        <v>91</v>
      </c>
      <c r="F188" s="133" t="s">
        <v>105</v>
      </c>
      <c r="G188" s="140">
        <v>1.4936013E7</v>
      </c>
      <c r="H188" s="141">
        <v>7.400215007208E12</v>
      </c>
      <c r="I188" s="133" t="s">
        <v>122</v>
      </c>
      <c r="J188" s="133" t="s">
        <v>102</v>
      </c>
      <c r="K188" s="133" t="s">
        <v>95</v>
      </c>
      <c r="L188" s="141">
        <v>0.0</v>
      </c>
      <c r="M188" s="141">
        <v>0.0</v>
      </c>
      <c r="N188" s="141">
        <v>1.0</v>
      </c>
      <c r="O188" s="141">
        <v>1761.46</v>
      </c>
      <c r="P188" s="141">
        <v>0.0</v>
      </c>
      <c r="Q188" s="141">
        <v>0.0</v>
      </c>
      <c r="R188" s="141">
        <v>7.0</v>
      </c>
      <c r="S188" s="141"/>
      <c r="T188" s="142"/>
      <c r="U188" s="142"/>
      <c r="V188" s="142"/>
      <c r="W188" s="142"/>
      <c r="X188" s="142"/>
      <c r="Y188" s="141"/>
      <c r="Z188" s="141"/>
      <c r="AA188" s="141"/>
      <c r="AB188" s="141"/>
      <c r="AC188" s="141"/>
      <c r="AD188" s="141"/>
      <c r="AE188" s="141"/>
    </row>
    <row r="189" ht="17.25" customHeight="1">
      <c r="A189" s="133" t="s">
        <v>23</v>
      </c>
      <c r="B189" s="133" t="s">
        <v>147</v>
      </c>
      <c r="C189" s="133" t="s">
        <v>90</v>
      </c>
      <c r="E189" s="133" t="s">
        <v>148</v>
      </c>
      <c r="F189" s="133" t="s">
        <v>149</v>
      </c>
      <c r="G189" s="140">
        <v>1.4620437E7</v>
      </c>
      <c r="H189" s="141">
        <v>7.403584408201E12</v>
      </c>
      <c r="I189" s="133" t="s">
        <v>96</v>
      </c>
      <c r="J189" s="133" t="s">
        <v>94</v>
      </c>
      <c r="K189" s="133" t="s">
        <v>143</v>
      </c>
      <c r="L189" s="141">
        <v>0.0</v>
      </c>
      <c r="M189" s="141">
        <v>0.0</v>
      </c>
      <c r="N189" s="141">
        <v>0.0</v>
      </c>
      <c r="O189" s="141">
        <v>0.0</v>
      </c>
      <c r="P189" s="141">
        <v>0.0</v>
      </c>
      <c r="Q189" s="141">
        <v>0.0</v>
      </c>
      <c r="R189" s="141">
        <v>0.0</v>
      </c>
      <c r="S189" s="141"/>
      <c r="T189" s="142"/>
      <c r="U189" s="142"/>
      <c r="V189" s="142"/>
      <c r="W189" s="142"/>
      <c r="X189" s="142"/>
      <c r="Y189" s="141"/>
      <c r="Z189" s="141"/>
      <c r="AA189" s="141"/>
      <c r="AB189" s="141"/>
      <c r="AC189" s="141"/>
      <c r="AD189" s="141"/>
      <c r="AE189" s="141"/>
    </row>
    <row r="190" ht="16.5" customHeight="1">
      <c r="A190" s="133" t="s">
        <v>23</v>
      </c>
      <c r="B190" s="133" t="s">
        <v>136</v>
      </c>
      <c r="C190" s="133" t="s">
        <v>90</v>
      </c>
      <c r="E190" s="133" t="s">
        <v>137</v>
      </c>
      <c r="F190" s="133" t="s">
        <v>27</v>
      </c>
      <c r="G190" s="140">
        <v>1.4601364E7</v>
      </c>
      <c r="H190" s="141">
        <v>7.403575408203E12</v>
      </c>
      <c r="I190" s="133" t="s">
        <v>138</v>
      </c>
      <c r="J190" s="133" t="s">
        <v>102</v>
      </c>
      <c r="K190" s="133" t="s">
        <v>95</v>
      </c>
      <c r="L190" s="141">
        <v>0.0</v>
      </c>
      <c r="M190" s="141">
        <v>0.0</v>
      </c>
      <c r="N190" s="141">
        <v>19.0</v>
      </c>
      <c r="O190" s="141">
        <v>27025.33</v>
      </c>
      <c r="P190" s="141">
        <v>19.0</v>
      </c>
      <c r="Q190" s="141">
        <v>27960.94</v>
      </c>
      <c r="R190" s="141">
        <v>143.0</v>
      </c>
      <c r="S190" s="141"/>
      <c r="T190" s="142"/>
      <c r="U190" s="142"/>
      <c r="V190" s="142"/>
      <c r="W190" s="142"/>
      <c r="X190" s="142"/>
      <c r="Y190" s="141"/>
      <c r="Z190" s="141"/>
      <c r="AA190" s="141"/>
      <c r="AB190" s="141"/>
      <c r="AC190" s="141"/>
      <c r="AD190" s="141"/>
      <c r="AE190" s="141"/>
    </row>
    <row r="191" ht="17.25" customHeight="1">
      <c r="A191" s="133" t="s">
        <v>23</v>
      </c>
      <c r="B191" s="133" t="s">
        <v>136</v>
      </c>
      <c r="C191" s="133" t="s">
        <v>90</v>
      </c>
      <c r="E191" s="133" t="s">
        <v>161</v>
      </c>
      <c r="F191" s="133" t="s">
        <v>48</v>
      </c>
      <c r="G191" s="140">
        <v>1.4601363E7</v>
      </c>
      <c r="H191" s="141">
        <v>7.403565208202E12</v>
      </c>
      <c r="I191" s="133" t="s">
        <v>127</v>
      </c>
      <c r="J191" s="133" t="s">
        <v>94</v>
      </c>
      <c r="K191" s="133" t="s">
        <v>113</v>
      </c>
      <c r="L191" s="141">
        <v>0.0</v>
      </c>
      <c r="M191" s="141">
        <v>0.0</v>
      </c>
      <c r="N191" s="141">
        <v>1.0</v>
      </c>
      <c r="O191" s="141">
        <v>1867.56</v>
      </c>
      <c r="P191" s="141">
        <v>0.0</v>
      </c>
      <c r="Q191" s="141">
        <v>0.0</v>
      </c>
      <c r="R191" s="141">
        <v>0.0</v>
      </c>
      <c r="S191" s="141"/>
      <c r="T191" s="142"/>
      <c r="U191" s="142"/>
      <c r="V191" s="142"/>
      <c r="W191" s="142"/>
      <c r="X191" s="142"/>
      <c r="Y191" s="141"/>
      <c r="Z191" s="141"/>
      <c r="AA191" s="141"/>
      <c r="AB191" s="141"/>
      <c r="AC191" s="141"/>
      <c r="AD191" s="141"/>
      <c r="AE191" s="141"/>
    </row>
    <row r="192" ht="17.25" customHeight="1">
      <c r="A192" s="133" t="s">
        <v>23</v>
      </c>
      <c r="B192" s="133" t="s">
        <v>129</v>
      </c>
      <c r="C192" s="133" t="s">
        <v>90</v>
      </c>
      <c r="E192" s="133" t="s">
        <v>184</v>
      </c>
      <c r="F192" s="133" t="s">
        <v>185</v>
      </c>
      <c r="G192" s="140">
        <v>1.4069668E7</v>
      </c>
      <c r="H192" s="141">
        <v>7.403564607204E12</v>
      </c>
      <c r="I192" s="133" t="s">
        <v>187</v>
      </c>
      <c r="J192" s="133" t="s">
        <v>94</v>
      </c>
      <c r="K192" s="133" t="s">
        <v>95</v>
      </c>
      <c r="L192" s="141">
        <v>0.0</v>
      </c>
      <c r="M192" s="141">
        <v>0.0</v>
      </c>
      <c r="N192" s="141">
        <v>0.0</v>
      </c>
      <c r="O192" s="141">
        <v>0.0</v>
      </c>
      <c r="P192" s="141">
        <v>0.0</v>
      </c>
      <c r="Q192" s="141">
        <v>0.0</v>
      </c>
      <c r="R192" s="141">
        <v>0.0</v>
      </c>
      <c r="S192" s="141"/>
      <c r="T192" s="142"/>
      <c r="U192" s="142"/>
      <c r="V192" s="142"/>
      <c r="W192" s="142"/>
      <c r="X192" s="142"/>
      <c r="Y192" s="141"/>
      <c r="Z192" s="141"/>
      <c r="AA192" s="141"/>
      <c r="AB192" s="141"/>
      <c r="AC192" s="141"/>
      <c r="AD192" s="141"/>
      <c r="AE192" s="141"/>
    </row>
    <row r="193" ht="17.25" customHeight="1">
      <c r="A193" s="133" t="s">
        <v>23</v>
      </c>
      <c r="B193" s="133" t="s">
        <v>89</v>
      </c>
      <c r="C193" s="133" t="s">
        <v>90</v>
      </c>
      <c r="E193" s="133" t="s">
        <v>91</v>
      </c>
      <c r="F193" s="133" t="s">
        <v>123</v>
      </c>
      <c r="G193" s="140">
        <v>1.1210355E7</v>
      </c>
      <c r="H193" s="141">
        <v>7.200204200005E12</v>
      </c>
      <c r="I193" s="133" t="s">
        <v>120</v>
      </c>
      <c r="J193" s="133" t="s">
        <v>94</v>
      </c>
      <c r="K193" s="133" t="s">
        <v>146</v>
      </c>
      <c r="L193" s="141">
        <v>0.0</v>
      </c>
      <c r="M193" s="141">
        <v>0.0</v>
      </c>
      <c r="N193" s="141">
        <v>1.0</v>
      </c>
      <c r="O193" s="141">
        <v>4021.8</v>
      </c>
      <c r="P193" s="141">
        <v>0.0</v>
      </c>
      <c r="Q193" s="141">
        <v>0.0</v>
      </c>
      <c r="R193" s="141">
        <v>0.0</v>
      </c>
      <c r="S193" s="141"/>
      <c r="T193" s="142"/>
      <c r="U193" s="142"/>
      <c r="V193" s="142"/>
      <c r="W193" s="142"/>
      <c r="X193" s="142"/>
      <c r="Y193" s="141"/>
      <c r="Z193" s="141"/>
      <c r="AA193" s="141"/>
      <c r="AB193" s="141"/>
      <c r="AC193" s="141"/>
      <c r="AD193" s="141"/>
      <c r="AE193" s="141"/>
    </row>
    <row r="194" ht="17.25" customHeight="1">
      <c r="A194" s="133" t="s">
        <v>23</v>
      </c>
      <c r="B194" s="133" t="s">
        <v>89</v>
      </c>
      <c r="C194" s="133" t="s">
        <v>90</v>
      </c>
      <c r="E194" s="133" t="s">
        <v>91</v>
      </c>
      <c r="F194" s="133" t="s">
        <v>123</v>
      </c>
      <c r="G194" s="140">
        <v>1.1210355E7</v>
      </c>
      <c r="H194" s="141">
        <v>7.200204400009E12</v>
      </c>
      <c r="I194" s="133" t="s">
        <v>135</v>
      </c>
      <c r="J194" s="133" t="s">
        <v>102</v>
      </c>
      <c r="K194" s="133" t="s">
        <v>113</v>
      </c>
      <c r="L194" s="141">
        <v>0.0</v>
      </c>
      <c r="M194" s="141">
        <v>0.0</v>
      </c>
      <c r="N194" s="141">
        <v>1.0</v>
      </c>
      <c r="O194" s="141">
        <v>3627.5</v>
      </c>
      <c r="P194" s="141">
        <v>0.0</v>
      </c>
      <c r="Q194" s="141">
        <v>0.0</v>
      </c>
      <c r="R194" s="141">
        <v>1.0</v>
      </c>
      <c r="S194" s="141"/>
      <c r="T194" s="142"/>
      <c r="U194" s="142"/>
      <c r="V194" s="142"/>
      <c r="W194" s="142"/>
      <c r="X194" s="142"/>
      <c r="Y194" s="141"/>
      <c r="Z194" s="141"/>
      <c r="AA194" s="141"/>
      <c r="AB194" s="141"/>
      <c r="AC194" s="141"/>
      <c r="AD194" s="141"/>
      <c r="AE194" s="141"/>
    </row>
    <row r="195" ht="17.25" customHeight="1">
      <c r="A195" s="133" t="s">
        <v>23</v>
      </c>
      <c r="B195" s="133" t="s">
        <v>106</v>
      </c>
      <c r="C195" s="133" t="s">
        <v>90</v>
      </c>
      <c r="E195" s="133" t="s">
        <v>107</v>
      </c>
      <c r="F195" s="133" t="s">
        <v>188</v>
      </c>
      <c r="G195" s="140">
        <v>1.7615825E7</v>
      </c>
      <c r="H195" s="141">
        <v>7.403904207125E12</v>
      </c>
      <c r="I195" s="133" t="s">
        <v>96</v>
      </c>
      <c r="J195" s="133" t="s">
        <v>102</v>
      </c>
      <c r="K195" s="133" t="s">
        <v>95</v>
      </c>
      <c r="L195" s="141">
        <v>0.0</v>
      </c>
      <c r="M195" s="141">
        <v>0.0</v>
      </c>
      <c r="N195" s="141">
        <v>2.0</v>
      </c>
      <c r="O195" s="141">
        <v>4944.96</v>
      </c>
      <c r="P195" s="141">
        <v>0.0</v>
      </c>
      <c r="Q195" s="141">
        <v>0.0</v>
      </c>
      <c r="R195" s="141">
        <v>47.0</v>
      </c>
      <c r="S195" s="141"/>
      <c r="T195" s="142"/>
      <c r="U195" s="142"/>
      <c r="V195" s="142"/>
      <c r="W195" s="142"/>
      <c r="X195" s="142"/>
      <c r="Y195" s="141"/>
      <c r="Z195" s="141"/>
      <c r="AA195" s="141"/>
      <c r="AB195" s="141"/>
      <c r="AC195" s="141"/>
      <c r="AD195" s="141"/>
      <c r="AE195" s="141"/>
    </row>
    <row r="196" ht="17.25" customHeight="1">
      <c r="A196" s="133" t="s">
        <v>23</v>
      </c>
      <c r="B196" s="133" t="s">
        <v>89</v>
      </c>
      <c r="C196" s="133" t="s">
        <v>90</v>
      </c>
      <c r="E196" s="133" t="s">
        <v>91</v>
      </c>
      <c r="F196" s="133" t="s">
        <v>123</v>
      </c>
      <c r="G196" s="140">
        <v>1.1210355E7</v>
      </c>
      <c r="H196" s="141">
        <v>7.200204200005E12</v>
      </c>
      <c r="I196" s="133" t="s">
        <v>120</v>
      </c>
      <c r="J196" s="133" t="s">
        <v>102</v>
      </c>
      <c r="K196" s="133" t="s">
        <v>95</v>
      </c>
      <c r="L196" s="141">
        <v>0.0</v>
      </c>
      <c r="M196" s="141">
        <v>0.0</v>
      </c>
      <c r="N196" s="141">
        <v>2.0</v>
      </c>
      <c r="O196" s="141">
        <v>7255.0</v>
      </c>
      <c r="P196" s="141">
        <v>2.0</v>
      </c>
      <c r="Q196" s="141">
        <v>7176.15</v>
      </c>
      <c r="R196" s="141">
        <v>16.0</v>
      </c>
      <c r="S196" s="141"/>
      <c r="T196" s="142"/>
      <c r="U196" s="142"/>
      <c r="V196" s="142"/>
      <c r="W196" s="142"/>
      <c r="X196" s="142"/>
      <c r="Y196" s="141"/>
      <c r="Z196" s="141"/>
      <c r="AA196" s="141"/>
      <c r="AB196" s="141"/>
      <c r="AC196" s="141"/>
      <c r="AD196" s="141"/>
      <c r="AE196" s="141"/>
    </row>
    <row r="197" ht="17.25" customHeight="1">
      <c r="A197" s="133" t="s">
        <v>23</v>
      </c>
      <c r="B197" s="133" t="s">
        <v>170</v>
      </c>
      <c r="C197" s="133" t="s">
        <v>90</v>
      </c>
      <c r="E197" s="133" t="s">
        <v>171</v>
      </c>
      <c r="F197" s="133" t="s">
        <v>172</v>
      </c>
      <c r="G197" s="140">
        <v>1.4790928E7</v>
      </c>
      <c r="H197" s="141">
        <v>7.003075206202E12</v>
      </c>
      <c r="I197" s="133" t="s">
        <v>101</v>
      </c>
      <c r="J197" s="133" t="s">
        <v>102</v>
      </c>
      <c r="K197" s="133" t="s">
        <v>95</v>
      </c>
      <c r="L197" s="141">
        <v>0.0</v>
      </c>
      <c r="M197" s="141">
        <v>0.0</v>
      </c>
      <c r="N197" s="141">
        <v>4.0</v>
      </c>
      <c r="O197" s="141">
        <v>6762.6</v>
      </c>
      <c r="P197" s="141">
        <v>2.0</v>
      </c>
      <c r="Q197" s="141">
        <v>3554.7</v>
      </c>
      <c r="R197" s="141">
        <v>12.0</v>
      </c>
      <c r="S197" s="141"/>
      <c r="T197" s="142"/>
      <c r="U197" s="142"/>
      <c r="V197" s="142"/>
      <c r="W197" s="142"/>
      <c r="X197" s="142"/>
      <c r="Y197" s="141"/>
      <c r="Z197" s="141"/>
      <c r="AA197" s="141"/>
      <c r="AB197" s="141"/>
      <c r="AC197" s="141"/>
      <c r="AD197" s="141"/>
      <c r="AE197" s="141"/>
    </row>
    <row r="198" ht="17.25" customHeight="1">
      <c r="A198" s="133" t="s">
        <v>23</v>
      </c>
      <c r="B198" s="133" t="s">
        <v>136</v>
      </c>
      <c r="C198" s="133" t="s">
        <v>90</v>
      </c>
      <c r="E198" s="133" t="s">
        <v>137</v>
      </c>
      <c r="F198" s="133" t="s">
        <v>27</v>
      </c>
      <c r="G198" s="140">
        <v>1.4601364E7</v>
      </c>
      <c r="H198" s="141">
        <v>7.403575408203E12</v>
      </c>
      <c r="I198" s="133" t="s">
        <v>138</v>
      </c>
      <c r="J198" s="133" t="s">
        <v>102</v>
      </c>
      <c r="K198" s="133" t="s">
        <v>162</v>
      </c>
      <c r="L198" s="141">
        <v>0.0</v>
      </c>
      <c r="M198" s="141">
        <v>0.0</v>
      </c>
      <c r="N198" s="141">
        <v>6.0</v>
      </c>
      <c r="O198" s="141">
        <v>8347.24</v>
      </c>
      <c r="P198" s="141">
        <v>0.0</v>
      </c>
      <c r="Q198" s="141">
        <v>0.0</v>
      </c>
      <c r="R198" s="141">
        <v>64.0</v>
      </c>
      <c r="S198" s="141"/>
      <c r="T198" s="142"/>
      <c r="U198" s="142"/>
      <c r="V198" s="142"/>
      <c r="W198" s="142"/>
      <c r="X198" s="142"/>
      <c r="Y198" s="141"/>
      <c r="Z198" s="141"/>
      <c r="AA198" s="141"/>
      <c r="AB198" s="141"/>
      <c r="AC198" s="141"/>
      <c r="AD198" s="141"/>
      <c r="AE198" s="141"/>
    </row>
    <row r="199" ht="17.25" customHeight="1">
      <c r="A199" s="133" t="s">
        <v>23</v>
      </c>
      <c r="B199" s="133" t="s">
        <v>109</v>
      </c>
      <c r="C199" s="133" t="s">
        <v>90</v>
      </c>
      <c r="E199" s="133" t="s">
        <v>189</v>
      </c>
      <c r="F199" s="133" t="s">
        <v>190</v>
      </c>
      <c r="G199" s="140">
        <v>1.3922087E7</v>
      </c>
      <c r="H199" s="141">
        <v>7.003264206204E12</v>
      </c>
      <c r="I199" s="133" t="s">
        <v>120</v>
      </c>
      <c r="J199" s="133" t="s">
        <v>94</v>
      </c>
      <c r="K199" s="133" t="s">
        <v>95</v>
      </c>
      <c r="L199" s="141">
        <v>0.0</v>
      </c>
      <c r="M199" s="141">
        <v>0.0</v>
      </c>
      <c r="N199" s="141">
        <v>1.0</v>
      </c>
      <c r="O199" s="141">
        <v>1619.89</v>
      </c>
      <c r="P199" s="141">
        <v>1.0</v>
      </c>
      <c r="Q199" s="141">
        <v>1619.89</v>
      </c>
      <c r="R199" s="141">
        <v>0.0</v>
      </c>
      <c r="S199" s="141"/>
      <c r="T199" s="142"/>
      <c r="U199" s="142"/>
      <c r="V199" s="142"/>
      <c r="W199" s="142"/>
      <c r="X199" s="142"/>
      <c r="Y199" s="141"/>
      <c r="Z199" s="141"/>
      <c r="AA199" s="141"/>
      <c r="AB199" s="141"/>
      <c r="AC199" s="141"/>
      <c r="AD199" s="141"/>
      <c r="AE199" s="141"/>
    </row>
    <row r="200" ht="17.25" customHeight="1">
      <c r="A200" s="133" t="s">
        <v>23</v>
      </c>
      <c r="B200" s="133" t="s">
        <v>109</v>
      </c>
      <c r="C200" s="133" t="s">
        <v>90</v>
      </c>
      <c r="E200" s="133" t="s">
        <v>189</v>
      </c>
      <c r="F200" s="133" t="s">
        <v>190</v>
      </c>
      <c r="G200" s="140">
        <v>1.3922087E7</v>
      </c>
      <c r="H200" s="141">
        <v>7.003264206204E12</v>
      </c>
      <c r="I200" s="133" t="s">
        <v>120</v>
      </c>
      <c r="J200" s="133" t="s">
        <v>102</v>
      </c>
      <c r="K200" s="133" t="s">
        <v>116</v>
      </c>
      <c r="L200" s="141">
        <v>0.0</v>
      </c>
      <c r="M200" s="141">
        <v>0.0</v>
      </c>
      <c r="N200" s="141">
        <v>0.0</v>
      </c>
      <c r="O200" s="141">
        <v>0.0</v>
      </c>
      <c r="P200" s="141">
        <v>0.0</v>
      </c>
      <c r="Q200" s="141">
        <v>0.0</v>
      </c>
      <c r="R200" s="141">
        <v>1.0</v>
      </c>
      <c r="S200" s="141"/>
      <c r="T200" s="142"/>
      <c r="U200" s="142"/>
      <c r="V200" s="142"/>
      <c r="W200" s="142"/>
      <c r="X200" s="142"/>
      <c r="Y200" s="141"/>
      <c r="Z200" s="141"/>
      <c r="AA200" s="141"/>
      <c r="AB200" s="141"/>
      <c r="AC200" s="141"/>
      <c r="AD200" s="141"/>
      <c r="AE200" s="141"/>
    </row>
    <row r="201" ht="17.25" customHeight="1">
      <c r="A201" s="133" t="s">
        <v>23</v>
      </c>
      <c r="B201" s="133" t="s">
        <v>89</v>
      </c>
      <c r="C201" s="133" t="s">
        <v>90</v>
      </c>
      <c r="E201" s="133" t="s">
        <v>91</v>
      </c>
      <c r="F201" s="133" t="s">
        <v>105</v>
      </c>
      <c r="G201" s="140">
        <v>1.4936013E7</v>
      </c>
      <c r="H201" s="141">
        <v>7.400215007208E12</v>
      </c>
      <c r="I201" s="133" t="s">
        <v>122</v>
      </c>
      <c r="J201" s="133" t="s">
        <v>102</v>
      </c>
      <c r="K201" s="133" t="s">
        <v>97</v>
      </c>
      <c r="L201" s="141">
        <v>0.0</v>
      </c>
      <c r="M201" s="141">
        <v>0.0</v>
      </c>
      <c r="N201" s="141">
        <v>0.0</v>
      </c>
      <c r="O201" s="141">
        <v>0.0</v>
      </c>
      <c r="P201" s="141">
        <v>0.0</v>
      </c>
      <c r="Q201" s="141">
        <v>0.0</v>
      </c>
      <c r="R201" s="141">
        <v>1.0</v>
      </c>
      <c r="S201" s="141"/>
      <c r="T201" s="142"/>
      <c r="U201" s="142"/>
      <c r="V201" s="142"/>
      <c r="W201" s="142"/>
      <c r="X201" s="142"/>
      <c r="Y201" s="141"/>
      <c r="Z201" s="141"/>
      <c r="AA201" s="141"/>
      <c r="AB201" s="141"/>
      <c r="AC201" s="141"/>
      <c r="AD201" s="141"/>
      <c r="AE201" s="141"/>
    </row>
    <row r="202" ht="17.25" customHeight="1">
      <c r="A202" s="133" t="s">
        <v>23</v>
      </c>
      <c r="B202" s="133" t="s">
        <v>136</v>
      </c>
      <c r="C202" s="133" t="s">
        <v>90</v>
      </c>
      <c r="E202" s="133" t="s">
        <v>161</v>
      </c>
      <c r="F202" s="133" t="s">
        <v>48</v>
      </c>
      <c r="G202" s="140">
        <v>1.4601363E7</v>
      </c>
      <c r="H202" s="141">
        <v>7.403565208202E12</v>
      </c>
      <c r="I202" s="133" t="s">
        <v>127</v>
      </c>
      <c r="J202" s="133" t="s">
        <v>102</v>
      </c>
      <c r="K202" s="133" t="s">
        <v>143</v>
      </c>
      <c r="L202" s="141">
        <v>0.0</v>
      </c>
      <c r="M202" s="141">
        <v>0.0</v>
      </c>
      <c r="N202" s="141">
        <v>0.0</v>
      </c>
      <c r="O202" s="141">
        <v>0.0</v>
      </c>
      <c r="P202" s="141">
        <v>0.0</v>
      </c>
      <c r="Q202" s="141">
        <v>0.0</v>
      </c>
      <c r="R202" s="141">
        <v>1.0</v>
      </c>
      <c r="S202" s="141"/>
      <c r="T202" s="142"/>
      <c r="U202" s="142"/>
      <c r="V202" s="142"/>
      <c r="W202" s="142"/>
      <c r="X202" s="142"/>
      <c r="Y202" s="141"/>
      <c r="Z202" s="141"/>
      <c r="AA202" s="141"/>
      <c r="AB202" s="141"/>
      <c r="AC202" s="141"/>
      <c r="AD202" s="141"/>
      <c r="AE202" s="141"/>
    </row>
    <row r="203" ht="17.25" customHeight="1">
      <c r="A203" s="133" t="s">
        <v>23</v>
      </c>
      <c r="B203" s="133" t="s">
        <v>106</v>
      </c>
      <c r="C203" s="133" t="s">
        <v>90</v>
      </c>
      <c r="E203" s="133" t="s">
        <v>107</v>
      </c>
      <c r="F203" s="133" t="s">
        <v>179</v>
      </c>
      <c r="G203" s="140">
        <v>1.6962867E7</v>
      </c>
      <c r="H203" s="141">
        <v>7.403714810201E12</v>
      </c>
      <c r="I203" s="133" t="s">
        <v>122</v>
      </c>
      <c r="J203" s="133" t="s">
        <v>102</v>
      </c>
      <c r="K203" s="133" t="s">
        <v>95</v>
      </c>
      <c r="L203" s="141">
        <v>0.0</v>
      </c>
      <c r="M203" s="141">
        <v>0.0</v>
      </c>
      <c r="N203" s="141">
        <v>0.0</v>
      </c>
      <c r="O203" s="141">
        <v>0.0</v>
      </c>
      <c r="P203" s="141">
        <v>0.0</v>
      </c>
      <c r="Q203" s="141">
        <v>0.0</v>
      </c>
      <c r="R203" s="141">
        <v>4.0</v>
      </c>
      <c r="S203" s="141"/>
      <c r="T203" s="142"/>
      <c r="U203" s="142"/>
      <c r="V203" s="142"/>
      <c r="W203" s="142"/>
      <c r="X203" s="142"/>
      <c r="Y203" s="141"/>
      <c r="Z203" s="141"/>
      <c r="AA203" s="141"/>
      <c r="AB203" s="141"/>
      <c r="AC203" s="141"/>
      <c r="AD203" s="141"/>
      <c r="AE203" s="141"/>
    </row>
    <row r="204" ht="17.25" customHeight="1">
      <c r="A204" s="133" t="s">
        <v>23</v>
      </c>
      <c r="B204" s="133" t="s">
        <v>136</v>
      </c>
      <c r="C204" s="133" t="s">
        <v>90</v>
      </c>
      <c r="E204" s="133" t="s">
        <v>161</v>
      </c>
      <c r="F204" s="133" t="s">
        <v>48</v>
      </c>
      <c r="G204" s="140">
        <v>1.4601363E7</v>
      </c>
      <c r="H204" s="141">
        <v>7.403565208202E12</v>
      </c>
      <c r="I204" s="133" t="s">
        <v>127</v>
      </c>
      <c r="J204" s="133" t="s">
        <v>102</v>
      </c>
      <c r="K204" s="133" t="s">
        <v>95</v>
      </c>
      <c r="L204" s="141">
        <v>0.0</v>
      </c>
      <c r="M204" s="141">
        <v>0.0</v>
      </c>
      <c r="N204" s="141">
        <v>0.0</v>
      </c>
      <c r="O204" s="141">
        <v>0.0</v>
      </c>
      <c r="P204" s="141">
        <v>0.0</v>
      </c>
      <c r="Q204" s="141">
        <v>0.0</v>
      </c>
      <c r="R204" s="141">
        <v>2.0</v>
      </c>
      <c r="S204" s="141"/>
      <c r="T204" s="142"/>
      <c r="U204" s="142"/>
      <c r="V204" s="142"/>
      <c r="W204" s="142"/>
      <c r="X204" s="142"/>
      <c r="Y204" s="141"/>
      <c r="Z204" s="141"/>
      <c r="AA204" s="141"/>
      <c r="AB204" s="141"/>
      <c r="AC204" s="141"/>
      <c r="AD204" s="141"/>
      <c r="AE204" s="141"/>
    </row>
    <row r="205" ht="17.25" customHeight="1">
      <c r="A205" s="133" t="s">
        <v>23</v>
      </c>
      <c r="B205" s="133" t="s">
        <v>152</v>
      </c>
      <c r="C205" s="133" t="s">
        <v>153</v>
      </c>
      <c r="D205" s="133"/>
      <c r="E205" s="133" t="s">
        <v>154</v>
      </c>
      <c r="F205" s="133" t="s">
        <v>155</v>
      </c>
      <c r="G205" s="140">
        <v>1.3515427E7</v>
      </c>
      <c r="H205" s="141">
        <v>7.003263606203E12</v>
      </c>
      <c r="I205" s="141">
        <v>36.0</v>
      </c>
      <c r="J205" s="133" t="s">
        <v>102</v>
      </c>
      <c r="K205" s="133" t="s">
        <v>104</v>
      </c>
      <c r="L205" s="141">
        <v>0.0</v>
      </c>
      <c r="M205" s="141">
        <v>0.0</v>
      </c>
      <c r="N205" s="141">
        <v>0.0</v>
      </c>
      <c r="O205" s="141">
        <v>0.0</v>
      </c>
      <c r="P205" s="141">
        <v>0.0</v>
      </c>
      <c r="Q205" s="141">
        <v>0.0</v>
      </c>
      <c r="R205" s="141">
        <v>1.0</v>
      </c>
      <c r="S205" s="141"/>
      <c r="T205" s="142"/>
      <c r="U205" s="142"/>
      <c r="V205" s="142"/>
      <c r="W205" s="142"/>
      <c r="X205" s="142"/>
      <c r="Y205" s="141"/>
      <c r="Z205" s="141"/>
      <c r="AA205" s="141"/>
      <c r="AB205" s="141"/>
      <c r="AC205" s="141"/>
      <c r="AD205" s="141"/>
      <c r="AE205" s="141"/>
    </row>
    <row r="206" ht="17.25" customHeight="1">
      <c r="A206" s="133" t="s">
        <v>23</v>
      </c>
      <c r="B206" s="133" t="s">
        <v>170</v>
      </c>
      <c r="C206" s="133" t="s">
        <v>90</v>
      </c>
      <c r="E206" s="133" t="s">
        <v>171</v>
      </c>
      <c r="F206" s="133" t="s">
        <v>172</v>
      </c>
      <c r="G206" s="140">
        <v>1.4790928E7</v>
      </c>
      <c r="H206" s="141">
        <v>7.003075206202E12</v>
      </c>
      <c r="I206" s="133" t="s">
        <v>101</v>
      </c>
      <c r="J206" s="133" t="s">
        <v>102</v>
      </c>
      <c r="K206" s="133" t="s">
        <v>104</v>
      </c>
      <c r="L206" s="141">
        <v>0.0</v>
      </c>
      <c r="M206" s="141">
        <v>0.0</v>
      </c>
      <c r="N206" s="141">
        <v>0.0</v>
      </c>
      <c r="O206" s="141">
        <v>0.0</v>
      </c>
      <c r="P206" s="141">
        <v>0.0</v>
      </c>
      <c r="Q206" s="141">
        <v>0.0</v>
      </c>
      <c r="R206" s="141">
        <v>1.0</v>
      </c>
      <c r="S206" s="141"/>
      <c r="T206" s="142"/>
      <c r="U206" s="142"/>
      <c r="V206" s="142"/>
      <c r="W206" s="142"/>
      <c r="X206" s="142"/>
      <c r="Y206" s="141"/>
      <c r="Z206" s="141"/>
      <c r="AA206" s="141"/>
      <c r="AB206" s="141"/>
      <c r="AC206" s="141"/>
      <c r="AD206" s="141"/>
      <c r="AE206" s="141"/>
    </row>
    <row r="207" ht="17.25" customHeight="1">
      <c r="A207" s="133" t="s">
        <v>23</v>
      </c>
      <c r="B207" s="133" t="s">
        <v>89</v>
      </c>
      <c r="C207" s="133" t="s">
        <v>90</v>
      </c>
      <c r="E207" s="133" t="s">
        <v>91</v>
      </c>
      <c r="F207" s="133" t="s">
        <v>123</v>
      </c>
      <c r="G207" s="140">
        <v>1.1210355E7</v>
      </c>
      <c r="H207" s="141">
        <v>7.200204400009E12</v>
      </c>
      <c r="I207" s="133" t="s">
        <v>135</v>
      </c>
      <c r="J207" s="133" t="s">
        <v>102</v>
      </c>
      <c r="K207" s="133" t="s">
        <v>104</v>
      </c>
      <c r="L207" s="141">
        <v>0.0</v>
      </c>
      <c r="M207" s="141">
        <v>0.0</v>
      </c>
      <c r="N207" s="141">
        <v>0.0</v>
      </c>
      <c r="O207" s="141">
        <v>0.0</v>
      </c>
      <c r="P207" s="141">
        <v>0.0</v>
      </c>
      <c r="Q207" s="141">
        <v>0.0</v>
      </c>
      <c r="R207" s="141">
        <v>1.0</v>
      </c>
      <c r="S207" s="141"/>
      <c r="T207" s="142"/>
      <c r="U207" s="142"/>
      <c r="V207" s="142"/>
      <c r="W207" s="142"/>
      <c r="X207" s="142"/>
      <c r="Y207" s="141"/>
      <c r="Z207" s="141"/>
      <c r="AA207" s="141"/>
      <c r="AB207" s="141"/>
      <c r="AC207" s="141"/>
      <c r="AD207" s="141"/>
      <c r="AE207" s="141"/>
    </row>
    <row r="208" ht="17.25" customHeight="1">
      <c r="A208" s="133" t="s">
        <v>23</v>
      </c>
      <c r="B208" s="133" t="s">
        <v>89</v>
      </c>
      <c r="C208" s="133" t="s">
        <v>90</v>
      </c>
      <c r="E208" s="133" t="s">
        <v>91</v>
      </c>
      <c r="F208" s="133" t="s">
        <v>123</v>
      </c>
      <c r="G208" s="140">
        <v>1.1210355E7</v>
      </c>
      <c r="H208" s="141">
        <v>7.200204200005E12</v>
      </c>
      <c r="I208" s="133" t="s">
        <v>120</v>
      </c>
      <c r="J208" s="133" t="s">
        <v>102</v>
      </c>
      <c r="K208" s="133" t="s">
        <v>113</v>
      </c>
      <c r="L208" s="141">
        <v>0.0</v>
      </c>
      <c r="M208" s="141">
        <v>0.0</v>
      </c>
      <c r="N208" s="141">
        <v>0.0</v>
      </c>
      <c r="O208" s="141">
        <v>0.0</v>
      </c>
      <c r="P208" s="141">
        <v>0.0</v>
      </c>
      <c r="Q208" s="141">
        <v>0.0</v>
      </c>
      <c r="R208" s="141">
        <v>1.0</v>
      </c>
      <c r="S208" s="141"/>
      <c r="T208" s="142"/>
      <c r="U208" s="142"/>
      <c r="V208" s="142"/>
      <c r="W208" s="142"/>
      <c r="X208" s="142"/>
      <c r="Y208" s="141"/>
      <c r="Z208" s="141"/>
      <c r="AA208" s="141"/>
      <c r="AB208" s="141"/>
      <c r="AC208" s="141"/>
      <c r="AD208" s="141"/>
      <c r="AE208" s="141"/>
    </row>
    <row r="209" ht="17.25" customHeight="1">
      <c r="A209" s="133" t="s">
        <v>23</v>
      </c>
      <c r="B209" s="133" t="s">
        <v>106</v>
      </c>
      <c r="C209" s="133" t="s">
        <v>90</v>
      </c>
      <c r="E209" s="133" t="s">
        <v>107</v>
      </c>
      <c r="F209" s="133" t="s">
        <v>179</v>
      </c>
      <c r="G209" s="140">
        <v>1.6962867E7</v>
      </c>
      <c r="H209" s="141">
        <v>7.403714810201E12</v>
      </c>
      <c r="I209" s="133" t="s">
        <v>122</v>
      </c>
      <c r="J209" s="133" t="s">
        <v>102</v>
      </c>
      <c r="K209" s="133" t="s">
        <v>104</v>
      </c>
      <c r="L209" s="141">
        <v>0.0</v>
      </c>
      <c r="M209" s="141">
        <v>0.0</v>
      </c>
      <c r="N209" s="141">
        <v>0.0</v>
      </c>
      <c r="O209" s="141">
        <v>0.0</v>
      </c>
      <c r="P209" s="141">
        <v>0.0</v>
      </c>
      <c r="Q209" s="141">
        <v>0.0</v>
      </c>
      <c r="R209" s="141">
        <v>1.0</v>
      </c>
      <c r="S209" s="141"/>
      <c r="T209" s="142"/>
      <c r="U209" s="142"/>
      <c r="V209" s="142"/>
      <c r="W209" s="142"/>
      <c r="X209" s="142"/>
      <c r="Y209" s="141"/>
      <c r="Z209" s="141"/>
      <c r="AA209" s="141"/>
      <c r="AB209" s="141"/>
      <c r="AC209" s="141"/>
      <c r="AD209" s="141"/>
      <c r="AE209" s="141"/>
    </row>
    <row r="210" ht="17.25" customHeight="1">
      <c r="A210" s="133" t="s">
        <v>23</v>
      </c>
      <c r="B210" s="133" t="s">
        <v>106</v>
      </c>
      <c r="C210" s="133" t="s">
        <v>90</v>
      </c>
      <c r="E210" s="133" t="s">
        <v>107</v>
      </c>
      <c r="F210" s="133" t="s">
        <v>179</v>
      </c>
      <c r="G210" s="140">
        <v>1.6962867E7</v>
      </c>
      <c r="H210" s="141">
        <v>7.403714810201E12</v>
      </c>
      <c r="I210" s="133" t="s">
        <v>122</v>
      </c>
      <c r="J210" s="133" t="s">
        <v>102</v>
      </c>
      <c r="K210" s="133" t="s">
        <v>113</v>
      </c>
      <c r="L210" s="141">
        <v>0.0</v>
      </c>
      <c r="M210" s="141">
        <v>0.0</v>
      </c>
      <c r="N210" s="141">
        <v>0.0</v>
      </c>
      <c r="O210" s="141">
        <v>0.0</v>
      </c>
      <c r="P210" s="141">
        <v>0.0</v>
      </c>
      <c r="Q210" s="141">
        <v>0.0</v>
      </c>
      <c r="R210" s="141">
        <v>1.0</v>
      </c>
      <c r="S210" s="141"/>
      <c r="T210" s="142"/>
      <c r="U210" s="142"/>
      <c r="V210" s="142"/>
      <c r="W210" s="142"/>
      <c r="X210" s="142"/>
      <c r="Y210" s="141"/>
      <c r="Z210" s="141"/>
      <c r="AA210" s="141"/>
      <c r="AB210" s="141"/>
      <c r="AC210" s="141"/>
      <c r="AD210" s="141"/>
      <c r="AE210" s="141"/>
    </row>
    <row r="211" ht="16.5" customHeight="1">
      <c r="A211" s="133" t="s">
        <v>23</v>
      </c>
      <c r="B211" s="133" t="s">
        <v>136</v>
      </c>
      <c r="C211" s="133" t="s">
        <v>90</v>
      </c>
      <c r="E211" s="133" t="s">
        <v>161</v>
      </c>
      <c r="F211" s="133" t="s">
        <v>191</v>
      </c>
      <c r="G211" s="140">
        <v>1.3889779E7</v>
      </c>
      <c r="H211" s="141">
        <v>7.003515406209E12</v>
      </c>
      <c r="I211" s="133" t="s">
        <v>127</v>
      </c>
      <c r="J211" s="133" t="s">
        <v>94</v>
      </c>
      <c r="K211" s="133" t="s">
        <v>104</v>
      </c>
      <c r="L211" s="141">
        <v>0.0</v>
      </c>
      <c r="M211" s="141">
        <v>0.0</v>
      </c>
      <c r="N211" s="141">
        <v>0.0</v>
      </c>
      <c r="O211" s="141">
        <v>0.0</v>
      </c>
      <c r="P211" s="141">
        <v>1.0</v>
      </c>
      <c r="Q211" s="141">
        <v>2313.74</v>
      </c>
      <c r="R211" s="141">
        <v>0.0</v>
      </c>
      <c r="S211" s="141"/>
      <c r="T211" s="142"/>
      <c r="U211" s="142"/>
      <c r="V211" s="142"/>
      <c r="W211" s="142"/>
      <c r="X211" s="142"/>
      <c r="Y211" s="141"/>
      <c r="Z211" s="141"/>
      <c r="AA211" s="141"/>
      <c r="AB211" s="141"/>
      <c r="AC211" s="141"/>
      <c r="AD211" s="141"/>
      <c r="AE211" s="141"/>
    </row>
    <row r="212" ht="17.25" customHeight="1">
      <c r="A212" s="133" t="s">
        <v>23</v>
      </c>
      <c r="B212" s="133" t="s">
        <v>89</v>
      </c>
      <c r="C212" s="133" t="s">
        <v>90</v>
      </c>
      <c r="E212" s="133" t="s">
        <v>91</v>
      </c>
      <c r="F212" s="133" t="s">
        <v>123</v>
      </c>
      <c r="G212" s="140">
        <v>1.1210355E7</v>
      </c>
      <c r="H212" s="141">
        <v>7.20020460001E12</v>
      </c>
      <c r="I212" s="133" t="s">
        <v>96</v>
      </c>
      <c r="J212" s="133" t="s">
        <v>102</v>
      </c>
      <c r="K212" s="133" t="s">
        <v>95</v>
      </c>
      <c r="L212" s="141">
        <v>0.0</v>
      </c>
      <c r="M212" s="141">
        <v>0.0</v>
      </c>
      <c r="N212" s="141">
        <v>3.0</v>
      </c>
      <c r="O212" s="141">
        <v>10882.5</v>
      </c>
      <c r="P212" s="141">
        <v>1.0</v>
      </c>
      <c r="Q212" s="141">
        <v>4021.8</v>
      </c>
      <c r="R212" s="141">
        <v>36.0</v>
      </c>
      <c r="S212" s="141"/>
      <c r="T212" s="142"/>
      <c r="U212" s="142"/>
      <c r="V212" s="142"/>
      <c r="W212" s="142"/>
      <c r="X212" s="142"/>
      <c r="Y212" s="141"/>
      <c r="Z212" s="141"/>
      <c r="AA212" s="141"/>
      <c r="AB212" s="141"/>
      <c r="AC212" s="141"/>
      <c r="AD212" s="141"/>
      <c r="AE212" s="141"/>
    </row>
    <row r="213" ht="17.25" customHeight="1">
      <c r="A213" s="133" t="s">
        <v>23</v>
      </c>
      <c r="B213" s="133" t="s">
        <v>158</v>
      </c>
      <c r="C213" s="133"/>
      <c r="D213" s="133"/>
      <c r="E213" s="133" t="s">
        <v>159</v>
      </c>
      <c r="F213" s="133" t="s">
        <v>192</v>
      </c>
      <c r="G213" s="140">
        <v>1.61231E7</v>
      </c>
      <c r="H213" s="141">
        <v>7.003505409203E12</v>
      </c>
      <c r="I213" s="133" t="s">
        <v>140</v>
      </c>
      <c r="J213" s="133" t="s">
        <v>94</v>
      </c>
      <c r="K213" s="133" t="s">
        <v>97</v>
      </c>
      <c r="L213" s="141">
        <v>0.0</v>
      </c>
      <c r="M213" s="141">
        <v>0.0</v>
      </c>
      <c r="N213" s="141">
        <v>1.0</v>
      </c>
      <c r="O213" s="141">
        <v>5506.61</v>
      </c>
      <c r="P213" s="141">
        <v>0.0</v>
      </c>
      <c r="Q213" s="141">
        <v>0.0</v>
      </c>
      <c r="R213" s="141">
        <v>0.0</v>
      </c>
      <c r="S213" s="141"/>
      <c r="T213" s="142"/>
      <c r="U213" s="142"/>
      <c r="V213" s="142"/>
      <c r="W213" s="142"/>
      <c r="X213" s="142"/>
      <c r="Y213" s="141"/>
      <c r="Z213" s="141"/>
      <c r="AA213" s="141"/>
      <c r="AB213" s="141"/>
      <c r="AC213" s="141"/>
      <c r="AD213" s="141"/>
      <c r="AE213" s="141"/>
    </row>
    <row r="214" ht="17.25" customHeight="1">
      <c r="A214" s="133" t="s">
        <v>23</v>
      </c>
      <c r="B214" s="133" t="s">
        <v>106</v>
      </c>
      <c r="C214" s="133" t="s">
        <v>90</v>
      </c>
      <c r="E214" s="133" t="s">
        <v>107</v>
      </c>
      <c r="F214" s="133" t="s">
        <v>193</v>
      </c>
      <c r="G214" s="140">
        <v>1.8074632E7</v>
      </c>
      <c r="H214" s="141">
        <v>7.403944615126E12</v>
      </c>
      <c r="I214" s="133" t="s">
        <v>122</v>
      </c>
      <c r="J214" s="133" t="s">
        <v>102</v>
      </c>
      <c r="K214" s="133" t="s">
        <v>95</v>
      </c>
      <c r="L214" s="141">
        <v>0.0</v>
      </c>
      <c r="M214" s="141">
        <v>0.0</v>
      </c>
      <c r="N214" s="141">
        <v>1.0</v>
      </c>
      <c r="O214" s="141">
        <v>2781.54</v>
      </c>
      <c r="P214" s="141">
        <v>0.0</v>
      </c>
      <c r="Q214" s="141">
        <v>0.0</v>
      </c>
      <c r="R214" s="141">
        <v>26.0</v>
      </c>
      <c r="S214" s="141"/>
      <c r="T214" s="142"/>
      <c r="U214" s="142"/>
      <c r="V214" s="142"/>
      <c r="W214" s="142"/>
      <c r="X214" s="142"/>
      <c r="Y214" s="141"/>
      <c r="Z214" s="141"/>
      <c r="AA214" s="141"/>
      <c r="AB214" s="141"/>
      <c r="AC214" s="141"/>
      <c r="AD214" s="141"/>
      <c r="AE214" s="141"/>
    </row>
    <row r="215" ht="17.25" customHeight="1">
      <c r="A215" s="133" t="s">
        <v>23</v>
      </c>
      <c r="B215" s="133" t="s">
        <v>106</v>
      </c>
      <c r="C215" s="133" t="s">
        <v>90</v>
      </c>
      <c r="E215" s="133" t="s">
        <v>107</v>
      </c>
      <c r="F215" s="133" t="s">
        <v>144</v>
      </c>
      <c r="G215" s="140">
        <v>1.7615826E7</v>
      </c>
      <c r="H215" s="141">
        <v>7.403894807121E12</v>
      </c>
      <c r="I215" s="133" t="s">
        <v>101</v>
      </c>
      <c r="J215" s="133" t="s">
        <v>94</v>
      </c>
      <c r="K215" s="133" t="s">
        <v>95</v>
      </c>
      <c r="L215" s="141">
        <v>0.0</v>
      </c>
      <c r="M215" s="141">
        <v>0.0</v>
      </c>
      <c r="N215" s="141">
        <v>5.0</v>
      </c>
      <c r="O215" s="141">
        <v>12516.93</v>
      </c>
      <c r="P215" s="141">
        <v>1.0</v>
      </c>
      <c r="Q215" s="141">
        <v>2936.07</v>
      </c>
      <c r="R215" s="141">
        <v>0.0</v>
      </c>
      <c r="S215" s="141"/>
      <c r="T215" s="142"/>
      <c r="U215" s="142"/>
      <c r="V215" s="142"/>
      <c r="W215" s="142"/>
      <c r="X215" s="142"/>
      <c r="Y215" s="141"/>
      <c r="Z215" s="141"/>
      <c r="AA215" s="141"/>
      <c r="AB215" s="141"/>
      <c r="AC215" s="141"/>
      <c r="AD215" s="141"/>
      <c r="AE215" s="141"/>
    </row>
    <row r="216" ht="17.25" customHeight="1">
      <c r="A216" s="133" t="s">
        <v>23</v>
      </c>
      <c r="B216" s="133" t="s">
        <v>136</v>
      </c>
      <c r="C216" s="133" t="s">
        <v>90</v>
      </c>
      <c r="E216" s="133" t="s">
        <v>161</v>
      </c>
      <c r="F216" s="133" t="s">
        <v>191</v>
      </c>
      <c r="G216" s="140">
        <v>1.3889779E7</v>
      </c>
      <c r="H216" s="141">
        <v>7.003515406209E12</v>
      </c>
      <c r="I216" s="133" t="s">
        <v>127</v>
      </c>
      <c r="J216" s="133" t="s">
        <v>102</v>
      </c>
      <c r="K216" s="133" t="s">
        <v>95</v>
      </c>
      <c r="L216" s="141">
        <v>0.0</v>
      </c>
      <c r="M216" s="141">
        <v>0.0</v>
      </c>
      <c r="N216" s="141">
        <v>2.0</v>
      </c>
      <c r="O216" s="141">
        <v>4390.79</v>
      </c>
      <c r="P216" s="141">
        <v>0.0</v>
      </c>
      <c r="Q216" s="141">
        <v>227.82</v>
      </c>
      <c r="R216" s="141">
        <v>183.0</v>
      </c>
      <c r="S216" s="141"/>
      <c r="T216" s="142"/>
      <c r="U216" s="142"/>
      <c r="V216" s="142"/>
      <c r="W216" s="142"/>
      <c r="X216" s="142"/>
      <c r="Y216" s="141"/>
      <c r="Z216" s="141"/>
      <c r="AA216" s="141"/>
      <c r="AB216" s="141"/>
      <c r="AC216" s="141"/>
      <c r="AD216" s="141"/>
      <c r="AE216" s="141"/>
    </row>
    <row r="217" ht="17.25" customHeight="1">
      <c r="A217" s="133" t="s">
        <v>23</v>
      </c>
      <c r="B217" s="133" t="s">
        <v>89</v>
      </c>
      <c r="C217" s="133" t="s">
        <v>90</v>
      </c>
      <c r="E217" s="133" t="s">
        <v>91</v>
      </c>
      <c r="F217" s="133" t="s">
        <v>157</v>
      </c>
      <c r="G217" s="140">
        <v>1.1210357E7</v>
      </c>
      <c r="H217" s="141">
        <v>7.400205600006E12</v>
      </c>
      <c r="I217" s="133" t="s">
        <v>112</v>
      </c>
      <c r="J217" s="133" t="s">
        <v>94</v>
      </c>
      <c r="K217" s="133" t="s">
        <v>95</v>
      </c>
      <c r="L217" s="141">
        <v>0.0</v>
      </c>
      <c r="M217" s="141">
        <v>0.0</v>
      </c>
      <c r="N217" s="141">
        <v>1.0</v>
      </c>
      <c r="O217" s="141">
        <v>2146.46</v>
      </c>
      <c r="P217" s="141">
        <v>2.0</v>
      </c>
      <c r="Q217" s="141">
        <v>4538.23</v>
      </c>
      <c r="R217" s="141">
        <v>0.0</v>
      </c>
      <c r="S217" s="141"/>
      <c r="T217" s="142"/>
      <c r="U217" s="142"/>
      <c r="V217" s="142"/>
      <c r="W217" s="142"/>
      <c r="X217" s="142"/>
      <c r="Y217" s="141"/>
      <c r="Z217" s="141"/>
      <c r="AA217" s="141"/>
      <c r="AB217" s="141"/>
      <c r="AC217" s="141"/>
      <c r="AD217" s="141"/>
      <c r="AE217" s="141"/>
    </row>
    <row r="218" ht="17.25" customHeight="1">
      <c r="A218" s="133" t="s">
        <v>23</v>
      </c>
      <c r="B218" s="133" t="s">
        <v>106</v>
      </c>
      <c r="C218" s="133" t="s">
        <v>90</v>
      </c>
      <c r="E218" s="133" t="s">
        <v>107</v>
      </c>
      <c r="F218" s="133" t="s">
        <v>108</v>
      </c>
      <c r="G218" s="140">
        <v>1.6963758E7</v>
      </c>
      <c r="H218" s="141">
        <v>7.403855003111E12</v>
      </c>
      <c r="I218" s="133" t="s">
        <v>101</v>
      </c>
      <c r="J218" s="133" t="s">
        <v>94</v>
      </c>
      <c r="K218" s="133" t="s">
        <v>143</v>
      </c>
      <c r="L218" s="141">
        <v>0.0</v>
      </c>
      <c r="M218" s="141">
        <v>0.0</v>
      </c>
      <c r="N218" s="141">
        <v>1.0</v>
      </c>
      <c r="O218" s="141">
        <v>2858.8</v>
      </c>
      <c r="P218" s="141">
        <v>0.0</v>
      </c>
      <c r="Q218" s="141">
        <v>0.0</v>
      </c>
      <c r="R218" s="141">
        <v>0.0</v>
      </c>
      <c r="S218" s="141"/>
      <c r="T218" s="142"/>
      <c r="U218" s="142"/>
      <c r="V218" s="142"/>
      <c r="W218" s="142"/>
      <c r="X218" s="142"/>
      <c r="Y218" s="141"/>
      <c r="Z218" s="141"/>
      <c r="AA218" s="141"/>
      <c r="AB218" s="141"/>
      <c r="AC218" s="141"/>
      <c r="AD218" s="141"/>
      <c r="AE218" s="141"/>
    </row>
    <row r="219" ht="17.25" customHeight="1">
      <c r="A219" s="133" t="s">
        <v>23</v>
      </c>
      <c r="B219" s="133" t="s">
        <v>136</v>
      </c>
      <c r="C219" s="133" t="s">
        <v>90</v>
      </c>
      <c r="E219" s="133" t="s">
        <v>161</v>
      </c>
      <c r="F219" s="133" t="s">
        <v>194</v>
      </c>
      <c r="G219" s="140">
        <v>1.3889782E7</v>
      </c>
      <c r="H219" s="141">
        <v>7.0035454062E12</v>
      </c>
      <c r="I219" s="133" t="s">
        <v>127</v>
      </c>
      <c r="J219" s="133" t="s">
        <v>94</v>
      </c>
      <c r="K219" s="133" t="s">
        <v>146</v>
      </c>
      <c r="L219" s="141">
        <v>0.0</v>
      </c>
      <c r="M219" s="141">
        <v>0.0</v>
      </c>
      <c r="N219" s="141">
        <v>0.0</v>
      </c>
      <c r="O219" s="141">
        <v>0.0</v>
      </c>
      <c r="P219" s="141">
        <v>1.0</v>
      </c>
      <c r="Q219" s="141">
        <v>2659.5</v>
      </c>
      <c r="R219" s="141">
        <v>0.0</v>
      </c>
      <c r="S219" s="141"/>
      <c r="T219" s="142"/>
      <c r="U219" s="142"/>
      <c r="V219" s="142"/>
      <c r="W219" s="142"/>
      <c r="X219" s="142"/>
      <c r="Y219" s="141"/>
      <c r="Z219" s="141"/>
      <c r="AA219" s="141"/>
      <c r="AB219" s="141"/>
      <c r="AC219" s="141"/>
      <c r="AD219" s="141"/>
      <c r="AE219" s="141"/>
    </row>
    <row r="220" ht="17.25" customHeight="1">
      <c r="A220" s="133" t="s">
        <v>23</v>
      </c>
      <c r="B220" s="133" t="s">
        <v>136</v>
      </c>
      <c r="C220" s="133" t="s">
        <v>90</v>
      </c>
      <c r="E220" s="133" t="s">
        <v>161</v>
      </c>
      <c r="F220" s="133" t="s">
        <v>194</v>
      </c>
      <c r="G220" s="140">
        <v>1.3889782E7</v>
      </c>
      <c r="H220" s="141">
        <v>7.0035454062E12</v>
      </c>
      <c r="I220" s="133" t="s">
        <v>127</v>
      </c>
      <c r="J220" s="133" t="s">
        <v>94</v>
      </c>
      <c r="K220" s="133" t="s">
        <v>97</v>
      </c>
      <c r="L220" s="141">
        <v>0.0</v>
      </c>
      <c r="M220" s="141">
        <v>0.0</v>
      </c>
      <c r="N220" s="141">
        <v>0.0</v>
      </c>
      <c r="O220" s="141">
        <v>0.0</v>
      </c>
      <c r="P220" s="141">
        <v>1.0</v>
      </c>
      <c r="Q220" s="141">
        <v>2825.72</v>
      </c>
      <c r="R220" s="141">
        <v>0.0</v>
      </c>
      <c r="S220" s="141"/>
      <c r="T220" s="142"/>
      <c r="U220" s="142"/>
      <c r="V220" s="142"/>
      <c r="W220" s="142"/>
      <c r="X220" s="142"/>
      <c r="Y220" s="141"/>
      <c r="Z220" s="141"/>
      <c r="AA220" s="141"/>
      <c r="AB220" s="141"/>
      <c r="AC220" s="141"/>
      <c r="AD220" s="141"/>
      <c r="AE220" s="141"/>
    </row>
    <row r="221" ht="17.25" customHeight="1">
      <c r="A221" s="133" t="s">
        <v>23</v>
      </c>
      <c r="B221" s="133" t="s">
        <v>147</v>
      </c>
      <c r="C221" s="133" t="s">
        <v>90</v>
      </c>
      <c r="E221" s="133" t="s">
        <v>148</v>
      </c>
      <c r="F221" s="133" t="s">
        <v>195</v>
      </c>
      <c r="G221" s="140">
        <v>1.4620439E7</v>
      </c>
      <c r="H221" s="141">
        <v>7.403604408204E12</v>
      </c>
      <c r="I221" s="133" t="s">
        <v>96</v>
      </c>
      <c r="J221" s="133" t="s">
        <v>94</v>
      </c>
      <c r="K221" s="133" t="s">
        <v>95</v>
      </c>
      <c r="L221" s="141">
        <v>0.0</v>
      </c>
      <c r="M221" s="141">
        <v>0.0</v>
      </c>
      <c r="N221" s="141">
        <v>2.0</v>
      </c>
      <c r="O221" s="141">
        <v>3405.26</v>
      </c>
      <c r="P221" s="141">
        <v>0.0</v>
      </c>
      <c r="Q221" s="141">
        <v>0.0</v>
      </c>
      <c r="R221" s="141">
        <v>0.0</v>
      </c>
      <c r="S221" s="141"/>
      <c r="T221" s="142"/>
      <c r="U221" s="142"/>
      <c r="V221" s="142"/>
      <c r="W221" s="142"/>
      <c r="X221" s="142"/>
      <c r="Y221" s="141"/>
      <c r="Z221" s="141"/>
      <c r="AA221" s="141"/>
      <c r="AB221" s="141"/>
      <c r="AC221" s="141"/>
      <c r="AD221" s="141"/>
      <c r="AE221" s="141"/>
    </row>
    <row r="222" ht="16.5" customHeight="1">
      <c r="A222" s="133" t="s">
        <v>23</v>
      </c>
      <c r="B222" s="133" t="s">
        <v>136</v>
      </c>
      <c r="C222" s="133" t="s">
        <v>90</v>
      </c>
      <c r="E222" s="133" t="s">
        <v>161</v>
      </c>
      <c r="F222" s="133" t="s">
        <v>194</v>
      </c>
      <c r="G222" s="140">
        <v>1.3889782E7</v>
      </c>
      <c r="H222" s="141">
        <v>7.0035454062E12</v>
      </c>
      <c r="I222" s="133" t="s">
        <v>127</v>
      </c>
      <c r="J222" s="133" t="s">
        <v>102</v>
      </c>
      <c r="K222" s="133" t="s">
        <v>95</v>
      </c>
      <c r="L222" s="141">
        <v>0.0</v>
      </c>
      <c r="M222" s="141">
        <v>0.0</v>
      </c>
      <c r="N222" s="141">
        <v>13.0</v>
      </c>
      <c r="O222" s="141">
        <v>34222.6</v>
      </c>
      <c r="P222" s="141">
        <v>10.0</v>
      </c>
      <c r="Q222" s="141">
        <v>27610.79</v>
      </c>
      <c r="R222" s="141">
        <v>312.0</v>
      </c>
      <c r="S222" s="141"/>
      <c r="T222" s="142"/>
      <c r="U222" s="142"/>
      <c r="V222" s="142"/>
      <c r="W222" s="142"/>
      <c r="X222" s="142"/>
      <c r="Y222" s="141"/>
      <c r="Z222" s="141"/>
      <c r="AA222" s="141"/>
      <c r="AB222" s="141"/>
      <c r="AC222" s="141"/>
      <c r="AD222" s="141"/>
      <c r="AE222" s="141"/>
    </row>
    <row r="223" ht="17.25" customHeight="1">
      <c r="A223" s="133" t="s">
        <v>23</v>
      </c>
      <c r="B223" s="133" t="s">
        <v>89</v>
      </c>
      <c r="C223" s="133" t="s">
        <v>90</v>
      </c>
      <c r="E223" s="133" t="s">
        <v>91</v>
      </c>
      <c r="F223" s="133" t="s">
        <v>123</v>
      </c>
      <c r="G223" s="140">
        <v>1.1210355E7</v>
      </c>
      <c r="H223" s="141">
        <v>7.20020460001E12</v>
      </c>
      <c r="I223" s="133" t="s">
        <v>96</v>
      </c>
      <c r="J223" s="133" t="s">
        <v>94</v>
      </c>
      <c r="K223" s="133" t="s">
        <v>104</v>
      </c>
      <c r="L223" s="141">
        <v>0.0</v>
      </c>
      <c r="M223" s="141">
        <v>0.0</v>
      </c>
      <c r="N223" s="141">
        <v>1.0</v>
      </c>
      <c r="O223" s="141">
        <v>3627.5</v>
      </c>
      <c r="P223" s="141">
        <v>1.0</v>
      </c>
      <c r="Q223" s="141">
        <v>3339.9</v>
      </c>
      <c r="R223" s="141">
        <v>0.0</v>
      </c>
      <c r="S223" s="141"/>
      <c r="T223" s="142"/>
      <c r="U223" s="142"/>
      <c r="V223" s="142"/>
      <c r="W223" s="142"/>
      <c r="X223" s="142"/>
      <c r="Y223" s="141"/>
      <c r="Z223" s="141"/>
      <c r="AA223" s="141"/>
      <c r="AB223" s="141"/>
      <c r="AC223" s="141"/>
      <c r="AD223" s="141"/>
      <c r="AE223" s="141"/>
    </row>
    <row r="224" ht="17.25" customHeight="1">
      <c r="A224" s="133" t="s">
        <v>23</v>
      </c>
      <c r="B224" s="133" t="s">
        <v>89</v>
      </c>
      <c r="C224" s="133" t="s">
        <v>90</v>
      </c>
      <c r="E224" s="133" t="s">
        <v>91</v>
      </c>
      <c r="F224" s="133" t="s">
        <v>123</v>
      </c>
      <c r="G224" s="140">
        <v>1.1210355E7</v>
      </c>
      <c r="H224" s="141">
        <v>7.20020460001E12</v>
      </c>
      <c r="I224" s="133" t="s">
        <v>96</v>
      </c>
      <c r="J224" s="133" t="s">
        <v>102</v>
      </c>
      <c r="K224" s="133" t="s">
        <v>113</v>
      </c>
      <c r="L224" s="141">
        <v>0.0</v>
      </c>
      <c r="M224" s="141">
        <v>0.0</v>
      </c>
      <c r="N224" s="141">
        <v>1.0</v>
      </c>
      <c r="O224" s="141">
        <v>3627.5</v>
      </c>
      <c r="P224" s="141">
        <v>0.0</v>
      </c>
      <c r="Q224" s="141">
        <v>0.0</v>
      </c>
      <c r="R224" s="141">
        <v>1.0</v>
      </c>
      <c r="S224" s="141"/>
      <c r="T224" s="142"/>
      <c r="U224" s="142"/>
      <c r="V224" s="142"/>
      <c r="W224" s="142"/>
      <c r="X224" s="142"/>
      <c r="Y224" s="141"/>
      <c r="Z224" s="141"/>
      <c r="AA224" s="141"/>
      <c r="AB224" s="141"/>
      <c r="AC224" s="141"/>
      <c r="AD224" s="141"/>
      <c r="AE224" s="141"/>
    </row>
    <row r="225" ht="17.25" customHeight="1">
      <c r="A225" s="133" t="s">
        <v>23</v>
      </c>
      <c r="B225" s="133" t="s">
        <v>136</v>
      </c>
      <c r="C225" s="133" t="s">
        <v>90</v>
      </c>
      <c r="E225" s="133" t="s">
        <v>161</v>
      </c>
      <c r="F225" s="133" t="s">
        <v>191</v>
      </c>
      <c r="G225" s="140">
        <v>1.3889779E7</v>
      </c>
      <c r="H225" s="141">
        <v>7.003515406209E12</v>
      </c>
      <c r="I225" s="133" t="s">
        <v>127</v>
      </c>
      <c r="J225" s="133" t="s">
        <v>94</v>
      </c>
      <c r="K225" s="133" t="s">
        <v>116</v>
      </c>
      <c r="L225" s="141">
        <v>0.0</v>
      </c>
      <c r="M225" s="141">
        <v>0.0</v>
      </c>
      <c r="N225" s="141">
        <v>0.0</v>
      </c>
      <c r="O225" s="141">
        <v>0.0</v>
      </c>
      <c r="P225" s="141">
        <v>1.0</v>
      </c>
      <c r="Q225" s="141">
        <v>2313.74</v>
      </c>
      <c r="R225" s="141">
        <v>0.0</v>
      </c>
      <c r="S225" s="141"/>
      <c r="T225" s="142"/>
      <c r="U225" s="142"/>
      <c r="V225" s="142"/>
      <c r="W225" s="142"/>
      <c r="X225" s="142"/>
      <c r="Y225" s="141"/>
      <c r="Z225" s="141"/>
      <c r="AA225" s="141"/>
      <c r="AB225" s="141"/>
      <c r="AC225" s="141"/>
      <c r="AD225" s="141"/>
      <c r="AE225" s="141"/>
    </row>
    <row r="226" ht="17.25" customHeight="1">
      <c r="A226" s="133" t="s">
        <v>23</v>
      </c>
      <c r="B226" s="133" t="s">
        <v>106</v>
      </c>
      <c r="C226" s="133" t="s">
        <v>90</v>
      </c>
      <c r="E226" s="133" t="s">
        <v>107</v>
      </c>
      <c r="F226" s="133" t="s">
        <v>108</v>
      </c>
      <c r="G226" s="140">
        <v>1.6963758E7</v>
      </c>
      <c r="H226" s="141">
        <v>7.403855003111E12</v>
      </c>
      <c r="I226" s="133" t="s">
        <v>101</v>
      </c>
      <c r="J226" s="133" t="s">
        <v>102</v>
      </c>
      <c r="K226" s="133" t="s">
        <v>104</v>
      </c>
      <c r="L226" s="141">
        <v>0.0</v>
      </c>
      <c r="M226" s="141">
        <v>0.0</v>
      </c>
      <c r="N226" s="141">
        <v>1.0</v>
      </c>
      <c r="O226" s="141">
        <v>2858.8</v>
      </c>
      <c r="P226" s="141">
        <v>0.0</v>
      </c>
      <c r="Q226" s="141">
        <v>0.0</v>
      </c>
      <c r="R226" s="141">
        <v>1.0</v>
      </c>
      <c r="S226" s="141"/>
      <c r="T226" s="142"/>
      <c r="U226" s="142"/>
      <c r="V226" s="142"/>
      <c r="W226" s="142"/>
      <c r="X226" s="142"/>
      <c r="Y226" s="141"/>
      <c r="Z226" s="141"/>
      <c r="AA226" s="141"/>
      <c r="AB226" s="141"/>
      <c r="AC226" s="141"/>
      <c r="AD226" s="141"/>
      <c r="AE226" s="141"/>
    </row>
    <row r="227" ht="17.25" customHeight="1">
      <c r="A227" s="133" t="s">
        <v>23</v>
      </c>
      <c r="B227" s="133" t="s">
        <v>136</v>
      </c>
      <c r="C227" s="133" t="s">
        <v>90</v>
      </c>
      <c r="E227" s="133" t="s">
        <v>161</v>
      </c>
      <c r="F227" s="133" t="s">
        <v>194</v>
      </c>
      <c r="G227" s="140">
        <v>1.3889782E7</v>
      </c>
      <c r="H227" s="141">
        <v>7.0035454062E12</v>
      </c>
      <c r="I227" s="133" t="s">
        <v>127</v>
      </c>
      <c r="J227" s="133" t="s">
        <v>94</v>
      </c>
      <c r="K227" s="133" t="s">
        <v>104</v>
      </c>
      <c r="L227" s="141">
        <v>0.0</v>
      </c>
      <c r="M227" s="141">
        <v>0.0</v>
      </c>
      <c r="N227" s="141">
        <v>0.0</v>
      </c>
      <c r="O227" s="141">
        <v>0.0</v>
      </c>
      <c r="P227" s="141">
        <v>0.0</v>
      </c>
      <c r="Q227" s="141">
        <v>0.0</v>
      </c>
      <c r="R227" s="141">
        <v>0.0</v>
      </c>
      <c r="S227" s="141"/>
      <c r="T227" s="142"/>
      <c r="U227" s="142"/>
      <c r="V227" s="142"/>
      <c r="W227" s="142"/>
      <c r="X227" s="142"/>
      <c r="Y227" s="141"/>
      <c r="Z227" s="141"/>
      <c r="AA227" s="141"/>
      <c r="AB227" s="141"/>
      <c r="AC227" s="141"/>
      <c r="AD227" s="141"/>
      <c r="AE227" s="141"/>
    </row>
    <row r="228" ht="17.25" customHeight="1">
      <c r="A228" s="133" t="s">
        <v>23</v>
      </c>
      <c r="B228" s="133" t="s">
        <v>106</v>
      </c>
      <c r="C228" s="133" t="s">
        <v>90</v>
      </c>
      <c r="E228" s="133" t="s">
        <v>107</v>
      </c>
      <c r="F228" s="133" t="s">
        <v>108</v>
      </c>
      <c r="G228" s="140">
        <v>1.6963758E7</v>
      </c>
      <c r="H228" s="141">
        <v>7.403855003111E12</v>
      </c>
      <c r="I228" s="133" t="s">
        <v>101</v>
      </c>
      <c r="J228" s="133" t="s">
        <v>102</v>
      </c>
      <c r="K228" s="133" t="s">
        <v>95</v>
      </c>
      <c r="L228" s="141">
        <v>0.0</v>
      </c>
      <c r="M228" s="141">
        <v>0.0</v>
      </c>
      <c r="N228" s="141">
        <v>4.0</v>
      </c>
      <c r="O228" s="141">
        <v>11407.93</v>
      </c>
      <c r="P228" s="141">
        <v>4.0</v>
      </c>
      <c r="Q228" s="141">
        <v>12466.92</v>
      </c>
      <c r="R228" s="141">
        <v>5.0</v>
      </c>
      <c r="S228" s="141"/>
      <c r="T228" s="142"/>
      <c r="U228" s="142"/>
      <c r="V228" s="142"/>
      <c r="W228" s="142"/>
      <c r="X228" s="142"/>
      <c r="Y228" s="141"/>
      <c r="Z228" s="141"/>
      <c r="AA228" s="141"/>
      <c r="AB228" s="141"/>
      <c r="AC228" s="141"/>
      <c r="AD228" s="141"/>
      <c r="AE228" s="141"/>
    </row>
    <row r="229" ht="17.25" customHeight="1">
      <c r="A229" s="133" t="s">
        <v>23</v>
      </c>
      <c r="B229" s="133" t="s">
        <v>89</v>
      </c>
      <c r="C229" s="133" t="s">
        <v>90</v>
      </c>
      <c r="E229" s="133" t="s">
        <v>91</v>
      </c>
      <c r="F229" s="133" t="s">
        <v>123</v>
      </c>
      <c r="G229" s="140">
        <v>1.1210355E7</v>
      </c>
      <c r="H229" s="141">
        <v>7.20020460001E12</v>
      </c>
      <c r="I229" s="133" t="s">
        <v>96</v>
      </c>
      <c r="J229" s="133" t="s">
        <v>94</v>
      </c>
      <c r="K229" s="133" t="s">
        <v>97</v>
      </c>
      <c r="L229" s="141">
        <v>0.0</v>
      </c>
      <c r="M229" s="141">
        <v>0.0</v>
      </c>
      <c r="N229" s="141">
        <v>0.0</v>
      </c>
      <c r="O229" s="141">
        <v>0.0</v>
      </c>
      <c r="P229" s="141">
        <v>0.0</v>
      </c>
      <c r="Q229" s="141">
        <v>0.0</v>
      </c>
      <c r="R229" s="141">
        <v>0.0</v>
      </c>
      <c r="S229" s="141"/>
      <c r="T229" s="142"/>
      <c r="U229" s="142"/>
      <c r="V229" s="142"/>
      <c r="W229" s="142"/>
      <c r="X229" s="142"/>
      <c r="Y229" s="141"/>
      <c r="Z229" s="141"/>
      <c r="AA229" s="141"/>
      <c r="AB229" s="141"/>
      <c r="AC229" s="141"/>
      <c r="AD229" s="141"/>
      <c r="AE229" s="141"/>
    </row>
    <row r="230" ht="19.5" customHeight="1">
      <c r="A230" s="133" t="s">
        <v>23</v>
      </c>
      <c r="B230" s="133" t="s">
        <v>89</v>
      </c>
      <c r="C230" s="133" t="s">
        <v>90</v>
      </c>
      <c r="E230" s="133" t="s">
        <v>91</v>
      </c>
      <c r="F230" s="133" t="s">
        <v>123</v>
      </c>
      <c r="G230" s="140">
        <v>1.1210355E7</v>
      </c>
      <c r="H230" s="141">
        <v>7.20020460001E12</v>
      </c>
      <c r="I230" s="133" t="s">
        <v>96</v>
      </c>
      <c r="J230" s="133" t="s">
        <v>94</v>
      </c>
      <c r="K230" s="133" t="s">
        <v>143</v>
      </c>
      <c r="L230" s="141">
        <v>0.0</v>
      </c>
      <c r="M230" s="141">
        <v>0.0</v>
      </c>
      <c r="N230" s="141">
        <v>2.0</v>
      </c>
      <c r="O230" s="141">
        <v>7222.54</v>
      </c>
      <c r="P230" s="141">
        <v>0.0</v>
      </c>
      <c r="Q230" s="141">
        <v>0.0</v>
      </c>
      <c r="R230" s="141">
        <v>0.0</v>
      </c>
      <c r="S230" s="141"/>
      <c r="T230" s="142"/>
      <c r="U230" s="142"/>
      <c r="V230" s="142"/>
      <c r="W230" s="142"/>
      <c r="X230" s="142"/>
      <c r="Y230" s="141"/>
      <c r="Z230" s="141"/>
      <c r="AA230" s="141"/>
      <c r="AB230" s="141"/>
      <c r="AC230" s="141"/>
      <c r="AD230" s="141"/>
      <c r="AE230" s="141"/>
    </row>
    <row r="231" ht="17.25" customHeight="1">
      <c r="A231" s="133" t="s">
        <v>23</v>
      </c>
      <c r="B231" s="133" t="s">
        <v>158</v>
      </c>
      <c r="C231" s="133"/>
      <c r="D231" s="133"/>
      <c r="E231" s="133" t="s">
        <v>159</v>
      </c>
      <c r="F231" s="133" t="s">
        <v>192</v>
      </c>
      <c r="G231" s="140">
        <v>1.61231E7</v>
      </c>
      <c r="H231" s="141">
        <v>7.003505409203E12</v>
      </c>
      <c r="I231" s="133" t="s">
        <v>140</v>
      </c>
      <c r="J231" s="133" t="s">
        <v>94</v>
      </c>
      <c r="K231" s="133" t="s">
        <v>95</v>
      </c>
      <c r="L231" s="141">
        <v>0.0</v>
      </c>
      <c r="M231" s="141">
        <v>0.0</v>
      </c>
      <c r="N231" s="141">
        <v>1.0</v>
      </c>
      <c r="O231" s="141">
        <v>5506.61</v>
      </c>
      <c r="P231" s="141">
        <v>0.0</v>
      </c>
      <c r="Q231" s="141">
        <v>0.0</v>
      </c>
      <c r="R231" s="141">
        <v>0.0</v>
      </c>
      <c r="S231" s="141"/>
      <c r="T231" s="142"/>
      <c r="U231" s="142"/>
      <c r="V231" s="142"/>
      <c r="W231" s="142"/>
      <c r="X231" s="142"/>
      <c r="Y231" s="141"/>
      <c r="Z231" s="141"/>
      <c r="AA231" s="141"/>
      <c r="AB231" s="141"/>
      <c r="AC231" s="141"/>
      <c r="AD231" s="141"/>
      <c r="AE231" s="141"/>
    </row>
    <row r="232" ht="17.25" customHeight="1">
      <c r="A232" s="133" t="s">
        <v>23</v>
      </c>
      <c r="B232" s="133" t="s">
        <v>158</v>
      </c>
      <c r="C232" s="133"/>
      <c r="D232" s="133"/>
      <c r="E232" s="133" t="s">
        <v>159</v>
      </c>
      <c r="F232" s="133" t="s">
        <v>192</v>
      </c>
      <c r="G232" s="140">
        <v>1.61231E7</v>
      </c>
      <c r="H232" s="141">
        <v>7.003505609207E12</v>
      </c>
      <c r="I232" s="133" t="s">
        <v>112</v>
      </c>
      <c r="J232" s="133" t="s">
        <v>102</v>
      </c>
      <c r="K232" s="133" t="s">
        <v>95</v>
      </c>
      <c r="L232" s="141">
        <v>0.0</v>
      </c>
      <c r="M232" s="141">
        <v>0.0</v>
      </c>
      <c r="N232" s="141">
        <v>2.0</v>
      </c>
      <c r="O232" s="141">
        <v>11013.22</v>
      </c>
      <c r="P232" s="141">
        <v>1.0</v>
      </c>
      <c r="Q232" s="141">
        <v>5506.61</v>
      </c>
      <c r="R232" s="141">
        <v>1.0</v>
      </c>
      <c r="S232" s="141"/>
      <c r="T232" s="142"/>
      <c r="U232" s="142"/>
      <c r="V232" s="142"/>
      <c r="W232" s="142"/>
      <c r="X232" s="142"/>
      <c r="Y232" s="141"/>
      <c r="Z232" s="141"/>
      <c r="AA232" s="141"/>
      <c r="AB232" s="141"/>
      <c r="AC232" s="141"/>
      <c r="AD232" s="141"/>
      <c r="AE232" s="141"/>
    </row>
    <row r="233" ht="17.25" customHeight="1">
      <c r="A233" s="133" t="s">
        <v>23</v>
      </c>
      <c r="B233" s="133" t="s">
        <v>124</v>
      </c>
      <c r="C233" s="133" t="s">
        <v>153</v>
      </c>
      <c r="D233" s="133"/>
      <c r="E233" s="133" t="s">
        <v>196</v>
      </c>
      <c r="F233" s="133" t="s">
        <v>197</v>
      </c>
      <c r="G233" s="140">
        <v>1.1210349E7</v>
      </c>
      <c r="H233" s="141">
        <v>7.230420000004E12</v>
      </c>
      <c r="I233" s="133" t="s">
        <v>120</v>
      </c>
      <c r="J233" s="133" t="s">
        <v>145</v>
      </c>
      <c r="K233" s="133" t="s">
        <v>95</v>
      </c>
      <c r="L233" s="141">
        <v>0.0</v>
      </c>
      <c r="M233" s="141">
        <v>0.0</v>
      </c>
      <c r="N233" s="141">
        <v>0.0</v>
      </c>
      <c r="O233" s="141">
        <v>0.0</v>
      </c>
      <c r="P233" s="141">
        <v>0.0</v>
      </c>
      <c r="Q233" s="141">
        <v>0.0</v>
      </c>
      <c r="R233" s="141">
        <v>4.0</v>
      </c>
      <c r="S233" s="141"/>
      <c r="T233" s="142"/>
      <c r="U233" s="142"/>
      <c r="V233" s="142"/>
      <c r="W233" s="142"/>
      <c r="X233" s="142"/>
      <c r="Y233" s="141"/>
      <c r="Z233" s="141"/>
      <c r="AA233" s="141"/>
      <c r="AB233" s="141"/>
      <c r="AC233" s="141"/>
      <c r="AD233" s="141"/>
      <c r="AE233" s="141"/>
    </row>
    <row r="234" ht="17.25" customHeight="1">
      <c r="A234" s="133" t="s">
        <v>23</v>
      </c>
      <c r="B234" s="133" t="s">
        <v>158</v>
      </c>
      <c r="C234" s="133"/>
      <c r="D234" s="133"/>
      <c r="E234" s="133" t="s">
        <v>159</v>
      </c>
      <c r="F234" s="133" t="s">
        <v>192</v>
      </c>
      <c r="G234" s="140">
        <v>1.61231E7</v>
      </c>
      <c r="H234" s="141">
        <v>7.003505609207E12</v>
      </c>
      <c r="I234" s="133" t="s">
        <v>112</v>
      </c>
      <c r="J234" s="133" t="s">
        <v>102</v>
      </c>
      <c r="K234" s="133" t="s">
        <v>116</v>
      </c>
      <c r="L234" s="141">
        <v>0.0</v>
      </c>
      <c r="M234" s="141">
        <v>0.0</v>
      </c>
      <c r="N234" s="141">
        <v>0.0</v>
      </c>
      <c r="O234" s="141">
        <v>0.0</v>
      </c>
      <c r="P234" s="141">
        <v>0.0</v>
      </c>
      <c r="Q234" s="141">
        <v>0.0</v>
      </c>
      <c r="R234" s="141">
        <v>1.0</v>
      </c>
      <c r="S234" s="141"/>
      <c r="T234" s="142"/>
      <c r="U234" s="142"/>
      <c r="V234" s="142"/>
      <c r="W234" s="142"/>
      <c r="X234" s="142"/>
      <c r="Y234" s="141"/>
      <c r="Z234" s="141"/>
      <c r="AA234" s="141"/>
      <c r="AB234" s="141"/>
      <c r="AC234" s="141"/>
      <c r="AD234" s="141"/>
      <c r="AE234" s="141"/>
    </row>
    <row r="235" ht="17.25" customHeight="1">
      <c r="A235" s="133" t="s">
        <v>23</v>
      </c>
      <c r="B235" s="133" t="s">
        <v>136</v>
      </c>
      <c r="C235" s="133" t="s">
        <v>90</v>
      </c>
      <c r="E235" s="133" t="s">
        <v>161</v>
      </c>
      <c r="F235" s="133" t="s">
        <v>191</v>
      </c>
      <c r="G235" s="140">
        <v>1.3889779E7</v>
      </c>
      <c r="H235" s="141">
        <v>7.003515406209E12</v>
      </c>
      <c r="I235" s="133" t="s">
        <v>127</v>
      </c>
      <c r="J235" s="133" t="s">
        <v>102</v>
      </c>
      <c r="K235" s="133" t="s">
        <v>97</v>
      </c>
      <c r="L235" s="141">
        <v>0.0</v>
      </c>
      <c r="M235" s="141">
        <v>0.0</v>
      </c>
      <c r="N235" s="141">
        <v>0.0</v>
      </c>
      <c r="O235" s="141">
        <v>0.0</v>
      </c>
      <c r="P235" s="141">
        <v>0.0</v>
      </c>
      <c r="Q235" s="141">
        <v>0.0</v>
      </c>
      <c r="R235" s="141">
        <v>1.0</v>
      </c>
      <c r="S235" s="141"/>
      <c r="T235" s="142"/>
      <c r="U235" s="142"/>
      <c r="V235" s="142"/>
      <c r="W235" s="142"/>
      <c r="X235" s="142"/>
      <c r="Y235" s="141"/>
      <c r="Z235" s="141"/>
      <c r="AA235" s="141"/>
      <c r="AB235" s="141"/>
      <c r="AC235" s="141"/>
      <c r="AD235" s="141"/>
      <c r="AE235" s="141"/>
    </row>
    <row r="236" ht="17.25" customHeight="1">
      <c r="A236" s="133" t="s">
        <v>23</v>
      </c>
      <c r="B236" s="133" t="s">
        <v>158</v>
      </c>
      <c r="C236" s="133"/>
      <c r="D236" s="133"/>
      <c r="E236" s="133" t="s">
        <v>164</v>
      </c>
      <c r="F236" s="133" t="s">
        <v>166</v>
      </c>
      <c r="G236" s="140">
        <v>1.6123098E7</v>
      </c>
      <c r="H236" s="141">
        <v>7.003474809202E12</v>
      </c>
      <c r="I236" s="133" t="s">
        <v>93</v>
      </c>
      <c r="J236" s="133" t="s">
        <v>102</v>
      </c>
      <c r="K236" s="133" t="s">
        <v>116</v>
      </c>
      <c r="L236" s="141">
        <v>0.0</v>
      </c>
      <c r="M236" s="141">
        <v>0.0</v>
      </c>
      <c r="N236" s="141">
        <v>0.0</v>
      </c>
      <c r="O236" s="141">
        <v>0.0</v>
      </c>
      <c r="P236" s="141">
        <v>0.0</v>
      </c>
      <c r="Q236" s="141">
        <v>0.0</v>
      </c>
      <c r="R236" s="141">
        <v>1.0</v>
      </c>
      <c r="S236" s="141"/>
      <c r="T236" s="142"/>
      <c r="U236" s="142"/>
      <c r="V236" s="142"/>
      <c r="W236" s="142"/>
      <c r="X236" s="142"/>
      <c r="Y236" s="141"/>
      <c r="Z236" s="141"/>
      <c r="AA236" s="141"/>
      <c r="AB236" s="141"/>
      <c r="AC236" s="141"/>
      <c r="AD236" s="141"/>
      <c r="AE236" s="141"/>
    </row>
    <row r="237" ht="17.25" customHeight="1">
      <c r="A237" s="133" t="s">
        <v>23</v>
      </c>
      <c r="B237" s="133" t="s">
        <v>89</v>
      </c>
      <c r="C237" s="133" t="s">
        <v>90</v>
      </c>
      <c r="E237" s="133" t="s">
        <v>91</v>
      </c>
      <c r="F237" s="133" t="s">
        <v>123</v>
      </c>
      <c r="G237" s="140">
        <v>1.1210355E7</v>
      </c>
      <c r="H237" s="141">
        <v>7.20020460001E12</v>
      </c>
      <c r="I237" s="133" t="s">
        <v>96</v>
      </c>
      <c r="J237" s="133" t="s">
        <v>102</v>
      </c>
      <c r="K237" s="133" t="s">
        <v>116</v>
      </c>
      <c r="L237" s="141">
        <v>0.0</v>
      </c>
      <c r="M237" s="141">
        <v>0.0</v>
      </c>
      <c r="N237" s="141">
        <v>0.0</v>
      </c>
      <c r="O237" s="141">
        <v>0.0</v>
      </c>
      <c r="P237" s="141">
        <v>0.0</v>
      </c>
      <c r="Q237" s="141">
        <v>0.0</v>
      </c>
      <c r="R237" s="141">
        <v>1.0</v>
      </c>
      <c r="S237" s="141"/>
      <c r="T237" s="142"/>
      <c r="U237" s="142"/>
      <c r="V237" s="142"/>
      <c r="W237" s="142"/>
      <c r="X237" s="142"/>
      <c r="Y237" s="141"/>
      <c r="Z237" s="141"/>
      <c r="AA237" s="141"/>
      <c r="AB237" s="141"/>
      <c r="AC237" s="141"/>
      <c r="AD237" s="141"/>
      <c r="AE237" s="141"/>
    </row>
    <row r="238" ht="17.25" customHeight="1">
      <c r="A238" s="133" t="s">
        <v>23</v>
      </c>
      <c r="B238" s="133" t="s">
        <v>106</v>
      </c>
      <c r="C238" s="133" t="s">
        <v>90</v>
      </c>
      <c r="E238" s="133" t="s">
        <v>107</v>
      </c>
      <c r="F238" s="133" t="s">
        <v>182</v>
      </c>
      <c r="G238" s="140">
        <v>1.8693271E7</v>
      </c>
      <c r="H238" s="141">
        <v>7.403914808121E12</v>
      </c>
      <c r="I238" s="133" t="s">
        <v>101</v>
      </c>
      <c r="J238" s="133" t="s">
        <v>102</v>
      </c>
      <c r="K238" s="133" t="s">
        <v>95</v>
      </c>
      <c r="L238" s="141">
        <v>0.0</v>
      </c>
      <c r="M238" s="141">
        <v>0.0</v>
      </c>
      <c r="N238" s="141">
        <v>0.0</v>
      </c>
      <c r="O238" s="141">
        <v>0.0</v>
      </c>
      <c r="P238" s="141">
        <v>0.0</v>
      </c>
      <c r="Q238" s="141">
        <v>0.0</v>
      </c>
      <c r="R238" s="141">
        <v>29.0</v>
      </c>
      <c r="S238" s="141"/>
      <c r="T238" s="142"/>
      <c r="U238" s="142"/>
      <c r="V238" s="142"/>
      <c r="W238" s="142"/>
      <c r="X238" s="142"/>
      <c r="Y238" s="141"/>
      <c r="Z238" s="141"/>
      <c r="AA238" s="141"/>
      <c r="AB238" s="141"/>
      <c r="AC238" s="141"/>
      <c r="AD238" s="141"/>
      <c r="AE238" s="141"/>
    </row>
    <row r="239" ht="17.25" customHeight="1">
      <c r="A239" s="133" t="s">
        <v>23</v>
      </c>
      <c r="B239" s="133" t="s">
        <v>158</v>
      </c>
      <c r="C239" s="133"/>
      <c r="D239" s="133"/>
      <c r="E239" s="133" t="s">
        <v>159</v>
      </c>
      <c r="F239" s="133" t="s">
        <v>192</v>
      </c>
      <c r="G239" s="140">
        <v>1.61231E7</v>
      </c>
      <c r="H239" s="141">
        <v>7.003505409203E12</v>
      </c>
      <c r="I239" s="133" t="s">
        <v>140</v>
      </c>
      <c r="J239" s="133" t="s">
        <v>102</v>
      </c>
      <c r="K239" s="133" t="s">
        <v>143</v>
      </c>
      <c r="L239" s="141">
        <v>0.0</v>
      </c>
      <c r="M239" s="141">
        <v>0.0</v>
      </c>
      <c r="N239" s="141">
        <v>0.0</v>
      </c>
      <c r="O239" s="141">
        <v>0.0</v>
      </c>
      <c r="P239" s="141">
        <v>0.0</v>
      </c>
      <c r="Q239" s="141">
        <v>0.0</v>
      </c>
      <c r="R239" s="141">
        <v>1.0</v>
      </c>
      <c r="S239" s="141"/>
      <c r="T239" s="142"/>
      <c r="U239" s="142"/>
      <c r="V239" s="142"/>
      <c r="W239" s="142"/>
      <c r="X239" s="142"/>
      <c r="Y239" s="141"/>
      <c r="Z239" s="141"/>
      <c r="AA239" s="141"/>
      <c r="AB239" s="141"/>
      <c r="AC239" s="141"/>
      <c r="AD239" s="141"/>
      <c r="AE239" s="141"/>
    </row>
    <row r="240" ht="17.25" customHeight="1">
      <c r="A240" s="133" t="s">
        <v>23</v>
      </c>
      <c r="B240" s="133" t="s">
        <v>89</v>
      </c>
      <c r="C240" s="133" t="s">
        <v>117</v>
      </c>
      <c r="D240" s="133"/>
      <c r="E240" s="133" t="s">
        <v>118</v>
      </c>
      <c r="F240" s="133" t="s">
        <v>198</v>
      </c>
      <c r="G240" s="140">
        <v>1.493091E7</v>
      </c>
      <c r="H240" s="141">
        <v>7.410224807201E12</v>
      </c>
      <c r="I240" s="133" t="s">
        <v>93</v>
      </c>
      <c r="J240" s="133" t="s">
        <v>94</v>
      </c>
      <c r="K240" s="133" t="s">
        <v>143</v>
      </c>
      <c r="L240" s="141">
        <v>0.0</v>
      </c>
      <c r="M240" s="141">
        <v>0.0</v>
      </c>
      <c r="N240" s="141">
        <v>1.0</v>
      </c>
      <c r="O240" s="141">
        <v>3249.8</v>
      </c>
      <c r="P240" s="141">
        <v>1.0</v>
      </c>
      <c r="Q240" s="141">
        <v>3249.8</v>
      </c>
      <c r="R240" s="141">
        <v>0.0</v>
      </c>
      <c r="S240" s="141"/>
      <c r="T240" s="142"/>
      <c r="U240" s="142"/>
      <c r="V240" s="142"/>
      <c r="W240" s="142"/>
      <c r="X240" s="142"/>
      <c r="Y240" s="141"/>
      <c r="Z240" s="141"/>
      <c r="AA240" s="141"/>
      <c r="AB240" s="141"/>
      <c r="AC240" s="141"/>
      <c r="AD240" s="141"/>
      <c r="AE240" s="141"/>
    </row>
    <row r="241" ht="17.25" customHeight="1">
      <c r="A241" s="133" t="s">
        <v>23</v>
      </c>
      <c r="B241" s="133" t="s">
        <v>147</v>
      </c>
      <c r="C241" s="133" t="s">
        <v>90</v>
      </c>
      <c r="E241" s="133" t="s">
        <v>148</v>
      </c>
      <c r="F241" s="133" t="s">
        <v>175</v>
      </c>
      <c r="G241" s="140">
        <v>1.4620438E7</v>
      </c>
      <c r="H241" s="141">
        <v>7.403594408208E12</v>
      </c>
      <c r="I241" s="133" t="s">
        <v>96</v>
      </c>
      <c r="J241" s="133" t="s">
        <v>102</v>
      </c>
      <c r="K241" s="133" t="s">
        <v>95</v>
      </c>
      <c r="L241" s="141">
        <v>0.0</v>
      </c>
      <c r="M241" s="141">
        <v>0.0</v>
      </c>
      <c r="N241" s="141">
        <v>10.0</v>
      </c>
      <c r="O241" s="141">
        <v>11067.1</v>
      </c>
      <c r="P241" s="141">
        <v>9.0</v>
      </c>
      <c r="Q241" s="141">
        <v>10564.11</v>
      </c>
      <c r="R241" s="141">
        <v>21.0</v>
      </c>
      <c r="S241" s="141"/>
      <c r="T241" s="142"/>
      <c r="U241" s="142"/>
      <c r="V241" s="142"/>
      <c r="W241" s="142"/>
      <c r="X241" s="142"/>
      <c r="Y241" s="141"/>
      <c r="Z241" s="141"/>
      <c r="AA241" s="141"/>
      <c r="AB241" s="141"/>
      <c r="AC241" s="141"/>
      <c r="AD241" s="141"/>
      <c r="AE241" s="141"/>
    </row>
    <row r="242" ht="17.25" customHeight="1">
      <c r="A242" s="133" t="s">
        <v>23</v>
      </c>
      <c r="B242" s="133" t="s">
        <v>147</v>
      </c>
      <c r="C242" s="133" t="s">
        <v>90</v>
      </c>
      <c r="E242" s="133" t="s">
        <v>148</v>
      </c>
      <c r="F242" s="133" t="s">
        <v>175</v>
      </c>
      <c r="G242" s="140">
        <v>1.4620438E7</v>
      </c>
      <c r="H242" s="141">
        <v>7.403594808206E12</v>
      </c>
      <c r="I242" s="133" t="s">
        <v>122</v>
      </c>
      <c r="J242" s="133" t="s">
        <v>102</v>
      </c>
      <c r="K242" s="133" t="s">
        <v>143</v>
      </c>
      <c r="L242" s="141">
        <v>0.0</v>
      </c>
      <c r="M242" s="141">
        <v>0.0</v>
      </c>
      <c r="N242" s="141">
        <v>0.0</v>
      </c>
      <c r="O242" s="141">
        <v>0.0</v>
      </c>
      <c r="P242" s="141">
        <v>1.0</v>
      </c>
      <c r="Q242" s="141">
        <v>1199.59</v>
      </c>
      <c r="R242" s="141">
        <v>1.0</v>
      </c>
      <c r="S242" s="141"/>
      <c r="T242" s="142"/>
      <c r="U242" s="142"/>
      <c r="V242" s="142"/>
      <c r="W242" s="142"/>
      <c r="X242" s="142"/>
      <c r="Y242" s="141"/>
      <c r="Z242" s="141"/>
      <c r="AA242" s="141"/>
      <c r="AB242" s="141"/>
      <c r="AC242" s="141"/>
      <c r="AD242" s="141"/>
      <c r="AE242" s="141"/>
    </row>
    <row r="243" ht="17.25" customHeight="1">
      <c r="A243" s="133" t="s">
        <v>23</v>
      </c>
      <c r="B243" s="133" t="s">
        <v>147</v>
      </c>
      <c r="C243" s="133" t="s">
        <v>90</v>
      </c>
      <c r="E243" s="133" t="s">
        <v>148</v>
      </c>
      <c r="F243" s="133" t="s">
        <v>175</v>
      </c>
      <c r="G243" s="140">
        <v>1.4620438E7</v>
      </c>
      <c r="H243" s="141">
        <v>7.403595008209E12</v>
      </c>
      <c r="I243" s="133" t="s">
        <v>101</v>
      </c>
      <c r="J243" s="133" t="s">
        <v>94</v>
      </c>
      <c r="K243" s="133" t="s">
        <v>95</v>
      </c>
      <c r="L243" s="141">
        <v>0.0</v>
      </c>
      <c r="M243" s="141">
        <v>0.0</v>
      </c>
      <c r="N243" s="141">
        <v>11.0</v>
      </c>
      <c r="O243" s="141">
        <v>12266.69</v>
      </c>
      <c r="P243" s="141">
        <v>6.0</v>
      </c>
      <c r="Q243" s="141">
        <v>6919.8</v>
      </c>
      <c r="R243" s="141">
        <v>0.0</v>
      </c>
      <c r="S243" s="141"/>
      <c r="T243" s="142"/>
      <c r="U243" s="142"/>
      <c r="V243" s="142"/>
      <c r="W243" s="142"/>
      <c r="X243" s="142"/>
      <c r="Y243" s="141"/>
      <c r="Z243" s="141"/>
      <c r="AA243" s="141"/>
      <c r="AB243" s="141"/>
      <c r="AC243" s="141"/>
      <c r="AD243" s="141"/>
      <c r="AE243" s="141"/>
    </row>
    <row r="244" ht="17.25" customHeight="1">
      <c r="A244" s="133" t="s">
        <v>23</v>
      </c>
      <c r="B244" s="133" t="s">
        <v>147</v>
      </c>
      <c r="C244" s="133" t="s">
        <v>90</v>
      </c>
      <c r="E244" s="133" t="s">
        <v>148</v>
      </c>
      <c r="F244" s="133" t="s">
        <v>175</v>
      </c>
      <c r="G244" s="140">
        <v>1.4620438E7</v>
      </c>
      <c r="H244" s="141">
        <v>7.403594408208E12</v>
      </c>
      <c r="I244" s="133" t="s">
        <v>96</v>
      </c>
      <c r="J244" s="133" t="s">
        <v>94</v>
      </c>
      <c r="K244" s="133" t="s">
        <v>113</v>
      </c>
      <c r="L244" s="141">
        <v>0.0</v>
      </c>
      <c r="M244" s="141">
        <v>0.0</v>
      </c>
      <c r="N244" s="141">
        <v>1.0</v>
      </c>
      <c r="O244" s="141">
        <v>1083.49</v>
      </c>
      <c r="P244" s="141">
        <v>0.0</v>
      </c>
      <c r="Q244" s="141">
        <v>0.0</v>
      </c>
      <c r="R244" s="141">
        <v>0.0</v>
      </c>
      <c r="S244" s="141"/>
      <c r="T244" s="142"/>
      <c r="U244" s="142"/>
      <c r="V244" s="142"/>
      <c r="W244" s="142"/>
      <c r="X244" s="142"/>
      <c r="Y244" s="141"/>
      <c r="Z244" s="141"/>
      <c r="AA244" s="141"/>
      <c r="AB244" s="141"/>
      <c r="AC244" s="141"/>
      <c r="AD244" s="141"/>
      <c r="AE244" s="141"/>
    </row>
    <row r="245" ht="16.5" customHeight="1">
      <c r="A245" s="133" t="s">
        <v>23</v>
      </c>
      <c r="B245" s="133" t="s">
        <v>136</v>
      </c>
      <c r="C245" s="133" t="s">
        <v>90</v>
      </c>
      <c r="E245" s="133" t="s">
        <v>137</v>
      </c>
      <c r="F245" s="133" t="s">
        <v>65</v>
      </c>
      <c r="G245" s="140">
        <v>1.6458321E7</v>
      </c>
      <c r="H245" s="141">
        <v>7.403755210206E12</v>
      </c>
      <c r="I245" s="133" t="s">
        <v>127</v>
      </c>
      <c r="J245" s="133" t="s">
        <v>102</v>
      </c>
      <c r="K245" s="133" t="s">
        <v>95</v>
      </c>
      <c r="L245" s="141">
        <v>0.0</v>
      </c>
      <c r="M245" s="141">
        <v>0.0</v>
      </c>
      <c r="N245" s="141">
        <v>17.0</v>
      </c>
      <c r="O245" s="141">
        <v>30956.72</v>
      </c>
      <c r="P245" s="141">
        <v>16.0</v>
      </c>
      <c r="Q245" s="141">
        <v>30613.83</v>
      </c>
      <c r="R245" s="141">
        <v>124.0</v>
      </c>
      <c r="S245" s="141"/>
      <c r="T245" s="142"/>
      <c r="U245" s="142"/>
      <c r="V245" s="142"/>
      <c r="W245" s="142"/>
      <c r="X245" s="142"/>
      <c r="Y245" s="141"/>
      <c r="Z245" s="141"/>
      <c r="AA245" s="141"/>
      <c r="AB245" s="141"/>
      <c r="AC245" s="141"/>
      <c r="AD245" s="141"/>
      <c r="AE245" s="141"/>
    </row>
    <row r="246" ht="17.25" customHeight="1">
      <c r="A246" s="133" t="s">
        <v>23</v>
      </c>
      <c r="B246" s="133" t="s">
        <v>136</v>
      </c>
      <c r="C246" s="133" t="s">
        <v>90</v>
      </c>
      <c r="E246" s="133" t="s">
        <v>137</v>
      </c>
      <c r="F246" s="133" t="s">
        <v>60</v>
      </c>
      <c r="G246" s="140">
        <v>1.7615252E7</v>
      </c>
      <c r="H246" s="141">
        <v>7.403875213118E12</v>
      </c>
      <c r="I246" s="133" t="s">
        <v>127</v>
      </c>
      <c r="J246" s="133" t="s">
        <v>102</v>
      </c>
      <c r="K246" s="133" t="s">
        <v>95</v>
      </c>
      <c r="L246" s="141">
        <v>0.0</v>
      </c>
      <c r="M246" s="141">
        <v>0.0</v>
      </c>
      <c r="N246" s="141">
        <v>4.0</v>
      </c>
      <c r="O246" s="141">
        <v>5730.65</v>
      </c>
      <c r="P246" s="141">
        <v>3.0</v>
      </c>
      <c r="Q246" s="141">
        <v>4479.35</v>
      </c>
      <c r="R246" s="141">
        <v>48.0</v>
      </c>
      <c r="S246" s="141"/>
      <c r="T246" s="142"/>
      <c r="U246" s="142"/>
      <c r="V246" s="142"/>
      <c r="W246" s="142"/>
      <c r="X246" s="142"/>
      <c r="Y246" s="141"/>
      <c r="Z246" s="141"/>
      <c r="AA246" s="141"/>
      <c r="AB246" s="141"/>
      <c r="AC246" s="141"/>
      <c r="AD246" s="141"/>
      <c r="AE246" s="141"/>
    </row>
    <row r="247" ht="14.25" customHeight="1">
      <c r="A247" s="133" t="s">
        <v>23</v>
      </c>
      <c r="B247" s="133" t="s">
        <v>89</v>
      </c>
      <c r="C247" s="133" t="s">
        <v>117</v>
      </c>
      <c r="D247" s="133"/>
      <c r="E247" s="133" t="s">
        <v>118</v>
      </c>
      <c r="F247" s="133" t="s">
        <v>198</v>
      </c>
      <c r="G247" s="140">
        <v>1.493091E7</v>
      </c>
      <c r="H247" s="141">
        <v>7.410224807201E12</v>
      </c>
      <c r="I247" s="133" t="s">
        <v>93</v>
      </c>
      <c r="J247" s="133" t="s">
        <v>94</v>
      </c>
      <c r="K247" s="133" t="s">
        <v>113</v>
      </c>
      <c r="L247" s="141">
        <v>0.0</v>
      </c>
      <c r="M247" s="141">
        <v>0.0</v>
      </c>
      <c r="N247" s="141">
        <v>1.0</v>
      </c>
      <c r="O247" s="141">
        <v>3249.8</v>
      </c>
      <c r="P247" s="141">
        <v>0.0</v>
      </c>
      <c r="Q247" s="141">
        <v>0.0</v>
      </c>
      <c r="R247" s="141">
        <v>0.0</v>
      </c>
      <c r="S247" s="141"/>
      <c r="T247" s="142"/>
      <c r="U247" s="142"/>
      <c r="V247" s="142"/>
      <c r="W247" s="142"/>
      <c r="X247" s="142"/>
      <c r="Y247" s="141"/>
      <c r="Z247" s="141"/>
      <c r="AA247" s="141"/>
      <c r="AB247" s="141"/>
      <c r="AC247" s="141"/>
      <c r="AD247" s="141"/>
      <c r="AE247" s="141"/>
    </row>
    <row r="248" ht="17.25" customHeight="1">
      <c r="A248" s="133" t="s">
        <v>23</v>
      </c>
      <c r="B248" s="133" t="s">
        <v>147</v>
      </c>
      <c r="C248" s="133" t="s">
        <v>90</v>
      </c>
      <c r="E248" s="133" t="s">
        <v>148</v>
      </c>
      <c r="F248" s="133" t="s">
        <v>175</v>
      </c>
      <c r="G248" s="140">
        <v>1.4620438E7</v>
      </c>
      <c r="H248" s="141">
        <v>7.403594808206E12</v>
      </c>
      <c r="I248" s="133" t="s">
        <v>122</v>
      </c>
      <c r="J248" s="133" t="s">
        <v>94</v>
      </c>
      <c r="K248" s="133" t="s">
        <v>104</v>
      </c>
      <c r="L248" s="141">
        <v>0.0</v>
      </c>
      <c r="M248" s="141">
        <v>0.0</v>
      </c>
      <c r="N248" s="141">
        <v>2.0</v>
      </c>
      <c r="O248" s="141">
        <v>2166.98</v>
      </c>
      <c r="P248" s="141">
        <v>0.0</v>
      </c>
      <c r="Q248" s="141">
        <v>0.0</v>
      </c>
      <c r="R248" s="141">
        <v>0.0</v>
      </c>
      <c r="S248" s="141"/>
      <c r="T248" s="142"/>
      <c r="U248" s="142"/>
      <c r="V248" s="142"/>
      <c r="W248" s="142"/>
      <c r="X248" s="142"/>
      <c r="Y248" s="141"/>
      <c r="Z248" s="141"/>
      <c r="AA248" s="141"/>
      <c r="AB248" s="141"/>
      <c r="AC248" s="141"/>
      <c r="AD248" s="141"/>
      <c r="AE248" s="141"/>
    </row>
    <row r="249" ht="17.25" customHeight="1">
      <c r="A249" s="133" t="s">
        <v>23</v>
      </c>
      <c r="B249" s="133" t="s">
        <v>136</v>
      </c>
      <c r="C249" s="133" t="s">
        <v>90</v>
      </c>
      <c r="E249" s="133" t="s">
        <v>137</v>
      </c>
      <c r="F249" s="133" t="s">
        <v>65</v>
      </c>
      <c r="G249" s="140">
        <v>1.6458321E7</v>
      </c>
      <c r="H249" s="141">
        <v>7.403755210206E12</v>
      </c>
      <c r="I249" s="133" t="s">
        <v>127</v>
      </c>
      <c r="J249" s="133" t="s">
        <v>94</v>
      </c>
      <c r="K249" s="133" t="s">
        <v>97</v>
      </c>
      <c r="L249" s="141">
        <v>0.0</v>
      </c>
      <c r="M249" s="141">
        <v>0.0</v>
      </c>
      <c r="N249" s="141">
        <v>1.0</v>
      </c>
      <c r="O249" s="141">
        <v>1790.17</v>
      </c>
      <c r="P249" s="141">
        <v>0.0</v>
      </c>
      <c r="Q249" s="141">
        <v>0.0</v>
      </c>
      <c r="R249" s="141">
        <v>0.0</v>
      </c>
      <c r="S249" s="141"/>
      <c r="T249" s="142"/>
      <c r="U249" s="142"/>
      <c r="V249" s="142"/>
      <c r="W249" s="142"/>
      <c r="X249" s="142"/>
      <c r="Y249" s="141"/>
      <c r="Z249" s="141"/>
      <c r="AA249" s="141"/>
      <c r="AB249" s="141"/>
      <c r="AC249" s="141"/>
      <c r="AD249" s="141"/>
      <c r="AE249" s="141"/>
    </row>
    <row r="250" ht="17.25" customHeight="1">
      <c r="A250" s="133" t="s">
        <v>23</v>
      </c>
      <c r="B250" s="133" t="s">
        <v>89</v>
      </c>
      <c r="C250" s="133" t="s">
        <v>117</v>
      </c>
      <c r="D250" s="133"/>
      <c r="E250" s="133" t="s">
        <v>118</v>
      </c>
      <c r="F250" s="133" t="s">
        <v>119</v>
      </c>
      <c r="G250" s="140">
        <v>1.4930911E7</v>
      </c>
      <c r="H250" s="141">
        <v>7.4102344072E12</v>
      </c>
      <c r="I250" s="133" t="s">
        <v>135</v>
      </c>
      <c r="J250" s="133" t="s">
        <v>94</v>
      </c>
      <c r="K250" s="133" t="s">
        <v>95</v>
      </c>
      <c r="L250" s="141">
        <v>0.0</v>
      </c>
      <c r="M250" s="141">
        <v>0.0</v>
      </c>
      <c r="N250" s="141">
        <v>0.0</v>
      </c>
      <c r="O250" s="141">
        <v>0.0</v>
      </c>
      <c r="P250" s="141">
        <v>0.0</v>
      </c>
      <c r="Q250" s="141">
        <v>0.0</v>
      </c>
      <c r="R250" s="141">
        <v>0.0</v>
      </c>
      <c r="S250" s="141"/>
      <c r="T250" s="142"/>
      <c r="U250" s="142"/>
      <c r="V250" s="142"/>
      <c r="W250" s="142"/>
      <c r="X250" s="142"/>
      <c r="Y250" s="141"/>
      <c r="Z250" s="141"/>
      <c r="AA250" s="141"/>
      <c r="AB250" s="141"/>
      <c r="AC250" s="141"/>
      <c r="AD250" s="141"/>
      <c r="AE250" s="141"/>
    </row>
    <row r="251" ht="17.25" customHeight="1">
      <c r="A251" s="133" t="s">
        <v>23</v>
      </c>
      <c r="B251" s="133" t="s">
        <v>147</v>
      </c>
      <c r="C251" s="133" t="s">
        <v>90</v>
      </c>
      <c r="E251" s="133" t="s">
        <v>148</v>
      </c>
      <c r="F251" s="133" t="s">
        <v>175</v>
      </c>
      <c r="G251" s="140">
        <v>1.4620438E7</v>
      </c>
      <c r="H251" s="141">
        <v>7.403595008209E12</v>
      </c>
      <c r="I251" s="133" t="s">
        <v>101</v>
      </c>
      <c r="J251" s="133" t="s">
        <v>94</v>
      </c>
      <c r="K251" s="133" t="s">
        <v>113</v>
      </c>
      <c r="L251" s="141">
        <v>0.0</v>
      </c>
      <c r="M251" s="141">
        <v>0.0</v>
      </c>
      <c r="N251" s="141">
        <v>1.0</v>
      </c>
      <c r="O251" s="141">
        <v>1199.59</v>
      </c>
      <c r="P251" s="141">
        <v>1.0</v>
      </c>
      <c r="Q251" s="141">
        <v>1199.59</v>
      </c>
      <c r="R251" s="141">
        <v>0.0</v>
      </c>
      <c r="S251" s="141"/>
      <c r="T251" s="142"/>
      <c r="U251" s="142"/>
      <c r="V251" s="142"/>
      <c r="W251" s="142"/>
      <c r="X251" s="142"/>
      <c r="Y251" s="141"/>
      <c r="Z251" s="141"/>
      <c r="AA251" s="141"/>
      <c r="AB251" s="141"/>
      <c r="AC251" s="141"/>
      <c r="AD251" s="141"/>
      <c r="AE251" s="141"/>
    </row>
    <row r="252" ht="17.25" customHeight="1">
      <c r="A252" s="133" t="s">
        <v>23</v>
      </c>
      <c r="B252" s="133" t="s">
        <v>89</v>
      </c>
      <c r="C252" s="133" t="s">
        <v>117</v>
      </c>
      <c r="D252" s="133"/>
      <c r="E252" s="133" t="s">
        <v>118</v>
      </c>
      <c r="F252" s="133" t="s">
        <v>198</v>
      </c>
      <c r="G252" s="140">
        <v>1.493091E7</v>
      </c>
      <c r="H252" s="141">
        <v>7.410224807201E12</v>
      </c>
      <c r="I252" s="133" t="s">
        <v>93</v>
      </c>
      <c r="J252" s="133" t="s">
        <v>102</v>
      </c>
      <c r="K252" s="133" t="s">
        <v>95</v>
      </c>
      <c r="L252" s="141">
        <v>0.0</v>
      </c>
      <c r="M252" s="141">
        <v>0.0</v>
      </c>
      <c r="N252" s="141">
        <v>1.0</v>
      </c>
      <c r="O252" s="141">
        <v>3249.8</v>
      </c>
      <c r="P252" s="141">
        <v>0.0</v>
      </c>
      <c r="Q252" s="141">
        <v>0.0</v>
      </c>
      <c r="R252" s="141">
        <v>1.0</v>
      </c>
      <c r="S252" s="141"/>
      <c r="T252" s="142"/>
      <c r="U252" s="142"/>
      <c r="V252" s="142"/>
      <c r="W252" s="142"/>
      <c r="X252" s="142"/>
      <c r="Y252" s="141"/>
      <c r="Z252" s="141"/>
      <c r="AA252" s="141"/>
      <c r="AB252" s="141"/>
      <c r="AC252" s="141"/>
      <c r="AD252" s="141"/>
      <c r="AE252" s="141"/>
    </row>
    <row r="253" ht="17.25" customHeight="1">
      <c r="A253" s="133" t="s">
        <v>23</v>
      </c>
      <c r="B253" s="133" t="s">
        <v>147</v>
      </c>
      <c r="C253" s="133" t="s">
        <v>90</v>
      </c>
      <c r="E253" s="133" t="s">
        <v>148</v>
      </c>
      <c r="F253" s="133" t="s">
        <v>175</v>
      </c>
      <c r="G253" s="140">
        <v>1.4620438E7</v>
      </c>
      <c r="H253" s="141">
        <v>7.403594808206E12</v>
      </c>
      <c r="I253" s="133" t="s">
        <v>122</v>
      </c>
      <c r="J253" s="133" t="s">
        <v>102</v>
      </c>
      <c r="K253" s="133" t="s">
        <v>95</v>
      </c>
      <c r="L253" s="141">
        <v>0.0</v>
      </c>
      <c r="M253" s="141">
        <v>0.0</v>
      </c>
      <c r="N253" s="141">
        <v>14.0</v>
      </c>
      <c r="O253" s="141">
        <v>15467.09</v>
      </c>
      <c r="P253" s="141">
        <v>6.0</v>
      </c>
      <c r="Q253" s="141">
        <v>6849.24</v>
      </c>
      <c r="R253" s="141">
        <v>11.0</v>
      </c>
      <c r="S253" s="141"/>
      <c r="T253" s="142"/>
      <c r="U253" s="142"/>
      <c r="V253" s="142"/>
      <c r="W253" s="142"/>
      <c r="X253" s="142"/>
      <c r="Y253" s="141"/>
      <c r="Z253" s="141"/>
      <c r="AA253" s="141"/>
      <c r="AB253" s="141"/>
      <c r="AC253" s="141"/>
      <c r="AD253" s="141"/>
      <c r="AE253" s="141"/>
    </row>
    <row r="254" ht="17.25" customHeight="1">
      <c r="A254" s="133" t="s">
        <v>23</v>
      </c>
      <c r="B254" s="133" t="s">
        <v>136</v>
      </c>
      <c r="C254" s="133" t="s">
        <v>90</v>
      </c>
      <c r="E254" s="133" t="s">
        <v>137</v>
      </c>
      <c r="F254" s="133" t="s">
        <v>65</v>
      </c>
      <c r="G254" s="140">
        <v>1.6458321E7</v>
      </c>
      <c r="H254" s="141">
        <v>7.403755210206E12</v>
      </c>
      <c r="I254" s="133" t="s">
        <v>127</v>
      </c>
      <c r="J254" s="133" t="s">
        <v>94</v>
      </c>
      <c r="K254" s="133" t="s">
        <v>143</v>
      </c>
      <c r="L254" s="141">
        <v>0.0</v>
      </c>
      <c r="M254" s="141">
        <v>0.0</v>
      </c>
      <c r="N254" s="141">
        <v>1.0</v>
      </c>
      <c r="O254" s="141">
        <v>1973.78</v>
      </c>
      <c r="P254" s="141">
        <v>1.0</v>
      </c>
      <c r="Q254" s="141">
        <v>1973.78</v>
      </c>
      <c r="R254" s="141">
        <v>0.0</v>
      </c>
      <c r="S254" s="141"/>
      <c r="T254" s="142"/>
      <c r="U254" s="142"/>
      <c r="V254" s="142"/>
      <c r="W254" s="142"/>
      <c r="X254" s="142"/>
      <c r="Y254" s="141"/>
      <c r="Z254" s="141"/>
      <c r="AA254" s="141"/>
      <c r="AB254" s="141"/>
      <c r="AC254" s="141"/>
      <c r="AD254" s="141"/>
      <c r="AE254" s="141"/>
    </row>
    <row r="255" ht="17.25" customHeight="1">
      <c r="A255" s="133" t="s">
        <v>23</v>
      </c>
      <c r="B255" s="133" t="s">
        <v>147</v>
      </c>
      <c r="C255" s="133" t="s">
        <v>90</v>
      </c>
      <c r="E255" s="133" t="s">
        <v>148</v>
      </c>
      <c r="F255" s="133" t="s">
        <v>175</v>
      </c>
      <c r="G255" s="140">
        <v>1.4620438E7</v>
      </c>
      <c r="H255" s="141">
        <v>7.403594408208E12</v>
      </c>
      <c r="I255" s="133" t="s">
        <v>96</v>
      </c>
      <c r="J255" s="133" t="s">
        <v>102</v>
      </c>
      <c r="K255" s="133" t="s">
        <v>104</v>
      </c>
      <c r="L255" s="141">
        <v>0.0</v>
      </c>
      <c r="M255" s="141">
        <v>0.0</v>
      </c>
      <c r="N255" s="141">
        <v>0.0</v>
      </c>
      <c r="O255" s="141">
        <v>0.0</v>
      </c>
      <c r="P255" s="141">
        <v>0.0</v>
      </c>
      <c r="Q255" s="141">
        <v>0.0</v>
      </c>
      <c r="R255" s="141">
        <v>1.0</v>
      </c>
      <c r="S255" s="141"/>
      <c r="T255" s="142"/>
      <c r="U255" s="142"/>
      <c r="V255" s="142"/>
      <c r="W255" s="142"/>
      <c r="X255" s="142"/>
      <c r="Y255" s="141"/>
      <c r="Z255" s="141"/>
      <c r="AA255" s="141"/>
      <c r="AB255" s="141"/>
      <c r="AC255" s="141"/>
      <c r="AD255" s="141"/>
      <c r="AE255" s="141"/>
    </row>
    <row r="256" ht="17.25" customHeight="1">
      <c r="A256" s="133" t="s">
        <v>23</v>
      </c>
      <c r="B256" s="133" t="s">
        <v>158</v>
      </c>
      <c r="C256" s="133"/>
      <c r="D256" s="133"/>
      <c r="E256" s="133" t="s">
        <v>164</v>
      </c>
      <c r="F256" s="133" t="s">
        <v>166</v>
      </c>
      <c r="G256" s="140">
        <v>1.6123098E7</v>
      </c>
      <c r="H256" s="141">
        <v>7.003475209209E12</v>
      </c>
      <c r="I256" s="133" t="s">
        <v>101</v>
      </c>
      <c r="J256" s="133" t="s">
        <v>102</v>
      </c>
      <c r="K256" s="133" t="s">
        <v>113</v>
      </c>
      <c r="L256" s="141">
        <v>0.0</v>
      </c>
      <c r="M256" s="141">
        <v>0.0</v>
      </c>
      <c r="N256" s="141">
        <v>0.0</v>
      </c>
      <c r="O256" s="141">
        <v>0.0</v>
      </c>
      <c r="P256" s="141">
        <v>0.0</v>
      </c>
      <c r="Q256" s="141">
        <v>0.0</v>
      </c>
      <c r="R256" s="141">
        <v>1.0</v>
      </c>
      <c r="S256" s="141"/>
      <c r="T256" s="142"/>
      <c r="U256" s="142"/>
      <c r="V256" s="142"/>
      <c r="W256" s="142"/>
      <c r="X256" s="142"/>
      <c r="Y256" s="141"/>
      <c r="Z256" s="141"/>
      <c r="AA256" s="141"/>
      <c r="AB256" s="141"/>
      <c r="AC256" s="141"/>
      <c r="AD256" s="141"/>
      <c r="AE256" s="141"/>
    </row>
    <row r="257" ht="17.25" customHeight="1">
      <c r="A257" s="133" t="s">
        <v>23</v>
      </c>
      <c r="B257" s="133" t="s">
        <v>129</v>
      </c>
      <c r="C257" s="133" t="s">
        <v>117</v>
      </c>
      <c r="D257" s="133"/>
      <c r="E257" s="133" t="s">
        <v>133</v>
      </c>
      <c r="F257" s="133" t="s">
        <v>199</v>
      </c>
      <c r="G257" s="140">
        <v>1.3178266E7</v>
      </c>
      <c r="H257" s="141">
        <v>7.003105406206E12</v>
      </c>
      <c r="I257" s="133" t="s">
        <v>140</v>
      </c>
      <c r="J257" s="133" t="s">
        <v>102</v>
      </c>
      <c r="K257" s="133" t="s">
        <v>95</v>
      </c>
      <c r="L257" s="141">
        <v>0.0</v>
      </c>
      <c r="M257" s="141">
        <v>0.0</v>
      </c>
      <c r="N257" s="141">
        <v>0.0</v>
      </c>
      <c r="O257" s="141">
        <v>0.0</v>
      </c>
      <c r="P257" s="141">
        <v>0.0</v>
      </c>
      <c r="Q257" s="141">
        <v>0.0</v>
      </c>
      <c r="R257" s="141">
        <v>1.0</v>
      </c>
      <c r="S257" s="141"/>
      <c r="T257" s="142"/>
      <c r="U257" s="142"/>
      <c r="V257" s="142"/>
      <c r="W257" s="142"/>
      <c r="X257" s="142"/>
      <c r="Y257" s="141"/>
      <c r="Z257" s="141"/>
      <c r="AA257" s="141"/>
      <c r="AB257" s="141"/>
      <c r="AC257" s="141"/>
      <c r="AD257" s="141"/>
      <c r="AE257" s="141"/>
    </row>
    <row r="258" ht="17.25" customHeight="1">
      <c r="A258" s="133" t="s">
        <v>23</v>
      </c>
      <c r="B258" s="133" t="s">
        <v>158</v>
      </c>
      <c r="C258" s="133"/>
      <c r="D258" s="133"/>
      <c r="E258" s="133" t="s">
        <v>159</v>
      </c>
      <c r="F258" s="133" t="s">
        <v>200</v>
      </c>
      <c r="G258" s="140">
        <v>1.6123096E7</v>
      </c>
      <c r="H258" s="141">
        <v>7.003455609203E12</v>
      </c>
      <c r="I258" s="133" t="s">
        <v>112</v>
      </c>
      <c r="J258" s="133" t="s">
        <v>102</v>
      </c>
      <c r="K258" s="133" t="s">
        <v>104</v>
      </c>
      <c r="L258" s="141">
        <v>0.0</v>
      </c>
      <c r="M258" s="141">
        <v>0.0</v>
      </c>
      <c r="N258" s="141">
        <v>0.0</v>
      </c>
      <c r="O258" s="141">
        <v>0.0</v>
      </c>
      <c r="P258" s="141">
        <v>0.0</v>
      </c>
      <c r="Q258" s="141">
        <v>0.0</v>
      </c>
      <c r="R258" s="141">
        <v>1.0</v>
      </c>
      <c r="S258" s="141"/>
      <c r="T258" s="142"/>
      <c r="U258" s="142"/>
      <c r="V258" s="142"/>
      <c r="W258" s="142"/>
      <c r="X258" s="142"/>
      <c r="Y258" s="141"/>
      <c r="Z258" s="141"/>
      <c r="AA258" s="141"/>
      <c r="AB258" s="141"/>
      <c r="AC258" s="141"/>
      <c r="AD258" s="141"/>
      <c r="AE258" s="141"/>
    </row>
    <row r="259" ht="17.25" customHeight="1">
      <c r="A259" s="133" t="s">
        <v>23</v>
      </c>
      <c r="B259" s="133" t="s">
        <v>147</v>
      </c>
      <c r="C259" s="133" t="s">
        <v>90</v>
      </c>
      <c r="E259" s="133" t="s">
        <v>148</v>
      </c>
      <c r="F259" s="133" t="s">
        <v>175</v>
      </c>
      <c r="G259" s="140">
        <v>1.4620438E7</v>
      </c>
      <c r="H259" s="141">
        <v>7.403594408208E12</v>
      </c>
      <c r="I259" s="133" t="s">
        <v>96</v>
      </c>
      <c r="J259" s="133" t="s">
        <v>102</v>
      </c>
      <c r="K259" s="133" t="s">
        <v>143</v>
      </c>
      <c r="L259" s="141">
        <v>0.0</v>
      </c>
      <c r="M259" s="141">
        <v>0.0</v>
      </c>
      <c r="N259" s="141">
        <v>0.0</v>
      </c>
      <c r="O259" s="141">
        <v>0.0</v>
      </c>
      <c r="P259" s="141">
        <v>0.0</v>
      </c>
      <c r="Q259" s="141">
        <v>0.0</v>
      </c>
      <c r="R259" s="141">
        <v>2.0</v>
      </c>
      <c r="S259" s="141"/>
      <c r="T259" s="142"/>
      <c r="U259" s="142"/>
      <c r="V259" s="142"/>
      <c r="W259" s="142"/>
      <c r="X259" s="142"/>
      <c r="Y259" s="141"/>
      <c r="Z259" s="141"/>
      <c r="AA259" s="141"/>
      <c r="AB259" s="141"/>
      <c r="AC259" s="141"/>
      <c r="AD259" s="141"/>
      <c r="AE259" s="141"/>
    </row>
    <row r="260" ht="17.25" customHeight="1">
      <c r="A260" s="133" t="s">
        <v>23</v>
      </c>
      <c r="B260" s="133" t="s">
        <v>89</v>
      </c>
      <c r="C260" s="133" t="s">
        <v>90</v>
      </c>
      <c r="E260" s="133" t="s">
        <v>91</v>
      </c>
      <c r="F260" s="133" t="s">
        <v>201</v>
      </c>
      <c r="G260" s="140">
        <v>1.1210354E7</v>
      </c>
      <c r="H260" s="141">
        <v>7.100204200015E12</v>
      </c>
      <c r="I260" s="133" t="s">
        <v>120</v>
      </c>
      <c r="J260" s="133" t="s">
        <v>145</v>
      </c>
      <c r="K260" s="133" t="s">
        <v>113</v>
      </c>
      <c r="L260" s="141">
        <v>0.0</v>
      </c>
      <c r="M260" s="141">
        <v>0.0</v>
      </c>
      <c r="N260" s="141">
        <v>0.0</v>
      </c>
      <c r="O260" s="141">
        <v>0.0</v>
      </c>
      <c r="P260" s="141">
        <v>0.0</v>
      </c>
      <c r="Q260" s="141">
        <v>0.0</v>
      </c>
      <c r="R260" s="141">
        <v>1.0</v>
      </c>
      <c r="S260" s="141"/>
      <c r="T260" s="142"/>
      <c r="U260" s="142"/>
      <c r="V260" s="142"/>
      <c r="W260" s="142"/>
      <c r="X260" s="142"/>
      <c r="Y260" s="141"/>
      <c r="Z260" s="141"/>
      <c r="AA260" s="141"/>
      <c r="AB260" s="141"/>
      <c r="AC260" s="141"/>
      <c r="AD260" s="141"/>
      <c r="AE260" s="141"/>
    </row>
    <row r="261" ht="17.25" customHeight="1">
      <c r="A261" s="133" t="s">
        <v>23</v>
      </c>
      <c r="B261" s="133" t="s">
        <v>129</v>
      </c>
      <c r="C261" s="133" t="s">
        <v>90</v>
      </c>
      <c r="E261" s="133" t="s">
        <v>130</v>
      </c>
      <c r="F261" s="133" t="s">
        <v>202</v>
      </c>
      <c r="G261" s="140">
        <v>1.3176415E7</v>
      </c>
      <c r="H261" s="141">
        <v>7.003092906208E12</v>
      </c>
      <c r="I261" s="133" t="s">
        <v>203</v>
      </c>
      <c r="J261" s="133" t="s">
        <v>102</v>
      </c>
      <c r="K261" s="133" t="s">
        <v>95</v>
      </c>
      <c r="L261" s="141">
        <v>0.0</v>
      </c>
      <c r="M261" s="141">
        <v>0.0</v>
      </c>
      <c r="N261" s="141">
        <v>0.0</v>
      </c>
      <c r="O261" s="141">
        <v>0.0</v>
      </c>
      <c r="P261" s="141">
        <v>0.0</v>
      </c>
      <c r="Q261" s="141">
        <v>0.0</v>
      </c>
      <c r="R261" s="141">
        <v>2.0</v>
      </c>
      <c r="S261" s="141"/>
      <c r="T261" s="142"/>
      <c r="U261" s="142"/>
      <c r="V261" s="142"/>
      <c r="W261" s="142"/>
      <c r="X261" s="142"/>
      <c r="Y261" s="141"/>
      <c r="Z261" s="141"/>
      <c r="AA261" s="141"/>
      <c r="AB261" s="141"/>
      <c r="AC261" s="141"/>
      <c r="AD261" s="141"/>
      <c r="AE261" s="141"/>
    </row>
    <row r="262" ht="17.25" customHeight="1">
      <c r="A262" s="133" t="s">
        <v>23</v>
      </c>
      <c r="B262" s="133" t="s">
        <v>136</v>
      </c>
      <c r="C262" s="133" t="s">
        <v>90</v>
      </c>
      <c r="E262" s="133" t="s">
        <v>137</v>
      </c>
      <c r="F262" s="133" t="s">
        <v>65</v>
      </c>
      <c r="G262" s="140">
        <v>1.6458321E7</v>
      </c>
      <c r="H262" s="141">
        <v>7.403755210206E12</v>
      </c>
      <c r="I262" s="133" t="s">
        <v>127</v>
      </c>
      <c r="J262" s="133" t="s">
        <v>102</v>
      </c>
      <c r="K262" s="133" t="s">
        <v>146</v>
      </c>
      <c r="L262" s="141">
        <v>0.0</v>
      </c>
      <c r="M262" s="141">
        <v>0.0</v>
      </c>
      <c r="N262" s="141">
        <v>0.0</v>
      </c>
      <c r="O262" s="141">
        <v>0.0</v>
      </c>
      <c r="P262" s="141">
        <v>0.0</v>
      </c>
      <c r="Q262" s="141">
        <v>0.0</v>
      </c>
      <c r="R262" s="141">
        <v>1.0</v>
      </c>
      <c r="S262" s="141"/>
      <c r="T262" s="142"/>
      <c r="U262" s="142"/>
      <c r="V262" s="142"/>
      <c r="W262" s="142"/>
      <c r="X262" s="142"/>
      <c r="Y262" s="141"/>
      <c r="Z262" s="141"/>
      <c r="AA262" s="141"/>
      <c r="AB262" s="141"/>
      <c r="AC262" s="141"/>
      <c r="AD262" s="141"/>
      <c r="AE262" s="141"/>
    </row>
    <row r="263" ht="17.25" customHeight="1">
      <c r="A263" s="133" t="s">
        <v>23</v>
      </c>
      <c r="B263" s="133" t="s">
        <v>136</v>
      </c>
      <c r="C263" s="133" t="s">
        <v>90</v>
      </c>
      <c r="E263" s="133" t="s">
        <v>137</v>
      </c>
      <c r="F263" s="133" t="s">
        <v>65</v>
      </c>
      <c r="G263" s="140">
        <v>1.6458321E7</v>
      </c>
      <c r="H263" s="141">
        <v>7.403755210206E12</v>
      </c>
      <c r="I263" s="133" t="s">
        <v>127</v>
      </c>
      <c r="J263" s="133" t="s">
        <v>102</v>
      </c>
      <c r="K263" s="133" t="s">
        <v>113</v>
      </c>
      <c r="L263" s="141">
        <v>0.0</v>
      </c>
      <c r="M263" s="141">
        <v>0.0</v>
      </c>
      <c r="N263" s="141">
        <v>0.0</v>
      </c>
      <c r="O263" s="141">
        <v>0.0</v>
      </c>
      <c r="P263" s="141">
        <v>0.0</v>
      </c>
      <c r="Q263" s="141">
        <v>0.0</v>
      </c>
      <c r="R263" s="141">
        <v>1.0</v>
      </c>
      <c r="S263" s="141"/>
      <c r="T263" s="142"/>
      <c r="U263" s="142"/>
      <c r="V263" s="142"/>
      <c r="W263" s="142"/>
      <c r="X263" s="142"/>
      <c r="Y263" s="141"/>
      <c r="Z263" s="141"/>
      <c r="AA263" s="141"/>
      <c r="AB263" s="141"/>
      <c r="AC263" s="141"/>
      <c r="AD263" s="141"/>
      <c r="AE263" s="141"/>
    </row>
    <row r="264" ht="17.25" customHeight="1">
      <c r="A264" s="133" t="s">
        <v>23</v>
      </c>
      <c r="B264" s="133" t="s">
        <v>158</v>
      </c>
      <c r="C264" s="133"/>
      <c r="D264" s="133"/>
      <c r="E264" s="133" t="s">
        <v>164</v>
      </c>
      <c r="F264" s="133" t="s">
        <v>166</v>
      </c>
      <c r="G264" s="140">
        <v>1.6123098E7</v>
      </c>
      <c r="H264" s="141">
        <v>7.003475209209E12</v>
      </c>
      <c r="I264" s="133" t="s">
        <v>101</v>
      </c>
      <c r="J264" s="133" t="s">
        <v>102</v>
      </c>
      <c r="K264" s="133" t="s">
        <v>143</v>
      </c>
      <c r="L264" s="141">
        <v>0.0</v>
      </c>
      <c r="M264" s="141">
        <v>0.0</v>
      </c>
      <c r="N264" s="141">
        <v>0.0</v>
      </c>
      <c r="O264" s="141">
        <v>0.0</v>
      </c>
      <c r="P264" s="141">
        <v>0.0</v>
      </c>
      <c r="Q264" s="141">
        <v>0.0</v>
      </c>
      <c r="R264" s="141">
        <v>1.0</v>
      </c>
      <c r="S264" s="141"/>
      <c r="T264" s="142"/>
      <c r="U264" s="142"/>
      <c r="V264" s="142"/>
      <c r="W264" s="142"/>
      <c r="X264" s="142"/>
      <c r="Y264" s="141"/>
      <c r="Z264" s="141"/>
      <c r="AA264" s="141"/>
      <c r="AB264" s="141"/>
      <c r="AC264" s="141"/>
      <c r="AD264" s="141"/>
      <c r="AE264" s="141"/>
    </row>
    <row r="265" ht="17.25" customHeight="1">
      <c r="A265" s="133" t="s">
        <v>23</v>
      </c>
      <c r="B265" s="133" t="s">
        <v>89</v>
      </c>
      <c r="C265" s="133" t="s">
        <v>117</v>
      </c>
      <c r="D265" s="133"/>
      <c r="E265" s="133" t="s">
        <v>118</v>
      </c>
      <c r="F265" s="133" t="s">
        <v>121</v>
      </c>
      <c r="G265" s="140">
        <v>1.4936022E7</v>
      </c>
      <c r="H265" s="141">
        <v>7.400254807203E12</v>
      </c>
      <c r="I265" s="133" t="s">
        <v>93</v>
      </c>
      <c r="J265" s="133" t="s">
        <v>102</v>
      </c>
      <c r="K265" s="133" t="s">
        <v>95</v>
      </c>
      <c r="L265" s="141">
        <v>0.0</v>
      </c>
      <c r="M265" s="141">
        <v>0.0</v>
      </c>
      <c r="N265" s="141">
        <v>0.0</v>
      </c>
      <c r="O265" s="141">
        <v>0.0</v>
      </c>
      <c r="P265" s="141">
        <v>0.0</v>
      </c>
      <c r="Q265" s="141">
        <v>0.0</v>
      </c>
      <c r="R265" s="141">
        <v>4.0</v>
      </c>
      <c r="S265" s="141"/>
      <c r="T265" s="142"/>
      <c r="U265" s="142"/>
      <c r="V265" s="142"/>
      <c r="W265" s="142"/>
      <c r="X265" s="142"/>
      <c r="Y265" s="141"/>
      <c r="Z265" s="141"/>
      <c r="AA265" s="141"/>
      <c r="AB265" s="141"/>
      <c r="AC265" s="141"/>
      <c r="AD265" s="141"/>
      <c r="AE265" s="141"/>
    </row>
    <row r="266" ht="17.25" customHeight="1">
      <c r="A266" s="133" t="s">
        <v>23</v>
      </c>
      <c r="B266" s="133" t="s">
        <v>158</v>
      </c>
      <c r="C266" s="133"/>
      <c r="D266" s="133"/>
      <c r="E266" s="133" t="s">
        <v>164</v>
      </c>
      <c r="F266" s="133" t="s">
        <v>166</v>
      </c>
      <c r="G266" s="140">
        <v>1.6123098E7</v>
      </c>
      <c r="H266" s="141">
        <v>7.003475209209E12</v>
      </c>
      <c r="I266" s="133" t="s">
        <v>101</v>
      </c>
      <c r="J266" s="133" t="s">
        <v>102</v>
      </c>
      <c r="K266" s="133" t="s">
        <v>95</v>
      </c>
      <c r="L266" s="141">
        <v>0.0</v>
      </c>
      <c r="M266" s="141">
        <v>0.0</v>
      </c>
      <c r="N266" s="141">
        <v>0.0</v>
      </c>
      <c r="O266" s="141">
        <v>0.0</v>
      </c>
      <c r="P266" s="141">
        <v>0.0</v>
      </c>
      <c r="Q266" s="141">
        <v>0.0</v>
      </c>
      <c r="R266" s="141">
        <v>2.0</v>
      </c>
      <c r="S266" s="141"/>
      <c r="T266" s="142"/>
      <c r="U266" s="142"/>
      <c r="V266" s="142"/>
      <c r="W266" s="142"/>
      <c r="X266" s="142"/>
      <c r="Y266" s="141"/>
      <c r="Z266" s="141"/>
      <c r="AA266" s="141"/>
      <c r="AB266" s="141"/>
      <c r="AC266" s="141"/>
      <c r="AD266" s="141"/>
      <c r="AE266" s="141"/>
    </row>
    <row r="267" ht="17.25" customHeight="1">
      <c r="A267" s="133" t="s">
        <v>23</v>
      </c>
      <c r="B267" s="133" t="s">
        <v>89</v>
      </c>
      <c r="C267" s="133" t="s">
        <v>117</v>
      </c>
      <c r="D267" s="133"/>
      <c r="E267" s="133" t="s">
        <v>118</v>
      </c>
      <c r="F267" s="133" t="s">
        <v>198</v>
      </c>
      <c r="G267" s="140">
        <v>1.493091E7</v>
      </c>
      <c r="H267" s="141">
        <v>7.410224207209E12</v>
      </c>
      <c r="I267" s="133" t="s">
        <v>120</v>
      </c>
      <c r="J267" s="133" t="s">
        <v>102</v>
      </c>
      <c r="K267" s="133" t="s">
        <v>95</v>
      </c>
      <c r="L267" s="141">
        <v>0.0</v>
      </c>
      <c r="M267" s="141">
        <v>0.0</v>
      </c>
      <c r="N267" s="141">
        <v>1.0</v>
      </c>
      <c r="O267" s="141">
        <v>2940.3</v>
      </c>
      <c r="P267" s="141">
        <v>0.0</v>
      </c>
      <c r="Q267" s="141">
        <v>0.0</v>
      </c>
      <c r="R267" s="141">
        <v>7.0</v>
      </c>
      <c r="S267" s="141"/>
      <c r="T267" s="142"/>
      <c r="U267" s="142"/>
      <c r="V267" s="142"/>
      <c r="W267" s="142"/>
      <c r="X267" s="142"/>
      <c r="Y267" s="141"/>
      <c r="Z267" s="141"/>
      <c r="AA267" s="141"/>
      <c r="AB267" s="141"/>
      <c r="AC267" s="141"/>
      <c r="AD267" s="141"/>
      <c r="AE267" s="141"/>
    </row>
    <row r="268" ht="17.25" customHeight="1">
      <c r="A268" s="133" t="s">
        <v>23</v>
      </c>
      <c r="B268" s="133" t="s">
        <v>89</v>
      </c>
      <c r="C268" s="133" t="s">
        <v>90</v>
      </c>
      <c r="E268" s="133" t="s">
        <v>91</v>
      </c>
      <c r="F268" s="133" t="s">
        <v>157</v>
      </c>
      <c r="G268" s="140">
        <v>1.1210357E7</v>
      </c>
      <c r="H268" s="141">
        <v>7.400204800001E12</v>
      </c>
      <c r="I268" s="133" t="s">
        <v>93</v>
      </c>
      <c r="J268" s="133" t="s">
        <v>204</v>
      </c>
      <c r="K268" s="133" t="s">
        <v>95</v>
      </c>
      <c r="L268" s="141">
        <v>0.0</v>
      </c>
      <c r="M268" s="141">
        <v>0.0</v>
      </c>
      <c r="N268" s="141">
        <v>1.0</v>
      </c>
      <c r="O268" s="141">
        <v>2391.77</v>
      </c>
      <c r="P268" s="141">
        <v>1.0</v>
      </c>
      <c r="Q268" s="141">
        <v>2110.39</v>
      </c>
      <c r="R268" s="141">
        <v>0.0</v>
      </c>
      <c r="S268" s="141"/>
      <c r="T268" s="142"/>
      <c r="U268" s="142"/>
      <c r="V268" s="142"/>
      <c r="W268" s="142"/>
      <c r="X268" s="142"/>
      <c r="Y268" s="141"/>
      <c r="Z268" s="141"/>
      <c r="AA268" s="141"/>
      <c r="AB268" s="141"/>
      <c r="AC268" s="141"/>
      <c r="AD268" s="141"/>
      <c r="AE268" s="141"/>
    </row>
    <row r="269" ht="17.25" customHeight="1">
      <c r="A269" s="133" t="s">
        <v>23</v>
      </c>
      <c r="B269" s="133" t="s">
        <v>136</v>
      </c>
      <c r="C269" s="133" t="s">
        <v>90</v>
      </c>
      <c r="E269" s="133" t="s">
        <v>137</v>
      </c>
      <c r="F269" s="133" t="s">
        <v>38</v>
      </c>
      <c r="G269" s="140">
        <v>1.6458319E7</v>
      </c>
      <c r="H269" s="141">
        <v>7.403735410206E12</v>
      </c>
      <c r="I269" s="133" t="s">
        <v>138</v>
      </c>
      <c r="J269" s="133" t="s">
        <v>94</v>
      </c>
      <c r="K269" s="133" t="s">
        <v>143</v>
      </c>
      <c r="L269" s="141">
        <v>0.0</v>
      </c>
      <c r="M269" s="141">
        <v>0.0</v>
      </c>
      <c r="N269" s="141">
        <v>1.0</v>
      </c>
      <c r="O269" s="141">
        <v>1202.35</v>
      </c>
      <c r="P269" s="141">
        <v>0.0</v>
      </c>
      <c r="Q269" s="141">
        <v>0.0</v>
      </c>
      <c r="R269" s="141">
        <v>0.0</v>
      </c>
      <c r="S269" s="141"/>
      <c r="T269" s="142"/>
      <c r="U269" s="142"/>
      <c r="V269" s="142"/>
      <c r="W269" s="142"/>
      <c r="X269" s="142"/>
      <c r="Y269" s="141"/>
      <c r="Z269" s="141"/>
      <c r="AA269" s="141"/>
      <c r="AB269" s="141"/>
      <c r="AC269" s="141"/>
      <c r="AD269" s="141"/>
      <c r="AE269" s="141"/>
    </row>
    <row r="270" ht="17.25" customHeight="1">
      <c r="A270" s="133" t="s">
        <v>23</v>
      </c>
      <c r="B270" s="133" t="s">
        <v>136</v>
      </c>
      <c r="C270" s="133" t="s">
        <v>90</v>
      </c>
      <c r="E270" s="133" t="s">
        <v>137</v>
      </c>
      <c r="F270" s="133" t="s">
        <v>38</v>
      </c>
      <c r="G270" s="140">
        <v>1.6458319E7</v>
      </c>
      <c r="H270" s="141">
        <v>7.403735410206E12</v>
      </c>
      <c r="I270" s="133" t="s">
        <v>138</v>
      </c>
      <c r="J270" s="133" t="s">
        <v>102</v>
      </c>
      <c r="K270" s="133" t="s">
        <v>95</v>
      </c>
      <c r="L270" s="141">
        <v>0.0</v>
      </c>
      <c r="M270" s="141">
        <v>0.0</v>
      </c>
      <c r="N270" s="141">
        <v>21.0</v>
      </c>
      <c r="O270" s="141">
        <v>25720.85</v>
      </c>
      <c r="P270" s="141">
        <v>12.0</v>
      </c>
      <c r="Q270" s="141">
        <v>14878.74</v>
      </c>
      <c r="R270" s="141">
        <v>71.0</v>
      </c>
      <c r="S270" s="141"/>
      <c r="T270" s="142"/>
      <c r="U270" s="142"/>
      <c r="V270" s="142"/>
      <c r="W270" s="142"/>
      <c r="X270" s="142"/>
      <c r="Y270" s="141"/>
      <c r="Z270" s="141"/>
      <c r="AA270" s="141"/>
      <c r="AB270" s="141"/>
      <c r="AC270" s="141"/>
      <c r="AD270" s="141"/>
      <c r="AE270" s="141"/>
    </row>
    <row r="271" ht="17.25" customHeight="1">
      <c r="A271" s="133" t="s">
        <v>23</v>
      </c>
      <c r="B271" s="133" t="s">
        <v>89</v>
      </c>
      <c r="C271" s="133" t="s">
        <v>117</v>
      </c>
      <c r="D271" s="133"/>
      <c r="E271" s="133" t="s">
        <v>118</v>
      </c>
      <c r="F271" s="133" t="s">
        <v>205</v>
      </c>
      <c r="G271" s="140">
        <v>1.4930913E7</v>
      </c>
      <c r="H271" s="141">
        <v>7.410255407203E12</v>
      </c>
      <c r="I271" s="133" t="s">
        <v>140</v>
      </c>
      <c r="J271" s="133" t="s">
        <v>94</v>
      </c>
      <c r="K271" s="133" t="s">
        <v>95</v>
      </c>
      <c r="L271" s="141">
        <v>0.0</v>
      </c>
      <c r="M271" s="141">
        <v>0.0</v>
      </c>
      <c r="N271" s="141">
        <v>1.0</v>
      </c>
      <c r="O271" s="141">
        <v>3679.65</v>
      </c>
      <c r="P271" s="141">
        <v>1.0</v>
      </c>
      <c r="Q271" s="141">
        <v>3679.65</v>
      </c>
      <c r="R271" s="141">
        <v>0.0</v>
      </c>
      <c r="S271" s="141"/>
      <c r="T271" s="142"/>
      <c r="U271" s="142"/>
      <c r="V271" s="142"/>
      <c r="W271" s="142"/>
      <c r="X271" s="142"/>
      <c r="Y271" s="141"/>
      <c r="Z271" s="141"/>
      <c r="AA271" s="141"/>
      <c r="AB271" s="141"/>
      <c r="AC271" s="141"/>
      <c r="AD271" s="141"/>
      <c r="AE271" s="141"/>
    </row>
    <row r="272" ht="16.5" customHeight="1">
      <c r="A272" s="133" t="s">
        <v>23</v>
      </c>
      <c r="B272" s="133" t="s">
        <v>136</v>
      </c>
      <c r="C272" s="133" t="s">
        <v>90</v>
      </c>
      <c r="E272" s="133" t="s">
        <v>137</v>
      </c>
      <c r="F272" s="133" t="s">
        <v>67</v>
      </c>
      <c r="G272" s="140">
        <v>1.8075948E7</v>
      </c>
      <c r="H272" s="141">
        <v>7.403905218113E12</v>
      </c>
      <c r="I272" s="133" t="s">
        <v>127</v>
      </c>
      <c r="J272" s="133" t="s">
        <v>94</v>
      </c>
      <c r="K272" s="133" t="s">
        <v>97</v>
      </c>
      <c r="L272" s="141">
        <v>0.0</v>
      </c>
      <c r="M272" s="141">
        <v>0.0</v>
      </c>
      <c r="N272" s="141">
        <v>1.0</v>
      </c>
      <c r="O272" s="141">
        <v>2363.59</v>
      </c>
      <c r="P272" s="141">
        <v>0.0</v>
      </c>
      <c r="Q272" s="141">
        <v>0.0</v>
      </c>
      <c r="R272" s="141">
        <v>0.0</v>
      </c>
      <c r="S272" s="141"/>
      <c r="T272" s="142"/>
      <c r="U272" s="142"/>
      <c r="V272" s="142"/>
      <c r="W272" s="142"/>
      <c r="X272" s="142"/>
      <c r="Y272" s="141"/>
      <c r="Z272" s="141"/>
      <c r="AA272" s="141"/>
      <c r="AB272" s="141"/>
      <c r="AC272" s="141"/>
      <c r="AD272" s="141"/>
      <c r="AE272" s="141"/>
    </row>
    <row r="273" ht="17.25" customHeight="1">
      <c r="A273" s="133" t="s">
        <v>23</v>
      </c>
      <c r="B273" s="133" t="s">
        <v>89</v>
      </c>
      <c r="C273" s="133" t="s">
        <v>90</v>
      </c>
      <c r="E273" s="133" t="s">
        <v>91</v>
      </c>
      <c r="F273" s="133" t="s">
        <v>157</v>
      </c>
      <c r="G273" s="140">
        <v>1.1210357E7</v>
      </c>
      <c r="H273" s="141">
        <v>7.400204800001E12</v>
      </c>
      <c r="I273" s="133" t="s">
        <v>93</v>
      </c>
      <c r="J273" s="133" t="s">
        <v>145</v>
      </c>
      <c r="K273" s="133" t="s">
        <v>95</v>
      </c>
      <c r="L273" s="141">
        <v>0.0</v>
      </c>
      <c r="M273" s="141">
        <v>0.0</v>
      </c>
      <c r="N273" s="141">
        <v>0.0</v>
      </c>
      <c r="O273" s="141">
        <v>0.0</v>
      </c>
      <c r="P273" s="141">
        <v>0.0</v>
      </c>
      <c r="Q273" s="141">
        <v>0.0</v>
      </c>
      <c r="R273" s="141">
        <v>1.0</v>
      </c>
      <c r="S273" s="141"/>
      <c r="T273" s="142"/>
      <c r="U273" s="142"/>
      <c r="V273" s="142"/>
      <c r="W273" s="142"/>
      <c r="X273" s="142"/>
      <c r="Y273" s="141"/>
      <c r="Z273" s="141"/>
      <c r="AA273" s="141"/>
      <c r="AB273" s="141"/>
      <c r="AC273" s="141"/>
      <c r="AD273" s="141"/>
      <c r="AE273" s="141"/>
    </row>
    <row r="274" ht="17.25" customHeight="1">
      <c r="A274" s="133" t="s">
        <v>23</v>
      </c>
      <c r="B274" s="133" t="s">
        <v>136</v>
      </c>
      <c r="C274" s="133" t="s">
        <v>90</v>
      </c>
      <c r="E274" s="133" t="s">
        <v>137</v>
      </c>
      <c r="F274" s="133" t="s">
        <v>67</v>
      </c>
      <c r="G274" s="140">
        <v>1.8075948E7</v>
      </c>
      <c r="H274" s="141">
        <v>7.403905218113E12</v>
      </c>
      <c r="I274" s="133" t="s">
        <v>127</v>
      </c>
      <c r="J274" s="133" t="s">
        <v>102</v>
      </c>
      <c r="K274" s="133" t="s">
        <v>95</v>
      </c>
      <c r="L274" s="141">
        <v>0.0</v>
      </c>
      <c r="M274" s="141">
        <v>0.0</v>
      </c>
      <c r="N274" s="141">
        <v>0.0</v>
      </c>
      <c r="O274" s="141">
        <v>0.0</v>
      </c>
      <c r="P274" s="141">
        <v>0.0</v>
      </c>
      <c r="Q274" s="141">
        <v>0.0</v>
      </c>
      <c r="R274" s="141">
        <v>16.0</v>
      </c>
      <c r="S274" s="141"/>
      <c r="T274" s="142"/>
      <c r="U274" s="142"/>
      <c r="V274" s="142"/>
      <c r="W274" s="142"/>
      <c r="X274" s="142"/>
      <c r="Y274" s="141"/>
      <c r="Z274" s="141"/>
      <c r="AA274" s="141"/>
      <c r="AB274" s="141"/>
      <c r="AC274" s="141"/>
      <c r="AD274" s="141"/>
      <c r="AE274" s="141"/>
    </row>
    <row r="275" ht="17.25" customHeight="1">
      <c r="A275" s="133" t="s">
        <v>23</v>
      </c>
      <c r="B275" s="133" t="s">
        <v>124</v>
      </c>
      <c r="C275" s="133" t="s">
        <v>153</v>
      </c>
      <c r="D275" s="133"/>
      <c r="E275" s="133" t="s">
        <v>196</v>
      </c>
      <c r="F275" s="133" t="s">
        <v>206</v>
      </c>
      <c r="G275" s="140">
        <v>1.1210352E7</v>
      </c>
      <c r="H275" s="141">
        <v>7.190420000001E12</v>
      </c>
      <c r="I275" s="133" t="s">
        <v>120</v>
      </c>
      <c r="J275" s="133" t="s">
        <v>145</v>
      </c>
      <c r="K275" s="133" t="s">
        <v>95</v>
      </c>
      <c r="L275" s="141">
        <v>0.0</v>
      </c>
      <c r="M275" s="141">
        <v>0.0</v>
      </c>
      <c r="N275" s="141">
        <v>0.0</v>
      </c>
      <c r="O275" s="141">
        <v>0.0</v>
      </c>
      <c r="P275" s="141">
        <v>0.0</v>
      </c>
      <c r="Q275" s="141">
        <v>0.0</v>
      </c>
      <c r="R275" s="141">
        <v>4.0</v>
      </c>
      <c r="S275" s="141"/>
      <c r="T275" s="142"/>
      <c r="U275" s="142"/>
      <c r="V275" s="142"/>
      <c r="W275" s="142"/>
      <c r="X275" s="142"/>
      <c r="Y275" s="141"/>
      <c r="Z275" s="141"/>
      <c r="AA275" s="141"/>
      <c r="AB275" s="141"/>
      <c r="AC275" s="141"/>
      <c r="AD275" s="141"/>
      <c r="AE275" s="141"/>
    </row>
    <row r="276" ht="17.25" customHeight="1">
      <c r="A276" s="133" t="s">
        <v>23</v>
      </c>
      <c r="B276" s="133" t="s">
        <v>106</v>
      </c>
      <c r="C276" s="133" t="s">
        <v>90</v>
      </c>
      <c r="E276" s="133" t="s">
        <v>114</v>
      </c>
      <c r="F276" s="133" t="s">
        <v>169</v>
      </c>
      <c r="G276" s="140">
        <v>1.696376E7</v>
      </c>
      <c r="H276" s="141">
        <v>7.403875003115E12</v>
      </c>
      <c r="I276" s="133" t="s">
        <v>101</v>
      </c>
      <c r="J276" s="133" t="s">
        <v>102</v>
      </c>
      <c r="K276" s="133" t="s">
        <v>116</v>
      </c>
      <c r="L276" s="141">
        <v>0.0</v>
      </c>
      <c r="M276" s="141">
        <v>0.0</v>
      </c>
      <c r="N276" s="141">
        <v>0.0</v>
      </c>
      <c r="O276" s="141">
        <v>0.0</v>
      </c>
      <c r="P276" s="141">
        <v>0.0</v>
      </c>
      <c r="Q276" s="141">
        <v>0.0</v>
      </c>
      <c r="R276" s="141">
        <v>1.0</v>
      </c>
      <c r="S276" s="141"/>
      <c r="T276" s="142"/>
      <c r="U276" s="142"/>
      <c r="V276" s="142"/>
      <c r="W276" s="142"/>
      <c r="X276" s="142"/>
      <c r="Y276" s="141"/>
      <c r="Z276" s="141"/>
      <c r="AA276" s="141"/>
      <c r="AB276" s="141"/>
      <c r="AC276" s="141"/>
      <c r="AD276" s="141"/>
      <c r="AE276" s="141"/>
    </row>
    <row r="277" ht="17.25" customHeight="1">
      <c r="A277" s="133" t="s">
        <v>23</v>
      </c>
      <c r="B277" s="133" t="s">
        <v>136</v>
      </c>
      <c r="C277" s="133" t="s">
        <v>90</v>
      </c>
      <c r="E277" s="133" t="s">
        <v>137</v>
      </c>
      <c r="F277" s="133" t="s">
        <v>67</v>
      </c>
      <c r="G277" s="140">
        <v>1.8075948E7</v>
      </c>
      <c r="H277" s="141">
        <v>7.403905218113E12</v>
      </c>
      <c r="I277" s="133" t="s">
        <v>127</v>
      </c>
      <c r="J277" s="133" t="s">
        <v>102</v>
      </c>
      <c r="K277" s="133" t="s">
        <v>95</v>
      </c>
      <c r="L277" s="141">
        <v>0.0</v>
      </c>
      <c r="M277" s="141">
        <v>0.0</v>
      </c>
      <c r="N277" s="141">
        <v>0.0</v>
      </c>
      <c r="O277" s="141">
        <v>0.0</v>
      </c>
      <c r="P277" s="141">
        <v>0.0</v>
      </c>
      <c r="Q277" s="141">
        <v>0.0</v>
      </c>
      <c r="R277" s="141">
        <v>1.0</v>
      </c>
      <c r="S277" s="141"/>
      <c r="T277" s="142"/>
      <c r="U277" s="142"/>
      <c r="V277" s="142"/>
      <c r="W277" s="142"/>
      <c r="X277" s="142"/>
      <c r="Y277" s="141"/>
      <c r="Z277" s="141"/>
      <c r="AA277" s="141"/>
      <c r="AB277" s="141"/>
      <c r="AC277" s="141"/>
      <c r="AD277" s="141"/>
      <c r="AE277" s="141"/>
    </row>
    <row r="278" ht="17.25" customHeight="1">
      <c r="A278" s="133" t="s">
        <v>23</v>
      </c>
      <c r="B278" s="133" t="s">
        <v>136</v>
      </c>
      <c r="C278" s="133" t="s">
        <v>90</v>
      </c>
      <c r="E278" s="133" t="s">
        <v>137</v>
      </c>
      <c r="F278" s="133" t="s">
        <v>67</v>
      </c>
      <c r="G278" s="140">
        <v>1.8075948E7</v>
      </c>
      <c r="H278" s="141">
        <v>7.403905218113E12</v>
      </c>
      <c r="I278" s="133" t="s">
        <v>127</v>
      </c>
      <c r="J278" s="133" t="s">
        <v>102</v>
      </c>
      <c r="K278" s="133" t="s">
        <v>113</v>
      </c>
      <c r="L278" s="141">
        <v>0.0</v>
      </c>
      <c r="M278" s="141">
        <v>0.0</v>
      </c>
      <c r="N278" s="141">
        <v>0.0</v>
      </c>
      <c r="O278" s="141">
        <v>0.0</v>
      </c>
      <c r="P278" s="141">
        <v>0.0</v>
      </c>
      <c r="Q278" s="141">
        <v>0.0</v>
      </c>
      <c r="R278" s="141">
        <v>1.0</v>
      </c>
      <c r="S278" s="141"/>
      <c r="T278" s="142"/>
      <c r="U278" s="142"/>
      <c r="V278" s="142"/>
      <c r="W278" s="142"/>
      <c r="X278" s="142"/>
      <c r="Y278" s="141"/>
      <c r="Z278" s="141"/>
      <c r="AA278" s="141"/>
      <c r="AB278" s="141"/>
      <c r="AC278" s="141"/>
      <c r="AD278" s="141"/>
      <c r="AE278" s="141"/>
    </row>
    <row r="279" ht="17.25" customHeight="1">
      <c r="A279" s="133" t="s">
        <v>23</v>
      </c>
      <c r="B279" s="133" t="s">
        <v>89</v>
      </c>
      <c r="C279" s="133" t="s">
        <v>117</v>
      </c>
      <c r="D279" s="133"/>
      <c r="E279" s="133" t="s">
        <v>118</v>
      </c>
      <c r="F279" s="133" t="s">
        <v>198</v>
      </c>
      <c r="G279" s="140">
        <v>1.493091E7</v>
      </c>
      <c r="H279" s="141">
        <v>7.410224207209E12</v>
      </c>
      <c r="I279" s="133" t="s">
        <v>120</v>
      </c>
      <c r="J279" s="133" t="s">
        <v>102</v>
      </c>
      <c r="K279" s="133" t="s">
        <v>113</v>
      </c>
      <c r="L279" s="141">
        <v>0.0</v>
      </c>
      <c r="M279" s="141">
        <v>0.0</v>
      </c>
      <c r="N279" s="141">
        <v>0.0</v>
      </c>
      <c r="O279" s="141">
        <v>0.0</v>
      </c>
      <c r="P279" s="141">
        <v>0.0</v>
      </c>
      <c r="Q279" s="141">
        <v>0.0</v>
      </c>
      <c r="R279" s="141">
        <v>1.0</v>
      </c>
      <c r="S279" s="141"/>
      <c r="T279" s="142"/>
      <c r="U279" s="142"/>
      <c r="V279" s="142"/>
      <c r="W279" s="142"/>
      <c r="X279" s="142"/>
      <c r="Y279" s="141"/>
      <c r="Z279" s="141"/>
      <c r="AA279" s="141"/>
      <c r="AB279" s="141"/>
      <c r="AC279" s="141"/>
      <c r="AD279" s="141"/>
      <c r="AE279" s="141"/>
    </row>
    <row r="280" ht="17.25" customHeight="1">
      <c r="A280" s="133" t="s">
        <v>23</v>
      </c>
      <c r="B280" s="133" t="s">
        <v>89</v>
      </c>
      <c r="C280" s="133" t="s">
        <v>90</v>
      </c>
      <c r="E280" s="133" t="s">
        <v>91</v>
      </c>
      <c r="F280" s="133" t="s">
        <v>92</v>
      </c>
      <c r="G280" s="140">
        <v>1.4930909E7</v>
      </c>
      <c r="H280" s="141">
        <v>7.410214207206E12</v>
      </c>
      <c r="I280" s="133" t="s">
        <v>135</v>
      </c>
      <c r="J280" s="133" t="s">
        <v>94</v>
      </c>
      <c r="K280" s="133" t="s">
        <v>146</v>
      </c>
      <c r="L280" s="141">
        <v>0.0</v>
      </c>
      <c r="M280" s="141">
        <v>0.0</v>
      </c>
      <c r="N280" s="141">
        <v>1.0</v>
      </c>
      <c r="O280" s="141">
        <v>3468.0</v>
      </c>
      <c r="P280" s="141">
        <v>0.0</v>
      </c>
      <c r="Q280" s="141">
        <v>0.0</v>
      </c>
      <c r="R280" s="141">
        <v>0.0</v>
      </c>
      <c r="S280" s="141"/>
      <c r="T280" s="142"/>
      <c r="U280" s="142"/>
      <c r="V280" s="142"/>
      <c r="W280" s="142"/>
      <c r="X280" s="142"/>
      <c r="Y280" s="141"/>
      <c r="Z280" s="141"/>
      <c r="AA280" s="141"/>
      <c r="AB280" s="141"/>
      <c r="AC280" s="141"/>
      <c r="AD280" s="141"/>
      <c r="AE280" s="141"/>
    </row>
    <row r="281" ht="17.25" customHeight="1">
      <c r="A281" s="133" t="s">
        <v>23</v>
      </c>
      <c r="B281" s="133" t="s">
        <v>106</v>
      </c>
      <c r="C281" s="133" t="s">
        <v>90</v>
      </c>
      <c r="E281" s="133" t="s">
        <v>107</v>
      </c>
      <c r="F281" s="133" t="s">
        <v>108</v>
      </c>
      <c r="G281" s="140">
        <v>1.6963758E7</v>
      </c>
      <c r="H281" s="141">
        <v>7.403854603114E12</v>
      </c>
      <c r="I281" s="133" t="s">
        <v>93</v>
      </c>
      <c r="J281" s="133" t="s">
        <v>102</v>
      </c>
      <c r="K281" s="133" t="s">
        <v>95</v>
      </c>
      <c r="L281" s="141">
        <v>0.0</v>
      </c>
      <c r="M281" s="141">
        <v>0.0</v>
      </c>
      <c r="N281" s="141">
        <v>2.0</v>
      </c>
      <c r="O281" s="141">
        <v>5690.33</v>
      </c>
      <c r="P281" s="141">
        <v>1.0</v>
      </c>
      <c r="Q281" s="141">
        <v>3167.86</v>
      </c>
      <c r="R281" s="141">
        <v>29.0</v>
      </c>
      <c r="S281" s="141"/>
      <c r="T281" s="142"/>
      <c r="U281" s="142"/>
      <c r="V281" s="142"/>
      <c r="W281" s="142"/>
      <c r="X281" s="142"/>
      <c r="Y281" s="141"/>
      <c r="Z281" s="141"/>
      <c r="AA281" s="141"/>
      <c r="AB281" s="141"/>
      <c r="AC281" s="141"/>
      <c r="AD281" s="141"/>
      <c r="AE281" s="141"/>
    </row>
    <row r="282" ht="17.25" customHeight="1">
      <c r="A282" s="133" t="s">
        <v>23</v>
      </c>
      <c r="B282" s="133" t="s">
        <v>136</v>
      </c>
      <c r="C282" s="133" t="s">
        <v>90</v>
      </c>
      <c r="E282" s="133" t="s">
        <v>161</v>
      </c>
      <c r="F282" s="133" t="s">
        <v>207</v>
      </c>
      <c r="G282" s="140">
        <v>1.3889778E7</v>
      </c>
      <c r="H282" s="141">
        <v>7.003505406202E12</v>
      </c>
      <c r="I282" s="133" t="s">
        <v>127</v>
      </c>
      <c r="J282" s="133" t="s">
        <v>94</v>
      </c>
      <c r="K282" s="133" t="s">
        <v>104</v>
      </c>
      <c r="L282" s="141">
        <v>0.0</v>
      </c>
      <c r="M282" s="141">
        <v>0.0</v>
      </c>
      <c r="N282" s="141">
        <v>0.0</v>
      </c>
      <c r="O282" s="141">
        <v>0.0</v>
      </c>
      <c r="P282" s="141">
        <v>1.0</v>
      </c>
      <c r="Q282" s="141">
        <v>2429.33</v>
      </c>
      <c r="R282" s="141">
        <v>0.0</v>
      </c>
      <c r="S282" s="141"/>
      <c r="T282" s="142"/>
      <c r="U282" s="142"/>
      <c r="V282" s="142"/>
      <c r="W282" s="142"/>
      <c r="X282" s="142"/>
      <c r="Y282" s="141"/>
      <c r="Z282" s="141"/>
      <c r="AA282" s="141"/>
      <c r="AB282" s="141"/>
      <c r="AC282" s="141"/>
      <c r="AD282" s="141"/>
      <c r="AE282" s="141"/>
    </row>
    <row r="283" ht="17.25" customHeight="1">
      <c r="A283" s="133" t="s">
        <v>23</v>
      </c>
      <c r="B283" s="133" t="s">
        <v>136</v>
      </c>
      <c r="C283" s="133" t="s">
        <v>90</v>
      </c>
      <c r="E283" s="133" t="s">
        <v>137</v>
      </c>
      <c r="F283" s="133" t="s">
        <v>33</v>
      </c>
      <c r="G283" s="140">
        <v>1.6458322E7</v>
      </c>
      <c r="H283" s="141">
        <v>7.403765410207E12</v>
      </c>
      <c r="I283" s="133" t="s">
        <v>138</v>
      </c>
      <c r="J283" s="133" t="s">
        <v>102</v>
      </c>
      <c r="K283" s="133" t="s">
        <v>95</v>
      </c>
      <c r="L283" s="141">
        <v>0.0</v>
      </c>
      <c r="M283" s="141">
        <v>0.0</v>
      </c>
      <c r="N283" s="141">
        <v>23.0</v>
      </c>
      <c r="O283" s="141">
        <v>29412.07</v>
      </c>
      <c r="P283" s="141">
        <v>11.0</v>
      </c>
      <c r="Q283" s="141">
        <v>14297.0</v>
      </c>
      <c r="R283" s="141">
        <v>8.0</v>
      </c>
      <c r="S283" s="141"/>
      <c r="T283" s="142"/>
      <c r="U283" s="142"/>
      <c r="V283" s="142"/>
      <c r="W283" s="142"/>
      <c r="X283" s="142"/>
      <c r="Y283" s="141"/>
      <c r="Z283" s="141"/>
      <c r="AA283" s="141"/>
      <c r="AB283" s="141"/>
      <c r="AC283" s="141"/>
      <c r="AD283" s="141"/>
      <c r="AE283" s="141"/>
    </row>
    <row r="284" ht="17.25" customHeight="1">
      <c r="A284" s="133" t="s">
        <v>23</v>
      </c>
      <c r="B284" s="133" t="s">
        <v>89</v>
      </c>
      <c r="C284" s="133" t="s">
        <v>90</v>
      </c>
      <c r="E284" s="133" t="s">
        <v>91</v>
      </c>
      <c r="F284" s="133" t="s">
        <v>105</v>
      </c>
      <c r="G284" s="140">
        <v>1.4936013E7</v>
      </c>
      <c r="H284" s="141">
        <v>7.4002156072E12</v>
      </c>
      <c r="I284" s="133" t="s">
        <v>112</v>
      </c>
      <c r="J284" s="133" t="s">
        <v>102</v>
      </c>
      <c r="K284" s="133" t="s">
        <v>95</v>
      </c>
      <c r="L284" s="141">
        <v>0.0</v>
      </c>
      <c r="M284" s="141">
        <v>0.0</v>
      </c>
      <c r="N284" s="141">
        <v>1.0</v>
      </c>
      <c r="O284" s="141">
        <v>1937.61</v>
      </c>
      <c r="P284" s="141">
        <v>2.0</v>
      </c>
      <c r="Q284" s="141">
        <v>3875.22</v>
      </c>
      <c r="R284" s="141">
        <v>5.0</v>
      </c>
      <c r="S284" s="141"/>
      <c r="T284" s="142"/>
      <c r="U284" s="142"/>
      <c r="V284" s="142"/>
      <c r="W284" s="142"/>
      <c r="X284" s="142"/>
      <c r="Y284" s="141"/>
      <c r="Z284" s="141"/>
      <c r="AA284" s="141"/>
      <c r="AB284" s="141"/>
      <c r="AC284" s="141"/>
      <c r="AD284" s="141"/>
      <c r="AE284" s="141"/>
    </row>
    <row r="285" ht="17.25" customHeight="1">
      <c r="A285" s="133" t="s">
        <v>23</v>
      </c>
      <c r="B285" s="133" t="s">
        <v>124</v>
      </c>
      <c r="C285" s="133" t="s">
        <v>90</v>
      </c>
      <c r="E285" s="133" t="s">
        <v>125</v>
      </c>
      <c r="F285" s="133" t="s">
        <v>208</v>
      </c>
      <c r="G285" s="140">
        <v>1.6851018E7</v>
      </c>
      <c r="H285" s="141">
        <v>7.403655410201E12</v>
      </c>
      <c r="I285" s="133" t="s">
        <v>138</v>
      </c>
      <c r="J285" s="133" t="s">
        <v>102</v>
      </c>
      <c r="K285" s="133" t="s">
        <v>95</v>
      </c>
      <c r="L285" s="141">
        <v>0.0</v>
      </c>
      <c r="M285" s="141">
        <v>0.0</v>
      </c>
      <c r="N285" s="141">
        <v>22.0</v>
      </c>
      <c r="O285" s="141">
        <v>31466.02</v>
      </c>
      <c r="P285" s="141">
        <v>17.0</v>
      </c>
      <c r="Q285" s="141">
        <v>25515.64</v>
      </c>
      <c r="R285" s="141">
        <v>15.0</v>
      </c>
      <c r="S285" s="141"/>
      <c r="T285" s="142"/>
      <c r="U285" s="142"/>
      <c r="V285" s="142"/>
      <c r="W285" s="142"/>
      <c r="X285" s="142"/>
      <c r="Y285" s="141"/>
      <c r="Z285" s="141"/>
      <c r="AA285" s="141"/>
      <c r="AB285" s="141"/>
      <c r="AC285" s="141"/>
      <c r="AD285" s="141"/>
      <c r="AE285" s="141"/>
    </row>
    <row r="286" ht="17.25" customHeight="1">
      <c r="A286" s="133" t="s">
        <v>23</v>
      </c>
      <c r="B286" s="133" t="s">
        <v>124</v>
      </c>
      <c r="C286" s="133" t="s">
        <v>90</v>
      </c>
      <c r="E286" s="133" t="s">
        <v>125</v>
      </c>
      <c r="F286" s="133" t="s">
        <v>208</v>
      </c>
      <c r="G286" s="140">
        <v>1.6851018E7</v>
      </c>
      <c r="H286" s="141">
        <v>7.403655410201E12</v>
      </c>
      <c r="I286" s="133" t="s">
        <v>138</v>
      </c>
      <c r="J286" s="133" t="s">
        <v>94</v>
      </c>
      <c r="K286" s="133" t="s">
        <v>113</v>
      </c>
      <c r="L286" s="141">
        <v>0.0</v>
      </c>
      <c r="M286" s="141">
        <v>0.0</v>
      </c>
      <c r="N286" s="141">
        <v>1.0</v>
      </c>
      <c r="O286" s="141">
        <v>1441.96</v>
      </c>
      <c r="P286" s="141">
        <v>0.0</v>
      </c>
      <c r="Q286" s="141">
        <v>0.0</v>
      </c>
      <c r="R286" s="141">
        <v>0.0</v>
      </c>
      <c r="S286" s="141"/>
      <c r="T286" s="142"/>
      <c r="U286" s="142"/>
      <c r="V286" s="142"/>
      <c r="W286" s="142"/>
      <c r="X286" s="142"/>
      <c r="Y286" s="141"/>
      <c r="Z286" s="141"/>
      <c r="AA286" s="141"/>
      <c r="AB286" s="141"/>
      <c r="AC286" s="141"/>
      <c r="AD286" s="141"/>
      <c r="AE286" s="141"/>
    </row>
    <row r="287" ht="17.25" customHeight="1">
      <c r="A287" s="133" t="s">
        <v>23</v>
      </c>
      <c r="B287" s="133" t="s">
        <v>124</v>
      </c>
      <c r="C287" s="133" t="s">
        <v>90</v>
      </c>
      <c r="E287" s="133" t="s">
        <v>125</v>
      </c>
      <c r="F287" s="133" t="s">
        <v>208</v>
      </c>
      <c r="G287" s="140">
        <v>1.6851018E7</v>
      </c>
      <c r="H287" s="141">
        <v>7.403655410201E12</v>
      </c>
      <c r="I287" s="133" t="s">
        <v>138</v>
      </c>
      <c r="J287" s="133" t="s">
        <v>94</v>
      </c>
      <c r="K287" s="133" t="s">
        <v>97</v>
      </c>
      <c r="L287" s="141">
        <v>0.0</v>
      </c>
      <c r="M287" s="141">
        <v>0.0</v>
      </c>
      <c r="N287" s="141">
        <v>2.0</v>
      </c>
      <c r="O287" s="141">
        <v>2803.81</v>
      </c>
      <c r="P287" s="141">
        <v>0.0</v>
      </c>
      <c r="Q287" s="141">
        <v>0.0</v>
      </c>
      <c r="R287" s="141">
        <v>0.0</v>
      </c>
      <c r="S287" s="141"/>
      <c r="T287" s="142"/>
      <c r="U287" s="142"/>
      <c r="V287" s="142"/>
      <c r="W287" s="142"/>
      <c r="X287" s="142"/>
      <c r="Y287" s="141"/>
      <c r="Z287" s="141"/>
      <c r="AA287" s="141"/>
      <c r="AB287" s="141"/>
      <c r="AC287" s="141"/>
      <c r="AD287" s="141"/>
      <c r="AE287" s="141"/>
    </row>
    <row r="288" ht="17.25" customHeight="1">
      <c r="A288" s="133" t="s">
        <v>23</v>
      </c>
      <c r="B288" s="133" t="s">
        <v>136</v>
      </c>
      <c r="C288" s="133" t="s">
        <v>90</v>
      </c>
      <c r="E288" s="133" t="s">
        <v>161</v>
      </c>
      <c r="F288" s="133" t="s">
        <v>207</v>
      </c>
      <c r="G288" s="140">
        <v>1.3889778E7</v>
      </c>
      <c r="H288" s="141">
        <v>7.003505406202E12</v>
      </c>
      <c r="I288" s="133" t="s">
        <v>127</v>
      </c>
      <c r="J288" s="133" t="s">
        <v>94</v>
      </c>
      <c r="K288" s="133" t="s">
        <v>97</v>
      </c>
      <c r="L288" s="141">
        <v>0.0</v>
      </c>
      <c r="M288" s="141">
        <v>0.0</v>
      </c>
      <c r="N288" s="141">
        <v>0.0</v>
      </c>
      <c r="O288" s="141">
        <v>0.0</v>
      </c>
      <c r="P288" s="141">
        <v>1.0</v>
      </c>
      <c r="Q288" s="141">
        <v>2429.33</v>
      </c>
      <c r="R288" s="141">
        <v>0.0</v>
      </c>
      <c r="S288" s="141"/>
      <c r="T288" s="142"/>
      <c r="U288" s="142"/>
      <c r="V288" s="142"/>
      <c r="W288" s="142"/>
      <c r="X288" s="142"/>
      <c r="Y288" s="141"/>
      <c r="Z288" s="141"/>
      <c r="AA288" s="141"/>
      <c r="AB288" s="141"/>
      <c r="AC288" s="141"/>
      <c r="AD288" s="141"/>
      <c r="AE288" s="141"/>
    </row>
    <row r="289" ht="17.25" customHeight="1">
      <c r="A289" s="133" t="s">
        <v>23</v>
      </c>
      <c r="B289" s="133" t="s">
        <v>136</v>
      </c>
      <c r="C289" s="133" t="s">
        <v>90</v>
      </c>
      <c r="E289" s="133" t="s">
        <v>136</v>
      </c>
      <c r="F289" s="133" t="s">
        <v>46</v>
      </c>
      <c r="G289" s="140">
        <v>1.8923894E7</v>
      </c>
      <c r="H289" s="141">
        <v>7.403955429125E12</v>
      </c>
      <c r="I289" s="133" t="s">
        <v>138</v>
      </c>
      <c r="J289" s="133" t="s">
        <v>94</v>
      </c>
      <c r="K289" s="133" t="s">
        <v>113</v>
      </c>
      <c r="L289" s="141">
        <v>0.0</v>
      </c>
      <c r="M289" s="141">
        <v>0.0</v>
      </c>
      <c r="N289" s="141">
        <v>1.0</v>
      </c>
      <c r="O289" s="141">
        <v>1017.37</v>
      </c>
      <c r="P289" s="141">
        <v>0.0</v>
      </c>
      <c r="Q289" s="141">
        <v>0.0</v>
      </c>
      <c r="R289" s="141">
        <v>0.0</v>
      </c>
      <c r="S289" s="141"/>
      <c r="T289" s="142"/>
      <c r="U289" s="142"/>
      <c r="V289" s="142"/>
      <c r="W289" s="142"/>
      <c r="X289" s="142"/>
      <c r="Y289" s="141"/>
      <c r="Z289" s="141"/>
      <c r="AA289" s="141"/>
      <c r="AB289" s="141"/>
      <c r="AC289" s="141"/>
      <c r="AD289" s="141"/>
      <c r="AE289" s="141"/>
    </row>
    <row r="290" ht="17.25" customHeight="1">
      <c r="A290" s="133" t="s">
        <v>23</v>
      </c>
      <c r="B290" s="133" t="s">
        <v>136</v>
      </c>
      <c r="C290" s="133" t="s">
        <v>90</v>
      </c>
      <c r="E290" s="133" t="s">
        <v>137</v>
      </c>
      <c r="F290" s="133" t="s">
        <v>33</v>
      </c>
      <c r="G290" s="140">
        <v>1.6458322E7</v>
      </c>
      <c r="H290" s="141">
        <v>7.403765410207E12</v>
      </c>
      <c r="I290" s="133" t="s">
        <v>138</v>
      </c>
      <c r="J290" s="133" t="s">
        <v>94</v>
      </c>
      <c r="K290" s="133" t="s">
        <v>146</v>
      </c>
      <c r="L290" s="141">
        <v>0.0</v>
      </c>
      <c r="M290" s="141">
        <v>0.0</v>
      </c>
      <c r="N290" s="141">
        <v>1.0</v>
      </c>
      <c r="O290" s="141">
        <v>1312.24</v>
      </c>
      <c r="P290" s="141">
        <v>0.0</v>
      </c>
      <c r="Q290" s="141">
        <v>0.0</v>
      </c>
      <c r="R290" s="141">
        <v>0.0</v>
      </c>
      <c r="S290" s="141"/>
      <c r="T290" s="142"/>
      <c r="U290" s="142"/>
      <c r="V290" s="142"/>
      <c r="W290" s="142"/>
      <c r="X290" s="142"/>
      <c r="Y290" s="141"/>
      <c r="Z290" s="141"/>
      <c r="AA290" s="141"/>
      <c r="AB290" s="141"/>
      <c r="AC290" s="141"/>
      <c r="AD290" s="141"/>
      <c r="AE290" s="141"/>
    </row>
    <row r="291" ht="17.25" customHeight="1">
      <c r="A291" s="133" t="s">
        <v>23</v>
      </c>
      <c r="B291" s="133" t="s">
        <v>89</v>
      </c>
      <c r="C291" s="133" t="s">
        <v>117</v>
      </c>
      <c r="D291" s="133"/>
      <c r="E291" s="133" t="s">
        <v>118</v>
      </c>
      <c r="F291" s="133" t="s">
        <v>209</v>
      </c>
      <c r="G291" s="140">
        <v>1.4936021E7</v>
      </c>
      <c r="H291" s="141">
        <v>7.400245607201E12</v>
      </c>
      <c r="I291" s="133" t="s">
        <v>112</v>
      </c>
      <c r="J291" s="133" t="s">
        <v>94</v>
      </c>
      <c r="K291" s="133" t="s">
        <v>95</v>
      </c>
      <c r="L291" s="141">
        <v>0.0</v>
      </c>
      <c r="M291" s="141">
        <v>0.0</v>
      </c>
      <c r="N291" s="141">
        <v>1.0</v>
      </c>
      <c r="O291" s="141">
        <v>3135.99</v>
      </c>
      <c r="P291" s="141">
        <v>1.0</v>
      </c>
      <c r="Q291" s="141">
        <v>3135.99</v>
      </c>
      <c r="R291" s="141">
        <v>0.0</v>
      </c>
      <c r="S291" s="141"/>
      <c r="T291" s="142"/>
      <c r="U291" s="142"/>
      <c r="V291" s="142"/>
      <c r="W291" s="142"/>
      <c r="X291" s="142"/>
      <c r="Y291" s="141"/>
      <c r="Z291" s="141"/>
      <c r="AA291" s="141"/>
      <c r="AB291" s="141"/>
      <c r="AC291" s="141"/>
      <c r="AD291" s="141"/>
      <c r="AE291" s="141"/>
    </row>
    <row r="292" ht="17.25" customHeight="1">
      <c r="A292" s="133" t="s">
        <v>23</v>
      </c>
      <c r="B292" s="133" t="s">
        <v>136</v>
      </c>
      <c r="C292" s="133" t="s">
        <v>90</v>
      </c>
      <c r="E292" s="133" t="s">
        <v>136</v>
      </c>
      <c r="F292" s="133" t="s">
        <v>46</v>
      </c>
      <c r="G292" s="140">
        <v>1.8923894E7</v>
      </c>
      <c r="H292" s="141">
        <v>7.403955429125E12</v>
      </c>
      <c r="I292" s="133" t="s">
        <v>138</v>
      </c>
      <c r="J292" s="133" t="s">
        <v>102</v>
      </c>
      <c r="K292" s="133" t="s">
        <v>95</v>
      </c>
      <c r="L292" s="141">
        <v>0.0</v>
      </c>
      <c r="M292" s="141">
        <v>0.0</v>
      </c>
      <c r="N292" s="141">
        <v>4.0</v>
      </c>
      <c r="O292" s="141">
        <v>4226.86</v>
      </c>
      <c r="P292" s="141">
        <v>2.0</v>
      </c>
      <c r="Q292" s="141">
        <v>2185.46</v>
      </c>
      <c r="R292" s="141">
        <v>41.0</v>
      </c>
      <c r="S292" s="141"/>
      <c r="T292" s="142"/>
      <c r="U292" s="142"/>
      <c r="V292" s="142"/>
      <c r="W292" s="142"/>
      <c r="X292" s="142"/>
      <c r="Y292" s="141"/>
      <c r="Z292" s="141"/>
      <c r="AA292" s="141"/>
      <c r="AB292" s="141"/>
      <c r="AC292" s="141"/>
      <c r="AD292" s="141"/>
      <c r="AE292" s="141"/>
    </row>
    <row r="293" ht="17.25" customHeight="1">
      <c r="A293" s="133" t="s">
        <v>23</v>
      </c>
      <c r="B293" s="133" t="s">
        <v>136</v>
      </c>
      <c r="C293" s="133" t="s">
        <v>90</v>
      </c>
      <c r="E293" s="133" t="s">
        <v>137</v>
      </c>
      <c r="F293" s="133" t="s">
        <v>33</v>
      </c>
      <c r="G293" s="140">
        <v>1.6458322E7</v>
      </c>
      <c r="H293" s="141">
        <v>7.403765410207E12</v>
      </c>
      <c r="I293" s="133" t="s">
        <v>138</v>
      </c>
      <c r="J293" s="133" t="s">
        <v>94</v>
      </c>
      <c r="K293" s="133" t="s">
        <v>104</v>
      </c>
      <c r="L293" s="141">
        <v>0.0</v>
      </c>
      <c r="M293" s="141">
        <v>0.0</v>
      </c>
      <c r="N293" s="141">
        <v>1.0</v>
      </c>
      <c r="O293" s="141">
        <v>1377.05</v>
      </c>
      <c r="P293" s="141">
        <v>1.0</v>
      </c>
      <c r="Q293" s="141">
        <v>1377.05</v>
      </c>
      <c r="R293" s="141">
        <v>0.0</v>
      </c>
      <c r="S293" s="141"/>
      <c r="T293" s="142"/>
      <c r="U293" s="142"/>
      <c r="V293" s="142"/>
      <c r="W293" s="142"/>
      <c r="X293" s="142"/>
      <c r="Y293" s="141"/>
      <c r="Z293" s="141"/>
      <c r="AA293" s="141"/>
      <c r="AB293" s="141"/>
      <c r="AC293" s="141"/>
      <c r="AD293" s="141"/>
      <c r="AE293" s="141"/>
    </row>
    <row r="294" ht="17.25" customHeight="1">
      <c r="A294" s="144" t="s">
        <v>23</v>
      </c>
      <c r="B294" s="144" t="s">
        <v>136</v>
      </c>
      <c r="C294" s="144" t="s">
        <v>90</v>
      </c>
      <c r="D294" s="145"/>
      <c r="E294" s="144" t="s">
        <v>161</v>
      </c>
      <c r="F294" s="144" t="s">
        <v>207</v>
      </c>
      <c r="G294" s="146">
        <v>1.3889778E7</v>
      </c>
      <c r="H294" s="147">
        <v>7.003505406202E12</v>
      </c>
      <c r="I294" s="144" t="s">
        <v>127</v>
      </c>
      <c r="J294" s="144" t="s">
        <v>102</v>
      </c>
      <c r="K294" s="144" t="s">
        <v>95</v>
      </c>
      <c r="L294" s="147">
        <v>0.0</v>
      </c>
      <c r="M294" s="147">
        <v>0.0</v>
      </c>
      <c r="N294" s="147">
        <v>12.0</v>
      </c>
      <c r="O294" s="147">
        <v>27135.08</v>
      </c>
      <c r="P294" s="147">
        <v>9.0</v>
      </c>
      <c r="Q294" s="147">
        <v>20691.06</v>
      </c>
      <c r="R294" s="147">
        <v>285.0</v>
      </c>
      <c r="S294" s="147"/>
      <c r="T294" s="148"/>
      <c r="U294" s="148"/>
      <c r="V294" s="148"/>
      <c r="W294" s="148"/>
      <c r="X294" s="148"/>
      <c r="Y294" s="147"/>
      <c r="Z294" s="147"/>
      <c r="AA294" s="147"/>
      <c r="AB294" s="147"/>
      <c r="AC294" s="147"/>
      <c r="AD294" s="147"/>
      <c r="AE294" s="147"/>
    </row>
    <row r="295" ht="17.25" customHeight="1">
      <c r="A295" s="133" t="s">
        <v>23</v>
      </c>
      <c r="B295" s="133" t="s">
        <v>89</v>
      </c>
      <c r="C295" s="133" t="s">
        <v>90</v>
      </c>
      <c r="E295" s="133" t="s">
        <v>91</v>
      </c>
      <c r="F295" s="133" t="s">
        <v>163</v>
      </c>
      <c r="G295" s="140">
        <v>1.1210358E7</v>
      </c>
      <c r="H295" s="141">
        <v>7.500205400009E12</v>
      </c>
      <c r="I295" s="133" t="s">
        <v>140</v>
      </c>
      <c r="J295" s="133" t="s">
        <v>102</v>
      </c>
      <c r="K295" s="133" t="s">
        <v>95</v>
      </c>
      <c r="L295" s="141">
        <v>0.0</v>
      </c>
      <c r="M295" s="141">
        <v>0.0</v>
      </c>
      <c r="N295" s="141">
        <v>5.0</v>
      </c>
      <c r="O295" s="141">
        <v>15824.32</v>
      </c>
      <c r="P295" s="141">
        <v>0.0</v>
      </c>
      <c r="Q295" s="141">
        <v>0.0</v>
      </c>
      <c r="R295" s="141">
        <v>11.0</v>
      </c>
      <c r="S295" s="141"/>
      <c r="T295" s="142"/>
      <c r="U295" s="142"/>
      <c r="V295" s="142"/>
      <c r="W295" s="142"/>
      <c r="X295" s="142"/>
      <c r="Y295" s="141"/>
      <c r="Z295" s="141"/>
      <c r="AA295" s="141"/>
      <c r="AB295" s="141"/>
      <c r="AC295" s="141"/>
      <c r="AD295" s="141"/>
      <c r="AE295" s="141"/>
    </row>
    <row r="296" ht="17.25" customHeight="1">
      <c r="A296" s="133" t="s">
        <v>23</v>
      </c>
      <c r="B296" s="133" t="s">
        <v>89</v>
      </c>
      <c r="C296" s="133" t="s">
        <v>90</v>
      </c>
      <c r="E296" s="133" t="s">
        <v>91</v>
      </c>
      <c r="F296" s="133" t="s">
        <v>92</v>
      </c>
      <c r="G296" s="140">
        <v>1.4930909E7</v>
      </c>
      <c r="H296" s="141">
        <v>7.410214207206E12</v>
      </c>
      <c r="I296" s="133" t="s">
        <v>135</v>
      </c>
      <c r="J296" s="133" t="s">
        <v>94</v>
      </c>
      <c r="K296" s="133" t="s">
        <v>97</v>
      </c>
      <c r="L296" s="141">
        <v>0.0</v>
      </c>
      <c r="M296" s="141">
        <v>0.0</v>
      </c>
      <c r="N296" s="141">
        <v>0.0</v>
      </c>
      <c r="O296" s="141">
        <v>0.0</v>
      </c>
      <c r="P296" s="141">
        <v>1.0</v>
      </c>
      <c r="Q296" s="141">
        <v>3728.1</v>
      </c>
      <c r="R296" s="141">
        <v>0.0</v>
      </c>
      <c r="S296" s="141"/>
      <c r="T296" s="142"/>
      <c r="U296" s="142"/>
      <c r="V296" s="142"/>
      <c r="W296" s="142"/>
      <c r="X296" s="142"/>
      <c r="Y296" s="141"/>
      <c r="Z296" s="141"/>
      <c r="AA296" s="141"/>
      <c r="AB296" s="141"/>
      <c r="AC296" s="141"/>
      <c r="AD296" s="141"/>
      <c r="AE296" s="141"/>
    </row>
    <row r="297" ht="17.25" customHeight="1">
      <c r="A297" s="133" t="s">
        <v>23</v>
      </c>
      <c r="B297" s="133" t="s">
        <v>89</v>
      </c>
      <c r="C297" s="133" t="s">
        <v>117</v>
      </c>
      <c r="D297" s="133"/>
      <c r="E297" s="133" t="s">
        <v>118</v>
      </c>
      <c r="F297" s="133" t="s">
        <v>121</v>
      </c>
      <c r="G297" s="140">
        <v>1.4936022E7</v>
      </c>
      <c r="H297" s="141">
        <v>7.400255607208E12</v>
      </c>
      <c r="I297" s="133" t="s">
        <v>112</v>
      </c>
      <c r="J297" s="133" t="s">
        <v>102</v>
      </c>
      <c r="K297" s="133" t="s">
        <v>95</v>
      </c>
      <c r="L297" s="141">
        <v>0.0</v>
      </c>
      <c r="M297" s="141">
        <v>0.0</v>
      </c>
      <c r="N297" s="141">
        <v>3.0</v>
      </c>
      <c r="O297" s="141">
        <v>6458.71</v>
      </c>
      <c r="P297" s="141">
        <v>1.0</v>
      </c>
      <c r="Q297" s="141">
        <v>2231.19</v>
      </c>
      <c r="R297" s="141">
        <v>3.0</v>
      </c>
      <c r="S297" s="141"/>
      <c r="T297" s="142"/>
      <c r="U297" s="142"/>
      <c r="V297" s="142"/>
      <c r="W297" s="142"/>
      <c r="X297" s="142"/>
      <c r="Y297" s="141"/>
      <c r="Z297" s="141"/>
      <c r="AA297" s="141"/>
      <c r="AB297" s="141"/>
      <c r="AC297" s="141"/>
      <c r="AD297" s="141"/>
      <c r="AE297" s="141"/>
    </row>
    <row r="298" ht="17.25" customHeight="1">
      <c r="A298" s="133" t="s">
        <v>23</v>
      </c>
      <c r="B298" s="133" t="s">
        <v>136</v>
      </c>
      <c r="C298" s="133" t="s">
        <v>90</v>
      </c>
      <c r="E298" s="133" t="s">
        <v>137</v>
      </c>
      <c r="F298" s="133" t="s">
        <v>33</v>
      </c>
      <c r="G298" s="140">
        <v>1.6458322E7</v>
      </c>
      <c r="H298" s="141">
        <v>7.403765410207E12</v>
      </c>
      <c r="I298" s="133" t="s">
        <v>138</v>
      </c>
      <c r="J298" s="133" t="s">
        <v>94</v>
      </c>
      <c r="K298" s="133" t="s">
        <v>97</v>
      </c>
      <c r="L298" s="141">
        <v>0.0</v>
      </c>
      <c r="M298" s="141">
        <v>0.0</v>
      </c>
      <c r="N298" s="141">
        <v>0.0</v>
      </c>
      <c r="O298" s="141">
        <v>0.0</v>
      </c>
      <c r="P298" s="141">
        <v>0.0</v>
      </c>
      <c r="Q298" s="141">
        <v>0.0</v>
      </c>
      <c r="R298" s="141">
        <v>0.0</v>
      </c>
      <c r="S298" s="141"/>
      <c r="T298" s="142"/>
      <c r="U298" s="142"/>
      <c r="V298" s="142"/>
      <c r="W298" s="142"/>
      <c r="X298" s="142"/>
      <c r="Y298" s="141"/>
      <c r="Z298" s="141"/>
      <c r="AA298" s="141"/>
      <c r="AB298" s="141"/>
      <c r="AC298" s="141"/>
      <c r="AD298" s="141"/>
      <c r="AE298" s="141"/>
    </row>
    <row r="299" ht="17.25" customHeight="1">
      <c r="A299" s="133" t="s">
        <v>23</v>
      </c>
      <c r="B299" s="133" t="s">
        <v>136</v>
      </c>
      <c r="C299" s="133" t="s">
        <v>90</v>
      </c>
      <c r="E299" s="133" t="s">
        <v>161</v>
      </c>
      <c r="F299" s="133" t="s">
        <v>207</v>
      </c>
      <c r="G299" s="140">
        <v>1.3889778E7</v>
      </c>
      <c r="H299" s="141">
        <v>7.003505406202E12</v>
      </c>
      <c r="I299" s="133" t="s">
        <v>127</v>
      </c>
      <c r="J299" s="133" t="s">
        <v>102</v>
      </c>
      <c r="K299" s="133" t="s">
        <v>143</v>
      </c>
      <c r="L299" s="141">
        <v>0.0</v>
      </c>
      <c r="M299" s="141">
        <v>0.0</v>
      </c>
      <c r="N299" s="141">
        <v>0.0</v>
      </c>
      <c r="O299" s="141">
        <v>0.0</v>
      </c>
      <c r="P299" s="141">
        <v>0.0</v>
      </c>
      <c r="Q299" s="141">
        <v>0.0</v>
      </c>
      <c r="R299" s="141">
        <v>1.0</v>
      </c>
      <c r="S299" s="141"/>
      <c r="T299" s="142"/>
      <c r="U299" s="142"/>
      <c r="V299" s="142"/>
      <c r="W299" s="142"/>
      <c r="X299" s="142"/>
      <c r="Y299" s="141"/>
      <c r="Z299" s="141"/>
      <c r="AA299" s="141"/>
      <c r="AB299" s="141"/>
      <c r="AC299" s="141"/>
      <c r="AD299" s="141"/>
      <c r="AE299" s="141"/>
    </row>
    <row r="300" ht="17.25" customHeight="1">
      <c r="A300" s="133" t="s">
        <v>23</v>
      </c>
      <c r="B300" s="133" t="s">
        <v>89</v>
      </c>
      <c r="C300" s="133" t="s">
        <v>117</v>
      </c>
      <c r="D300" s="133"/>
      <c r="E300" s="133" t="s">
        <v>118</v>
      </c>
      <c r="F300" s="133" t="s">
        <v>121</v>
      </c>
      <c r="G300" s="140">
        <v>1.4936022E7</v>
      </c>
      <c r="H300" s="141">
        <v>7.400255607208E12</v>
      </c>
      <c r="I300" s="133" t="s">
        <v>112</v>
      </c>
      <c r="J300" s="133" t="s">
        <v>102</v>
      </c>
      <c r="K300" s="133" t="s">
        <v>95</v>
      </c>
      <c r="L300" s="141">
        <v>0.0</v>
      </c>
      <c r="M300" s="141">
        <v>0.0</v>
      </c>
      <c r="N300" s="141">
        <v>0.0</v>
      </c>
      <c r="O300" s="141">
        <v>0.0</v>
      </c>
      <c r="P300" s="141">
        <v>0.0</v>
      </c>
      <c r="Q300" s="141">
        <v>0.0</v>
      </c>
      <c r="R300" s="141">
        <v>1.0</v>
      </c>
      <c r="S300" s="141"/>
      <c r="T300" s="142"/>
      <c r="U300" s="142"/>
      <c r="V300" s="142"/>
      <c r="W300" s="142"/>
      <c r="X300" s="142"/>
      <c r="Y300" s="141"/>
      <c r="Z300" s="141"/>
      <c r="AA300" s="141"/>
      <c r="AB300" s="141"/>
      <c r="AC300" s="141"/>
      <c r="AD300" s="141"/>
      <c r="AE300" s="141"/>
    </row>
    <row r="301" ht="17.25" customHeight="1">
      <c r="A301" s="133" t="s">
        <v>23</v>
      </c>
      <c r="B301" s="133" t="s">
        <v>158</v>
      </c>
      <c r="C301" s="133"/>
      <c r="D301" s="133"/>
      <c r="E301" s="133" t="s">
        <v>164</v>
      </c>
      <c r="F301" s="133" t="s">
        <v>166</v>
      </c>
      <c r="G301" s="140">
        <v>1.6123098E7</v>
      </c>
      <c r="H301" s="141">
        <v>7.003475609207E12</v>
      </c>
      <c r="I301" s="133" t="s">
        <v>112</v>
      </c>
      <c r="J301" s="133" t="s">
        <v>102</v>
      </c>
      <c r="K301" s="133" t="s">
        <v>95</v>
      </c>
      <c r="L301" s="141">
        <v>0.0</v>
      </c>
      <c r="M301" s="141">
        <v>0.0</v>
      </c>
      <c r="N301" s="141">
        <v>0.0</v>
      </c>
      <c r="O301" s="141">
        <v>0.0</v>
      </c>
      <c r="P301" s="141">
        <v>0.0</v>
      </c>
      <c r="Q301" s="141">
        <v>0.0</v>
      </c>
      <c r="R301" s="141">
        <v>1.0</v>
      </c>
      <c r="S301" s="141"/>
      <c r="T301" s="142"/>
      <c r="U301" s="142"/>
      <c r="V301" s="142"/>
      <c r="W301" s="142"/>
      <c r="X301" s="142"/>
      <c r="Y301" s="141"/>
      <c r="Z301" s="141"/>
      <c r="AA301" s="141"/>
      <c r="AB301" s="141"/>
      <c r="AC301" s="141"/>
      <c r="AD301" s="141"/>
      <c r="AE301" s="141"/>
    </row>
    <row r="302" ht="17.25" customHeight="1">
      <c r="A302" s="133" t="s">
        <v>23</v>
      </c>
      <c r="B302" s="133" t="s">
        <v>89</v>
      </c>
      <c r="C302" s="133" t="s">
        <v>117</v>
      </c>
      <c r="D302" s="133"/>
      <c r="E302" s="133" t="s">
        <v>118</v>
      </c>
      <c r="F302" s="133" t="s">
        <v>121</v>
      </c>
      <c r="G302" s="140">
        <v>1.4936022E7</v>
      </c>
      <c r="H302" s="141">
        <v>7.400255607208E12</v>
      </c>
      <c r="I302" s="133" t="s">
        <v>112</v>
      </c>
      <c r="J302" s="133" t="s">
        <v>102</v>
      </c>
      <c r="K302" s="133" t="s">
        <v>143</v>
      </c>
      <c r="L302" s="141">
        <v>0.0</v>
      </c>
      <c r="M302" s="141">
        <v>0.0</v>
      </c>
      <c r="N302" s="141">
        <v>0.0</v>
      </c>
      <c r="O302" s="141">
        <v>0.0</v>
      </c>
      <c r="P302" s="141">
        <v>0.0</v>
      </c>
      <c r="Q302" s="141">
        <v>0.0</v>
      </c>
      <c r="R302" s="141">
        <v>1.0</v>
      </c>
      <c r="S302" s="141"/>
      <c r="T302" s="142"/>
      <c r="U302" s="142"/>
      <c r="V302" s="142"/>
      <c r="W302" s="142"/>
      <c r="X302" s="142"/>
      <c r="Y302" s="141"/>
      <c r="Z302" s="141"/>
      <c r="AA302" s="141"/>
      <c r="AB302" s="141"/>
      <c r="AC302" s="141"/>
      <c r="AD302" s="141"/>
      <c r="AE302" s="141"/>
    </row>
    <row r="303" ht="17.25" customHeight="1">
      <c r="A303" s="133" t="s">
        <v>23</v>
      </c>
      <c r="B303" s="133" t="s">
        <v>129</v>
      </c>
      <c r="C303" s="133" t="s">
        <v>90</v>
      </c>
      <c r="E303" s="133" t="s">
        <v>130</v>
      </c>
      <c r="F303" s="133" t="s">
        <v>202</v>
      </c>
      <c r="G303" s="140">
        <v>1.3176415E7</v>
      </c>
      <c r="H303" s="141">
        <v>7.003093006204E12</v>
      </c>
      <c r="I303" s="133" t="s">
        <v>168</v>
      </c>
      <c r="J303" s="133" t="s">
        <v>102</v>
      </c>
      <c r="K303" s="133" t="s">
        <v>95</v>
      </c>
      <c r="L303" s="141">
        <v>0.0</v>
      </c>
      <c r="M303" s="141">
        <v>0.0</v>
      </c>
      <c r="N303" s="141">
        <v>0.0</v>
      </c>
      <c r="O303" s="141">
        <v>0.0</v>
      </c>
      <c r="P303" s="141">
        <v>0.0</v>
      </c>
      <c r="Q303" s="141">
        <v>0.0</v>
      </c>
      <c r="R303" s="141">
        <v>1.0</v>
      </c>
      <c r="S303" s="141"/>
      <c r="T303" s="142"/>
      <c r="U303" s="142"/>
      <c r="V303" s="142"/>
      <c r="W303" s="142"/>
      <c r="X303" s="142"/>
      <c r="Y303" s="141"/>
      <c r="Z303" s="141"/>
      <c r="AA303" s="141"/>
      <c r="AB303" s="141"/>
      <c r="AC303" s="141"/>
      <c r="AD303" s="141"/>
      <c r="AE303" s="141"/>
    </row>
    <row r="304" ht="17.25" customHeight="1">
      <c r="A304" s="133" t="s">
        <v>23</v>
      </c>
      <c r="B304" s="133" t="s">
        <v>158</v>
      </c>
      <c r="C304" s="133"/>
      <c r="D304" s="133"/>
      <c r="E304" s="133" t="s">
        <v>159</v>
      </c>
      <c r="F304" s="133" t="s">
        <v>160</v>
      </c>
      <c r="G304" s="140">
        <v>1.6123097E7</v>
      </c>
      <c r="H304" s="141">
        <v>7.0034656092E12</v>
      </c>
      <c r="I304" s="133" t="s">
        <v>112</v>
      </c>
      <c r="J304" s="133" t="s">
        <v>102</v>
      </c>
      <c r="K304" s="133" t="s">
        <v>97</v>
      </c>
      <c r="L304" s="141">
        <v>0.0</v>
      </c>
      <c r="M304" s="141">
        <v>0.0</v>
      </c>
      <c r="N304" s="141">
        <v>0.0</v>
      </c>
      <c r="O304" s="141">
        <v>0.0</v>
      </c>
      <c r="P304" s="141">
        <v>0.0</v>
      </c>
      <c r="Q304" s="141">
        <v>0.0</v>
      </c>
      <c r="R304" s="141">
        <v>1.0</v>
      </c>
      <c r="S304" s="141"/>
      <c r="T304" s="142"/>
      <c r="U304" s="142"/>
      <c r="V304" s="142"/>
      <c r="W304" s="142"/>
      <c r="X304" s="142"/>
      <c r="Y304" s="141"/>
      <c r="Z304" s="141"/>
      <c r="AA304" s="141"/>
      <c r="AB304" s="141"/>
      <c r="AC304" s="141"/>
      <c r="AD304" s="141"/>
      <c r="AE304" s="141"/>
    </row>
    <row r="305" ht="17.25" customHeight="1">
      <c r="A305" s="133" t="s">
        <v>23</v>
      </c>
      <c r="B305" s="133" t="s">
        <v>158</v>
      </c>
      <c r="C305" s="133"/>
      <c r="D305" s="133"/>
      <c r="E305" s="133" t="s">
        <v>164</v>
      </c>
      <c r="F305" s="133" t="s">
        <v>166</v>
      </c>
      <c r="G305" s="140">
        <v>1.6123098E7</v>
      </c>
      <c r="H305" s="141">
        <v>7.003475609207E12</v>
      </c>
      <c r="I305" s="133" t="s">
        <v>112</v>
      </c>
      <c r="J305" s="133" t="s">
        <v>102</v>
      </c>
      <c r="K305" s="133" t="s">
        <v>146</v>
      </c>
      <c r="L305" s="141">
        <v>0.0</v>
      </c>
      <c r="M305" s="141">
        <v>0.0</v>
      </c>
      <c r="N305" s="141">
        <v>0.0</v>
      </c>
      <c r="O305" s="141">
        <v>0.0</v>
      </c>
      <c r="P305" s="141">
        <v>0.0</v>
      </c>
      <c r="Q305" s="141">
        <v>0.0</v>
      </c>
      <c r="R305" s="141">
        <v>1.0</v>
      </c>
      <c r="S305" s="141"/>
      <c r="T305" s="142"/>
      <c r="U305" s="142"/>
      <c r="V305" s="142"/>
      <c r="W305" s="142"/>
      <c r="X305" s="142"/>
      <c r="Y305" s="141"/>
      <c r="Z305" s="141"/>
      <c r="AA305" s="141"/>
      <c r="AB305" s="141"/>
      <c r="AC305" s="141"/>
      <c r="AD305" s="141"/>
      <c r="AE305" s="141"/>
    </row>
    <row r="306" ht="17.25" customHeight="1">
      <c r="A306" s="133" t="s">
        <v>23</v>
      </c>
      <c r="B306" s="133" t="s">
        <v>89</v>
      </c>
      <c r="C306" s="133" t="s">
        <v>117</v>
      </c>
      <c r="D306" s="133"/>
      <c r="E306" s="133" t="s">
        <v>118</v>
      </c>
      <c r="F306" s="133" t="s">
        <v>198</v>
      </c>
      <c r="G306" s="140">
        <v>1.493091E7</v>
      </c>
      <c r="H306" s="141">
        <v>7.410224607207E12</v>
      </c>
      <c r="I306" s="133" t="s">
        <v>96</v>
      </c>
      <c r="J306" s="133" t="s">
        <v>94</v>
      </c>
      <c r="K306" s="133" t="s">
        <v>97</v>
      </c>
      <c r="L306" s="141">
        <v>0.0</v>
      </c>
      <c r="M306" s="141">
        <v>0.0</v>
      </c>
      <c r="N306" s="141">
        <v>0.0</v>
      </c>
      <c r="O306" s="141">
        <v>0.0</v>
      </c>
      <c r="P306" s="141">
        <v>0.0</v>
      </c>
      <c r="Q306" s="141">
        <v>0.0</v>
      </c>
      <c r="R306" s="141">
        <v>0.0</v>
      </c>
      <c r="S306" s="141"/>
      <c r="T306" s="142"/>
      <c r="U306" s="142"/>
      <c r="V306" s="142"/>
      <c r="W306" s="142"/>
      <c r="X306" s="142"/>
      <c r="Y306" s="141"/>
      <c r="Z306" s="141"/>
      <c r="AA306" s="141"/>
      <c r="AB306" s="141"/>
      <c r="AC306" s="141"/>
      <c r="AD306" s="141"/>
      <c r="AE306" s="141"/>
    </row>
    <row r="307" ht="17.25" customHeight="1">
      <c r="A307" s="133" t="s">
        <v>23</v>
      </c>
      <c r="B307" s="133" t="s">
        <v>147</v>
      </c>
      <c r="C307" s="133" t="s">
        <v>90</v>
      </c>
      <c r="E307" s="133" t="s">
        <v>148</v>
      </c>
      <c r="F307" s="133" t="s">
        <v>195</v>
      </c>
      <c r="G307" s="140">
        <v>1.4620439E7</v>
      </c>
      <c r="H307" s="141">
        <v>7.4036042082E12</v>
      </c>
      <c r="I307" s="133" t="s">
        <v>135</v>
      </c>
      <c r="J307" s="133" t="s">
        <v>94</v>
      </c>
      <c r="K307" s="133" t="s">
        <v>143</v>
      </c>
      <c r="L307" s="141">
        <v>0.0</v>
      </c>
      <c r="M307" s="141">
        <v>0.0</v>
      </c>
      <c r="N307" s="141">
        <v>1.0</v>
      </c>
      <c r="O307" s="141">
        <v>1702.63</v>
      </c>
      <c r="P307" s="141">
        <v>0.0</v>
      </c>
      <c r="Q307" s="141">
        <v>0.0</v>
      </c>
      <c r="R307" s="141">
        <v>0.0</v>
      </c>
      <c r="S307" s="141"/>
      <c r="T307" s="142"/>
      <c r="U307" s="142"/>
      <c r="V307" s="142"/>
      <c r="W307" s="142"/>
      <c r="X307" s="142"/>
      <c r="Y307" s="141"/>
      <c r="Z307" s="141"/>
      <c r="AA307" s="141"/>
      <c r="AB307" s="141"/>
      <c r="AC307" s="141"/>
      <c r="AD307" s="141"/>
      <c r="AE307" s="141"/>
    </row>
    <row r="308" ht="17.25" customHeight="1">
      <c r="A308" s="133" t="s">
        <v>23</v>
      </c>
      <c r="B308" s="133" t="s">
        <v>89</v>
      </c>
      <c r="C308" s="133" t="s">
        <v>117</v>
      </c>
      <c r="D308" s="133"/>
      <c r="E308" s="133" t="s">
        <v>118</v>
      </c>
      <c r="F308" s="133" t="s">
        <v>121</v>
      </c>
      <c r="G308" s="140">
        <v>1.4936022E7</v>
      </c>
      <c r="H308" s="141">
        <v>7.4002552072E12</v>
      </c>
      <c r="I308" s="133" t="s">
        <v>101</v>
      </c>
      <c r="J308" s="133" t="s">
        <v>94</v>
      </c>
      <c r="K308" s="133" t="s">
        <v>95</v>
      </c>
      <c r="L308" s="141">
        <v>0.0</v>
      </c>
      <c r="M308" s="141">
        <v>0.0</v>
      </c>
      <c r="N308" s="141">
        <v>2.0</v>
      </c>
      <c r="O308" s="141">
        <v>3992.66</v>
      </c>
      <c r="P308" s="141">
        <v>1.0</v>
      </c>
      <c r="Q308" s="141">
        <v>1996.33</v>
      </c>
      <c r="R308" s="141">
        <v>0.0</v>
      </c>
      <c r="S308" s="141"/>
      <c r="T308" s="142"/>
      <c r="U308" s="142"/>
      <c r="V308" s="142"/>
      <c r="W308" s="142"/>
      <c r="X308" s="142"/>
      <c r="Y308" s="141"/>
      <c r="Z308" s="141"/>
      <c r="AA308" s="141"/>
      <c r="AB308" s="141"/>
      <c r="AC308" s="141"/>
      <c r="AD308" s="141"/>
      <c r="AE308" s="141"/>
    </row>
    <row r="309" ht="17.25" customHeight="1">
      <c r="A309" s="133" t="s">
        <v>23</v>
      </c>
      <c r="B309" s="133" t="s">
        <v>147</v>
      </c>
      <c r="C309" s="133" t="s">
        <v>90</v>
      </c>
      <c r="E309" s="133" t="s">
        <v>148</v>
      </c>
      <c r="F309" s="133" t="s">
        <v>195</v>
      </c>
      <c r="G309" s="140">
        <v>1.4620439E7</v>
      </c>
      <c r="H309" s="141">
        <v>7.403604808202E12</v>
      </c>
      <c r="I309" s="133" t="s">
        <v>122</v>
      </c>
      <c r="J309" s="133" t="s">
        <v>94</v>
      </c>
      <c r="K309" s="133" t="s">
        <v>143</v>
      </c>
      <c r="L309" s="141">
        <v>0.0</v>
      </c>
      <c r="M309" s="141">
        <v>0.0</v>
      </c>
      <c r="N309" s="141">
        <v>0.0</v>
      </c>
      <c r="O309" s="141">
        <v>0.0</v>
      </c>
      <c r="P309" s="141">
        <v>1.0</v>
      </c>
      <c r="Q309" s="141">
        <v>1502.32</v>
      </c>
      <c r="R309" s="141">
        <v>0.0</v>
      </c>
      <c r="S309" s="141"/>
      <c r="T309" s="142"/>
      <c r="U309" s="142"/>
      <c r="V309" s="142"/>
      <c r="W309" s="142"/>
      <c r="X309" s="142"/>
      <c r="Y309" s="141"/>
      <c r="Z309" s="141"/>
      <c r="AA309" s="141"/>
      <c r="AB309" s="141"/>
      <c r="AC309" s="141"/>
      <c r="AD309" s="141"/>
      <c r="AE309" s="141"/>
    </row>
    <row r="310" ht="17.25" customHeight="1">
      <c r="A310" s="133" t="s">
        <v>23</v>
      </c>
      <c r="B310" s="133" t="s">
        <v>106</v>
      </c>
      <c r="C310" s="133" t="s">
        <v>90</v>
      </c>
      <c r="E310" s="133" t="s">
        <v>107</v>
      </c>
      <c r="F310" s="133" t="s">
        <v>182</v>
      </c>
      <c r="G310" s="140">
        <v>1.8693271E7</v>
      </c>
      <c r="H310" s="141">
        <v>7.403914208129E12</v>
      </c>
      <c r="I310" s="133" t="s">
        <v>96</v>
      </c>
      <c r="J310" s="133" t="s">
        <v>102</v>
      </c>
      <c r="K310" s="133" t="s">
        <v>95</v>
      </c>
      <c r="L310" s="141">
        <v>0.0</v>
      </c>
      <c r="M310" s="141">
        <v>0.0</v>
      </c>
      <c r="N310" s="141">
        <v>1.0</v>
      </c>
      <c r="O310" s="141">
        <v>2454.3</v>
      </c>
      <c r="P310" s="141">
        <v>1.0</v>
      </c>
      <c r="Q310" s="141">
        <v>2704.27</v>
      </c>
      <c r="R310" s="141">
        <v>25.0</v>
      </c>
      <c r="S310" s="141"/>
      <c r="T310" s="142"/>
      <c r="U310" s="142"/>
      <c r="V310" s="142"/>
      <c r="W310" s="142"/>
      <c r="X310" s="142"/>
      <c r="Y310" s="141"/>
      <c r="Z310" s="141"/>
      <c r="AA310" s="141"/>
      <c r="AB310" s="141"/>
      <c r="AC310" s="141"/>
      <c r="AD310" s="141"/>
      <c r="AE310" s="141"/>
    </row>
    <row r="311" ht="17.25" customHeight="1">
      <c r="A311" s="133" t="s">
        <v>23</v>
      </c>
      <c r="B311" s="133" t="s">
        <v>89</v>
      </c>
      <c r="C311" s="133" t="s">
        <v>117</v>
      </c>
      <c r="D311" s="133"/>
      <c r="E311" s="133" t="s">
        <v>118</v>
      </c>
      <c r="F311" s="133" t="s">
        <v>205</v>
      </c>
      <c r="G311" s="140">
        <v>1.4930913E7</v>
      </c>
      <c r="H311" s="141">
        <v>7.410254607208E12</v>
      </c>
      <c r="I311" s="133" t="s">
        <v>96</v>
      </c>
      <c r="J311" s="133" t="s">
        <v>94</v>
      </c>
      <c r="K311" s="133" t="s">
        <v>104</v>
      </c>
      <c r="L311" s="141">
        <v>0.0</v>
      </c>
      <c r="M311" s="141">
        <v>0.0</v>
      </c>
      <c r="N311" s="141">
        <v>0.0</v>
      </c>
      <c r="O311" s="141">
        <v>0.0</v>
      </c>
      <c r="P311" s="141">
        <v>1.0</v>
      </c>
      <c r="Q311" s="141">
        <v>3246.75</v>
      </c>
      <c r="R311" s="141">
        <v>0.0</v>
      </c>
      <c r="S311" s="141"/>
      <c r="T311" s="142"/>
      <c r="U311" s="142"/>
      <c r="V311" s="142"/>
      <c r="W311" s="142"/>
      <c r="X311" s="142"/>
      <c r="Y311" s="141"/>
      <c r="Z311" s="141"/>
      <c r="AA311" s="141"/>
      <c r="AB311" s="141"/>
      <c r="AC311" s="141"/>
      <c r="AD311" s="141"/>
      <c r="AE311" s="141"/>
    </row>
    <row r="312" ht="16.5" customHeight="1">
      <c r="A312" s="133" t="s">
        <v>23</v>
      </c>
      <c r="B312" s="133" t="s">
        <v>136</v>
      </c>
      <c r="C312" s="133" t="s">
        <v>90</v>
      </c>
      <c r="E312" s="133" t="s">
        <v>161</v>
      </c>
      <c r="F312" s="133" t="s">
        <v>210</v>
      </c>
      <c r="G312" s="140">
        <v>1.388978E7</v>
      </c>
      <c r="H312" s="141">
        <v>7.003525406206E12</v>
      </c>
      <c r="I312" s="133" t="s">
        <v>127</v>
      </c>
      <c r="J312" s="133" t="s">
        <v>94</v>
      </c>
      <c r="K312" s="133" t="s">
        <v>113</v>
      </c>
      <c r="L312" s="141">
        <v>0.0</v>
      </c>
      <c r="M312" s="141">
        <v>0.0</v>
      </c>
      <c r="N312" s="141">
        <v>0.0</v>
      </c>
      <c r="O312" s="141">
        <v>0.0</v>
      </c>
      <c r="P312" s="141">
        <v>1.0</v>
      </c>
      <c r="Q312" s="141">
        <v>2185.51</v>
      </c>
      <c r="R312" s="141">
        <v>0.0</v>
      </c>
      <c r="S312" s="141"/>
      <c r="T312" s="142"/>
      <c r="U312" s="142"/>
      <c r="V312" s="142"/>
      <c r="W312" s="142"/>
      <c r="X312" s="142"/>
      <c r="Y312" s="141"/>
      <c r="Z312" s="141"/>
      <c r="AA312" s="141"/>
      <c r="AB312" s="141"/>
      <c r="AC312" s="141"/>
      <c r="AD312" s="141"/>
      <c r="AE312" s="141"/>
    </row>
    <row r="313" ht="17.25" customHeight="1">
      <c r="A313" s="133" t="s">
        <v>23</v>
      </c>
      <c r="B313" s="133" t="s">
        <v>147</v>
      </c>
      <c r="C313" s="133" t="s">
        <v>90</v>
      </c>
      <c r="E313" s="133" t="s">
        <v>148</v>
      </c>
      <c r="F313" s="133" t="s">
        <v>195</v>
      </c>
      <c r="G313" s="140">
        <v>1.4620439E7</v>
      </c>
      <c r="H313" s="141">
        <v>7.4036042082E12</v>
      </c>
      <c r="I313" s="133" t="s">
        <v>135</v>
      </c>
      <c r="J313" s="133" t="s">
        <v>94</v>
      </c>
      <c r="K313" s="133" t="s">
        <v>95</v>
      </c>
      <c r="L313" s="141">
        <v>0.0</v>
      </c>
      <c r="M313" s="141">
        <v>0.0</v>
      </c>
      <c r="N313" s="141">
        <v>1.0</v>
      </c>
      <c r="O313" s="141">
        <v>1702.63</v>
      </c>
      <c r="P313" s="141">
        <v>0.0</v>
      </c>
      <c r="Q313" s="141">
        <v>0.0</v>
      </c>
      <c r="R313" s="141">
        <v>0.0</v>
      </c>
      <c r="S313" s="141"/>
      <c r="T313" s="142"/>
      <c r="U313" s="142"/>
      <c r="V313" s="142"/>
      <c r="W313" s="142"/>
      <c r="X313" s="142"/>
      <c r="Y313" s="141"/>
      <c r="Z313" s="141"/>
      <c r="AA313" s="141"/>
      <c r="AB313" s="141"/>
      <c r="AC313" s="141"/>
      <c r="AD313" s="141"/>
      <c r="AE313" s="141"/>
    </row>
    <row r="314" ht="17.25" customHeight="1">
      <c r="A314" s="133" t="s">
        <v>23</v>
      </c>
      <c r="B314" s="133" t="s">
        <v>147</v>
      </c>
      <c r="C314" s="133" t="s">
        <v>90</v>
      </c>
      <c r="E314" s="133" t="s">
        <v>148</v>
      </c>
      <c r="F314" s="133" t="s">
        <v>195</v>
      </c>
      <c r="G314" s="140">
        <v>1.4620439E7</v>
      </c>
      <c r="H314" s="141">
        <v>7.403604808202E12</v>
      </c>
      <c r="I314" s="133" t="s">
        <v>122</v>
      </c>
      <c r="J314" s="133" t="s">
        <v>94</v>
      </c>
      <c r="K314" s="133" t="s">
        <v>113</v>
      </c>
      <c r="L314" s="141">
        <v>0.0</v>
      </c>
      <c r="M314" s="141">
        <v>0.0</v>
      </c>
      <c r="N314" s="141">
        <v>0.0</v>
      </c>
      <c r="O314" s="141">
        <v>0.0</v>
      </c>
      <c r="P314" s="141">
        <v>1.0</v>
      </c>
      <c r="Q314" s="141">
        <v>1702.63</v>
      </c>
      <c r="R314" s="141">
        <v>0.0</v>
      </c>
      <c r="S314" s="141"/>
      <c r="T314" s="142"/>
      <c r="U314" s="142"/>
      <c r="V314" s="142"/>
      <c r="W314" s="142"/>
      <c r="X314" s="142"/>
      <c r="Y314" s="141"/>
      <c r="Z314" s="141"/>
      <c r="AA314" s="141"/>
      <c r="AB314" s="141"/>
      <c r="AC314" s="141"/>
      <c r="AD314" s="141"/>
      <c r="AE314" s="141"/>
    </row>
    <row r="315" ht="17.25" customHeight="1">
      <c r="A315" s="133" t="s">
        <v>23</v>
      </c>
      <c r="B315" s="133" t="s">
        <v>106</v>
      </c>
      <c r="C315" s="133" t="s">
        <v>90</v>
      </c>
      <c r="E315" s="133" t="s">
        <v>107</v>
      </c>
      <c r="F315" s="133" t="s">
        <v>188</v>
      </c>
      <c r="G315" s="140">
        <v>1.7615825E7</v>
      </c>
      <c r="H315" s="141">
        <v>7.403904607123E12</v>
      </c>
      <c r="I315" s="133" t="s">
        <v>122</v>
      </c>
      <c r="J315" s="133" t="s">
        <v>102</v>
      </c>
      <c r="K315" s="133" t="s">
        <v>95</v>
      </c>
      <c r="L315" s="141">
        <v>0.0</v>
      </c>
      <c r="M315" s="141">
        <v>0.0</v>
      </c>
      <c r="N315" s="141">
        <v>0.0</v>
      </c>
      <c r="O315" s="141">
        <v>0.0</v>
      </c>
      <c r="P315" s="141">
        <v>-1.0</v>
      </c>
      <c r="Q315" s="141">
        <v>-3272.4</v>
      </c>
      <c r="R315" s="141">
        <v>43.0</v>
      </c>
      <c r="S315" s="141"/>
      <c r="T315" s="142"/>
      <c r="U315" s="142"/>
      <c r="V315" s="142"/>
      <c r="W315" s="142"/>
      <c r="X315" s="142"/>
      <c r="Y315" s="141"/>
      <c r="Z315" s="141"/>
      <c r="AA315" s="141"/>
      <c r="AB315" s="141"/>
      <c r="AC315" s="141"/>
      <c r="AD315" s="141"/>
      <c r="AE315" s="141"/>
    </row>
    <row r="316" ht="17.25" customHeight="1">
      <c r="A316" s="133" t="s">
        <v>23</v>
      </c>
      <c r="B316" s="133" t="s">
        <v>136</v>
      </c>
      <c r="C316" s="133" t="s">
        <v>90</v>
      </c>
      <c r="E316" s="133" t="s">
        <v>137</v>
      </c>
      <c r="F316" s="133" t="s">
        <v>34</v>
      </c>
      <c r="G316" s="140">
        <v>1.4601365E7</v>
      </c>
      <c r="H316" s="141">
        <v>7.4035854082E12</v>
      </c>
      <c r="I316" s="133" t="s">
        <v>138</v>
      </c>
      <c r="J316" s="133" t="s">
        <v>102</v>
      </c>
      <c r="K316" s="133" t="s">
        <v>95</v>
      </c>
      <c r="L316" s="141">
        <v>0.0</v>
      </c>
      <c r="M316" s="141">
        <v>0.0</v>
      </c>
      <c r="N316" s="141">
        <v>11.0</v>
      </c>
      <c r="O316" s="141">
        <v>17246.55</v>
      </c>
      <c r="P316" s="141">
        <v>4.0</v>
      </c>
      <c r="Q316" s="141">
        <v>6392.85</v>
      </c>
      <c r="R316" s="141">
        <v>112.0</v>
      </c>
      <c r="S316" s="141"/>
      <c r="T316" s="142"/>
      <c r="U316" s="142"/>
      <c r="V316" s="142"/>
      <c r="W316" s="142"/>
      <c r="X316" s="142"/>
      <c r="Y316" s="141"/>
      <c r="Z316" s="141"/>
      <c r="AA316" s="141"/>
      <c r="AB316" s="141"/>
      <c r="AC316" s="141"/>
      <c r="AD316" s="141"/>
      <c r="AE316" s="141"/>
    </row>
    <row r="317" ht="17.25" customHeight="1">
      <c r="A317" s="133" t="s">
        <v>23</v>
      </c>
      <c r="B317" s="133" t="s">
        <v>89</v>
      </c>
      <c r="C317" s="133" t="s">
        <v>90</v>
      </c>
      <c r="E317" s="133" t="s">
        <v>91</v>
      </c>
      <c r="F317" s="133" t="s">
        <v>156</v>
      </c>
      <c r="G317" s="140">
        <v>1.1210359E7</v>
      </c>
      <c r="H317" s="141">
        <v>7.600205200002E12</v>
      </c>
      <c r="I317" s="133" t="s">
        <v>101</v>
      </c>
      <c r="J317" s="133" t="s">
        <v>94</v>
      </c>
      <c r="K317" s="133" t="s">
        <v>113</v>
      </c>
      <c r="L317" s="141">
        <v>0.0</v>
      </c>
      <c r="M317" s="141">
        <v>0.0</v>
      </c>
      <c r="N317" s="141">
        <v>0.0</v>
      </c>
      <c r="O317" s="141">
        <v>0.0</v>
      </c>
      <c r="P317" s="141">
        <v>1.0</v>
      </c>
      <c r="Q317" s="141">
        <v>3083.91</v>
      </c>
      <c r="R317" s="141">
        <v>0.0</v>
      </c>
      <c r="S317" s="141"/>
      <c r="T317" s="142"/>
      <c r="U317" s="142"/>
      <c r="V317" s="142"/>
      <c r="W317" s="142"/>
      <c r="X317" s="142"/>
      <c r="Y317" s="141"/>
      <c r="Z317" s="141"/>
      <c r="AA317" s="141"/>
      <c r="AB317" s="141"/>
      <c r="AC317" s="141"/>
      <c r="AD317" s="141"/>
      <c r="AE317" s="141"/>
    </row>
    <row r="318" ht="17.25" customHeight="1">
      <c r="A318" s="133" t="s">
        <v>23</v>
      </c>
      <c r="B318" s="133" t="s">
        <v>89</v>
      </c>
      <c r="C318" s="133" t="s">
        <v>90</v>
      </c>
      <c r="E318" s="133" t="s">
        <v>91</v>
      </c>
      <c r="F318" s="133" t="s">
        <v>156</v>
      </c>
      <c r="G318" s="140">
        <v>1.1210359E7</v>
      </c>
      <c r="H318" s="141">
        <v>7.6002056E12</v>
      </c>
      <c r="I318" s="133" t="s">
        <v>112</v>
      </c>
      <c r="J318" s="133" t="s">
        <v>102</v>
      </c>
      <c r="K318" s="133" t="s">
        <v>95</v>
      </c>
      <c r="L318" s="141">
        <v>0.0</v>
      </c>
      <c r="M318" s="141">
        <v>0.0</v>
      </c>
      <c r="N318" s="141">
        <v>1.0</v>
      </c>
      <c r="O318" s="141">
        <v>2467.97</v>
      </c>
      <c r="P318" s="141">
        <v>0.0</v>
      </c>
      <c r="Q318" s="141">
        <v>0.0</v>
      </c>
      <c r="R318" s="141">
        <v>7.0</v>
      </c>
      <c r="S318" s="141"/>
      <c r="T318" s="142"/>
      <c r="U318" s="142"/>
      <c r="V318" s="142"/>
      <c r="W318" s="142"/>
      <c r="X318" s="142"/>
      <c r="Y318" s="141"/>
      <c r="Z318" s="141"/>
      <c r="AA318" s="141"/>
      <c r="AB318" s="141"/>
      <c r="AC318" s="141"/>
      <c r="AD318" s="141"/>
      <c r="AE318" s="141"/>
    </row>
    <row r="319" ht="17.25" customHeight="1">
      <c r="A319" s="133" t="s">
        <v>23</v>
      </c>
      <c r="B319" s="133" t="s">
        <v>136</v>
      </c>
      <c r="C319" s="133" t="s">
        <v>90</v>
      </c>
      <c r="E319" s="133" t="s">
        <v>161</v>
      </c>
      <c r="F319" s="133" t="s">
        <v>210</v>
      </c>
      <c r="G319" s="140">
        <v>1.388978E7</v>
      </c>
      <c r="H319" s="141">
        <v>7.003525406206E12</v>
      </c>
      <c r="I319" s="133" t="s">
        <v>127</v>
      </c>
      <c r="J319" s="133" t="s">
        <v>102</v>
      </c>
      <c r="K319" s="133" t="s">
        <v>95</v>
      </c>
      <c r="L319" s="141">
        <v>0.0</v>
      </c>
      <c r="M319" s="141">
        <v>0.0</v>
      </c>
      <c r="N319" s="141">
        <v>9.0</v>
      </c>
      <c r="O319" s="141">
        <v>18059.25</v>
      </c>
      <c r="P319" s="141">
        <v>8.0</v>
      </c>
      <c r="Q319" s="141">
        <v>16638.31</v>
      </c>
      <c r="R319" s="141">
        <v>150.0</v>
      </c>
      <c r="S319" s="141"/>
      <c r="T319" s="142"/>
      <c r="U319" s="142"/>
      <c r="V319" s="142"/>
      <c r="W319" s="142"/>
      <c r="X319" s="142"/>
      <c r="Y319" s="141"/>
      <c r="Z319" s="141"/>
      <c r="AA319" s="141"/>
      <c r="AB319" s="141"/>
      <c r="AC319" s="141"/>
      <c r="AD319" s="141"/>
      <c r="AE319" s="141"/>
    </row>
    <row r="320" ht="17.25" customHeight="1">
      <c r="A320" s="133" t="s">
        <v>23</v>
      </c>
      <c r="B320" s="133" t="s">
        <v>89</v>
      </c>
      <c r="C320" s="133" t="s">
        <v>90</v>
      </c>
      <c r="E320" s="133" t="s">
        <v>91</v>
      </c>
      <c r="F320" s="133" t="s">
        <v>156</v>
      </c>
      <c r="G320" s="140">
        <v>1.1210359E7</v>
      </c>
      <c r="H320" s="141">
        <v>7.600205200002E12</v>
      </c>
      <c r="I320" s="133" t="s">
        <v>101</v>
      </c>
      <c r="J320" s="133" t="s">
        <v>94</v>
      </c>
      <c r="K320" s="133" t="s">
        <v>95</v>
      </c>
      <c r="L320" s="141">
        <v>0.0</v>
      </c>
      <c r="M320" s="141">
        <v>0.0</v>
      </c>
      <c r="N320" s="141">
        <v>2.0</v>
      </c>
      <c r="O320" s="141">
        <v>5594.08</v>
      </c>
      <c r="P320" s="141">
        <v>5.0</v>
      </c>
      <c r="Q320" s="141">
        <v>14356.42</v>
      </c>
      <c r="R320" s="141">
        <v>0.0</v>
      </c>
      <c r="S320" s="141"/>
      <c r="T320" s="142"/>
      <c r="U320" s="142"/>
      <c r="V320" s="142"/>
      <c r="W320" s="142"/>
      <c r="X320" s="142"/>
      <c r="Y320" s="141"/>
      <c r="Z320" s="141"/>
      <c r="AA320" s="141"/>
      <c r="AB320" s="141"/>
      <c r="AC320" s="141"/>
      <c r="AD320" s="141"/>
      <c r="AE320" s="141"/>
    </row>
    <row r="321" ht="17.25" customHeight="1">
      <c r="A321" s="133" t="s">
        <v>23</v>
      </c>
      <c r="B321" s="133" t="s">
        <v>89</v>
      </c>
      <c r="C321" s="133" t="s">
        <v>117</v>
      </c>
      <c r="D321" s="133"/>
      <c r="E321" s="133" t="s">
        <v>118</v>
      </c>
      <c r="F321" s="133" t="s">
        <v>198</v>
      </c>
      <c r="G321" s="140">
        <v>1.493091E7</v>
      </c>
      <c r="H321" s="141">
        <v>7.410224607207E12</v>
      </c>
      <c r="I321" s="133" t="s">
        <v>96</v>
      </c>
      <c r="J321" s="133" t="s">
        <v>102</v>
      </c>
      <c r="K321" s="133" t="s">
        <v>95</v>
      </c>
      <c r="L321" s="141">
        <v>0.0</v>
      </c>
      <c r="M321" s="141">
        <v>0.0</v>
      </c>
      <c r="N321" s="141">
        <v>1.0</v>
      </c>
      <c r="O321" s="141">
        <v>3249.8</v>
      </c>
      <c r="P321" s="141">
        <v>0.0</v>
      </c>
      <c r="Q321" s="141">
        <v>0.0</v>
      </c>
      <c r="R321" s="141">
        <v>4.0</v>
      </c>
      <c r="S321" s="141"/>
      <c r="T321" s="142"/>
      <c r="U321" s="142"/>
      <c r="V321" s="142"/>
      <c r="W321" s="142"/>
      <c r="X321" s="142"/>
      <c r="Y321" s="141"/>
      <c r="Z321" s="141"/>
      <c r="AA321" s="141"/>
      <c r="AB321" s="141"/>
      <c r="AC321" s="141"/>
      <c r="AD321" s="141"/>
      <c r="AE321" s="141"/>
    </row>
    <row r="322" ht="17.25" customHeight="1">
      <c r="A322" s="133" t="s">
        <v>23</v>
      </c>
      <c r="B322" s="133" t="s">
        <v>89</v>
      </c>
      <c r="C322" s="133" t="s">
        <v>90</v>
      </c>
      <c r="E322" s="133" t="s">
        <v>91</v>
      </c>
      <c r="F322" s="133" t="s">
        <v>142</v>
      </c>
      <c r="G322" s="140">
        <v>1.4936023E7</v>
      </c>
      <c r="H322" s="141">
        <v>7.400264809204E12</v>
      </c>
      <c r="I322" s="133" t="s">
        <v>93</v>
      </c>
      <c r="J322" s="133" t="s">
        <v>102</v>
      </c>
      <c r="K322" s="133" t="s">
        <v>95</v>
      </c>
      <c r="L322" s="141">
        <v>0.0</v>
      </c>
      <c r="M322" s="141">
        <v>0.0</v>
      </c>
      <c r="N322" s="141">
        <v>3.0</v>
      </c>
      <c r="O322" s="141">
        <v>5428.56</v>
      </c>
      <c r="P322" s="141">
        <v>1.0</v>
      </c>
      <c r="Q322" s="141">
        <v>2011.54</v>
      </c>
      <c r="R322" s="141">
        <v>12.0</v>
      </c>
      <c r="S322" s="141"/>
      <c r="T322" s="142"/>
      <c r="U322" s="142"/>
      <c r="V322" s="142"/>
      <c r="W322" s="142"/>
      <c r="X322" s="142"/>
      <c r="Y322" s="141"/>
      <c r="Z322" s="141"/>
      <c r="AA322" s="141"/>
      <c r="AB322" s="141"/>
      <c r="AC322" s="141"/>
      <c r="AD322" s="141"/>
      <c r="AE322" s="141"/>
    </row>
    <row r="323" ht="17.25" customHeight="1">
      <c r="A323" s="133" t="s">
        <v>23</v>
      </c>
      <c r="B323" s="133" t="s">
        <v>89</v>
      </c>
      <c r="C323" s="133" t="s">
        <v>90</v>
      </c>
      <c r="E323" s="133" t="s">
        <v>91</v>
      </c>
      <c r="F323" s="133" t="s">
        <v>142</v>
      </c>
      <c r="G323" s="140">
        <v>1.4936023E7</v>
      </c>
      <c r="H323" s="141">
        <v>7.400264809204E12</v>
      </c>
      <c r="I323" s="133" t="s">
        <v>93</v>
      </c>
      <c r="J323" s="133" t="s">
        <v>94</v>
      </c>
      <c r="K323" s="133" t="s">
        <v>146</v>
      </c>
      <c r="L323" s="141">
        <v>0.0</v>
      </c>
      <c r="M323" s="141">
        <v>0.0</v>
      </c>
      <c r="N323" s="141">
        <v>0.0</v>
      </c>
      <c r="O323" s="141">
        <v>0.0</v>
      </c>
      <c r="P323" s="141">
        <v>1.0</v>
      </c>
      <c r="Q323" s="141">
        <v>2011.54</v>
      </c>
      <c r="R323" s="141">
        <v>0.0</v>
      </c>
      <c r="S323" s="141"/>
      <c r="T323" s="142"/>
      <c r="U323" s="142"/>
      <c r="V323" s="142"/>
      <c r="W323" s="142"/>
      <c r="X323" s="142"/>
      <c r="Y323" s="141"/>
      <c r="Z323" s="141"/>
      <c r="AA323" s="141"/>
      <c r="AB323" s="141"/>
      <c r="AC323" s="141"/>
      <c r="AD323" s="141"/>
      <c r="AE323" s="141"/>
    </row>
    <row r="324" ht="17.25" customHeight="1">
      <c r="A324" s="133" t="s">
        <v>23</v>
      </c>
      <c r="B324" s="133" t="s">
        <v>147</v>
      </c>
      <c r="C324" s="133" t="s">
        <v>90</v>
      </c>
      <c r="E324" s="133" t="s">
        <v>148</v>
      </c>
      <c r="F324" s="133" t="s">
        <v>195</v>
      </c>
      <c r="G324" s="140">
        <v>1.4620439E7</v>
      </c>
      <c r="H324" s="141">
        <v>7.403604808202E12</v>
      </c>
      <c r="I324" s="133" t="s">
        <v>122</v>
      </c>
      <c r="J324" s="133" t="s">
        <v>94</v>
      </c>
      <c r="K324" s="133" t="s">
        <v>97</v>
      </c>
      <c r="L324" s="141">
        <v>0.0</v>
      </c>
      <c r="M324" s="141">
        <v>0.0</v>
      </c>
      <c r="N324" s="141">
        <v>0.0</v>
      </c>
      <c r="O324" s="141">
        <v>0.0</v>
      </c>
      <c r="P324" s="141">
        <v>1.0</v>
      </c>
      <c r="Q324" s="141">
        <v>1702.63</v>
      </c>
      <c r="R324" s="141">
        <v>0.0</v>
      </c>
      <c r="S324" s="141"/>
      <c r="T324" s="142"/>
      <c r="U324" s="142"/>
      <c r="V324" s="142"/>
      <c r="W324" s="142"/>
      <c r="X324" s="142"/>
      <c r="Y324" s="141"/>
      <c r="Z324" s="141"/>
      <c r="AA324" s="141"/>
      <c r="AB324" s="141"/>
      <c r="AC324" s="141"/>
      <c r="AD324" s="141"/>
      <c r="AE324" s="141"/>
    </row>
    <row r="325" ht="17.25" customHeight="1">
      <c r="A325" s="133" t="s">
        <v>23</v>
      </c>
      <c r="B325" s="133" t="s">
        <v>129</v>
      </c>
      <c r="C325" s="133" t="s">
        <v>90</v>
      </c>
      <c r="E325" s="133" t="s">
        <v>130</v>
      </c>
      <c r="F325" s="133" t="s">
        <v>131</v>
      </c>
      <c r="G325" s="140">
        <v>1.3176416E7</v>
      </c>
      <c r="H325" s="141">
        <v>7.003312906209E12</v>
      </c>
      <c r="I325" s="133" t="s">
        <v>211</v>
      </c>
      <c r="J325" s="133" t="s">
        <v>102</v>
      </c>
      <c r="K325" s="133" t="s">
        <v>95</v>
      </c>
      <c r="L325" s="141">
        <v>0.0</v>
      </c>
      <c r="M325" s="141">
        <v>0.0</v>
      </c>
      <c r="N325" s="141">
        <v>1.0</v>
      </c>
      <c r="O325" s="141">
        <v>1447.04</v>
      </c>
      <c r="P325" s="141">
        <v>0.0</v>
      </c>
      <c r="Q325" s="141">
        <v>0.0</v>
      </c>
      <c r="R325" s="141">
        <v>1.0</v>
      </c>
      <c r="S325" s="141"/>
      <c r="T325" s="142"/>
      <c r="U325" s="142"/>
      <c r="V325" s="142"/>
      <c r="W325" s="142"/>
      <c r="X325" s="142"/>
      <c r="Y325" s="141"/>
      <c r="Z325" s="141"/>
      <c r="AA325" s="141"/>
      <c r="AB325" s="141"/>
      <c r="AC325" s="141"/>
      <c r="AD325" s="141"/>
      <c r="AE325" s="141"/>
    </row>
    <row r="326" ht="17.25" customHeight="1">
      <c r="A326" s="133" t="s">
        <v>23</v>
      </c>
      <c r="B326" s="133" t="s">
        <v>89</v>
      </c>
      <c r="C326" s="133" t="s">
        <v>90</v>
      </c>
      <c r="E326" s="133" t="s">
        <v>91</v>
      </c>
      <c r="F326" s="133" t="s">
        <v>156</v>
      </c>
      <c r="G326" s="140">
        <v>1.1210359E7</v>
      </c>
      <c r="H326" s="141">
        <v>7.6002056E12</v>
      </c>
      <c r="I326" s="133" t="s">
        <v>112</v>
      </c>
      <c r="J326" s="133" t="s">
        <v>102</v>
      </c>
      <c r="K326" s="133" t="s">
        <v>146</v>
      </c>
      <c r="L326" s="141">
        <v>0.0</v>
      </c>
      <c r="M326" s="141">
        <v>0.0</v>
      </c>
      <c r="N326" s="141">
        <v>0.0</v>
      </c>
      <c r="O326" s="141">
        <v>0.0</v>
      </c>
      <c r="P326" s="141">
        <v>0.0</v>
      </c>
      <c r="Q326" s="141">
        <v>0.0</v>
      </c>
      <c r="R326" s="141">
        <v>1.0</v>
      </c>
      <c r="S326" s="141"/>
      <c r="T326" s="142"/>
      <c r="U326" s="142"/>
      <c r="V326" s="142"/>
      <c r="W326" s="142"/>
      <c r="X326" s="142"/>
      <c r="Y326" s="141"/>
      <c r="Z326" s="141"/>
      <c r="AA326" s="141"/>
      <c r="AB326" s="141"/>
      <c r="AC326" s="141"/>
      <c r="AD326" s="141"/>
      <c r="AE326" s="141"/>
    </row>
    <row r="327" ht="17.25" customHeight="1">
      <c r="A327" s="133" t="s">
        <v>23</v>
      </c>
      <c r="B327" s="133" t="s">
        <v>136</v>
      </c>
      <c r="C327" s="133" t="s">
        <v>90</v>
      </c>
      <c r="E327" s="133" t="s">
        <v>137</v>
      </c>
      <c r="F327" s="133" t="s">
        <v>34</v>
      </c>
      <c r="G327" s="140">
        <v>1.4601365E7</v>
      </c>
      <c r="H327" s="141">
        <v>7.4035854082E12</v>
      </c>
      <c r="I327" s="133" t="s">
        <v>138</v>
      </c>
      <c r="J327" s="133" t="s">
        <v>102</v>
      </c>
      <c r="K327" s="133" t="s">
        <v>95</v>
      </c>
      <c r="L327" s="141">
        <v>0.0</v>
      </c>
      <c r="M327" s="141">
        <v>0.0</v>
      </c>
      <c r="N327" s="141">
        <v>0.0</v>
      </c>
      <c r="O327" s="141">
        <v>0.0</v>
      </c>
      <c r="P327" s="141">
        <v>0.0</v>
      </c>
      <c r="Q327" s="141">
        <v>0.0</v>
      </c>
      <c r="R327" s="141">
        <v>1.0</v>
      </c>
      <c r="S327" s="141"/>
      <c r="T327" s="142"/>
      <c r="U327" s="142"/>
      <c r="V327" s="142"/>
      <c r="W327" s="142"/>
      <c r="X327" s="142"/>
      <c r="Y327" s="141"/>
      <c r="Z327" s="141"/>
      <c r="AA327" s="141"/>
      <c r="AB327" s="141"/>
      <c r="AC327" s="141"/>
      <c r="AD327" s="141"/>
      <c r="AE327" s="141"/>
    </row>
    <row r="328" ht="17.25" customHeight="1">
      <c r="A328" s="133" t="s">
        <v>23</v>
      </c>
      <c r="B328" s="133" t="s">
        <v>152</v>
      </c>
      <c r="C328" s="133" t="s">
        <v>153</v>
      </c>
      <c r="D328" s="133"/>
      <c r="E328" s="133" t="s">
        <v>154</v>
      </c>
      <c r="F328" s="133" t="s">
        <v>155</v>
      </c>
      <c r="G328" s="140">
        <v>1.3515427E7</v>
      </c>
      <c r="H328" s="141">
        <v>7.003263006201E12</v>
      </c>
      <c r="I328" s="141">
        <v>30.0</v>
      </c>
      <c r="J328" s="133" t="s">
        <v>102</v>
      </c>
      <c r="K328" s="133" t="s">
        <v>95</v>
      </c>
      <c r="L328" s="141">
        <v>0.0</v>
      </c>
      <c r="M328" s="141">
        <v>0.0</v>
      </c>
      <c r="N328" s="141">
        <v>0.0</v>
      </c>
      <c r="O328" s="141">
        <v>0.0</v>
      </c>
      <c r="P328" s="141">
        <v>0.0</v>
      </c>
      <c r="Q328" s="141">
        <v>0.0</v>
      </c>
      <c r="R328" s="141">
        <v>2.0</v>
      </c>
      <c r="S328" s="141"/>
      <c r="T328" s="142"/>
      <c r="U328" s="142"/>
      <c r="V328" s="142"/>
      <c r="W328" s="142"/>
      <c r="X328" s="142"/>
      <c r="Y328" s="141"/>
      <c r="Z328" s="141"/>
      <c r="AA328" s="141"/>
      <c r="AB328" s="141"/>
      <c r="AC328" s="141"/>
      <c r="AD328" s="141"/>
      <c r="AE328" s="141"/>
    </row>
    <row r="329" ht="17.25" customHeight="1">
      <c r="A329" s="133" t="s">
        <v>23</v>
      </c>
      <c r="B329" s="133" t="s">
        <v>89</v>
      </c>
      <c r="C329" s="133" t="s">
        <v>117</v>
      </c>
      <c r="D329" s="133"/>
      <c r="E329" s="133" t="s">
        <v>118</v>
      </c>
      <c r="F329" s="133" t="s">
        <v>198</v>
      </c>
      <c r="G329" s="140">
        <v>1.493091E7</v>
      </c>
      <c r="H329" s="141">
        <v>7.410224607207E12</v>
      </c>
      <c r="I329" s="133" t="s">
        <v>96</v>
      </c>
      <c r="J329" s="133" t="s">
        <v>102</v>
      </c>
      <c r="K329" s="133" t="s">
        <v>104</v>
      </c>
      <c r="L329" s="141">
        <v>0.0</v>
      </c>
      <c r="M329" s="141">
        <v>0.0</v>
      </c>
      <c r="N329" s="141">
        <v>0.0</v>
      </c>
      <c r="O329" s="141">
        <v>0.0</v>
      </c>
      <c r="P329" s="141">
        <v>0.0</v>
      </c>
      <c r="Q329" s="141">
        <v>0.0</v>
      </c>
      <c r="R329" s="141">
        <v>1.0</v>
      </c>
      <c r="S329" s="141"/>
      <c r="T329" s="142"/>
      <c r="U329" s="142"/>
      <c r="V329" s="142"/>
      <c r="W329" s="142"/>
      <c r="X329" s="142"/>
      <c r="Y329" s="141"/>
      <c r="Z329" s="141"/>
      <c r="AA329" s="141"/>
      <c r="AB329" s="141"/>
      <c r="AC329" s="141"/>
      <c r="AD329" s="141"/>
      <c r="AE329" s="141"/>
    </row>
    <row r="330" ht="17.25" customHeight="1">
      <c r="A330" s="133" t="s">
        <v>23</v>
      </c>
      <c r="B330" s="133" t="s">
        <v>89</v>
      </c>
      <c r="C330" s="133" t="s">
        <v>117</v>
      </c>
      <c r="D330" s="133"/>
      <c r="E330" s="133" t="s">
        <v>118</v>
      </c>
      <c r="F330" s="133" t="s">
        <v>198</v>
      </c>
      <c r="G330" s="140">
        <v>1.493091E7</v>
      </c>
      <c r="H330" s="141">
        <v>7.410224407203E12</v>
      </c>
      <c r="I330" s="133" t="s">
        <v>135</v>
      </c>
      <c r="J330" s="133" t="s">
        <v>102</v>
      </c>
      <c r="K330" s="133" t="s">
        <v>104</v>
      </c>
      <c r="L330" s="141">
        <v>0.0</v>
      </c>
      <c r="M330" s="141">
        <v>0.0</v>
      </c>
      <c r="N330" s="141">
        <v>0.0</v>
      </c>
      <c r="O330" s="141">
        <v>0.0</v>
      </c>
      <c r="P330" s="141">
        <v>0.0</v>
      </c>
      <c r="Q330" s="141">
        <v>0.0</v>
      </c>
      <c r="R330" s="141">
        <v>1.0</v>
      </c>
      <c r="S330" s="141"/>
      <c r="T330" s="142"/>
      <c r="U330" s="142"/>
      <c r="V330" s="142"/>
      <c r="W330" s="142"/>
      <c r="X330" s="142"/>
      <c r="Y330" s="141"/>
      <c r="Z330" s="141"/>
      <c r="AA330" s="141"/>
      <c r="AB330" s="141"/>
      <c r="AC330" s="141"/>
      <c r="AD330" s="141"/>
      <c r="AE330" s="141"/>
    </row>
    <row r="331" ht="17.25" customHeight="1">
      <c r="A331" s="133" t="s">
        <v>23</v>
      </c>
      <c r="B331" s="133" t="s">
        <v>89</v>
      </c>
      <c r="C331" s="133" t="s">
        <v>117</v>
      </c>
      <c r="D331" s="133"/>
      <c r="E331" s="133" t="s">
        <v>118</v>
      </c>
      <c r="F331" s="133" t="s">
        <v>198</v>
      </c>
      <c r="G331" s="140">
        <v>1.493091E7</v>
      </c>
      <c r="H331" s="141">
        <v>7.410224607207E12</v>
      </c>
      <c r="I331" s="133" t="s">
        <v>96</v>
      </c>
      <c r="J331" s="133" t="s">
        <v>102</v>
      </c>
      <c r="K331" s="133" t="s">
        <v>146</v>
      </c>
      <c r="L331" s="141">
        <v>0.0</v>
      </c>
      <c r="M331" s="141">
        <v>0.0</v>
      </c>
      <c r="N331" s="141">
        <v>0.0</v>
      </c>
      <c r="O331" s="141">
        <v>0.0</v>
      </c>
      <c r="P331" s="141">
        <v>0.0</v>
      </c>
      <c r="Q331" s="141">
        <v>0.0</v>
      </c>
      <c r="R331" s="141">
        <v>1.0</v>
      </c>
      <c r="S331" s="141"/>
      <c r="T331" s="142"/>
      <c r="U331" s="142"/>
      <c r="V331" s="142"/>
      <c r="W331" s="142"/>
      <c r="X331" s="142"/>
      <c r="Y331" s="141"/>
      <c r="Z331" s="141"/>
      <c r="AA331" s="141"/>
      <c r="AB331" s="141"/>
      <c r="AC331" s="141"/>
      <c r="AD331" s="141"/>
      <c r="AE331" s="141"/>
    </row>
    <row r="332" ht="17.25" customHeight="1">
      <c r="A332" s="133" t="s">
        <v>23</v>
      </c>
      <c r="B332" s="133" t="s">
        <v>106</v>
      </c>
      <c r="C332" s="133" t="s">
        <v>90</v>
      </c>
      <c r="E332" s="133" t="s">
        <v>107</v>
      </c>
      <c r="F332" s="133" t="s">
        <v>188</v>
      </c>
      <c r="G332" s="140">
        <v>1.7615825E7</v>
      </c>
      <c r="H332" s="141">
        <v>7.403904607123E12</v>
      </c>
      <c r="I332" s="133" t="s">
        <v>122</v>
      </c>
      <c r="J332" s="133" t="s">
        <v>102</v>
      </c>
      <c r="K332" s="133" t="s">
        <v>97</v>
      </c>
      <c r="L332" s="141">
        <v>0.0</v>
      </c>
      <c r="M332" s="141">
        <v>0.0</v>
      </c>
      <c r="N332" s="141">
        <v>0.0</v>
      </c>
      <c r="O332" s="141">
        <v>0.0</v>
      </c>
      <c r="P332" s="141">
        <v>0.0</v>
      </c>
      <c r="Q332" s="141">
        <v>0.0</v>
      </c>
      <c r="R332" s="141">
        <v>1.0</v>
      </c>
      <c r="S332" s="141"/>
      <c r="T332" s="142"/>
      <c r="U332" s="142"/>
      <c r="V332" s="142"/>
      <c r="W332" s="142"/>
      <c r="X332" s="142"/>
      <c r="Y332" s="141"/>
      <c r="Z332" s="141"/>
      <c r="AA332" s="141"/>
      <c r="AB332" s="141"/>
      <c r="AC332" s="141"/>
      <c r="AD332" s="141"/>
      <c r="AE332" s="141"/>
    </row>
    <row r="333" ht="17.25" customHeight="1">
      <c r="A333" s="133" t="s">
        <v>23</v>
      </c>
      <c r="B333" s="133" t="s">
        <v>158</v>
      </c>
      <c r="C333" s="133"/>
      <c r="D333" s="133"/>
      <c r="E333" s="133" t="s">
        <v>159</v>
      </c>
      <c r="F333" s="133" t="s">
        <v>212</v>
      </c>
      <c r="G333" s="140">
        <v>1.6123095E7</v>
      </c>
      <c r="H333" s="141">
        <v>7.003445609206E12</v>
      </c>
      <c r="I333" s="133" t="s">
        <v>112</v>
      </c>
      <c r="J333" s="133" t="s">
        <v>102</v>
      </c>
      <c r="K333" s="133" t="s">
        <v>97</v>
      </c>
      <c r="L333" s="141">
        <v>0.0</v>
      </c>
      <c r="M333" s="141">
        <v>0.0</v>
      </c>
      <c r="N333" s="141">
        <v>0.0</v>
      </c>
      <c r="O333" s="141">
        <v>0.0</v>
      </c>
      <c r="P333" s="141">
        <v>0.0</v>
      </c>
      <c r="Q333" s="141">
        <v>0.0</v>
      </c>
      <c r="R333" s="141">
        <v>1.0</v>
      </c>
      <c r="S333" s="141"/>
      <c r="T333" s="142"/>
      <c r="U333" s="142"/>
      <c r="V333" s="142"/>
      <c r="W333" s="142"/>
      <c r="X333" s="142"/>
      <c r="Y333" s="141"/>
      <c r="Z333" s="141"/>
      <c r="AA333" s="141"/>
      <c r="AB333" s="141"/>
      <c r="AC333" s="141"/>
      <c r="AD333" s="141"/>
      <c r="AE333" s="141"/>
    </row>
    <row r="334" ht="17.25" customHeight="1">
      <c r="A334" s="133" t="s">
        <v>23</v>
      </c>
      <c r="B334" s="133" t="s">
        <v>89</v>
      </c>
      <c r="C334" s="133" t="s">
        <v>117</v>
      </c>
      <c r="D334" s="133"/>
      <c r="E334" s="133" t="s">
        <v>118</v>
      </c>
      <c r="F334" s="133" t="s">
        <v>198</v>
      </c>
      <c r="G334" s="140">
        <v>1.493091E7</v>
      </c>
      <c r="H334" s="141">
        <v>7.410224407203E12</v>
      </c>
      <c r="I334" s="133" t="s">
        <v>135</v>
      </c>
      <c r="J334" s="133" t="s">
        <v>102</v>
      </c>
      <c r="K334" s="133" t="s">
        <v>95</v>
      </c>
      <c r="L334" s="141">
        <v>0.0</v>
      </c>
      <c r="M334" s="141">
        <v>0.0</v>
      </c>
      <c r="N334" s="141">
        <v>0.0</v>
      </c>
      <c r="O334" s="141">
        <v>0.0</v>
      </c>
      <c r="P334" s="141">
        <v>0.0</v>
      </c>
      <c r="Q334" s="141">
        <v>0.0</v>
      </c>
      <c r="R334" s="141">
        <v>3.0</v>
      </c>
      <c r="S334" s="141"/>
      <c r="T334" s="142"/>
      <c r="U334" s="142"/>
      <c r="V334" s="142"/>
      <c r="W334" s="142"/>
      <c r="X334" s="142"/>
      <c r="Y334" s="141"/>
      <c r="Z334" s="141"/>
      <c r="AA334" s="141"/>
      <c r="AB334" s="141"/>
      <c r="AC334" s="141"/>
      <c r="AD334" s="141"/>
      <c r="AE334" s="141"/>
    </row>
    <row r="335" ht="17.25" customHeight="1">
      <c r="A335" s="133" t="s">
        <v>23</v>
      </c>
      <c r="B335" s="133" t="s">
        <v>89</v>
      </c>
      <c r="C335" s="133" t="s">
        <v>117</v>
      </c>
      <c r="D335" s="133"/>
      <c r="E335" s="133" t="s">
        <v>118</v>
      </c>
      <c r="F335" s="133" t="s">
        <v>198</v>
      </c>
      <c r="G335" s="140">
        <v>1.493091E7</v>
      </c>
      <c r="H335" s="141">
        <v>7.410224607207E12</v>
      </c>
      <c r="I335" s="133" t="s">
        <v>96</v>
      </c>
      <c r="J335" s="133" t="s">
        <v>102</v>
      </c>
      <c r="K335" s="133" t="s">
        <v>143</v>
      </c>
      <c r="L335" s="141">
        <v>0.0</v>
      </c>
      <c r="M335" s="141">
        <v>0.0</v>
      </c>
      <c r="N335" s="141">
        <v>0.0</v>
      </c>
      <c r="O335" s="141">
        <v>0.0</v>
      </c>
      <c r="P335" s="141">
        <v>0.0</v>
      </c>
      <c r="Q335" s="141">
        <v>0.0</v>
      </c>
      <c r="R335" s="141">
        <v>1.0</v>
      </c>
      <c r="S335" s="141"/>
      <c r="T335" s="142"/>
      <c r="U335" s="142"/>
      <c r="V335" s="142"/>
      <c r="W335" s="142"/>
      <c r="X335" s="142"/>
      <c r="Y335" s="141"/>
      <c r="Z335" s="141"/>
      <c r="AA335" s="141"/>
      <c r="AB335" s="141"/>
      <c r="AC335" s="141"/>
      <c r="AD335" s="141"/>
      <c r="AE335" s="141"/>
    </row>
    <row r="336" ht="17.25" customHeight="1">
      <c r="A336" s="133" t="s">
        <v>23</v>
      </c>
      <c r="B336" s="133" t="s">
        <v>89</v>
      </c>
      <c r="C336" s="133" t="s">
        <v>117</v>
      </c>
      <c r="D336" s="133"/>
      <c r="E336" s="133" t="s">
        <v>118</v>
      </c>
      <c r="F336" s="133" t="s">
        <v>198</v>
      </c>
      <c r="G336" s="140">
        <v>1.493091E7</v>
      </c>
      <c r="H336" s="141">
        <v>7.410224407203E12</v>
      </c>
      <c r="I336" s="133" t="s">
        <v>135</v>
      </c>
      <c r="J336" s="133" t="s">
        <v>102</v>
      </c>
      <c r="K336" s="133" t="s">
        <v>143</v>
      </c>
      <c r="L336" s="141">
        <v>0.0</v>
      </c>
      <c r="M336" s="141">
        <v>0.0</v>
      </c>
      <c r="N336" s="141">
        <v>0.0</v>
      </c>
      <c r="O336" s="141">
        <v>0.0</v>
      </c>
      <c r="P336" s="141">
        <v>0.0</v>
      </c>
      <c r="Q336" s="141">
        <v>0.0</v>
      </c>
      <c r="R336" s="141">
        <v>1.0</v>
      </c>
      <c r="S336" s="141"/>
      <c r="T336" s="142"/>
      <c r="U336" s="142"/>
      <c r="V336" s="142"/>
      <c r="W336" s="142"/>
      <c r="X336" s="142"/>
      <c r="Y336" s="141"/>
      <c r="Z336" s="141"/>
      <c r="AA336" s="141"/>
      <c r="AB336" s="141"/>
      <c r="AC336" s="141"/>
      <c r="AD336" s="141"/>
      <c r="AE336" s="141"/>
    </row>
    <row r="337" ht="17.25" customHeight="1">
      <c r="A337" s="133" t="s">
        <v>23</v>
      </c>
      <c r="B337" s="133" t="s">
        <v>124</v>
      </c>
      <c r="C337" s="133" t="s">
        <v>153</v>
      </c>
      <c r="D337" s="133"/>
      <c r="E337" s="133" t="s">
        <v>196</v>
      </c>
      <c r="F337" s="133" t="s">
        <v>197</v>
      </c>
      <c r="G337" s="140">
        <v>1.1210349E7</v>
      </c>
      <c r="H337" s="141">
        <v>7.230440000008E12</v>
      </c>
      <c r="I337" s="133" t="s">
        <v>135</v>
      </c>
      <c r="J337" s="133" t="s">
        <v>145</v>
      </c>
      <c r="K337" s="133" t="s">
        <v>95</v>
      </c>
      <c r="L337" s="141">
        <v>0.0</v>
      </c>
      <c r="M337" s="141">
        <v>0.0</v>
      </c>
      <c r="N337" s="141">
        <v>0.0</v>
      </c>
      <c r="O337" s="141">
        <v>0.0</v>
      </c>
      <c r="P337" s="141">
        <v>0.0</v>
      </c>
      <c r="Q337" s="141">
        <v>0.0</v>
      </c>
      <c r="R337" s="141">
        <v>1.0</v>
      </c>
      <c r="S337" s="141"/>
      <c r="T337" s="142"/>
      <c r="U337" s="142"/>
      <c r="V337" s="142"/>
      <c r="W337" s="142"/>
      <c r="X337" s="142"/>
      <c r="Y337" s="141"/>
      <c r="Z337" s="141"/>
      <c r="AA337" s="141"/>
      <c r="AB337" s="141"/>
      <c r="AC337" s="141"/>
      <c r="AD337" s="141"/>
      <c r="AE337" s="141"/>
    </row>
    <row r="338" ht="17.25" customHeight="1">
      <c r="A338" s="133" t="s">
        <v>23</v>
      </c>
      <c r="B338" s="133" t="s">
        <v>136</v>
      </c>
      <c r="C338" s="133" t="s">
        <v>90</v>
      </c>
      <c r="E338" s="133" t="s">
        <v>161</v>
      </c>
      <c r="F338" s="133" t="s">
        <v>213</v>
      </c>
      <c r="G338" s="140">
        <v>1.562666E7</v>
      </c>
      <c r="H338" s="141">
        <v>7.403615209203E12</v>
      </c>
      <c r="I338" s="133" t="s">
        <v>127</v>
      </c>
      <c r="J338" s="133" t="s">
        <v>102</v>
      </c>
      <c r="K338" s="133" t="s">
        <v>143</v>
      </c>
      <c r="L338" s="141">
        <v>0.0</v>
      </c>
      <c r="M338" s="141">
        <v>0.0</v>
      </c>
      <c r="N338" s="141">
        <v>1.0</v>
      </c>
      <c r="O338" s="141">
        <v>1951.9</v>
      </c>
      <c r="P338" s="141">
        <v>1.0</v>
      </c>
      <c r="Q338" s="141">
        <v>2184.27</v>
      </c>
      <c r="R338" s="141">
        <v>1.0</v>
      </c>
      <c r="S338" s="141"/>
      <c r="T338" s="142"/>
      <c r="U338" s="142"/>
      <c r="V338" s="142"/>
      <c r="W338" s="142"/>
      <c r="X338" s="142"/>
      <c r="Y338" s="141"/>
      <c r="Z338" s="141"/>
      <c r="AA338" s="141"/>
      <c r="AB338" s="141"/>
      <c r="AC338" s="141"/>
      <c r="AD338" s="141"/>
      <c r="AE338" s="141"/>
    </row>
    <row r="339" ht="17.25" customHeight="1">
      <c r="A339" s="133" t="s">
        <v>23</v>
      </c>
      <c r="B339" s="133" t="s">
        <v>109</v>
      </c>
      <c r="C339" s="133" t="s">
        <v>90</v>
      </c>
      <c r="E339" s="133" t="s">
        <v>110</v>
      </c>
      <c r="F339" s="133" t="s">
        <v>214</v>
      </c>
      <c r="G339" s="140">
        <v>1.478863E7</v>
      </c>
      <c r="H339" s="141">
        <v>7.403264209203E12</v>
      </c>
      <c r="I339" s="133" t="s">
        <v>120</v>
      </c>
      <c r="J339" s="133" t="s">
        <v>94</v>
      </c>
      <c r="K339" s="133" t="s">
        <v>95</v>
      </c>
      <c r="L339" s="141">
        <v>0.0</v>
      </c>
      <c r="M339" s="141">
        <v>0.0</v>
      </c>
      <c r="N339" s="141">
        <v>1.0</v>
      </c>
      <c r="O339" s="141">
        <v>1276.27</v>
      </c>
      <c r="P339" s="141">
        <v>1.0</v>
      </c>
      <c r="Q339" s="141">
        <v>1276.27</v>
      </c>
      <c r="R339" s="141">
        <v>0.0</v>
      </c>
      <c r="S339" s="141"/>
      <c r="T339" s="142"/>
      <c r="U339" s="142"/>
      <c r="V339" s="142"/>
      <c r="W339" s="142"/>
      <c r="X339" s="142"/>
      <c r="Y339" s="141"/>
      <c r="Z339" s="141"/>
      <c r="AA339" s="141"/>
      <c r="AB339" s="141"/>
      <c r="AC339" s="141"/>
      <c r="AD339" s="141"/>
      <c r="AE339" s="141"/>
    </row>
    <row r="340" ht="17.25" customHeight="1">
      <c r="A340" s="133" t="s">
        <v>23</v>
      </c>
      <c r="B340" s="133" t="s">
        <v>106</v>
      </c>
      <c r="C340" s="133" t="s">
        <v>90</v>
      </c>
      <c r="E340" s="133" t="s">
        <v>107</v>
      </c>
      <c r="F340" s="133" t="s">
        <v>188</v>
      </c>
      <c r="G340" s="140">
        <v>1.7615825E7</v>
      </c>
      <c r="H340" s="141">
        <v>7.403904407129E12</v>
      </c>
      <c r="I340" s="133" t="s">
        <v>93</v>
      </c>
      <c r="J340" s="133" t="s">
        <v>102</v>
      </c>
      <c r="K340" s="133" t="s">
        <v>95</v>
      </c>
      <c r="L340" s="141">
        <v>0.0</v>
      </c>
      <c r="M340" s="141">
        <v>0.0</v>
      </c>
      <c r="N340" s="141">
        <v>2.0</v>
      </c>
      <c r="O340" s="141">
        <v>4867.69</v>
      </c>
      <c r="P340" s="141">
        <v>1.0</v>
      </c>
      <c r="Q340" s="141">
        <v>2395.21</v>
      </c>
      <c r="R340" s="141">
        <v>45.0</v>
      </c>
      <c r="S340" s="141"/>
      <c r="T340" s="142"/>
      <c r="U340" s="142"/>
      <c r="V340" s="142"/>
      <c r="W340" s="142"/>
      <c r="X340" s="142"/>
      <c r="Y340" s="141"/>
      <c r="Z340" s="141"/>
      <c r="AA340" s="141"/>
      <c r="AB340" s="141"/>
      <c r="AC340" s="141"/>
      <c r="AD340" s="141"/>
      <c r="AE340" s="141"/>
    </row>
    <row r="341" ht="17.25" customHeight="1">
      <c r="A341" s="133" t="s">
        <v>23</v>
      </c>
      <c r="B341" s="133" t="s">
        <v>136</v>
      </c>
      <c r="C341" s="133" t="s">
        <v>90</v>
      </c>
      <c r="E341" s="133" t="s">
        <v>137</v>
      </c>
      <c r="F341" s="133" t="s">
        <v>25</v>
      </c>
      <c r="G341" s="140">
        <v>1.3889289E7</v>
      </c>
      <c r="H341" s="141">
        <v>7.003485406209E12</v>
      </c>
      <c r="I341" s="133" t="s">
        <v>138</v>
      </c>
      <c r="J341" s="133" t="s">
        <v>102</v>
      </c>
      <c r="K341" s="133" t="s">
        <v>95</v>
      </c>
      <c r="L341" s="141">
        <v>0.0</v>
      </c>
      <c r="M341" s="141">
        <v>0.0</v>
      </c>
      <c r="N341" s="141">
        <v>17.0</v>
      </c>
      <c r="O341" s="141">
        <v>33005.74</v>
      </c>
      <c r="P341" s="141">
        <v>14.0</v>
      </c>
      <c r="Q341" s="141">
        <v>27680.78</v>
      </c>
      <c r="R341" s="141">
        <v>193.0</v>
      </c>
      <c r="S341" s="141"/>
      <c r="T341" s="142"/>
      <c r="U341" s="142"/>
      <c r="V341" s="142"/>
      <c r="W341" s="142"/>
      <c r="X341" s="142"/>
      <c r="Y341" s="141"/>
      <c r="Z341" s="141"/>
      <c r="AA341" s="141"/>
      <c r="AB341" s="141"/>
      <c r="AC341" s="141"/>
      <c r="AD341" s="141"/>
      <c r="AE341" s="141"/>
    </row>
    <row r="342" ht="17.25" customHeight="1">
      <c r="A342" s="133" t="s">
        <v>23</v>
      </c>
      <c r="B342" s="133" t="s">
        <v>89</v>
      </c>
      <c r="C342" s="133" t="s">
        <v>117</v>
      </c>
      <c r="D342" s="133"/>
      <c r="E342" s="133" t="s">
        <v>118</v>
      </c>
      <c r="F342" s="133" t="s">
        <v>176</v>
      </c>
      <c r="G342" s="140">
        <v>1.4930912E7</v>
      </c>
      <c r="H342" s="141">
        <v>7.410245007208E12</v>
      </c>
      <c r="I342" s="133" t="s">
        <v>122</v>
      </c>
      <c r="J342" s="133" t="s">
        <v>94</v>
      </c>
      <c r="K342" s="133" t="s">
        <v>95</v>
      </c>
      <c r="L342" s="141">
        <v>0.0</v>
      </c>
      <c r="M342" s="141">
        <v>0.0</v>
      </c>
      <c r="N342" s="141">
        <v>0.0</v>
      </c>
      <c r="O342" s="141">
        <v>0.0</v>
      </c>
      <c r="P342" s="141">
        <v>1.0</v>
      </c>
      <c r="Q342" s="141">
        <v>3226.61</v>
      </c>
      <c r="R342" s="141">
        <v>0.0</v>
      </c>
      <c r="S342" s="141"/>
      <c r="T342" s="142"/>
      <c r="U342" s="142"/>
      <c r="V342" s="142"/>
      <c r="W342" s="142"/>
      <c r="X342" s="142"/>
      <c r="Y342" s="141"/>
      <c r="Z342" s="141"/>
      <c r="AA342" s="141"/>
      <c r="AB342" s="141"/>
      <c r="AC342" s="141"/>
      <c r="AD342" s="141"/>
      <c r="AE342" s="141"/>
    </row>
    <row r="343" ht="17.25" customHeight="1">
      <c r="A343" s="133" t="s">
        <v>23</v>
      </c>
      <c r="B343" s="133" t="s">
        <v>109</v>
      </c>
      <c r="C343" s="133" t="s">
        <v>90</v>
      </c>
      <c r="E343" s="133" t="s">
        <v>110</v>
      </c>
      <c r="F343" s="133" t="s">
        <v>214</v>
      </c>
      <c r="G343" s="140">
        <v>1.478863E7</v>
      </c>
      <c r="H343" s="141">
        <v>7.403264209203E12</v>
      </c>
      <c r="I343" s="133" t="s">
        <v>120</v>
      </c>
      <c r="J343" s="133" t="s">
        <v>94</v>
      </c>
      <c r="K343" s="133" t="s">
        <v>97</v>
      </c>
      <c r="L343" s="141">
        <v>0.0</v>
      </c>
      <c r="M343" s="141">
        <v>0.0</v>
      </c>
      <c r="N343" s="141">
        <v>0.0</v>
      </c>
      <c r="O343" s="141">
        <v>0.0</v>
      </c>
      <c r="P343" s="141">
        <v>0.0</v>
      </c>
      <c r="Q343" s="141">
        <v>0.0</v>
      </c>
      <c r="R343" s="141">
        <v>0.0</v>
      </c>
      <c r="S343" s="141"/>
      <c r="T343" s="142"/>
      <c r="U343" s="142"/>
      <c r="V343" s="142"/>
      <c r="W343" s="142"/>
      <c r="X343" s="142"/>
      <c r="Y343" s="141"/>
      <c r="Z343" s="141"/>
      <c r="AA343" s="141"/>
      <c r="AB343" s="141"/>
      <c r="AC343" s="141"/>
      <c r="AD343" s="141"/>
      <c r="AE343" s="141"/>
    </row>
    <row r="344" ht="17.25" customHeight="1">
      <c r="A344" s="133" t="s">
        <v>23</v>
      </c>
      <c r="B344" s="133" t="s">
        <v>136</v>
      </c>
      <c r="C344" s="133" t="s">
        <v>90</v>
      </c>
      <c r="E344" s="133" t="s">
        <v>161</v>
      </c>
      <c r="F344" s="133" t="s">
        <v>213</v>
      </c>
      <c r="G344" s="140">
        <v>1.562666E7</v>
      </c>
      <c r="H344" s="141">
        <v>7.403615209203E12</v>
      </c>
      <c r="I344" s="133" t="s">
        <v>127</v>
      </c>
      <c r="J344" s="133" t="s">
        <v>102</v>
      </c>
      <c r="K344" s="133" t="s">
        <v>95</v>
      </c>
      <c r="L344" s="141">
        <v>0.0</v>
      </c>
      <c r="M344" s="141">
        <v>0.0</v>
      </c>
      <c r="N344" s="141">
        <v>10.0</v>
      </c>
      <c r="O344" s="141">
        <v>20377.39</v>
      </c>
      <c r="P344" s="141">
        <v>8.0</v>
      </c>
      <c r="Q344" s="141">
        <v>16818.06</v>
      </c>
      <c r="R344" s="141">
        <v>278.0</v>
      </c>
      <c r="S344" s="141"/>
      <c r="T344" s="142"/>
      <c r="U344" s="142"/>
      <c r="V344" s="142"/>
      <c r="W344" s="142"/>
      <c r="X344" s="142"/>
      <c r="Y344" s="141"/>
      <c r="Z344" s="141"/>
      <c r="AA344" s="141"/>
      <c r="AB344" s="141"/>
      <c r="AC344" s="141"/>
      <c r="AD344" s="141"/>
      <c r="AE344" s="141"/>
    </row>
    <row r="345" ht="17.25" customHeight="1">
      <c r="A345" s="133" t="s">
        <v>23</v>
      </c>
      <c r="B345" s="133" t="s">
        <v>136</v>
      </c>
      <c r="C345" s="133" t="s">
        <v>90</v>
      </c>
      <c r="E345" s="133" t="s">
        <v>137</v>
      </c>
      <c r="F345" s="133" t="s">
        <v>25</v>
      </c>
      <c r="G345" s="140">
        <v>1.3889289E7</v>
      </c>
      <c r="H345" s="141">
        <v>7.003485406209E12</v>
      </c>
      <c r="I345" s="133" t="s">
        <v>138</v>
      </c>
      <c r="J345" s="133" t="s">
        <v>94</v>
      </c>
      <c r="K345" s="133" t="s">
        <v>104</v>
      </c>
      <c r="L345" s="141">
        <v>0.0</v>
      </c>
      <c r="M345" s="141">
        <v>0.0</v>
      </c>
      <c r="N345" s="141">
        <v>1.0</v>
      </c>
      <c r="O345" s="141">
        <v>1875.17</v>
      </c>
      <c r="P345" s="141">
        <v>0.0</v>
      </c>
      <c r="Q345" s="141">
        <v>0.0</v>
      </c>
      <c r="R345" s="141">
        <v>0.0</v>
      </c>
      <c r="S345" s="141"/>
      <c r="T345" s="142"/>
      <c r="U345" s="142"/>
      <c r="V345" s="142"/>
      <c r="W345" s="142"/>
      <c r="X345" s="142"/>
      <c r="Y345" s="141"/>
      <c r="Z345" s="141"/>
      <c r="AA345" s="141"/>
      <c r="AB345" s="141"/>
      <c r="AC345" s="141"/>
      <c r="AD345" s="141"/>
      <c r="AE345" s="141"/>
    </row>
    <row r="346" ht="17.25" customHeight="1">
      <c r="A346" s="133" t="s">
        <v>23</v>
      </c>
      <c r="B346" s="133" t="s">
        <v>129</v>
      </c>
      <c r="C346" s="133" t="s">
        <v>90</v>
      </c>
      <c r="E346" s="133" t="s">
        <v>184</v>
      </c>
      <c r="F346" s="133" t="s">
        <v>215</v>
      </c>
      <c r="G346" s="140">
        <v>1.4069667E7</v>
      </c>
      <c r="H346" s="141">
        <v>7.403554407203E12</v>
      </c>
      <c r="I346" s="133" t="s">
        <v>186</v>
      </c>
      <c r="J346" s="133" t="s">
        <v>94</v>
      </c>
      <c r="K346" s="133" t="s">
        <v>104</v>
      </c>
      <c r="L346" s="141">
        <v>0.0</v>
      </c>
      <c r="M346" s="141">
        <v>0.0</v>
      </c>
      <c r="N346" s="141">
        <v>0.0</v>
      </c>
      <c r="O346" s="141">
        <v>0.0</v>
      </c>
      <c r="P346" s="141">
        <v>1.0</v>
      </c>
      <c r="Q346" s="141">
        <v>1383.75</v>
      </c>
      <c r="R346" s="141">
        <v>0.0</v>
      </c>
      <c r="S346" s="141"/>
      <c r="T346" s="142"/>
      <c r="U346" s="142"/>
      <c r="V346" s="142"/>
      <c r="W346" s="142"/>
      <c r="X346" s="142"/>
      <c r="Y346" s="141"/>
      <c r="Z346" s="141"/>
      <c r="AA346" s="141"/>
      <c r="AB346" s="141"/>
      <c r="AC346" s="141"/>
      <c r="AD346" s="141"/>
      <c r="AE346" s="141"/>
    </row>
    <row r="347" ht="17.25" customHeight="1">
      <c r="A347" s="133" t="s">
        <v>23</v>
      </c>
      <c r="B347" s="133" t="s">
        <v>136</v>
      </c>
      <c r="C347" s="133" t="s">
        <v>90</v>
      </c>
      <c r="E347" s="133" t="s">
        <v>137</v>
      </c>
      <c r="F347" s="133" t="s">
        <v>25</v>
      </c>
      <c r="G347" s="140">
        <v>1.3889289E7</v>
      </c>
      <c r="H347" s="141">
        <v>7.003485406209E12</v>
      </c>
      <c r="I347" s="133" t="s">
        <v>138</v>
      </c>
      <c r="J347" s="133" t="s">
        <v>94</v>
      </c>
      <c r="K347" s="133" t="s">
        <v>113</v>
      </c>
      <c r="L347" s="141">
        <v>0.0</v>
      </c>
      <c r="M347" s="141">
        <v>0.0</v>
      </c>
      <c r="N347" s="141">
        <v>2.0</v>
      </c>
      <c r="O347" s="141">
        <v>3937.86</v>
      </c>
      <c r="P347" s="141">
        <v>1.0</v>
      </c>
      <c r="Q347" s="141">
        <v>2062.69</v>
      </c>
      <c r="R347" s="141">
        <v>0.0</v>
      </c>
      <c r="S347" s="141"/>
      <c r="T347" s="142"/>
      <c r="U347" s="142"/>
      <c r="V347" s="142"/>
      <c r="W347" s="142"/>
      <c r="X347" s="142"/>
      <c r="Y347" s="141"/>
      <c r="Z347" s="141"/>
      <c r="AA347" s="141"/>
      <c r="AB347" s="141"/>
      <c r="AC347" s="141"/>
      <c r="AD347" s="141"/>
      <c r="AE347" s="141"/>
    </row>
    <row r="348" ht="17.25" customHeight="1">
      <c r="A348" s="133" t="s">
        <v>23</v>
      </c>
      <c r="B348" s="133" t="s">
        <v>136</v>
      </c>
      <c r="C348" s="133" t="s">
        <v>90</v>
      </c>
      <c r="E348" s="133" t="s">
        <v>137</v>
      </c>
      <c r="F348" s="133" t="s">
        <v>216</v>
      </c>
      <c r="G348" s="140">
        <v>1.6630653E7</v>
      </c>
      <c r="H348" s="141">
        <v>7.403785210207E12</v>
      </c>
      <c r="I348" s="133" t="s">
        <v>127</v>
      </c>
      <c r="J348" s="133" t="s">
        <v>102</v>
      </c>
      <c r="K348" s="133" t="s">
        <v>95</v>
      </c>
      <c r="L348" s="141">
        <v>0.0</v>
      </c>
      <c r="M348" s="141">
        <v>0.0</v>
      </c>
      <c r="N348" s="141">
        <v>1.0</v>
      </c>
      <c r="O348" s="141">
        <v>1381.16</v>
      </c>
      <c r="P348" s="141">
        <v>2.0</v>
      </c>
      <c r="Q348" s="141">
        <v>2910.3</v>
      </c>
      <c r="R348" s="141">
        <v>27.0</v>
      </c>
      <c r="S348" s="141"/>
      <c r="T348" s="142"/>
      <c r="U348" s="142"/>
      <c r="V348" s="142"/>
      <c r="W348" s="142"/>
      <c r="X348" s="142"/>
      <c r="Y348" s="141"/>
      <c r="Z348" s="141"/>
      <c r="AA348" s="141"/>
      <c r="AB348" s="141"/>
      <c r="AC348" s="141"/>
      <c r="AD348" s="141"/>
      <c r="AE348" s="141"/>
    </row>
    <row r="349" ht="17.25" customHeight="1">
      <c r="A349" s="133" t="s">
        <v>23</v>
      </c>
      <c r="B349" s="133" t="s">
        <v>217</v>
      </c>
      <c r="C349" s="133"/>
      <c r="D349" s="133"/>
      <c r="E349" s="133" t="s">
        <v>218</v>
      </c>
      <c r="F349" s="133" t="s">
        <v>219</v>
      </c>
      <c r="G349" s="140">
        <v>1.3169131E7</v>
      </c>
      <c r="H349" s="141">
        <v>7.003172506205E12</v>
      </c>
      <c r="I349" s="141">
        <v>0.0</v>
      </c>
      <c r="J349" s="133" t="s">
        <v>102</v>
      </c>
      <c r="K349" s="133" t="s">
        <v>95</v>
      </c>
      <c r="L349" s="141">
        <v>0.0</v>
      </c>
      <c r="M349" s="141">
        <v>0.0</v>
      </c>
      <c r="N349" s="141">
        <v>0.0</v>
      </c>
      <c r="O349" s="141">
        <v>0.0</v>
      </c>
      <c r="P349" s="141">
        <v>0.0</v>
      </c>
      <c r="Q349" s="141">
        <v>0.0</v>
      </c>
      <c r="R349" s="141">
        <v>2.0</v>
      </c>
      <c r="S349" s="141"/>
      <c r="T349" s="142"/>
      <c r="U349" s="142"/>
      <c r="V349" s="142"/>
      <c r="W349" s="142"/>
      <c r="X349" s="142"/>
      <c r="Y349" s="141"/>
      <c r="Z349" s="141"/>
      <c r="AA349" s="141"/>
      <c r="AB349" s="141"/>
      <c r="AC349" s="141"/>
      <c r="AD349" s="141"/>
      <c r="AE349" s="141"/>
    </row>
    <row r="350" ht="17.25" customHeight="1">
      <c r="A350" s="133" t="s">
        <v>23</v>
      </c>
      <c r="B350" s="133" t="s">
        <v>136</v>
      </c>
      <c r="C350" s="133" t="s">
        <v>90</v>
      </c>
      <c r="E350" s="133" t="s">
        <v>161</v>
      </c>
      <c r="F350" s="133" t="s">
        <v>213</v>
      </c>
      <c r="G350" s="140">
        <v>1.562666E7</v>
      </c>
      <c r="H350" s="141">
        <v>7.403615209203E12</v>
      </c>
      <c r="I350" s="133" t="s">
        <v>127</v>
      </c>
      <c r="J350" s="133" t="s">
        <v>102</v>
      </c>
      <c r="K350" s="133" t="s">
        <v>97</v>
      </c>
      <c r="L350" s="141">
        <v>0.0</v>
      </c>
      <c r="M350" s="141">
        <v>0.0</v>
      </c>
      <c r="N350" s="141">
        <v>0.0</v>
      </c>
      <c r="O350" s="141">
        <v>0.0</v>
      </c>
      <c r="P350" s="141">
        <v>0.0</v>
      </c>
      <c r="Q350" s="141">
        <v>0.0</v>
      </c>
      <c r="R350" s="141">
        <v>2.0</v>
      </c>
      <c r="S350" s="141"/>
      <c r="T350" s="142"/>
      <c r="U350" s="142"/>
      <c r="V350" s="142"/>
      <c r="W350" s="142"/>
      <c r="X350" s="142"/>
      <c r="Y350" s="141"/>
      <c r="Z350" s="141"/>
      <c r="AA350" s="141"/>
      <c r="AB350" s="141"/>
      <c r="AC350" s="141"/>
      <c r="AD350" s="141"/>
      <c r="AE350" s="141"/>
    </row>
    <row r="351" ht="17.25" customHeight="1">
      <c r="A351" s="133" t="s">
        <v>23</v>
      </c>
      <c r="B351" s="133" t="s">
        <v>136</v>
      </c>
      <c r="C351" s="133" t="s">
        <v>90</v>
      </c>
      <c r="E351" s="133" t="s">
        <v>161</v>
      </c>
      <c r="F351" s="133" t="s">
        <v>213</v>
      </c>
      <c r="G351" s="140">
        <v>1.562666E7</v>
      </c>
      <c r="H351" s="141">
        <v>7.403615209203E12</v>
      </c>
      <c r="I351" s="133" t="s">
        <v>127</v>
      </c>
      <c r="J351" s="133" t="s">
        <v>102</v>
      </c>
      <c r="K351" s="133" t="s">
        <v>95</v>
      </c>
      <c r="L351" s="141">
        <v>0.0</v>
      </c>
      <c r="M351" s="141">
        <v>0.0</v>
      </c>
      <c r="N351" s="141">
        <v>0.0</v>
      </c>
      <c r="O351" s="141">
        <v>0.0</v>
      </c>
      <c r="P351" s="141">
        <v>0.0</v>
      </c>
      <c r="Q351" s="141">
        <v>0.0</v>
      </c>
      <c r="R351" s="141">
        <v>1.0</v>
      </c>
      <c r="S351" s="141"/>
      <c r="T351" s="142"/>
      <c r="U351" s="142"/>
      <c r="V351" s="142"/>
      <c r="W351" s="142"/>
      <c r="X351" s="142"/>
      <c r="Y351" s="141"/>
      <c r="Z351" s="141"/>
      <c r="AA351" s="141"/>
      <c r="AB351" s="141"/>
      <c r="AC351" s="141"/>
      <c r="AD351" s="141"/>
      <c r="AE351" s="141"/>
    </row>
    <row r="352" ht="17.25" customHeight="1">
      <c r="A352" s="133" t="s">
        <v>23</v>
      </c>
      <c r="B352" s="133" t="s">
        <v>136</v>
      </c>
      <c r="C352" s="133" t="s">
        <v>90</v>
      </c>
      <c r="E352" s="133" t="s">
        <v>161</v>
      </c>
      <c r="F352" s="133" t="s">
        <v>213</v>
      </c>
      <c r="G352" s="140">
        <v>1.562666E7</v>
      </c>
      <c r="H352" s="141">
        <v>7.403615209203E12</v>
      </c>
      <c r="I352" s="133" t="s">
        <v>127</v>
      </c>
      <c r="J352" s="133" t="s">
        <v>102</v>
      </c>
      <c r="K352" s="133" t="s">
        <v>113</v>
      </c>
      <c r="L352" s="141">
        <v>0.0</v>
      </c>
      <c r="M352" s="141">
        <v>0.0</v>
      </c>
      <c r="N352" s="141">
        <v>0.0</v>
      </c>
      <c r="O352" s="141">
        <v>0.0</v>
      </c>
      <c r="P352" s="141">
        <v>0.0</v>
      </c>
      <c r="Q352" s="141">
        <v>0.0</v>
      </c>
      <c r="R352" s="141">
        <v>1.0</v>
      </c>
      <c r="S352" s="141"/>
      <c r="T352" s="142"/>
      <c r="U352" s="142"/>
      <c r="V352" s="142"/>
      <c r="W352" s="142"/>
      <c r="X352" s="142"/>
      <c r="Y352" s="141"/>
      <c r="Z352" s="141"/>
      <c r="AA352" s="141"/>
      <c r="AB352" s="141"/>
      <c r="AC352" s="141"/>
      <c r="AD352" s="141"/>
      <c r="AE352" s="141"/>
    </row>
    <row r="353" ht="17.25" customHeight="1">
      <c r="A353" s="133" t="s">
        <v>23</v>
      </c>
      <c r="B353" s="133" t="s">
        <v>106</v>
      </c>
      <c r="C353" s="133" t="s">
        <v>90</v>
      </c>
      <c r="E353" s="133" t="s">
        <v>107</v>
      </c>
      <c r="F353" s="133" t="s">
        <v>182</v>
      </c>
      <c r="G353" s="140">
        <v>1.8693271E7</v>
      </c>
      <c r="H353" s="141">
        <v>7.403914408123E12</v>
      </c>
      <c r="I353" s="133" t="s">
        <v>93</v>
      </c>
      <c r="J353" s="133" t="s">
        <v>102</v>
      </c>
      <c r="K353" s="133" t="s">
        <v>95</v>
      </c>
      <c r="L353" s="141">
        <v>0.0</v>
      </c>
      <c r="M353" s="141">
        <v>0.0</v>
      </c>
      <c r="N353" s="141">
        <v>0.0</v>
      </c>
      <c r="O353" s="141">
        <v>0.0</v>
      </c>
      <c r="P353" s="141">
        <v>0.0</v>
      </c>
      <c r="Q353" s="141">
        <v>0.0</v>
      </c>
      <c r="R353" s="141">
        <v>31.0</v>
      </c>
      <c r="S353" s="141"/>
      <c r="T353" s="142"/>
      <c r="U353" s="142"/>
      <c r="V353" s="142"/>
      <c r="W353" s="142"/>
      <c r="X353" s="142"/>
      <c r="Y353" s="141"/>
      <c r="Z353" s="141"/>
      <c r="AA353" s="141"/>
      <c r="AB353" s="141"/>
      <c r="AC353" s="141"/>
      <c r="AD353" s="141"/>
      <c r="AE353" s="141"/>
    </row>
    <row r="354" ht="17.25" customHeight="1">
      <c r="A354" s="133" t="s">
        <v>23</v>
      </c>
      <c r="B354" s="133" t="s">
        <v>136</v>
      </c>
      <c r="C354" s="133" t="s">
        <v>90</v>
      </c>
      <c r="E354" s="133" t="s">
        <v>137</v>
      </c>
      <c r="F354" s="133" t="s">
        <v>216</v>
      </c>
      <c r="G354" s="140">
        <v>1.6630653E7</v>
      </c>
      <c r="H354" s="141">
        <v>7.403785210207E12</v>
      </c>
      <c r="I354" s="133" t="s">
        <v>127</v>
      </c>
      <c r="J354" s="133" t="s">
        <v>102</v>
      </c>
      <c r="K354" s="133" t="s">
        <v>97</v>
      </c>
      <c r="L354" s="141">
        <v>0.0</v>
      </c>
      <c r="M354" s="141">
        <v>0.0</v>
      </c>
      <c r="N354" s="141">
        <v>0.0</v>
      </c>
      <c r="O354" s="141">
        <v>0.0</v>
      </c>
      <c r="P354" s="141">
        <v>0.0</v>
      </c>
      <c r="Q354" s="141">
        <v>0.0</v>
      </c>
      <c r="R354" s="141">
        <v>1.0</v>
      </c>
      <c r="S354" s="141"/>
      <c r="T354" s="142"/>
      <c r="U354" s="142"/>
      <c r="V354" s="142"/>
      <c r="W354" s="142"/>
      <c r="X354" s="142"/>
      <c r="Y354" s="141"/>
      <c r="Z354" s="141"/>
      <c r="AA354" s="141"/>
      <c r="AB354" s="141"/>
      <c r="AC354" s="141"/>
      <c r="AD354" s="141"/>
      <c r="AE354" s="141"/>
    </row>
    <row r="355" ht="17.25" customHeight="1">
      <c r="A355" s="133" t="s">
        <v>23</v>
      </c>
      <c r="B355" s="133" t="s">
        <v>89</v>
      </c>
      <c r="C355" s="133" t="s">
        <v>117</v>
      </c>
      <c r="D355" s="133"/>
      <c r="E355" s="133" t="s">
        <v>118</v>
      </c>
      <c r="F355" s="133" t="s">
        <v>176</v>
      </c>
      <c r="G355" s="140">
        <v>1.4930912E7</v>
      </c>
      <c r="H355" s="141">
        <v>7.410244407207E12</v>
      </c>
      <c r="I355" s="133" t="s">
        <v>135</v>
      </c>
      <c r="J355" s="133" t="s">
        <v>102</v>
      </c>
      <c r="K355" s="133" t="s">
        <v>95</v>
      </c>
      <c r="L355" s="141">
        <v>0.0</v>
      </c>
      <c r="M355" s="141">
        <v>0.0</v>
      </c>
      <c r="N355" s="141">
        <v>2.0</v>
      </c>
      <c r="O355" s="141">
        <v>6518.7</v>
      </c>
      <c r="P355" s="141">
        <v>0.0</v>
      </c>
      <c r="Q355" s="141">
        <v>0.0</v>
      </c>
      <c r="R355" s="141">
        <v>1.0</v>
      </c>
      <c r="S355" s="141"/>
      <c r="T355" s="142"/>
      <c r="U355" s="142"/>
      <c r="V355" s="142"/>
      <c r="W355" s="142"/>
      <c r="X355" s="142"/>
      <c r="Y355" s="141"/>
      <c r="Z355" s="141"/>
      <c r="AA355" s="141"/>
      <c r="AB355" s="141"/>
      <c r="AC355" s="141"/>
      <c r="AD355" s="141"/>
      <c r="AE355" s="141"/>
    </row>
    <row r="356" ht="17.25" customHeight="1">
      <c r="A356" s="133" t="s">
        <v>23</v>
      </c>
      <c r="B356" s="133" t="s">
        <v>89</v>
      </c>
      <c r="C356" s="133" t="s">
        <v>117</v>
      </c>
      <c r="D356" s="133"/>
      <c r="E356" s="133" t="s">
        <v>118</v>
      </c>
      <c r="F356" s="133" t="s">
        <v>198</v>
      </c>
      <c r="G356" s="140">
        <v>1.493091E7</v>
      </c>
      <c r="H356" s="141">
        <v>7.410225007204E12</v>
      </c>
      <c r="I356" s="133" t="s">
        <v>122</v>
      </c>
      <c r="J356" s="133" t="s">
        <v>94</v>
      </c>
      <c r="K356" s="133" t="s">
        <v>95</v>
      </c>
      <c r="L356" s="141">
        <v>0.0</v>
      </c>
      <c r="M356" s="141">
        <v>0.0</v>
      </c>
      <c r="N356" s="141">
        <v>3.0</v>
      </c>
      <c r="O356" s="141">
        <v>9130.4</v>
      </c>
      <c r="P356" s="141">
        <v>2.0</v>
      </c>
      <c r="Q356" s="141">
        <v>6190.1</v>
      </c>
      <c r="R356" s="141">
        <v>0.0</v>
      </c>
      <c r="S356" s="141"/>
      <c r="T356" s="142"/>
      <c r="U356" s="142"/>
      <c r="V356" s="142"/>
      <c r="W356" s="142"/>
      <c r="X356" s="142"/>
      <c r="Y356" s="141"/>
      <c r="Z356" s="141"/>
      <c r="AA356" s="141"/>
      <c r="AB356" s="141"/>
      <c r="AC356" s="141"/>
      <c r="AD356" s="141"/>
      <c r="AE356" s="141"/>
    </row>
    <row r="357" ht="17.25" customHeight="1">
      <c r="A357" s="133" t="s">
        <v>23</v>
      </c>
      <c r="B357" s="133" t="s">
        <v>147</v>
      </c>
      <c r="C357" s="133" t="s">
        <v>90</v>
      </c>
      <c r="E357" s="133" t="s">
        <v>148</v>
      </c>
      <c r="F357" s="133" t="s">
        <v>149</v>
      </c>
      <c r="G357" s="140">
        <v>1.4620437E7</v>
      </c>
      <c r="H357" s="141">
        <v>7.403584608205E12</v>
      </c>
      <c r="I357" s="133" t="s">
        <v>93</v>
      </c>
      <c r="J357" s="133" t="s">
        <v>94</v>
      </c>
      <c r="K357" s="133" t="s">
        <v>143</v>
      </c>
      <c r="L357" s="141">
        <v>0.0</v>
      </c>
      <c r="M357" s="141">
        <v>0.0</v>
      </c>
      <c r="N357" s="141">
        <v>1.0</v>
      </c>
      <c r="O357" s="141">
        <v>1388.47</v>
      </c>
      <c r="P357" s="141">
        <v>0.0</v>
      </c>
      <c r="Q357" s="141">
        <v>0.0</v>
      </c>
      <c r="R357" s="141">
        <v>0.0</v>
      </c>
      <c r="S357" s="141"/>
      <c r="T357" s="142"/>
      <c r="U357" s="142"/>
      <c r="V357" s="142"/>
      <c r="W357" s="142"/>
      <c r="X357" s="142"/>
      <c r="Y357" s="141"/>
      <c r="Z357" s="141"/>
      <c r="AA357" s="141"/>
      <c r="AB357" s="141"/>
      <c r="AC357" s="141"/>
      <c r="AD357" s="141"/>
      <c r="AE357" s="141"/>
    </row>
    <row r="358" ht="17.25" customHeight="1">
      <c r="A358" s="133" t="s">
        <v>23</v>
      </c>
      <c r="B358" s="133" t="s">
        <v>106</v>
      </c>
      <c r="C358" s="133" t="s">
        <v>90</v>
      </c>
      <c r="E358" s="133" t="s">
        <v>107</v>
      </c>
      <c r="F358" s="133" t="s">
        <v>193</v>
      </c>
      <c r="G358" s="140">
        <v>1.8074632E7</v>
      </c>
      <c r="H358" s="141">
        <v>7.40394481512E12</v>
      </c>
      <c r="I358" s="133" t="s">
        <v>101</v>
      </c>
      <c r="J358" s="133" t="s">
        <v>102</v>
      </c>
      <c r="K358" s="133" t="s">
        <v>95</v>
      </c>
      <c r="L358" s="141">
        <v>0.0</v>
      </c>
      <c r="M358" s="141">
        <v>0.0</v>
      </c>
      <c r="N358" s="141">
        <v>5.0</v>
      </c>
      <c r="O358" s="141">
        <v>12362.4</v>
      </c>
      <c r="P358" s="141">
        <v>1.0</v>
      </c>
      <c r="Q358" s="141">
        <v>2472.48</v>
      </c>
      <c r="R358" s="141">
        <v>3.0</v>
      </c>
      <c r="S358" s="141"/>
      <c r="T358" s="142"/>
      <c r="U358" s="142"/>
      <c r="V358" s="142"/>
      <c r="W358" s="142"/>
      <c r="X358" s="142"/>
      <c r="Y358" s="141"/>
      <c r="Z358" s="141"/>
      <c r="AA358" s="141"/>
      <c r="AB358" s="141"/>
      <c r="AC358" s="141"/>
      <c r="AD358" s="141"/>
      <c r="AE358" s="141"/>
    </row>
    <row r="359" ht="17.25" customHeight="1">
      <c r="A359" s="133" t="s">
        <v>23</v>
      </c>
      <c r="B359" s="133" t="s">
        <v>147</v>
      </c>
      <c r="C359" s="133" t="s">
        <v>90</v>
      </c>
      <c r="E359" s="133" t="s">
        <v>148</v>
      </c>
      <c r="F359" s="133" t="s">
        <v>149</v>
      </c>
      <c r="G359" s="140">
        <v>1.4620437E7</v>
      </c>
      <c r="H359" s="141">
        <v>7.403584608205E12</v>
      </c>
      <c r="I359" s="133" t="s">
        <v>93</v>
      </c>
      <c r="J359" s="133" t="s">
        <v>94</v>
      </c>
      <c r="K359" s="133" t="s">
        <v>104</v>
      </c>
      <c r="L359" s="141">
        <v>0.0</v>
      </c>
      <c r="M359" s="141">
        <v>0.0</v>
      </c>
      <c r="N359" s="141">
        <v>1.0</v>
      </c>
      <c r="O359" s="141">
        <v>1470.15</v>
      </c>
      <c r="P359" s="141">
        <v>0.0</v>
      </c>
      <c r="Q359" s="141">
        <v>0.0</v>
      </c>
      <c r="R359" s="141">
        <v>0.0</v>
      </c>
      <c r="S359" s="141"/>
      <c r="T359" s="142"/>
      <c r="U359" s="142"/>
      <c r="V359" s="142"/>
      <c r="W359" s="142"/>
      <c r="X359" s="142"/>
      <c r="Y359" s="141"/>
      <c r="Z359" s="141"/>
      <c r="AA359" s="141"/>
      <c r="AB359" s="141"/>
      <c r="AC359" s="141"/>
      <c r="AD359" s="141"/>
      <c r="AE359" s="141"/>
    </row>
    <row r="360" ht="17.25" customHeight="1">
      <c r="A360" s="133" t="s">
        <v>23</v>
      </c>
      <c r="B360" s="133" t="s">
        <v>106</v>
      </c>
      <c r="C360" s="133" t="s">
        <v>90</v>
      </c>
      <c r="E360" s="133" t="s">
        <v>107</v>
      </c>
      <c r="F360" s="133" t="s">
        <v>193</v>
      </c>
      <c r="G360" s="140">
        <v>1.8074632E7</v>
      </c>
      <c r="H360" s="141">
        <v>7.40394481512E12</v>
      </c>
      <c r="I360" s="133" t="s">
        <v>101</v>
      </c>
      <c r="J360" s="133" t="s">
        <v>94</v>
      </c>
      <c r="K360" s="133" t="s">
        <v>104</v>
      </c>
      <c r="L360" s="141">
        <v>0.0</v>
      </c>
      <c r="M360" s="141">
        <v>0.0</v>
      </c>
      <c r="N360" s="141">
        <v>1.0</v>
      </c>
      <c r="O360" s="141">
        <v>2704.27</v>
      </c>
      <c r="P360" s="141">
        <v>0.0</v>
      </c>
      <c r="Q360" s="141">
        <v>0.0</v>
      </c>
      <c r="R360" s="141">
        <v>0.0</v>
      </c>
      <c r="S360" s="141"/>
      <c r="T360" s="142"/>
      <c r="U360" s="142"/>
      <c r="V360" s="142"/>
      <c r="W360" s="142"/>
      <c r="X360" s="142"/>
      <c r="Y360" s="141"/>
      <c r="Z360" s="141"/>
      <c r="AA360" s="141"/>
      <c r="AB360" s="141"/>
      <c r="AC360" s="141"/>
      <c r="AD360" s="141"/>
      <c r="AE360" s="141"/>
    </row>
    <row r="361" ht="17.25" customHeight="1">
      <c r="A361" s="133" t="s">
        <v>23</v>
      </c>
      <c r="B361" s="133" t="s">
        <v>147</v>
      </c>
      <c r="C361" s="133" t="s">
        <v>90</v>
      </c>
      <c r="E361" s="133" t="s">
        <v>148</v>
      </c>
      <c r="F361" s="133" t="s">
        <v>149</v>
      </c>
      <c r="G361" s="140">
        <v>1.4620437E7</v>
      </c>
      <c r="H361" s="141">
        <v>7.403584608205E12</v>
      </c>
      <c r="I361" s="133" t="s">
        <v>93</v>
      </c>
      <c r="J361" s="133" t="s">
        <v>94</v>
      </c>
      <c r="K361" s="133" t="s">
        <v>95</v>
      </c>
      <c r="L361" s="141">
        <v>0.0</v>
      </c>
      <c r="M361" s="141">
        <v>0.0</v>
      </c>
      <c r="N361" s="141">
        <v>4.0</v>
      </c>
      <c r="O361" s="141">
        <v>5862.44</v>
      </c>
      <c r="P361" s="141">
        <v>1.0</v>
      </c>
      <c r="Q361" s="141">
        <v>1542.75</v>
      </c>
      <c r="R361" s="141">
        <v>0.0</v>
      </c>
      <c r="S361" s="141"/>
      <c r="T361" s="142"/>
      <c r="U361" s="142"/>
      <c r="V361" s="142"/>
      <c r="W361" s="142"/>
      <c r="X361" s="142"/>
      <c r="Y361" s="141"/>
      <c r="Z361" s="141"/>
      <c r="AA361" s="141"/>
      <c r="AB361" s="141"/>
      <c r="AC361" s="141"/>
      <c r="AD361" s="141"/>
      <c r="AE361" s="141"/>
    </row>
    <row r="362" ht="17.25" customHeight="1">
      <c r="A362" s="133" t="s">
        <v>23</v>
      </c>
      <c r="B362" s="133" t="s">
        <v>136</v>
      </c>
      <c r="C362" s="133" t="s">
        <v>90</v>
      </c>
      <c r="E362" s="133" t="s">
        <v>137</v>
      </c>
      <c r="F362" s="133" t="s">
        <v>44</v>
      </c>
      <c r="G362" s="140">
        <v>1.645832E7</v>
      </c>
      <c r="H362" s="141">
        <v>7.403745410203E12</v>
      </c>
      <c r="I362" s="133" t="s">
        <v>138</v>
      </c>
      <c r="J362" s="133" t="s">
        <v>94</v>
      </c>
      <c r="K362" s="133" t="s">
        <v>95</v>
      </c>
      <c r="L362" s="141">
        <v>0.0</v>
      </c>
      <c r="M362" s="141">
        <v>0.0</v>
      </c>
      <c r="N362" s="141">
        <v>20.0</v>
      </c>
      <c r="O362" s="141">
        <v>24604.95</v>
      </c>
      <c r="P362" s="141">
        <v>12.0</v>
      </c>
      <c r="Q362" s="141">
        <v>15737.95</v>
      </c>
      <c r="R362" s="141">
        <v>0.0</v>
      </c>
      <c r="S362" s="141"/>
      <c r="T362" s="142"/>
      <c r="U362" s="142"/>
      <c r="V362" s="142"/>
      <c r="W362" s="142"/>
      <c r="X362" s="142"/>
      <c r="Y362" s="141"/>
      <c r="Z362" s="141"/>
      <c r="AA362" s="141"/>
      <c r="AB362" s="141"/>
      <c r="AC362" s="141"/>
      <c r="AD362" s="141"/>
      <c r="AE362" s="141"/>
    </row>
    <row r="363" ht="17.25" customHeight="1">
      <c r="A363" s="133" t="s">
        <v>23</v>
      </c>
      <c r="B363" s="133" t="s">
        <v>89</v>
      </c>
      <c r="C363" s="133" t="s">
        <v>117</v>
      </c>
      <c r="D363" s="133"/>
      <c r="E363" s="133" t="s">
        <v>118</v>
      </c>
      <c r="F363" s="133" t="s">
        <v>176</v>
      </c>
      <c r="G363" s="140">
        <v>1.4930912E7</v>
      </c>
      <c r="H363" s="141">
        <v>7.410244407207E12</v>
      </c>
      <c r="I363" s="133" t="s">
        <v>135</v>
      </c>
      <c r="J363" s="133" t="s">
        <v>94</v>
      </c>
      <c r="K363" s="133" t="s">
        <v>104</v>
      </c>
      <c r="L363" s="141">
        <v>0.0</v>
      </c>
      <c r="M363" s="141">
        <v>0.0</v>
      </c>
      <c r="N363" s="141">
        <v>0.0</v>
      </c>
      <c r="O363" s="141">
        <v>0.0</v>
      </c>
      <c r="P363" s="141">
        <v>1.0</v>
      </c>
      <c r="Q363" s="141">
        <v>3656.83</v>
      </c>
      <c r="R363" s="141">
        <v>0.0</v>
      </c>
      <c r="S363" s="141"/>
      <c r="T363" s="142"/>
      <c r="U363" s="142"/>
      <c r="V363" s="142"/>
      <c r="W363" s="142"/>
      <c r="X363" s="142"/>
      <c r="Y363" s="141"/>
      <c r="Z363" s="141"/>
      <c r="AA363" s="141"/>
      <c r="AB363" s="141"/>
      <c r="AC363" s="141"/>
      <c r="AD363" s="141"/>
      <c r="AE363" s="141"/>
    </row>
    <row r="364" ht="17.25" customHeight="1">
      <c r="A364" s="133" t="s">
        <v>23</v>
      </c>
      <c r="B364" s="133" t="s">
        <v>89</v>
      </c>
      <c r="C364" s="133" t="s">
        <v>90</v>
      </c>
      <c r="E364" s="133" t="s">
        <v>91</v>
      </c>
      <c r="F364" s="133" t="s">
        <v>156</v>
      </c>
      <c r="G364" s="140">
        <v>1.1210359E7</v>
      </c>
      <c r="H364" s="141">
        <v>7.600204600001E12</v>
      </c>
      <c r="I364" s="133" t="s">
        <v>96</v>
      </c>
      <c r="J364" s="133" t="s">
        <v>102</v>
      </c>
      <c r="K364" s="133" t="s">
        <v>95</v>
      </c>
      <c r="L364" s="141">
        <v>0.0</v>
      </c>
      <c r="M364" s="141">
        <v>0.0</v>
      </c>
      <c r="N364" s="141">
        <v>0.0</v>
      </c>
      <c r="O364" s="141">
        <v>0.0</v>
      </c>
      <c r="P364" s="141">
        <v>0.0</v>
      </c>
      <c r="Q364" s="141">
        <v>0.0</v>
      </c>
      <c r="R364" s="141">
        <v>22.0</v>
      </c>
      <c r="S364" s="141"/>
      <c r="T364" s="142"/>
      <c r="U364" s="142"/>
      <c r="V364" s="142"/>
      <c r="W364" s="142"/>
      <c r="X364" s="142"/>
      <c r="Y364" s="141"/>
      <c r="Z364" s="141"/>
      <c r="AA364" s="141"/>
      <c r="AB364" s="141"/>
      <c r="AC364" s="141"/>
      <c r="AD364" s="141"/>
      <c r="AE364" s="141"/>
    </row>
    <row r="365" ht="17.25" customHeight="1">
      <c r="A365" s="133" t="s">
        <v>23</v>
      </c>
      <c r="B365" s="133" t="s">
        <v>89</v>
      </c>
      <c r="C365" s="133" t="s">
        <v>90</v>
      </c>
      <c r="E365" s="133" t="s">
        <v>91</v>
      </c>
      <c r="F365" s="133" t="s">
        <v>156</v>
      </c>
      <c r="G365" s="140">
        <v>1.1210359E7</v>
      </c>
      <c r="H365" s="141">
        <v>7.600204600001E12</v>
      </c>
      <c r="I365" s="133" t="s">
        <v>96</v>
      </c>
      <c r="J365" s="133" t="s">
        <v>102</v>
      </c>
      <c r="K365" s="133" t="s">
        <v>104</v>
      </c>
      <c r="L365" s="141">
        <v>0.0</v>
      </c>
      <c r="M365" s="141">
        <v>0.0</v>
      </c>
      <c r="N365" s="141">
        <v>0.0</v>
      </c>
      <c r="O365" s="141">
        <v>0.0</v>
      </c>
      <c r="P365" s="141">
        <v>0.0</v>
      </c>
      <c r="Q365" s="141">
        <v>0.0</v>
      </c>
      <c r="R365" s="141">
        <v>1.0</v>
      </c>
      <c r="S365" s="141"/>
      <c r="T365" s="142"/>
      <c r="U365" s="142"/>
      <c r="V365" s="142"/>
      <c r="W365" s="142"/>
      <c r="X365" s="142"/>
      <c r="Y365" s="141"/>
      <c r="Z365" s="141"/>
      <c r="AA365" s="141"/>
      <c r="AB365" s="141"/>
      <c r="AC365" s="141"/>
      <c r="AD365" s="141"/>
      <c r="AE365" s="141"/>
    </row>
    <row r="366" ht="17.25" customHeight="1">
      <c r="A366" s="133" t="s">
        <v>23</v>
      </c>
      <c r="B366" s="133" t="s">
        <v>89</v>
      </c>
      <c r="C366" s="133" t="s">
        <v>117</v>
      </c>
      <c r="D366" s="133"/>
      <c r="E366" s="133" t="s">
        <v>118</v>
      </c>
      <c r="F366" s="133" t="s">
        <v>176</v>
      </c>
      <c r="G366" s="140">
        <v>1.4930912E7</v>
      </c>
      <c r="H366" s="141">
        <v>7.410244407207E12</v>
      </c>
      <c r="I366" s="133" t="s">
        <v>135</v>
      </c>
      <c r="J366" s="133" t="s">
        <v>102</v>
      </c>
      <c r="K366" s="133" t="s">
        <v>113</v>
      </c>
      <c r="L366" s="141">
        <v>0.0</v>
      </c>
      <c r="M366" s="141">
        <v>0.0</v>
      </c>
      <c r="N366" s="141">
        <v>0.0</v>
      </c>
      <c r="O366" s="141">
        <v>0.0</v>
      </c>
      <c r="P366" s="141">
        <v>0.0</v>
      </c>
      <c r="Q366" s="141">
        <v>0.0</v>
      </c>
      <c r="R366" s="141">
        <v>1.0</v>
      </c>
      <c r="S366" s="141"/>
      <c r="T366" s="142"/>
      <c r="U366" s="142"/>
      <c r="V366" s="142"/>
      <c r="W366" s="142"/>
      <c r="X366" s="142"/>
      <c r="Y366" s="141"/>
      <c r="Z366" s="141"/>
      <c r="AA366" s="141"/>
      <c r="AB366" s="141"/>
      <c r="AC366" s="141"/>
      <c r="AD366" s="141"/>
      <c r="AE366" s="141"/>
    </row>
    <row r="367" ht="17.25" customHeight="1">
      <c r="A367" s="133" t="s">
        <v>23</v>
      </c>
      <c r="B367" s="133" t="s">
        <v>106</v>
      </c>
      <c r="C367" s="133" t="s">
        <v>90</v>
      </c>
      <c r="E367" s="133" t="s">
        <v>107</v>
      </c>
      <c r="F367" s="133" t="s">
        <v>193</v>
      </c>
      <c r="G367" s="140">
        <v>1.8074632E7</v>
      </c>
      <c r="H367" s="141">
        <v>7.40394481512E12</v>
      </c>
      <c r="I367" s="133" t="s">
        <v>101</v>
      </c>
      <c r="J367" s="133" t="s">
        <v>102</v>
      </c>
      <c r="K367" s="133" t="s">
        <v>146</v>
      </c>
      <c r="L367" s="141">
        <v>0.0</v>
      </c>
      <c r="M367" s="141">
        <v>0.0</v>
      </c>
      <c r="N367" s="141">
        <v>0.0</v>
      </c>
      <c r="O367" s="141">
        <v>0.0</v>
      </c>
      <c r="P367" s="141">
        <v>0.0</v>
      </c>
      <c r="Q367" s="141">
        <v>0.0</v>
      </c>
      <c r="R367" s="141">
        <v>1.0</v>
      </c>
      <c r="S367" s="141"/>
      <c r="T367" s="142"/>
      <c r="U367" s="142"/>
      <c r="V367" s="142"/>
      <c r="W367" s="142"/>
      <c r="X367" s="142"/>
      <c r="Y367" s="141"/>
      <c r="Z367" s="141"/>
      <c r="AA367" s="141"/>
      <c r="AB367" s="141"/>
      <c r="AC367" s="141"/>
      <c r="AD367" s="141"/>
      <c r="AE367" s="141"/>
    </row>
    <row r="368" ht="17.25" customHeight="1">
      <c r="A368" s="133" t="s">
        <v>23</v>
      </c>
      <c r="B368" s="133" t="s">
        <v>158</v>
      </c>
      <c r="C368" s="133"/>
      <c r="D368" s="133"/>
      <c r="E368" s="133" t="s">
        <v>164</v>
      </c>
      <c r="F368" s="133" t="s">
        <v>165</v>
      </c>
      <c r="G368" s="140">
        <v>1.6123099E7</v>
      </c>
      <c r="H368" s="141">
        <v>7.003495409207E12</v>
      </c>
      <c r="I368" s="133" t="s">
        <v>140</v>
      </c>
      <c r="J368" s="133" t="s">
        <v>102</v>
      </c>
      <c r="K368" s="133" t="s">
        <v>95</v>
      </c>
      <c r="L368" s="141">
        <v>0.0</v>
      </c>
      <c r="M368" s="141">
        <v>0.0</v>
      </c>
      <c r="N368" s="141">
        <v>0.0</v>
      </c>
      <c r="O368" s="141">
        <v>0.0</v>
      </c>
      <c r="P368" s="141">
        <v>0.0</v>
      </c>
      <c r="Q368" s="141">
        <v>0.0</v>
      </c>
      <c r="R368" s="141">
        <v>3.0</v>
      </c>
      <c r="S368" s="141"/>
      <c r="T368" s="142"/>
      <c r="U368" s="142"/>
      <c r="V368" s="142"/>
      <c r="W368" s="142"/>
      <c r="X368" s="142"/>
      <c r="Y368" s="141"/>
      <c r="Z368" s="141"/>
      <c r="AA368" s="141"/>
      <c r="AB368" s="141"/>
      <c r="AC368" s="141"/>
      <c r="AD368" s="141"/>
      <c r="AE368" s="141"/>
    </row>
    <row r="369" ht="17.25" customHeight="1">
      <c r="A369" s="133" t="s">
        <v>23</v>
      </c>
      <c r="B369" s="133" t="s">
        <v>124</v>
      </c>
      <c r="C369" s="133" t="s">
        <v>153</v>
      </c>
      <c r="D369" s="133"/>
      <c r="E369" s="133" t="s">
        <v>220</v>
      </c>
      <c r="F369" s="133" t="s">
        <v>221</v>
      </c>
      <c r="G369" s="140">
        <v>1.1817888E7</v>
      </c>
      <c r="H369" s="141">
        <v>7.302520320006E12</v>
      </c>
      <c r="I369" s="133" t="s">
        <v>101</v>
      </c>
      <c r="J369" s="133" t="s">
        <v>145</v>
      </c>
      <c r="K369" s="133" t="s">
        <v>104</v>
      </c>
      <c r="L369" s="141">
        <v>0.0</v>
      </c>
      <c r="M369" s="141">
        <v>0.0</v>
      </c>
      <c r="N369" s="141">
        <v>0.0</v>
      </c>
      <c r="O369" s="141">
        <v>0.0</v>
      </c>
      <c r="P369" s="141">
        <v>0.0</v>
      </c>
      <c r="Q369" s="141">
        <v>0.0</v>
      </c>
      <c r="R369" s="141">
        <v>1.0</v>
      </c>
      <c r="S369" s="141"/>
      <c r="T369" s="142"/>
      <c r="U369" s="142"/>
      <c r="V369" s="142"/>
      <c r="W369" s="142"/>
      <c r="X369" s="142"/>
      <c r="Y369" s="141"/>
      <c r="Z369" s="141"/>
      <c r="AA369" s="141"/>
      <c r="AB369" s="141"/>
      <c r="AC369" s="141"/>
      <c r="AD369" s="141"/>
      <c r="AE369" s="141"/>
    </row>
    <row r="370" ht="17.25" customHeight="1">
      <c r="A370" s="133" t="s">
        <v>23</v>
      </c>
      <c r="B370" s="133" t="s">
        <v>158</v>
      </c>
      <c r="C370" s="133"/>
      <c r="D370" s="133"/>
      <c r="E370" s="133" t="s">
        <v>164</v>
      </c>
      <c r="F370" s="133" t="s">
        <v>165</v>
      </c>
      <c r="G370" s="140">
        <v>1.6123099E7</v>
      </c>
      <c r="H370" s="141">
        <v>7.003495409207E12</v>
      </c>
      <c r="I370" s="133" t="s">
        <v>140</v>
      </c>
      <c r="J370" s="133" t="s">
        <v>102</v>
      </c>
      <c r="K370" s="133" t="s">
        <v>95</v>
      </c>
      <c r="L370" s="141">
        <v>0.0</v>
      </c>
      <c r="M370" s="141">
        <v>0.0</v>
      </c>
      <c r="N370" s="141">
        <v>0.0</v>
      </c>
      <c r="O370" s="141">
        <v>0.0</v>
      </c>
      <c r="P370" s="141">
        <v>0.0</v>
      </c>
      <c r="Q370" s="141">
        <v>0.0</v>
      </c>
      <c r="R370" s="141">
        <v>3.0</v>
      </c>
      <c r="S370" s="141"/>
      <c r="T370" s="142"/>
      <c r="U370" s="142"/>
      <c r="V370" s="142"/>
      <c r="W370" s="142"/>
      <c r="X370" s="142"/>
      <c r="Y370" s="141"/>
      <c r="Z370" s="141"/>
      <c r="AA370" s="141"/>
      <c r="AB370" s="141"/>
      <c r="AC370" s="141"/>
      <c r="AD370" s="141"/>
      <c r="AE370" s="141"/>
    </row>
    <row r="371" ht="17.25" customHeight="1">
      <c r="A371" s="133" t="s">
        <v>23</v>
      </c>
      <c r="B371" s="133" t="s">
        <v>89</v>
      </c>
      <c r="C371" s="133" t="s">
        <v>117</v>
      </c>
      <c r="D371" s="133"/>
      <c r="E371" s="133" t="s">
        <v>118</v>
      </c>
      <c r="F371" s="133" t="s">
        <v>205</v>
      </c>
      <c r="G371" s="140">
        <v>1.4930913E7</v>
      </c>
      <c r="H371" s="141">
        <v>7.410255207209E12</v>
      </c>
      <c r="I371" s="133" t="s">
        <v>101</v>
      </c>
      <c r="J371" s="133" t="s">
        <v>94</v>
      </c>
      <c r="K371" s="133" t="s">
        <v>113</v>
      </c>
      <c r="L371" s="141">
        <v>0.0</v>
      </c>
      <c r="M371" s="141">
        <v>0.0</v>
      </c>
      <c r="N371" s="141">
        <v>1.0</v>
      </c>
      <c r="O371" s="141">
        <v>3311.68</v>
      </c>
      <c r="P371" s="141">
        <v>0.0</v>
      </c>
      <c r="Q371" s="141">
        <v>0.0</v>
      </c>
      <c r="R371" s="141">
        <v>0.0</v>
      </c>
      <c r="S371" s="141"/>
      <c r="T371" s="142"/>
      <c r="U371" s="142"/>
      <c r="V371" s="142"/>
      <c r="W371" s="142"/>
      <c r="X371" s="142"/>
      <c r="Y371" s="141"/>
      <c r="Z371" s="141"/>
      <c r="AA371" s="141"/>
      <c r="AB371" s="141"/>
      <c r="AC371" s="141"/>
      <c r="AD371" s="141"/>
      <c r="AE371" s="141"/>
    </row>
    <row r="372" ht="17.25" customHeight="1">
      <c r="A372" s="133" t="s">
        <v>23</v>
      </c>
      <c r="B372" s="133" t="s">
        <v>136</v>
      </c>
      <c r="C372" s="133" t="s">
        <v>90</v>
      </c>
      <c r="E372" s="133" t="s">
        <v>137</v>
      </c>
      <c r="F372" s="133" t="s">
        <v>37</v>
      </c>
      <c r="G372" s="140">
        <v>1.8583836E7</v>
      </c>
      <c r="H372" s="141">
        <v>7.403935429121E12</v>
      </c>
      <c r="I372" s="133" t="s">
        <v>138</v>
      </c>
      <c r="J372" s="133" t="s">
        <v>102</v>
      </c>
      <c r="K372" s="133" t="s">
        <v>95</v>
      </c>
      <c r="L372" s="141">
        <v>0.0</v>
      </c>
      <c r="M372" s="141">
        <v>0.0</v>
      </c>
      <c r="N372" s="141">
        <v>6.0</v>
      </c>
      <c r="O372" s="141">
        <v>9907.74</v>
      </c>
      <c r="P372" s="141">
        <v>4.0</v>
      </c>
      <c r="Q372" s="141">
        <v>6536.45</v>
      </c>
      <c r="R372" s="141">
        <v>168.0</v>
      </c>
      <c r="S372" s="141"/>
      <c r="T372" s="142"/>
      <c r="U372" s="142"/>
      <c r="V372" s="142"/>
      <c r="W372" s="142"/>
      <c r="X372" s="142"/>
      <c r="Y372" s="141"/>
      <c r="Z372" s="141"/>
      <c r="AA372" s="141"/>
      <c r="AB372" s="141"/>
      <c r="AC372" s="141"/>
      <c r="AD372" s="141"/>
      <c r="AE372" s="141"/>
    </row>
    <row r="373" ht="17.25" customHeight="1">
      <c r="A373" s="133" t="s">
        <v>23</v>
      </c>
      <c r="B373" s="133" t="s">
        <v>106</v>
      </c>
      <c r="C373" s="133" t="s">
        <v>90</v>
      </c>
      <c r="E373" s="133" t="s">
        <v>107</v>
      </c>
      <c r="F373" s="133" t="s">
        <v>188</v>
      </c>
      <c r="G373" s="140">
        <v>1.7615825E7</v>
      </c>
      <c r="H373" s="141">
        <v>7.403904807127E12</v>
      </c>
      <c r="I373" s="133" t="s">
        <v>101</v>
      </c>
      <c r="J373" s="133" t="s">
        <v>102</v>
      </c>
      <c r="K373" s="133" t="s">
        <v>95</v>
      </c>
      <c r="L373" s="141">
        <v>0.0</v>
      </c>
      <c r="M373" s="141">
        <v>0.0</v>
      </c>
      <c r="N373" s="141">
        <v>2.0</v>
      </c>
      <c r="O373" s="141">
        <v>4931.32</v>
      </c>
      <c r="P373" s="141">
        <v>1.0</v>
      </c>
      <c r="Q373" s="141">
        <v>2781.54</v>
      </c>
      <c r="R373" s="141">
        <v>2.0</v>
      </c>
      <c r="S373" s="141"/>
      <c r="T373" s="142"/>
      <c r="U373" s="142"/>
      <c r="V373" s="142"/>
      <c r="W373" s="142"/>
      <c r="X373" s="142"/>
      <c r="Y373" s="141"/>
      <c r="Z373" s="141"/>
      <c r="AA373" s="141"/>
      <c r="AB373" s="141"/>
      <c r="AC373" s="141"/>
      <c r="AD373" s="141"/>
      <c r="AE373" s="141"/>
    </row>
    <row r="374" ht="17.25" customHeight="1">
      <c r="A374" s="133" t="s">
        <v>23</v>
      </c>
      <c r="B374" s="133" t="s">
        <v>106</v>
      </c>
      <c r="C374" s="133" t="s">
        <v>90</v>
      </c>
      <c r="E374" s="133" t="s">
        <v>107</v>
      </c>
      <c r="F374" s="133" t="s">
        <v>188</v>
      </c>
      <c r="G374" s="140">
        <v>1.7615825E7</v>
      </c>
      <c r="H374" s="141">
        <v>7.403904807127E12</v>
      </c>
      <c r="I374" s="133" t="s">
        <v>101</v>
      </c>
      <c r="J374" s="133" t="s">
        <v>94</v>
      </c>
      <c r="K374" s="133" t="s">
        <v>97</v>
      </c>
      <c r="L374" s="141">
        <v>0.0</v>
      </c>
      <c r="M374" s="141">
        <v>0.0</v>
      </c>
      <c r="N374" s="141">
        <v>1.0</v>
      </c>
      <c r="O374" s="141">
        <v>2536.11</v>
      </c>
      <c r="P374" s="141">
        <v>0.0</v>
      </c>
      <c r="Q374" s="141">
        <v>0.0</v>
      </c>
      <c r="R374" s="141">
        <v>0.0</v>
      </c>
      <c r="S374" s="141"/>
      <c r="T374" s="142"/>
      <c r="U374" s="142"/>
      <c r="V374" s="142"/>
      <c r="W374" s="142"/>
      <c r="X374" s="142"/>
      <c r="Y374" s="141"/>
      <c r="Z374" s="141"/>
      <c r="AA374" s="141"/>
      <c r="AB374" s="141"/>
      <c r="AC374" s="141"/>
      <c r="AD374" s="141"/>
      <c r="AE374" s="141"/>
    </row>
    <row r="375" ht="17.25" customHeight="1">
      <c r="A375" s="133" t="s">
        <v>23</v>
      </c>
      <c r="B375" s="133" t="s">
        <v>106</v>
      </c>
      <c r="C375" s="133" t="s">
        <v>90</v>
      </c>
      <c r="E375" s="133" t="s">
        <v>114</v>
      </c>
      <c r="F375" s="133" t="s">
        <v>115</v>
      </c>
      <c r="G375" s="140">
        <v>1.8074633E7</v>
      </c>
      <c r="H375" s="141">
        <v>7.403934815123E12</v>
      </c>
      <c r="I375" s="133" t="s">
        <v>122</v>
      </c>
      <c r="J375" s="133" t="s">
        <v>102</v>
      </c>
      <c r="K375" s="133" t="s">
        <v>95</v>
      </c>
      <c r="L375" s="141">
        <v>0.0</v>
      </c>
      <c r="M375" s="141">
        <v>0.0</v>
      </c>
      <c r="N375" s="141">
        <v>0.0</v>
      </c>
      <c r="O375" s="141">
        <v>0.0</v>
      </c>
      <c r="P375" s="141">
        <v>0.0</v>
      </c>
      <c r="Q375" s="141">
        <v>0.0</v>
      </c>
      <c r="R375" s="141">
        <v>2.0</v>
      </c>
      <c r="S375" s="141"/>
      <c r="T375" s="142"/>
      <c r="U375" s="142"/>
      <c r="V375" s="142"/>
      <c r="W375" s="142"/>
      <c r="X375" s="142"/>
      <c r="Y375" s="141"/>
      <c r="Z375" s="141"/>
      <c r="AA375" s="141"/>
      <c r="AB375" s="141"/>
      <c r="AC375" s="141"/>
      <c r="AD375" s="141"/>
      <c r="AE375" s="141"/>
    </row>
    <row r="376" ht="17.25" customHeight="1">
      <c r="A376" s="133" t="s">
        <v>23</v>
      </c>
      <c r="B376" s="133" t="s">
        <v>106</v>
      </c>
      <c r="C376" s="133" t="s">
        <v>90</v>
      </c>
      <c r="E376" s="133" t="s">
        <v>114</v>
      </c>
      <c r="F376" s="133" t="s">
        <v>115</v>
      </c>
      <c r="G376" s="140">
        <v>1.8074633E7</v>
      </c>
      <c r="H376" s="141">
        <v>7.403934815123E12</v>
      </c>
      <c r="I376" s="133" t="s">
        <v>122</v>
      </c>
      <c r="J376" s="133" t="s">
        <v>94</v>
      </c>
      <c r="K376" s="133" t="s">
        <v>116</v>
      </c>
      <c r="L376" s="141">
        <v>0.0</v>
      </c>
      <c r="M376" s="141">
        <v>0.0</v>
      </c>
      <c r="N376" s="141">
        <v>0.0</v>
      </c>
      <c r="O376" s="141">
        <v>0.0</v>
      </c>
      <c r="P376" s="141">
        <v>0.0</v>
      </c>
      <c r="Q376" s="141">
        <v>0.0</v>
      </c>
      <c r="R376" s="141">
        <v>0.0</v>
      </c>
      <c r="S376" s="141"/>
      <c r="T376" s="142"/>
      <c r="U376" s="142"/>
      <c r="V376" s="142"/>
      <c r="W376" s="142"/>
      <c r="X376" s="142"/>
      <c r="Y376" s="141"/>
      <c r="Z376" s="141"/>
      <c r="AA376" s="141"/>
      <c r="AB376" s="141"/>
      <c r="AC376" s="141"/>
      <c r="AD376" s="141"/>
      <c r="AE376" s="141"/>
    </row>
    <row r="377" ht="17.25" customHeight="1">
      <c r="A377" s="133" t="s">
        <v>23</v>
      </c>
      <c r="B377" s="133" t="s">
        <v>89</v>
      </c>
      <c r="C377" s="133" t="s">
        <v>90</v>
      </c>
      <c r="E377" s="133" t="s">
        <v>91</v>
      </c>
      <c r="F377" s="133" t="s">
        <v>156</v>
      </c>
      <c r="G377" s="140">
        <v>1.1210359E7</v>
      </c>
      <c r="H377" s="141">
        <v>7.600205000008E12</v>
      </c>
      <c r="I377" s="133" t="s">
        <v>122</v>
      </c>
      <c r="J377" s="133" t="s">
        <v>94</v>
      </c>
      <c r="K377" s="133" t="s">
        <v>95</v>
      </c>
      <c r="L377" s="141">
        <v>0.0</v>
      </c>
      <c r="M377" s="141">
        <v>0.0</v>
      </c>
      <c r="N377" s="141">
        <v>3.0</v>
      </c>
      <c r="O377" s="141">
        <v>8677.99</v>
      </c>
      <c r="P377" s="141">
        <v>2.0</v>
      </c>
      <c r="Q377" s="141">
        <v>6226.89</v>
      </c>
      <c r="R377" s="141">
        <v>0.0</v>
      </c>
      <c r="S377" s="141"/>
      <c r="T377" s="142"/>
      <c r="U377" s="142"/>
      <c r="V377" s="142"/>
      <c r="W377" s="142"/>
      <c r="X377" s="142"/>
      <c r="Y377" s="141"/>
      <c r="Z377" s="141"/>
      <c r="AA377" s="141"/>
      <c r="AB377" s="141"/>
      <c r="AC377" s="141"/>
      <c r="AD377" s="141"/>
      <c r="AE377" s="141"/>
    </row>
    <row r="378" ht="17.25" customHeight="1">
      <c r="A378" s="133" t="s">
        <v>23</v>
      </c>
      <c r="B378" s="133" t="s">
        <v>89</v>
      </c>
      <c r="C378" s="133" t="s">
        <v>117</v>
      </c>
      <c r="D378" s="133"/>
      <c r="E378" s="133" t="s">
        <v>118</v>
      </c>
      <c r="F378" s="133" t="s">
        <v>209</v>
      </c>
      <c r="G378" s="140">
        <v>1.4936021E7</v>
      </c>
      <c r="H378" s="141">
        <v>7.400245207203E12</v>
      </c>
      <c r="I378" s="133" t="s">
        <v>101</v>
      </c>
      <c r="J378" s="133" t="s">
        <v>94</v>
      </c>
      <c r="K378" s="133" t="s">
        <v>104</v>
      </c>
      <c r="L378" s="141">
        <v>0.0</v>
      </c>
      <c r="M378" s="141">
        <v>0.0</v>
      </c>
      <c r="N378" s="141">
        <v>1.0</v>
      </c>
      <c r="O378" s="141">
        <v>3135.99</v>
      </c>
      <c r="P378" s="141">
        <v>0.0</v>
      </c>
      <c r="Q378" s="141">
        <v>0.0</v>
      </c>
      <c r="R378" s="141">
        <v>0.0</v>
      </c>
      <c r="S378" s="141"/>
      <c r="T378" s="142"/>
      <c r="U378" s="142"/>
      <c r="V378" s="142"/>
      <c r="W378" s="142"/>
      <c r="X378" s="142"/>
      <c r="Y378" s="141"/>
      <c r="Z378" s="141"/>
      <c r="AA378" s="141"/>
      <c r="AB378" s="141"/>
      <c r="AC378" s="141"/>
      <c r="AD378" s="141"/>
      <c r="AE378" s="141"/>
    </row>
    <row r="379" ht="17.25" customHeight="1">
      <c r="A379" s="133" t="s">
        <v>23</v>
      </c>
      <c r="B379" s="133" t="s">
        <v>89</v>
      </c>
      <c r="C379" s="133" t="s">
        <v>90</v>
      </c>
      <c r="E379" s="133" t="s">
        <v>91</v>
      </c>
      <c r="F379" s="133" t="s">
        <v>156</v>
      </c>
      <c r="G379" s="140">
        <v>1.1210359E7</v>
      </c>
      <c r="H379" s="141">
        <v>7.600205000008E12</v>
      </c>
      <c r="I379" s="133" t="s">
        <v>122</v>
      </c>
      <c r="J379" s="133" t="s">
        <v>94</v>
      </c>
      <c r="K379" s="133" t="s">
        <v>104</v>
      </c>
      <c r="L379" s="141">
        <v>0.0</v>
      </c>
      <c r="M379" s="141">
        <v>0.0</v>
      </c>
      <c r="N379" s="141">
        <v>1.0</v>
      </c>
      <c r="O379" s="141">
        <v>2467.97</v>
      </c>
      <c r="P379" s="141">
        <v>0.0</v>
      </c>
      <c r="Q379" s="141">
        <v>0.0</v>
      </c>
      <c r="R379" s="141">
        <v>0.0</v>
      </c>
      <c r="S379" s="141"/>
      <c r="T379" s="142"/>
      <c r="U379" s="142"/>
      <c r="V379" s="142"/>
      <c r="W379" s="142"/>
      <c r="X379" s="142"/>
      <c r="Y379" s="141"/>
      <c r="Z379" s="141"/>
      <c r="AA379" s="141"/>
      <c r="AB379" s="141"/>
      <c r="AC379" s="141"/>
      <c r="AD379" s="141"/>
      <c r="AE379" s="141"/>
    </row>
    <row r="380" ht="17.25" customHeight="1">
      <c r="A380" s="133" t="s">
        <v>23</v>
      </c>
      <c r="B380" s="133" t="s">
        <v>89</v>
      </c>
      <c r="C380" s="133" t="s">
        <v>90</v>
      </c>
      <c r="E380" s="133" t="s">
        <v>91</v>
      </c>
      <c r="F380" s="133" t="s">
        <v>156</v>
      </c>
      <c r="G380" s="140">
        <v>1.1210359E7</v>
      </c>
      <c r="H380" s="141">
        <v>7.600205000008E12</v>
      </c>
      <c r="I380" s="133" t="s">
        <v>122</v>
      </c>
      <c r="J380" s="133" t="s">
        <v>94</v>
      </c>
      <c r="K380" s="133" t="s">
        <v>113</v>
      </c>
      <c r="L380" s="141">
        <v>0.0</v>
      </c>
      <c r="M380" s="141">
        <v>0.0</v>
      </c>
      <c r="N380" s="141">
        <v>1.0</v>
      </c>
      <c r="O380" s="141">
        <v>2797.04</v>
      </c>
      <c r="P380" s="141">
        <v>0.0</v>
      </c>
      <c r="Q380" s="141">
        <v>0.0</v>
      </c>
      <c r="R380" s="141">
        <v>0.0</v>
      </c>
      <c r="S380" s="141"/>
      <c r="T380" s="142"/>
      <c r="U380" s="142"/>
      <c r="V380" s="142"/>
      <c r="W380" s="142"/>
      <c r="X380" s="142"/>
      <c r="Y380" s="141"/>
      <c r="Z380" s="141"/>
      <c r="AA380" s="141"/>
      <c r="AB380" s="141"/>
      <c r="AC380" s="141"/>
      <c r="AD380" s="141"/>
      <c r="AE380" s="141"/>
    </row>
    <row r="381" ht="17.25" customHeight="1">
      <c r="A381" s="133" t="s">
        <v>23</v>
      </c>
      <c r="B381" s="133" t="s">
        <v>89</v>
      </c>
      <c r="C381" s="133" t="s">
        <v>117</v>
      </c>
      <c r="D381" s="133"/>
      <c r="E381" s="133" t="s">
        <v>118</v>
      </c>
      <c r="F381" s="133" t="s">
        <v>209</v>
      </c>
      <c r="G381" s="140">
        <v>1.4936021E7</v>
      </c>
      <c r="H381" s="141">
        <v>7.400245207203E12</v>
      </c>
      <c r="I381" s="133" t="s">
        <v>101</v>
      </c>
      <c r="J381" s="133" t="s">
        <v>94</v>
      </c>
      <c r="K381" s="133" t="s">
        <v>95</v>
      </c>
      <c r="L381" s="141">
        <v>0.0</v>
      </c>
      <c r="M381" s="141">
        <v>0.0</v>
      </c>
      <c r="N381" s="141">
        <v>0.0</v>
      </c>
      <c r="O381" s="141">
        <v>0.0</v>
      </c>
      <c r="P381" s="141">
        <v>0.0</v>
      </c>
      <c r="Q381" s="141">
        <v>0.0</v>
      </c>
      <c r="R381" s="141">
        <v>0.0</v>
      </c>
      <c r="S381" s="141"/>
      <c r="T381" s="149"/>
      <c r="U381" s="149"/>
      <c r="V381" s="149"/>
      <c r="W381" s="149"/>
      <c r="X381" s="149"/>
      <c r="Y381" s="141"/>
      <c r="Z381" s="141"/>
      <c r="AA381" s="141"/>
      <c r="AB381" s="141"/>
      <c r="AC381" s="141"/>
      <c r="AD381" s="141"/>
      <c r="AE381" s="141"/>
    </row>
    <row r="382" ht="17.25" customHeight="1">
      <c r="A382" s="150" t="s">
        <v>23</v>
      </c>
      <c r="B382" s="150" t="s">
        <v>136</v>
      </c>
      <c r="C382" s="151" t="s">
        <v>90</v>
      </c>
      <c r="D382" s="152"/>
      <c r="E382" s="150" t="s">
        <v>137</v>
      </c>
      <c r="F382" s="150" t="s">
        <v>37</v>
      </c>
      <c r="G382" s="153">
        <v>1.8583836E7</v>
      </c>
      <c r="H382" s="154">
        <v>7.403935429121E12</v>
      </c>
      <c r="I382" s="150" t="s">
        <v>138</v>
      </c>
      <c r="J382" s="150" t="s">
        <v>102</v>
      </c>
      <c r="K382" s="150" t="s">
        <v>104</v>
      </c>
      <c r="L382" s="154">
        <v>0.0</v>
      </c>
      <c r="M382" s="154">
        <v>0.0</v>
      </c>
      <c r="N382" s="154">
        <v>0.0</v>
      </c>
      <c r="O382" s="154">
        <v>0.0</v>
      </c>
      <c r="P382" s="154">
        <v>0.0</v>
      </c>
      <c r="Q382" s="154">
        <v>0.0</v>
      </c>
      <c r="R382" s="154">
        <v>1.0</v>
      </c>
      <c r="S382" s="154"/>
      <c r="T382" s="155"/>
      <c r="U382" s="155"/>
      <c r="V382" s="155"/>
      <c r="W382" s="155"/>
      <c r="X382" s="155"/>
      <c r="Y382" s="154"/>
      <c r="Z382" s="154"/>
      <c r="AA382" s="154"/>
      <c r="AB382" s="154"/>
      <c r="AC382" s="154"/>
      <c r="AD382" s="154"/>
      <c r="AE382" s="154"/>
    </row>
    <row r="383" ht="17.25" customHeight="1">
      <c r="A383" s="133" t="s">
        <v>23</v>
      </c>
      <c r="B383" s="133" t="s">
        <v>129</v>
      </c>
      <c r="C383" s="133" t="s">
        <v>90</v>
      </c>
      <c r="E383" s="133" t="s">
        <v>130</v>
      </c>
      <c r="F383" s="133" t="s">
        <v>167</v>
      </c>
      <c r="G383" s="140">
        <v>1.3176414E7</v>
      </c>
      <c r="H383" s="141">
        <v>7.003082906201E12</v>
      </c>
      <c r="I383" s="133" t="s">
        <v>203</v>
      </c>
      <c r="J383" s="133" t="s">
        <v>102</v>
      </c>
      <c r="K383" s="133" t="s">
        <v>113</v>
      </c>
      <c r="L383" s="141">
        <v>0.0</v>
      </c>
      <c r="M383" s="141">
        <v>0.0</v>
      </c>
      <c r="N383" s="141">
        <v>0.0</v>
      </c>
      <c r="O383" s="141">
        <v>0.0</v>
      </c>
      <c r="P383" s="141">
        <v>0.0</v>
      </c>
      <c r="Q383" s="141">
        <v>0.0</v>
      </c>
      <c r="R383" s="141">
        <v>1.0</v>
      </c>
      <c r="S383" s="141"/>
      <c r="T383" s="142"/>
      <c r="U383" s="142"/>
      <c r="V383" s="142"/>
      <c r="W383" s="142"/>
      <c r="X383" s="142"/>
      <c r="Y383" s="141"/>
      <c r="Z383" s="141"/>
      <c r="AA383" s="141"/>
      <c r="AB383" s="141"/>
      <c r="AC383" s="141"/>
      <c r="AD383" s="141"/>
      <c r="AE383" s="141"/>
    </row>
    <row r="384" ht="17.25" customHeight="1">
      <c r="A384" s="133" t="s">
        <v>23</v>
      </c>
      <c r="B384" s="133" t="s">
        <v>89</v>
      </c>
      <c r="C384" s="133" t="s">
        <v>117</v>
      </c>
      <c r="D384" s="133"/>
      <c r="E384" s="133" t="s">
        <v>118</v>
      </c>
      <c r="F384" s="133" t="s">
        <v>209</v>
      </c>
      <c r="G384" s="140">
        <v>1.4936021E7</v>
      </c>
      <c r="H384" s="141">
        <v>7.400244607202E12</v>
      </c>
      <c r="I384" s="133" t="s">
        <v>96</v>
      </c>
      <c r="J384" s="133" t="s">
        <v>102</v>
      </c>
      <c r="K384" s="133" t="s">
        <v>95</v>
      </c>
      <c r="L384" s="141">
        <v>0.0</v>
      </c>
      <c r="M384" s="141">
        <v>0.0</v>
      </c>
      <c r="N384" s="141">
        <v>0.0</v>
      </c>
      <c r="O384" s="141">
        <v>0.0</v>
      </c>
      <c r="P384" s="141">
        <v>0.0</v>
      </c>
      <c r="Q384" s="141">
        <v>0.0</v>
      </c>
      <c r="R384" s="141">
        <v>6.0</v>
      </c>
      <c r="S384" s="141"/>
      <c r="T384" s="142"/>
      <c r="U384" s="142"/>
      <c r="V384" s="142"/>
      <c r="W384" s="142"/>
      <c r="X384" s="142"/>
      <c r="Y384" s="141"/>
      <c r="Z384" s="141"/>
      <c r="AA384" s="141"/>
      <c r="AB384" s="141"/>
      <c r="AC384" s="141"/>
      <c r="AD384" s="141"/>
      <c r="AE384" s="141"/>
    </row>
    <row r="385" ht="17.25" customHeight="1">
      <c r="A385" s="133" t="s">
        <v>23</v>
      </c>
      <c r="B385" s="133" t="s">
        <v>106</v>
      </c>
      <c r="C385" s="133" t="s">
        <v>90</v>
      </c>
      <c r="E385" s="133" t="s">
        <v>114</v>
      </c>
      <c r="F385" s="133" t="s">
        <v>115</v>
      </c>
      <c r="G385" s="140">
        <v>1.8074633E7</v>
      </c>
      <c r="H385" s="141">
        <v>7.403934815123E12</v>
      </c>
      <c r="I385" s="133" t="s">
        <v>122</v>
      </c>
      <c r="J385" s="133" t="s">
        <v>102</v>
      </c>
      <c r="K385" s="133" t="s">
        <v>95</v>
      </c>
      <c r="L385" s="141">
        <v>0.0</v>
      </c>
      <c r="M385" s="141">
        <v>0.0</v>
      </c>
      <c r="N385" s="141">
        <v>0.0</v>
      </c>
      <c r="O385" s="141">
        <v>0.0</v>
      </c>
      <c r="P385" s="141">
        <v>0.0</v>
      </c>
      <c r="Q385" s="141">
        <v>0.0</v>
      </c>
      <c r="R385" s="141">
        <v>1.0</v>
      </c>
      <c r="S385" s="141"/>
      <c r="T385" s="142"/>
      <c r="U385" s="142"/>
      <c r="V385" s="142"/>
      <c r="W385" s="142"/>
      <c r="X385" s="142"/>
      <c r="Y385" s="141"/>
      <c r="Z385" s="141"/>
      <c r="AA385" s="141"/>
      <c r="AB385" s="141"/>
      <c r="AC385" s="141"/>
      <c r="AD385" s="141"/>
      <c r="AE385" s="141"/>
    </row>
    <row r="386" ht="17.25" customHeight="1">
      <c r="A386" s="133" t="s">
        <v>23</v>
      </c>
      <c r="B386" s="133" t="s">
        <v>129</v>
      </c>
      <c r="C386" s="133" t="s">
        <v>117</v>
      </c>
      <c r="D386" s="133"/>
      <c r="E386" s="133" t="s">
        <v>133</v>
      </c>
      <c r="F386" s="133" t="s">
        <v>134</v>
      </c>
      <c r="G386" s="140">
        <v>1.3178267E7</v>
      </c>
      <c r="H386" s="141">
        <v>7.003115406203E12</v>
      </c>
      <c r="I386" s="133" t="s">
        <v>140</v>
      </c>
      <c r="J386" s="133" t="s">
        <v>102</v>
      </c>
      <c r="K386" s="133" t="s">
        <v>97</v>
      </c>
      <c r="L386" s="141">
        <v>0.0</v>
      </c>
      <c r="M386" s="141">
        <v>0.0</v>
      </c>
      <c r="N386" s="141">
        <v>0.0</v>
      </c>
      <c r="O386" s="141">
        <v>0.0</v>
      </c>
      <c r="P386" s="141">
        <v>0.0</v>
      </c>
      <c r="Q386" s="141">
        <v>0.0</v>
      </c>
      <c r="R386" s="141">
        <v>1.0</v>
      </c>
      <c r="S386" s="141"/>
      <c r="T386" s="142"/>
      <c r="U386" s="142"/>
      <c r="V386" s="142"/>
      <c r="W386" s="142"/>
      <c r="X386" s="142"/>
      <c r="Y386" s="141"/>
      <c r="Z386" s="141"/>
      <c r="AA386" s="141"/>
      <c r="AB386" s="141"/>
      <c r="AC386" s="141"/>
      <c r="AD386" s="141"/>
      <c r="AE386" s="141"/>
    </row>
    <row r="387" ht="17.25" customHeight="1">
      <c r="A387" s="133" t="s">
        <v>23</v>
      </c>
      <c r="B387" s="133" t="s">
        <v>124</v>
      </c>
      <c r="C387" s="133" t="s">
        <v>153</v>
      </c>
      <c r="D387" s="133"/>
      <c r="E387" s="133" t="s">
        <v>196</v>
      </c>
      <c r="F387" s="133" t="s">
        <v>206</v>
      </c>
      <c r="G387" s="140">
        <v>1.1210352E7</v>
      </c>
      <c r="H387" s="141">
        <v>7.190440000005E12</v>
      </c>
      <c r="I387" s="133" t="s">
        <v>135</v>
      </c>
      <c r="J387" s="133" t="s">
        <v>145</v>
      </c>
      <c r="K387" s="133" t="s">
        <v>104</v>
      </c>
      <c r="L387" s="141">
        <v>0.0</v>
      </c>
      <c r="M387" s="141">
        <v>0.0</v>
      </c>
      <c r="N387" s="141">
        <v>0.0</v>
      </c>
      <c r="O387" s="141">
        <v>0.0</v>
      </c>
      <c r="P387" s="141">
        <v>0.0</v>
      </c>
      <c r="Q387" s="141">
        <v>0.0</v>
      </c>
      <c r="R387" s="141">
        <v>2.0</v>
      </c>
      <c r="S387" s="141"/>
      <c r="T387" s="142"/>
      <c r="U387" s="142"/>
      <c r="V387" s="142"/>
      <c r="W387" s="142"/>
      <c r="X387" s="142"/>
      <c r="Y387" s="141"/>
      <c r="Z387" s="141"/>
      <c r="AA387" s="141"/>
      <c r="AB387" s="141"/>
      <c r="AC387" s="141"/>
      <c r="AD387" s="141"/>
      <c r="AE387" s="141"/>
    </row>
    <row r="388" ht="17.25" customHeight="1">
      <c r="A388" s="133" t="s">
        <v>23</v>
      </c>
      <c r="B388" s="133" t="s">
        <v>106</v>
      </c>
      <c r="C388" s="133" t="s">
        <v>90</v>
      </c>
      <c r="E388" s="133" t="s">
        <v>114</v>
      </c>
      <c r="F388" s="133" t="s">
        <v>115</v>
      </c>
      <c r="G388" s="140">
        <v>1.8074633E7</v>
      </c>
      <c r="H388" s="141">
        <v>7.403934815123E12</v>
      </c>
      <c r="I388" s="133" t="s">
        <v>122</v>
      </c>
      <c r="J388" s="133" t="s">
        <v>102</v>
      </c>
      <c r="K388" s="133" t="s">
        <v>104</v>
      </c>
      <c r="L388" s="141">
        <v>0.0</v>
      </c>
      <c r="M388" s="141">
        <v>0.0</v>
      </c>
      <c r="N388" s="141">
        <v>0.0</v>
      </c>
      <c r="O388" s="141">
        <v>0.0</v>
      </c>
      <c r="P388" s="141">
        <v>0.0</v>
      </c>
      <c r="Q388" s="141">
        <v>0.0</v>
      </c>
      <c r="R388" s="141">
        <v>1.0</v>
      </c>
      <c r="S388" s="141"/>
      <c r="T388" s="142"/>
      <c r="U388" s="142"/>
      <c r="V388" s="142"/>
      <c r="W388" s="142"/>
      <c r="X388" s="142"/>
      <c r="Y388" s="141"/>
      <c r="Z388" s="141"/>
      <c r="AA388" s="141"/>
      <c r="AB388" s="141"/>
      <c r="AC388" s="141"/>
      <c r="AD388" s="141"/>
      <c r="AE388" s="141"/>
    </row>
    <row r="389" ht="17.25" customHeight="1">
      <c r="A389" s="133" t="s">
        <v>23</v>
      </c>
      <c r="B389" s="133" t="s">
        <v>106</v>
      </c>
      <c r="C389" s="133" t="s">
        <v>90</v>
      </c>
      <c r="E389" s="133" t="s">
        <v>114</v>
      </c>
      <c r="F389" s="133" t="s">
        <v>115</v>
      </c>
      <c r="G389" s="140">
        <v>1.8074633E7</v>
      </c>
      <c r="H389" s="141">
        <v>7.403934815123E12</v>
      </c>
      <c r="I389" s="133" t="s">
        <v>122</v>
      </c>
      <c r="J389" s="133" t="s">
        <v>102</v>
      </c>
      <c r="K389" s="133" t="s">
        <v>113</v>
      </c>
      <c r="L389" s="141">
        <v>0.0</v>
      </c>
      <c r="M389" s="141">
        <v>0.0</v>
      </c>
      <c r="N389" s="141">
        <v>0.0</v>
      </c>
      <c r="O389" s="141">
        <v>0.0</v>
      </c>
      <c r="P389" s="141">
        <v>0.0</v>
      </c>
      <c r="Q389" s="141">
        <v>0.0</v>
      </c>
      <c r="R389" s="141">
        <v>1.0</v>
      </c>
      <c r="S389" s="141"/>
      <c r="T389" s="142"/>
      <c r="U389" s="142"/>
      <c r="V389" s="142"/>
      <c r="W389" s="142"/>
      <c r="X389" s="142"/>
      <c r="Y389" s="141"/>
      <c r="Z389" s="141"/>
      <c r="AA389" s="141"/>
      <c r="AB389" s="141"/>
      <c r="AC389" s="141"/>
      <c r="AD389" s="141"/>
      <c r="AE389" s="141"/>
    </row>
    <row r="390" ht="17.25" customHeight="1">
      <c r="A390" s="133" t="s">
        <v>23</v>
      </c>
      <c r="B390" s="133" t="s">
        <v>124</v>
      </c>
      <c r="C390" s="133" t="s">
        <v>153</v>
      </c>
      <c r="D390" s="133"/>
      <c r="E390" s="133" t="s">
        <v>196</v>
      </c>
      <c r="F390" s="133" t="s">
        <v>206</v>
      </c>
      <c r="G390" s="140">
        <v>1.1210352E7</v>
      </c>
      <c r="H390" s="141">
        <v>7.190440000005E12</v>
      </c>
      <c r="I390" s="133" t="s">
        <v>135</v>
      </c>
      <c r="J390" s="133" t="s">
        <v>145</v>
      </c>
      <c r="K390" s="133" t="s">
        <v>95</v>
      </c>
      <c r="L390" s="141">
        <v>0.0</v>
      </c>
      <c r="M390" s="141">
        <v>0.0</v>
      </c>
      <c r="N390" s="141">
        <v>0.0</v>
      </c>
      <c r="O390" s="141">
        <v>0.0</v>
      </c>
      <c r="P390" s="141">
        <v>0.0</v>
      </c>
      <c r="Q390" s="141">
        <v>0.0</v>
      </c>
      <c r="R390" s="141">
        <v>1.0</v>
      </c>
      <c r="S390" s="141"/>
      <c r="T390" s="142"/>
      <c r="U390" s="142"/>
      <c r="V390" s="142"/>
      <c r="W390" s="142"/>
      <c r="X390" s="142"/>
      <c r="Y390" s="141"/>
      <c r="Z390" s="141"/>
      <c r="AA390" s="141"/>
      <c r="AB390" s="141"/>
      <c r="AC390" s="141"/>
      <c r="AD390" s="141"/>
      <c r="AE390" s="141"/>
    </row>
    <row r="391" ht="17.25" customHeight="1">
      <c r="A391" s="133" t="s">
        <v>23</v>
      </c>
      <c r="B391" s="133" t="s">
        <v>89</v>
      </c>
      <c r="C391" s="133" t="s">
        <v>117</v>
      </c>
      <c r="D391" s="133"/>
      <c r="E391" s="133" t="s">
        <v>118</v>
      </c>
      <c r="F391" s="133" t="s">
        <v>209</v>
      </c>
      <c r="G391" s="140">
        <v>1.4936021E7</v>
      </c>
      <c r="H391" s="141">
        <v>7.400244607202E12</v>
      </c>
      <c r="I391" s="133" t="s">
        <v>96</v>
      </c>
      <c r="J391" s="133" t="s">
        <v>102</v>
      </c>
      <c r="K391" s="133" t="s">
        <v>104</v>
      </c>
      <c r="L391" s="141">
        <v>0.0</v>
      </c>
      <c r="M391" s="141">
        <v>0.0</v>
      </c>
      <c r="N391" s="141">
        <v>0.0</v>
      </c>
      <c r="O391" s="141">
        <v>0.0</v>
      </c>
      <c r="P391" s="141">
        <v>0.0</v>
      </c>
      <c r="Q391" s="141">
        <v>0.0</v>
      </c>
      <c r="R391" s="141">
        <v>1.0</v>
      </c>
      <c r="S391" s="141"/>
      <c r="T391" s="142"/>
      <c r="U391" s="142"/>
      <c r="V391" s="142"/>
      <c r="W391" s="142"/>
      <c r="X391" s="142"/>
      <c r="Y391" s="141"/>
      <c r="Z391" s="141"/>
      <c r="AA391" s="141"/>
      <c r="AB391" s="141"/>
      <c r="AC391" s="141"/>
      <c r="AD391" s="141"/>
      <c r="AE391" s="141"/>
    </row>
    <row r="392" ht="17.25" customHeight="1">
      <c r="A392" s="133" t="s">
        <v>23</v>
      </c>
      <c r="B392" s="133" t="s">
        <v>124</v>
      </c>
      <c r="C392" s="133"/>
      <c r="D392" s="133"/>
      <c r="E392" s="133" t="s">
        <v>125</v>
      </c>
      <c r="F392" s="133" t="s">
        <v>222</v>
      </c>
      <c r="G392" s="140">
        <v>1.6073481E7</v>
      </c>
      <c r="H392" s="141">
        <v>7.403665410208E12</v>
      </c>
      <c r="I392" s="133" t="s">
        <v>138</v>
      </c>
      <c r="J392" s="133" t="s">
        <v>94</v>
      </c>
      <c r="K392" s="133" t="s">
        <v>143</v>
      </c>
      <c r="L392" s="141">
        <v>0.0</v>
      </c>
      <c r="M392" s="141">
        <v>0.0</v>
      </c>
      <c r="N392" s="141">
        <v>1.0</v>
      </c>
      <c r="O392" s="141">
        <v>1450.64</v>
      </c>
      <c r="P392" s="141">
        <v>1.0</v>
      </c>
      <c r="Q392" s="141">
        <v>1450.64</v>
      </c>
      <c r="R392" s="141">
        <v>0.0</v>
      </c>
      <c r="S392" s="141"/>
      <c r="T392" s="142"/>
      <c r="U392" s="142"/>
      <c r="V392" s="142"/>
      <c r="W392" s="142"/>
      <c r="X392" s="142"/>
      <c r="Y392" s="141"/>
      <c r="Z392" s="141"/>
      <c r="AA392" s="141"/>
      <c r="AB392" s="141"/>
      <c r="AC392" s="141"/>
      <c r="AD392" s="141"/>
      <c r="AE392" s="141"/>
    </row>
    <row r="393" ht="17.25" customHeight="1">
      <c r="A393" s="133" t="s">
        <v>23</v>
      </c>
      <c r="B393" s="133" t="s">
        <v>136</v>
      </c>
      <c r="C393" s="133" t="s">
        <v>90</v>
      </c>
      <c r="E393" s="133" t="s">
        <v>137</v>
      </c>
      <c r="F393" s="133" t="s">
        <v>42</v>
      </c>
      <c r="G393" s="140">
        <v>1.6458318E7</v>
      </c>
      <c r="H393" s="141">
        <v>7.403725410209E12</v>
      </c>
      <c r="I393" s="133" t="s">
        <v>138</v>
      </c>
      <c r="J393" s="133" t="s">
        <v>102</v>
      </c>
      <c r="K393" s="133" t="s">
        <v>95</v>
      </c>
      <c r="L393" s="141">
        <v>0.0</v>
      </c>
      <c r="M393" s="141">
        <v>0.0</v>
      </c>
      <c r="N393" s="141">
        <v>16.0</v>
      </c>
      <c r="O393" s="141">
        <v>20484.48</v>
      </c>
      <c r="P393" s="141">
        <v>10.0</v>
      </c>
      <c r="Q393" s="141">
        <v>13136.8</v>
      </c>
      <c r="R393" s="141">
        <v>81.0</v>
      </c>
      <c r="S393" s="141"/>
      <c r="T393" s="142"/>
      <c r="U393" s="142"/>
      <c r="V393" s="142"/>
      <c r="W393" s="142"/>
      <c r="X393" s="142"/>
      <c r="Y393" s="141"/>
      <c r="Z393" s="141"/>
      <c r="AA393" s="141"/>
      <c r="AB393" s="141"/>
      <c r="AC393" s="141"/>
      <c r="AD393" s="141"/>
      <c r="AE393" s="141"/>
    </row>
    <row r="394" ht="17.25" customHeight="1">
      <c r="A394" s="133" t="s">
        <v>23</v>
      </c>
      <c r="B394" s="133" t="s">
        <v>124</v>
      </c>
      <c r="C394" s="133"/>
      <c r="D394" s="133"/>
      <c r="E394" s="133" t="s">
        <v>125</v>
      </c>
      <c r="F394" s="133" t="s">
        <v>222</v>
      </c>
      <c r="G394" s="140">
        <v>1.6073481E7</v>
      </c>
      <c r="H394" s="141">
        <v>7.403665410208E12</v>
      </c>
      <c r="I394" s="133" t="s">
        <v>138</v>
      </c>
      <c r="J394" s="133" t="s">
        <v>94</v>
      </c>
      <c r="K394" s="133" t="s">
        <v>113</v>
      </c>
      <c r="L394" s="141">
        <v>0.0</v>
      </c>
      <c r="M394" s="141">
        <v>0.0</v>
      </c>
      <c r="N394" s="141">
        <v>0.0</v>
      </c>
      <c r="O394" s="141">
        <v>0.0</v>
      </c>
      <c r="P394" s="141">
        <v>1.0</v>
      </c>
      <c r="Q394" s="141">
        <v>1627.54</v>
      </c>
      <c r="R394" s="141">
        <v>0.0</v>
      </c>
      <c r="S394" s="141"/>
      <c r="T394" s="142"/>
      <c r="U394" s="142"/>
      <c r="V394" s="142"/>
      <c r="W394" s="142"/>
      <c r="X394" s="142"/>
      <c r="Y394" s="141"/>
      <c r="Z394" s="141"/>
      <c r="AA394" s="141"/>
      <c r="AB394" s="141"/>
      <c r="AC394" s="141"/>
      <c r="AD394" s="141"/>
      <c r="AE394" s="141"/>
    </row>
    <row r="395" ht="17.25" customHeight="1">
      <c r="A395" s="133" t="s">
        <v>23</v>
      </c>
      <c r="B395" s="133" t="s">
        <v>106</v>
      </c>
      <c r="C395" s="133" t="s">
        <v>90</v>
      </c>
      <c r="E395" s="133" t="s">
        <v>107</v>
      </c>
      <c r="F395" s="133" t="s">
        <v>193</v>
      </c>
      <c r="G395" s="140">
        <v>1.8074632E7</v>
      </c>
      <c r="H395" s="141">
        <v>7.403944215128E12</v>
      </c>
      <c r="I395" s="133" t="s">
        <v>96</v>
      </c>
      <c r="J395" s="133" t="s">
        <v>102</v>
      </c>
      <c r="K395" s="133" t="s">
        <v>95</v>
      </c>
      <c r="L395" s="141">
        <v>0.0</v>
      </c>
      <c r="M395" s="141">
        <v>0.0</v>
      </c>
      <c r="N395" s="141">
        <v>1.0</v>
      </c>
      <c r="O395" s="141">
        <v>2472.48</v>
      </c>
      <c r="P395" s="141">
        <v>-1.0</v>
      </c>
      <c r="Q395" s="141">
        <v>-2454.3</v>
      </c>
      <c r="R395" s="141">
        <v>22.0</v>
      </c>
      <c r="S395" s="141"/>
      <c r="T395" s="142"/>
      <c r="U395" s="142"/>
      <c r="V395" s="142"/>
      <c r="W395" s="142"/>
      <c r="X395" s="142"/>
      <c r="Y395" s="141"/>
      <c r="Z395" s="141"/>
      <c r="AA395" s="141"/>
      <c r="AB395" s="141"/>
      <c r="AC395" s="141"/>
      <c r="AD395" s="141"/>
      <c r="AE395" s="141"/>
    </row>
    <row r="396" ht="17.25" customHeight="1">
      <c r="A396" s="133" t="s">
        <v>23</v>
      </c>
      <c r="B396" s="133" t="s">
        <v>124</v>
      </c>
      <c r="C396" s="133"/>
      <c r="D396" s="133"/>
      <c r="E396" s="133" t="s">
        <v>125</v>
      </c>
      <c r="F396" s="133" t="s">
        <v>222</v>
      </c>
      <c r="G396" s="140">
        <v>1.6073481E7</v>
      </c>
      <c r="H396" s="141">
        <v>7.403665410208E12</v>
      </c>
      <c r="I396" s="133" t="s">
        <v>138</v>
      </c>
      <c r="J396" s="133" t="s">
        <v>102</v>
      </c>
      <c r="K396" s="133" t="s">
        <v>95</v>
      </c>
      <c r="L396" s="141">
        <v>0.0</v>
      </c>
      <c r="M396" s="141">
        <v>0.0</v>
      </c>
      <c r="N396" s="141">
        <v>28.0</v>
      </c>
      <c r="O396" s="141">
        <v>42020.64</v>
      </c>
      <c r="P396" s="141">
        <v>16.0</v>
      </c>
      <c r="Q396" s="141">
        <v>25328.87</v>
      </c>
      <c r="R396" s="141">
        <v>134.0</v>
      </c>
      <c r="S396" s="141"/>
      <c r="T396" s="142"/>
      <c r="U396" s="142"/>
      <c r="V396" s="142"/>
      <c r="W396" s="142"/>
      <c r="X396" s="142"/>
      <c r="Y396" s="141"/>
      <c r="Z396" s="141"/>
      <c r="AA396" s="141"/>
      <c r="AB396" s="141"/>
      <c r="AC396" s="141"/>
      <c r="AD396" s="141"/>
      <c r="AE396" s="141"/>
    </row>
    <row r="397" ht="17.25" customHeight="1">
      <c r="A397" s="133" t="s">
        <v>23</v>
      </c>
      <c r="B397" s="133" t="s">
        <v>136</v>
      </c>
      <c r="C397" s="133" t="s">
        <v>90</v>
      </c>
      <c r="E397" s="133" t="s">
        <v>137</v>
      </c>
      <c r="F397" s="133" t="s">
        <v>42</v>
      </c>
      <c r="G397" s="140">
        <v>1.6458318E7</v>
      </c>
      <c r="H397" s="141">
        <v>7.403725410209E12</v>
      </c>
      <c r="I397" s="133" t="s">
        <v>138</v>
      </c>
      <c r="J397" s="133" t="s">
        <v>94</v>
      </c>
      <c r="K397" s="133" t="s">
        <v>146</v>
      </c>
      <c r="L397" s="141">
        <v>0.0</v>
      </c>
      <c r="M397" s="141">
        <v>0.0</v>
      </c>
      <c r="N397" s="141">
        <v>1.0</v>
      </c>
      <c r="O397" s="141">
        <v>1246.88</v>
      </c>
      <c r="P397" s="141">
        <v>0.0</v>
      </c>
      <c r="Q397" s="141">
        <v>0.0</v>
      </c>
      <c r="R397" s="141">
        <v>0.0</v>
      </c>
      <c r="S397" s="141"/>
      <c r="T397" s="142"/>
      <c r="U397" s="142"/>
      <c r="V397" s="142"/>
      <c r="W397" s="142"/>
      <c r="X397" s="142"/>
      <c r="Y397" s="141"/>
      <c r="Z397" s="141"/>
      <c r="AA397" s="141"/>
      <c r="AB397" s="141"/>
      <c r="AC397" s="141"/>
      <c r="AD397" s="141"/>
      <c r="AE397" s="141"/>
    </row>
    <row r="398" ht="17.25" customHeight="1">
      <c r="A398" s="133" t="s">
        <v>23</v>
      </c>
      <c r="B398" s="133" t="s">
        <v>136</v>
      </c>
      <c r="C398" s="133" t="s">
        <v>90</v>
      </c>
      <c r="E398" s="133" t="s">
        <v>137</v>
      </c>
      <c r="F398" s="133" t="s">
        <v>62</v>
      </c>
      <c r="G398" s="140">
        <v>1.7615251E7</v>
      </c>
      <c r="H398" s="141">
        <v>7.40386521011E12</v>
      </c>
      <c r="I398" s="133" t="s">
        <v>127</v>
      </c>
      <c r="J398" s="133" t="s">
        <v>102</v>
      </c>
      <c r="K398" s="133" t="s">
        <v>95</v>
      </c>
      <c r="L398" s="141">
        <v>0.0</v>
      </c>
      <c r="M398" s="141">
        <v>0.0</v>
      </c>
      <c r="N398" s="141">
        <v>2.0</v>
      </c>
      <c r="O398" s="141">
        <v>3237.09</v>
      </c>
      <c r="P398" s="141">
        <v>3.0</v>
      </c>
      <c r="Q398" s="141">
        <v>4932.71</v>
      </c>
      <c r="R398" s="141">
        <v>44.0</v>
      </c>
      <c r="S398" s="141"/>
      <c r="T398" s="142"/>
      <c r="U398" s="142"/>
      <c r="V398" s="142"/>
      <c r="W398" s="142"/>
      <c r="X398" s="142"/>
      <c r="Y398" s="141"/>
      <c r="Z398" s="141"/>
      <c r="AA398" s="141"/>
      <c r="AB398" s="141"/>
      <c r="AC398" s="141"/>
      <c r="AD398" s="141"/>
      <c r="AE398" s="141"/>
    </row>
    <row r="399" ht="17.25" customHeight="1">
      <c r="A399" s="133" t="s">
        <v>23</v>
      </c>
      <c r="B399" s="133" t="s">
        <v>124</v>
      </c>
      <c r="C399" s="133"/>
      <c r="D399" s="133"/>
      <c r="E399" s="133" t="s">
        <v>125</v>
      </c>
      <c r="F399" s="133" t="s">
        <v>222</v>
      </c>
      <c r="G399" s="140">
        <v>1.6073481E7</v>
      </c>
      <c r="H399" s="141">
        <v>7.403665410208E12</v>
      </c>
      <c r="I399" s="133" t="s">
        <v>138</v>
      </c>
      <c r="J399" s="133" t="s">
        <v>94</v>
      </c>
      <c r="K399" s="133" t="s">
        <v>97</v>
      </c>
      <c r="L399" s="141">
        <v>0.0</v>
      </c>
      <c r="M399" s="141">
        <v>0.0</v>
      </c>
      <c r="N399" s="141">
        <v>1.0</v>
      </c>
      <c r="O399" s="141">
        <v>1450.64</v>
      </c>
      <c r="P399" s="141">
        <v>0.0</v>
      </c>
      <c r="Q399" s="141">
        <v>0.0</v>
      </c>
      <c r="R399" s="141">
        <v>0.0</v>
      </c>
      <c r="S399" s="141"/>
      <c r="T399" s="142"/>
      <c r="U399" s="142"/>
      <c r="V399" s="142"/>
      <c r="W399" s="142"/>
      <c r="X399" s="142"/>
      <c r="Y399" s="141"/>
      <c r="Z399" s="141"/>
      <c r="AA399" s="141"/>
      <c r="AB399" s="141"/>
      <c r="AC399" s="141"/>
      <c r="AD399" s="141"/>
      <c r="AE399" s="141"/>
    </row>
    <row r="400" ht="17.25" customHeight="1">
      <c r="A400" s="133" t="s">
        <v>23</v>
      </c>
      <c r="B400" s="133" t="s">
        <v>136</v>
      </c>
      <c r="C400" s="133" t="s">
        <v>90</v>
      </c>
      <c r="E400" s="133" t="s">
        <v>137</v>
      </c>
      <c r="F400" s="133" t="s">
        <v>42</v>
      </c>
      <c r="G400" s="140">
        <v>1.6458318E7</v>
      </c>
      <c r="H400" s="141">
        <v>7.403725410209E12</v>
      </c>
      <c r="I400" s="133" t="s">
        <v>138</v>
      </c>
      <c r="J400" s="133" t="s">
        <v>94</v>
      </c>
      <c r="K400" s="133" t="s">
        <v>143</v>
      </c>
      <c r="L400" s="141">
        <v>0.0</v>
      </c>
      <c r="M400" s="141">
        <v>0.0</v>
      </c>
      <c r="N400" s="141">
        <v>0.0</v>
      </c>
      <c r="O400" s="141">
        <v>0.0</v>
      </c>
      <c r="P400" s="141">
        <v>-1.0</v>
      </c>
      <c r="Q400" s="141">
        <v>-1218.07</v>
      </c>
      <c r="R400" s="141">
        <v>0.0</v>
      </c>
      <c r="S400" s="141"/>
      <c r="T400" s="142"/>
      <c r="U400" s="142"/>
      <c r="V400" s="142"/>
      <c r="W400" s="142"/>
      <c r="X400" s="142"/>
      <c r="Y400" s="141"/>
      <c r="Z400" s="141"/>
      <c r="AA400" s="141"/>
      <c r="AB400" s="141"/>
      <c r="AC400" s="141"/>
      <c r="AD400" s="141"/>
      <c r="AE400" s="141"/>
    </row>
    <row r="401" ht="17.25" customHeight="1">
      <c r="A401" s="133" t="s">
        <v>23</v>
      </c>
      <c r="B401" s="133" t="s">
        <v>136</v>
      </c>
      <c r="C401" s="133" t="s">
        <v>90</v>
      </c>
      <c r="E401" s="133" t="s">
        <v>137</v>
      </c>
      <c r="F401" s="133" t="s">
        <v>42</v>
      </c>
      <c r="G401" s="140">
        <v>1.6458318E7</v>
      </c>
      <c r="H401" s="141">
        <v>7.403725410209E12</v>
      </c>
      <c r="I401" s="133" t="s">
        <v>138</v>
      </c>
      <c r="J401" s="133" t="s">
        <v>94</v>
      </c>
      <c r="K401" s="133" t="s">
        <v>97</v>
      </c>
      <c r="L401" s="141">
        <v>0.0</v>
      </c>
      <c r="M401" s="141">
        <v>0.0</v>
      </c>
      <c r="N401" s="141">
        <v>0.0</v>
      </c>
      <c r="O401" s="141">
        <v>0.0</v>
      </c>
      <c r="P401" s="141">
        <v>2.0</v>
      </c>
      <c r="Q401" s="141">
        <v>2760.96</v>
      </c>
      <c r="R401" s="141">
        <v>0.0</v>
      </c>
      <c r="S401" s="141"/>
      <c r="T401" s="142"/>
      <c r="U401" s="142"/>
      <c r="V401" s="142"/>
      <c r="W401" s="142"/>
      <c r="X401" s="142"/>
      <c r="Y401" s="141"/>
      <c r="Z401" s="141"/>
      <c r="AA401" s="141"/>
      <c r="AB401" s="141"/>
      <c r="AC401" s="141"/>
      <c r="AD401" s="141"/>
      <c r="AE401" s="141"/>
    </row>
    <row r="402" ht="17.25" customHeight="1">
      <c r="A402" s="133" t="s">
        <v>23</v>
      </c>
      <c r="B402" s="133" t="s">
        <v>136</v>
      </c>
      <c r="C402" s="133" t="s">
        <v>90</v>
      </c>
      <c r="E402" s="133" t="s">
        <v>137</v>
      </c>
      <c r="F402" s="133" t="s">
        <v>62</v>
      </c>
      <c r="G402" s="140">
        <v>1.7615251E7</v>
      </c>
      <c r="H402" s="141">
        <v>7.40386521011E12</v>
      </c>
      <c r="I402" s="133" t="s">
        <v>127</v>
      </c>
      <c r="J402" s="133" t="s">
        <v>102</v>
      </c>
      <c r="K402" s="133" t="s">
        <v>104</v>
      </c>
      <c r="L402" s="141">
        <v>0.0</v>
      </c>
      <c r="M402" s="141">
        <v>0.0</v>
      </c>
      <c r="N402" s="141">
        <v>0.0</v>
      </c>
      <c r="O402" s="141">
        <v>0.0</v>
      </c>
      <c r="P402" s="141">
        <v>0.0</v>
      </c>
      <c r="Q402" s="141">
        <v>0.0</v>
      </c>
      <c r="R402" s="141">
        <v>1.0</v>
      </c>
      <c r="S402" s="141"/>
      <c r="T402" s="142"/>
      <c r="U402" s="142"/>
      <c r="V402" s="142"/>
      <c r="W402" s="142"/>
      <c r="X402" s="142"/>
      <c r="Y402" s="141"/>
      <c r="Z402" s="141"/>
      <c r="AA402" s="141"/>
      <c r="AB402" s="141"/>
      <c r="AC402" s="141"/>
      <c r="AD402" s="141"/>
      <c r="AE402" s="141"/>
    </row>
    <row r="403" ht="17.25" customHeight="1">
      <c r="A403" s="133" t="s">
        <v>23</v>
      </c>
      <c r="B403" s="133" t="s">
        <v>136</v>
      </c>
      <c r="C403" s="133" t="s">
        <v>90</v>
      </c>
      <c r="E403" s="133" t="s">
        <v>137</v>
      </c>
      <c r="F403" s="133" t="s">
        <v>43</v>
      </c>
      <c r="G403" s="140">
        <v>1.7615255E7</v>
      </c>
      <c r="H403" s="141">
        <v>7.403885413119E12</v>
      </c>
      <c r="I403" s="133" t="s">
        <v>138</v>
      </c>
      <c r="J403" s="133" t="s">
        <v>102</v>
      </c>
      <c r="K403" s="133" t="s">
        <v>95</v>
      </c>
      <c r="L403" s="141">
        <v>0.0</v>
      </c>
      <c r="M403" s="141">
        <v>0.0</v>
      </c>
      <c r="N403" s="141">
        <v>6.0</v>
      </c>
      <c r="O403" s="141">
        <v>7039.39</v>
      </c>
      <c r="P403" s="141">
        <v>8.0</v>
      </c>
      <c r="Q403" s="141">
        <v>9711.29</v>
      </c>
      <c r="R403" s="141">
        <v>69.0</v>
      </c>
      <c r="S403" s="141"/>
      <c r="T403" s="142"/>
      <c r="U403" s="142"/>
      <c r="V403" s="142"/>
      <c r="W403" s="142"/>
      <c r="X403" s="142"/>
      <c r="Y403" s="141"/>
      <c r="Z403" s="141"/>
      <c r="AA403" s="141"/>
      <c r="AB403" s="141"/>
      <c r="AC403" s="141"/>
      <c r="AD403" s="141"/>
      <c r="AE403" s="141"/>
    </row>
    <row r="404" ht="17.25" customHeight="1">
      <c r="A404" s="133" t="s">
        <v>23</v>
      </c>
      <c r="B404" s="133" t="s">
        <v>106</v>
      </c>
      <c r="C404" s="133" t="s">
        <v>90</v>
      </c>
      <c r="E404" s="133" t="s">
        <v>107</v>
      </c>
      <c r="F404" s="133" t="s">
        <v>144</v>
      </c>
      <c r="G404" s="140">
        <v>1.7615826E7</v>
      </c>
      <c r="H404" s="141">
        <v>7.403894607127E12</v>
      </c>
      <c r="I404" s="133" t="s">
        <v>122</v>
      </c>
      <c r="J404" s="133" t="s">
        <v>102</v>
      </c>
      <c r="K404" s="133" t="s">
        <v>95</v>
      </c>
      <c r="L404" s="141">
        <v>0.0</v>
      </c>
      <c r="M404" s="141">
        <v>0.0</v>
      </c>
      <c r="N404" s="141">
        <v>1.0</v>
      </c>
      <c r="O404" s="141">
        <v>2472.48</v>
      </c>
      <c r="P404" s="141">
        <v>0.0</v>
      </c>
      <c r="Q404" s="141">
        <v>0.0</v>
      </c>
      <c r="R404" s="141">
        <v>21.0</v>
      </c>
      <c r="S404" s="141"/>
      <c r="T404" s="142"/>
      <c r="U404" s="142"/>
      <c r="V404" s="142"/>
      <c r="W404" s="142"/>
      <c r="X404" s="142"/>
      <c r="Y404" s="141"/>
      <c r="Z404" s="141"/>
      <c r="AA404" s="141"/>
      <c r="AB404" s="141"/>
      <c r="AC404" s="141"/>
      <c r="AD404" s="141"/>
      <c r="AE404" s="141"/>
    </row>
    <row r="405" ht="17.25" customHeight="1">
      <c r="A405" s="133" t="s">
        <v>23</v>
      </c>
      <c r="B405" s="133" t="s">
        <v>109</v>
      </c>
      <c r="C405" s="133" t="s">
        <v>90</v>
      </c>
      <c r="E405" s="133" t="s">
        <v>110</v>
      </c>
      <c r="F405" s="133" t="s">
        <v>214</v>
      </c>
      <c r="G405" s="140">
        <v>1.478863E7</v>
      </c>
      <c r="H405" s="141">
        <v>7.403264409207E12</v>
      </c>
      <c r="I405" s="133" t="s">
        <v>135</v>
      </c>
      <c r="J405" s="133" t="s">
        <v>94</v>
      </c>
      <c r="K405" s="133" t="s">
        <v>95</v>
      </c>
      <c r="L405" s="141">
        <v>0.0</v>
      </c>
      <c r="M405" s="141">
        <v>0.0</v>
      </c>
      <c r="N405" s="141">
        <v>1.0</v>
      </c>
      <c r="O405" s="141">
        <v>1276.27</v>
      </c>
      <c r="P405" s="141">
        <v>0.0</v>
      </c>
      <c r="Q405" s="141">
        <v>0.0</v>
      </c>
      <c r="R405" s="141">
        <v>0.0</v>
      </c>
      <c r="S405" s="141"/>
      <c r="T405" s="142"/>
      <c r="U405" s="142"/>
      <c r="V405" s="142"/>
      <c r="W405" s="142"/>
      <c r="X405" s="142"/>
      <c r="Y405" s="141"/>
      <c r="Z405" s="141"/>
      <c r="AA405" s="141"/>
      <c r="AB405" s="141"/>
      <c r="AC405" s="141"/>
      <c r="AD405" s="141"/>
      <c r="AE405" s="141"/>
    </row>
    <row r="406" ht="17.25" customHeight="1">
      <c r="A406" s="133" t="s">
        <v>23</v>
      </c>
      <c r="B406" s="133" t="s">
        <v>136</v>
      </c>
      <c r="C406" s="133" t="s">
        <v>90</v>
      </c>
      <c r="E406" s="133" t="s">
        <v>137</v>
      </c>
      <c r="F406" s="133" t="s">
        <v>35</v>
      </c>
      <c r="G406" s="140">
        <v>1.807595E7</v>
      </c>
      <c r="H406" s="141">
        <v>7.403895418111E12</v>
      </c>
      <c r="I406" s="133" t="s">
        <v>138</v>
      </c>
      <c r="J406" s="133" t="s">
        <v>102</v>
      </c>
      <c r="K406" s="133" t="s">
        <v>95</v>
      </c>
      <c r="L406" s="141">
        <v>0.0</v>
      </c>
      <c r="M406" s="141">
        <v>0.0</v>
      </c>
      <c r="N406" s="141">
        <v>10.0</v>
      </c>
      <c r="O406" s="141">
        <v>13126.69</v>
      </c>
      <c r="P406" s="141">
        <v>5.0</v>
      </c>
      <c r="Q406" s="141">
        <v>6697.85</v>
      </c>
      <c r="R406" s="141">
        <v>67.0</v>
      </c>
      <c r="S406" s="141"/>
      <c r="T406" s="142"/>
      <c r="U406" s="142"/>
      <c r="V406" s="142"/>
      <c r="W406" s="142"/>
      <c r="X406" s="142"/>
      <c r="Y406" s="141"/>
      <c r="Z406" s="141"/>
      <c r="AA406" s="141"/>
      <c r="AB406" s="141"/>
      <c r="AC406" s="141"/>
      <c r="AD406" s="141"/>
      <c r="AE406" s="141"/>
    </row>
    <row r="407" ht="15.75" customHeight="1">
      <c r="A407" s="133" t="s">
        <v>23</v>
      </c>
      <c r="B407" s="133" t="s">
        <v>136</v>
      </c>
      <c r="C407" s="133" t="s">
        <v>90</v>
      </c>
      <c r="E407" s="133" t="s">
        <v>137</v>
      </c>
      <c r="F407" s="133" t="s">
        <v>43</v>
      </c>
      <c r="G407" s="140">
        <v>1.7615255E7</v>
      </c>
      <c r="H407" s="141">
        <v>7.403885413119E12</v>
      </c>
      <c r="I407" s="133" t="s">
        <v>138</v>
      </c>
      <c r="J407" s="133" t="s">
        <v>102</v>
      </c>
      <c r="K407" s="133" t="s">
        <v>143</v>
      </c>
      <c r="L407" s="141">
        <v>0.0</v>
      </c>
      <c r="M407" s="141">
        <v>0.0</v>
      </c>
      <c r="N407" s="141">
        <v>0.0</v>
      </c>
      <c r="O407" s="141">
        <v>0.0</v>
      </c>
      <c r="P407" s="141">
        <v>0.0</v>
      </c>
      <c r="Q407" s="141">
        <v>0.0</v>
      </c>
      <c r="R407" s="141">
        <v>2.0</v>
      </c>
      <c r="S407" s="141"/>
      <c r="T407" s="142"/>
      <c r="U407" s="142"/>
      <c r="V407" s="142"/>
      <c r="W407" s="142"/>
      <c r="X407" s="142"/>
      <c r="Y407" s="141"/>
      <c r="Z407" s="141"/>
      <c r="AA407" s="141"/>
      <c r="AB407" s="141"/>
      <c r="AC407" s="141"/>
      <c r="AD407" s="141"/>
      <c r="AE407" s="141"/>
    </row>
    <row r="408" ht="17.25" customHeight="1">
      <c r="A408" s="133" t="s">
        <v>23</v>
      </c>
      <c r="B408" s="133" t="s">
        <v>89</v>
      </c>
      <c r="C408" s="133" t="s">
        <v>90</v>
      </c>
      <c r="E408" s="133" t="s">
        <v>91</v>
      </c>
      <c r="F408" s="133" t="s">
        <v>105</v>
      </c>
      <c r="G408" s="140">
        <v>1.4936013E7</v>
      </c>
      <c r="H408" s="141">
        <v>7.400214807205E12</v>
      </c>
      <c r="I408" s="133" t="s">
        <v>93</v>
      </c>
      <c r="J408" s="133" t="s">
        <v>102</v>
      </c>
      <c r="K408" s="133" t="s">
        <v>95</v>
      </c>
      <c r="L408" s="141">
        <v>0.0</v>
      </c>
      <c r="M408" s="141">
        <v>0.0</v>
      </c>
      <c r="N408" s="141">
        <v>0.0</v>
      </c>
      <c r="O408" s="141">
        <v>0.0</v>
      </c>
      <c r="P408" s="141">
        <v>0.0</v>
      </c>
      <c r="Q408" s="141">
        <v>0.0</v>
      </c>
      <c r="R408" s="141">
        <v>9.0</v>
      </c>
      <c r="S408" s="141"/>
      <c r="T408" s="142"/>
      <c r="U408" s="142"/>
      <c r="V408" s="142"/>
      <c r="W408" s="142"/>
      <c r="X408" s="142"/>
      <c r="Y408" s="141"/>
      <c r="Z408" s="141"/>
      <c r="AA408" s="141"/>
      <c r="AB408" s="141"/>
      <c r="AC408" s="141"/>
      <c r="AD408" s="141"/>
      <c r="AE408" s="141"/>
    </row>
    <row r="409" ht="17.25" customHeight="1">
      <c r="A409" s="133" t="s">
        <v>23</v>
      </c>
      <c r="B409" s="133" t="s">
        <v>136</v>
      </c>
      <c r="C409" s="133" t="s">
        <v>90</v>
      </c>
      <c r="E409" s="133" t="s">
        <v>137</v>
      </c>
      <c r="F409" s="133" t="s">
        <v>35</v>
      </c>
      <c r="G409" s="140">
        <v>1.807595E7</v>
      </c>
      <c r="H409" s="141">
        <v>7.403895418111E12</v>
      </c>
      <c r="I409" s="133" t="s">
        <v>138</v>
      </c>
      <c r="J409" s="133" t="s">
        <v>102</v>
      </c>
      <c r="K409" s="133" t="s">
        <v>143</v>
      </c>
      <c r="L409" s="141">
        <v>0.0</v>
      </c>
      <c r="M409" s="141">
        <v>0.0</v>
      </c>
      <c r="N409" s="141">
        <v>0.0</v>
      </c>
      <c r="O409" s="141">
        <v>0.0</v>
      </c>
      <c r="P409" s="141">
        <v>0.0</v>
      </c>
      <c r="Q409" s="141">
        <v>0.0</v>
      </c>
      <c r="R409" s="141">
        <v>1.0</v>
      </c>
      <c r="S409" s="141"/>
      <c r="T409" s="142"/>
      <c r="U409" s="142"/>
      <c r="V409" s="142"/>
      <c r="W409" s="142"/>
      <c r="X409" s="142"/>
      <c r="Y409" s="141"/>
      <c r="Z409" s="141"/>
      <c r="AA409" s="141"/>
      <c r="AB409" s="141"/>
      <c r="AC409" s="141"/>
      <c r="AD409" s="141"/>
      <c r="AE409" s="141"/>
    </row>
    <row r="410" ht="17.25" customHeight="1">
      <c r="A410" s="133" t="s">
        <v>23</v>
      </c>
      <c r="B410" s="133" t="s">
        <v>158</v>
      </c>
      <c r="C410" s="133"/>
      <c r="D410" s="133"/>
      <c r="E410" s="133" t="s">
        <v>164</v>
      </c>
      <c r="F410" s="133" t="s">
        <v>166</v>
      </c>
      <c r="G410" s="140">
        <v>1.6123098E7</v>
      </c>
      <c r="H410" s="141">
        <v>7.003474609208E12</v>
      </c>
      <c r="I410" s="133" t="s">
        <v>96</v>
      </c>
      <c r="J410" s="133" t="s">
        <v>102</v>
      </c>
      <c r="K410" s="133" t="s">
        <v>104</v>
      </c>
      <c r="L410" s="141">
        <v>0.0</v>
      </c>
      <c r="M410" s="141">
        <v>0.0</v>
      </c>
      <c r="N410" s="141">
        <v>0.0</v>
      </c>
      <c r="O410" s="141">
        <v>0.0</v>
      </c>
      <c r="P410" s="141">
        <v>0.0</v>
      </c>
      <c r="Q410" s="141">
        <v>0.0</v>
      </c>
      <c r="R410" s="141">
        <v>1.0</v>
      </c>
      <c r="S410" s="141"/>
      <c r="T410" s="142"/>
      <c r="U410" s="142"/>
      <c r="V410" s="142"/>
      <c r="W410" s="142"/>
      <c r="X410" s="142"/>
      <c r="Y410" s="141"/>
      <c r="Z410" s="141"/>
      <c r="AA410" s="141"/>
      <c r="AB410" s="141"/>
      <c r="AC410" s="141"/>
      <c r="AD410" s="141"/>
      <c r="AE410" s="141"/>
    </row>
    <row r="411" ht="17.25" customHeight="1">
      <c r="A411" s="133" t="s">
        <v>23</v>
      </c>
      <c r="B411" s="133" t="s">
        <v>129</v>
      </c>
      <c r="C411" s="133" t="s">
        <v>90</v>
      </c>
      <c r="E411" s="133" t="s">
        <v>130</v>
      </c>
      <c r="F411" s="133" t="s">
        <v>202</v>
      </c>
      <c r="G411" s="140">
        <v>1.3176415E7</v>
      </c>
      <c r="H411" s="141">
        <v>7.003093106201E12</v>
      </c>
      <c r="I411" s="133" t="s">
        <v>223</v>
      </c>
      <c r="J411" s="133" t="s">
        <v>102</v>
      </c>
      <c r="K411" s="133" t="s">
        <v>113</v>
      </c>
      <c r="L411" s="141">
        <v>0.0</v>
      </c>
      <c r="M411" s="141">
        <v>0.0</v>
      </c>
      <c r="N411" s="141">
        <v>0.0</v>
      </c>
      <c r="O411" s="141">
        <v>0.0</v>
      </c>
      <c r="P411" s="141">
        <v>0.0</v>
      </c>
      <c r="Q411" s="141">
        <v>0.0</v>
      </c>
      <c r="R411" s="141">
        <v>1.0</v>
      </c>
      <c r="S411" s="141"/>
      <c r="T411" s="142"/>
      <c r="U411" s="142"/>
      <c r="V411" s="142"/>
      <c r="W411" s="142"/>
      <c r="X411" s="142"/>
      <c r="Y411" s="141"/>
      <c r="Z411" s="141"/>
      <c r="AA411" s="141"/>
      <c r="AB411" s="141"/>
      <c r="AC411" s="141"/>
      <c r="AD411" s="141"/>
      <c r="AE411" s="141"/>
    </row>
    <row r="412" ht="17.25" customHeight="1">
      <c r="A412" s="133" t="s">
        <v>23</v>
      </c>
      <c r="B412" s="133" t="s">
        <v>89</v>
      </c>
      <c r="C412" s="133" t="s">
        <v>117</v>
      </c>
      <c r="D412" s="133"/>
      <c r="E412" s="133" t="s">
        <v>118</v>
      </c>
      <c r="F412" s="133" t="s">
        <v>121</v>
      </c>
      <c r="G412" s="140">
        <v>1.4936022E7</v>
      </c>
      <c r="H412" s="141">
        <v>7.400254607209E12</v>
      </c>
      <c r="I412" s="133" t="s">
        <v>96</v>
      </c>
      <c r="J412" s="133" t="s">
        <v>102</v>
      </c>
      <c r="K412" s="133" t="s">
        <v>95</v>
      </c>
      <c r="L412" s="141">
        <v>0.0</v>
      </c>
      <c r="M412" s="141">
        <v>0.0</v>
      </c>
      <c r="N412" s="141">
        <v>0.0</v>
      </c>
      <c r="O412" s="141">
        <v>0.0</v>
      </c>
      <c r="P412" s="141">
        <v>0.0</v>
      </c>
      <c r="Q412" s="141">
        <v>0.0</v>
      </c>
      <c r="R412" s="141">
        <v>6.0</v>
      </c>
      <c r="S412" s="141"/>
      <c r="T412" s="142"/>
      <c r="U412" s="142"/>
      <c r="V412" s="142"/>
      <c r="W412" s="142"/>
      <c r="X412" s="142"/>
      <c r="Y412" s="141"/>
      <c r="Z412" s="141"/>
      <c r="AA412" s="141"/>
      <c r="AB412" s="141"/>
      <c r="AC412" s="141"/>
      <c r="AD412" s="141"/>
      <c r="AE412" s="141"/>
    </row>
    <row r="413" ht="17.25" customHeight="1">
      <c r="A413" s="133" t="s">
        <v>23</v>
      </c>
      <c r="B413" s="133" t="s">
        <v>136</v>
      </c>
      <c r="C413" s="133" t="s">
        <v>90</v>
      </c>
      <c r="E413" s="133" t="s">
        <v>137</v>
      </c>
      <c r="F413" s="133" t="s">
        <v>43</v>
      </c>
      <c r="G413" s="140">
        <v>1.7615255E7</v>
      </c>
      <c r="H413" s="141">
        <v>7.403885413119E12</v>
      </c>
      <c r="I413" s="133" t="s">
        <v>138</v>
      </c>
      <c r="J413" s="133" t="s">
        <v>102</v>
      </c>
      <c r="K413" s="133" t="s">
        <v>95</v>
      </c>
      <c r="L413" s="141">
        <v>0.0</v>
      </c>
      <c r="M413" s="141">
        <v>0.0</v>
      </c>
      <c r="N413" s="141">
        <v>0.0</v>
      </c>
      <c r="O413" s="141">
        <v>0.0</v>
      </c>
      <c r="P413" s="141">
        <v>0.0</v>
      </c>
      <c r="Q413" s="141">
        <v>0.0</v>
      </c>
      <c r="R413" s="141">
        <v>1.0</v>
      </c>
      <c r="S413" s="141"/>
      <c r="T413" s="142"/>
      <c r="U413" s="142"/>
      <c r="V413" s="142"/>
      <c r="W413" s="142"/>
      <c r="X413" s="142"/>
      <c r="Y413" s="141"/>
      <c r="Z413" s="141"/>
      <c r="AA413" s="141"/>
      <c r="AB413" s="141"/>
      <c r="AC413" s="141"/>
      <c r="AD413" s="141"/>
      <c r="AE413" s="141"/>
    </row>
    <row r="414" ht="17.25" customHeight="1">
      <c r="A414" s="133" t="s">
        <v>23</v>
      </c>
      <c r="B414" s="133" t="s">
        <v>106</v>
      </c>
      <c r="C414" s="133" t="s">
        <v>90</v>
      </c>
      <c r="E414" s="133" t="s">
        <v>107</v>
      </c>
      <c r="F414" s="133" t="s">
        <v>144</v>
      </c>
      <c r="G414" s="140">
        <v>1.7615826E7</v>
      </c>
      <c r="H414" s="141">
        <v>7.403894607127E12</v>
      </c>
      <c r="I414" s="133" t="s">
        <v>122</v>
      </c>
      <c r="J414" s="133" t="s">
        <v>102</v>
      </c>
      <c r="K414" s="133" t="s">
        <v>104</v>
      </c>
      <c r="L414" s="141">
        <v>0.0</v>
      </c>
      <c r="M414" s="141">
        <v>0.0</v>
      </c>
      <c r="N414" s="141">
        <v>0.0</v>
      </c>
      <c r="O414" s="141">
        <v>0.0</v>
      </c>
      <c r="P414" s="141">
        <v>0.0</v>
      </c>
      <c r="Q414" s="141">
        <v>0.0</v>
      </c>
      <c r="R414" s="141">
        <v>1.0</v>
      </c>
      <c r="S414" s="141"/>
      <c r="T414" s="142"/>
      <c r="U414" s="142"/>
      <c r="V414" s="142"/>
      <c r="W414" s="142"/>
      <c r="X414" s="142"/>
      <c r="Y414" s="141"/>
      <c r="Z414" s="141"/>
      <c r="AA414" s="141"/>
      <c r="AB414" s="141"/>
      <c r="AC414" s="141"/>
      <c r="AD414" s="141"/>
      <c r="AE414" s="141"/>
    </row>
    <row r="415" ht="17.25" customHeight="1">
      <c r="A415" s="133" t="s">
        <v>23</v>
      </c>
      <c r="B415" s="133" t="s">
        <v>136</v>
      </c>
      <c r="C415" s="133" t="s">
        <v>90</v>
      </c>
      <c r="E415" s="133" t="s">
        <v>137</v>
      </c>
      <c r="F415" s="133" t="s">
        <v>68</v>
      </c>
      <c r="G415" s="140">
        <v>1.6307225E7</v>
      </c>
      <c r="H415" s="141">
        <v>7.403795210204E12</v>
      </c>
      <c r="I415" s="133" t="s">
        <v>127</v>
      </c>
      <c r="J415" s="133" t="s">
        <v>102</v>
      </c>
      <c r="K415" s="133" t="s">
        <v>95</v>
      </c>
      <c r="L415" s="141">
        <v>0.0</v>
      </c>
      <c r="M415" s="141">
        <v>0.0</v>
      </c>
      <c r="N415" s="141">
        <v>8.0</v>
      </c>
      <c r="O415" s="141">
        <v>17969.8</v>
      </c>
      <c r="P415" s="141">
        <v>5.0</v>
      </c>
      <c r="Q415" s="141">
        <v>11208.48</v>
      </c>
      <c r="R415" s="141">
        <v>126.0</v>
      </c>
      <c r="S415" s="141"/>
      <c r="T415" s="142"/>
      <c r="U415" s="142"/>
      <c r="V415" s="142"/>
      <c r="W415" s="142"/>
      <c r="X415" s="142"/>
      <c r="Y415" s="141"/>
      <c r="Z415" s="141"/>
      <c r="AA415" s="141"/>
      <c r="AB415" s="141"/>
      <c r="AC415" s="141"/>
      <c r="AD415" s="141"/>
      <c r="AE415" s="141"/>
    </row>
    <row r="416" ht="17.25" customHeight="1">
      <c r="A416" s="133" t="s">
        <v>23</v>
      </c>
      <c r="B416" s="133" t="s">
        <v>124</v>
      </c>
      <c r="C416" s="133" t="s">
        <v>90</v>
      </c>
      <c r="E416" s="133" t="s">
        <v>125</v>
      </c>
      <c r="F416" s="133" t="s">
        <v>224</v>
      </c>
      <c r="G416" s="140">
        <v>1.7782149E7</v>
      </c>
      <c r="H416" s="141">
        <v>7.403675410205E12</v>
      </c>
      <c r="I416" s="133" t="s">
        <v>138</v>
      </c>
      <c r="J416" s="133" t="s">
        <v>102</v>
      </c>
      <c r="K416" s="133" t="s">
        <v>95</v>
      </c>
      <c r="L416" s="141">
        <v>0.0</v>
      </c>
      <c r="M416" s="141">
        <v>0.0</v>
      </c>
      <c r="N416" s="141">
        <v>21.0</v>
      </c>
      <c r="O416" s="141">
        <v>21043.5</v>
      </c>
      <c r="P416" s="141"/>
      <c r="Q416" s="141">
        <v>14970.0</v>
      </c>
      <c r="R416" s="141">
        <v>127.0</v>
      </c>
      <c r="S416" s="141"/>
      <c r="T416" s="142"/>
      <c r="U416" s="142"/>
      <c r="V416" s="142"/>
      <c r="W416" s="142"/>
      <c r="X416" s="142"/>
      <c r="Y416" s="141"/>
      <c r="Z416" s="141"/>
      <c r="AA416" s="141"/>
      <c r="AB416" s="141"/>
      <c r="AC416" s="141"/>
      <c r="AD416" s="141"/>
      <c r="AE416" s="141"/>
    </row>
    <row r="417" ht="17.25" customHeight="1">
      <c r="A417" s="133" t="s">
        <v>23</v>
      </c>
      <c r="B417" s="133" t="s">
        <v>89</v>
      </c>
      <c r="C417" s="133" t="s">
        <v>90</v>
      </c>
      <c r="E417" s="133" t="s">
        <v>91</v>
      </c>
      <c r="F417" s="133" t="s">
        <v>123</v>
      </c>
      <c r="G417" s="140">
        <v>1.1210355E7</v>
      </c>
      <c r="H417" s="141">
        <v>7.200205400015E12</v>
      </c>
      <c r="I417" s="133" t="s">
        <v>140</v>
      </c>
      <c r="J417" s="133" t="s">
        <v>102</v>
      </c>
      <c r="K417" s="133" t="s">
        <v>95</v>
      </c>
      <c r="L417" s="141">
        <v>0.0</v>
      </c>
      <c r="M417" s="141">
        <v>0.0</v>
      </c>
      <c r="N417" s="141">
        <v>6.0</v>
      </c>
      <c r="O417" s="141">
        <v>22553.6</v>
      </c>
      <c r="P417" s="141">
        <v>3.0</v>
      </c>
      <c r="Q417" s="141">
        <v>11671.1</v>
      </c>
      <c r="R417" s="141">
        <v>20.0</v>
      </c>
      <c r="S417" s="141"/>
      <c r="T417" s="142"/>
      <c r="U417" s="142"/>
      <c r="V417" s="142"/>
      <c r="W417" s="142"/>
      <c r="X417" s="142"/>
      <c r="Y417" s="141"/>
      <c r="Z417" s="141"/>
      <c r="AA417" s="141"/>
      <c r="AB417" s="141"/>
      <c r="AC417" s="141"/>
      <c r="AD417" s="141"/>
      <c r="AE417" s="141"/>
    </row>
    <row r="418" ht="17.25" customHeight="1">
      <c r="A418" s="133" t="s">
        <v>23</v>
      </c>
      <c r="B418" s="133" t="s">
        <v>124</v>
      </c>
      <c r="C418" s="133" t="s">
        <v>90</v>
      </c>
      <c r="E418" s="133" t="s">
        <v>125</v>
      </c>
      <c r="F418" s="133" t="s">
        <v>224</v>
      </c>
      <c r="G418" s="140">
        <v>1.7782149E7</v>
      </c>
      <c r="H418" s="141">
        <v>7.403675410205E12</v>
      </c>
      <c r="I418" s="133" t="s">
        <v>138</v>
      </c>
      <c r="J418" s="133" t="s">
        <v>94</v>
      </c>
      <c r="K418" s="133" t="s">
        <v>146</v>
      </c>
      <c r="L418" s="141">
        <v>0.0</v>
      </c>
      <c r="M418" s="141">
        <v>0.0</v>
      </c>
      <c r="N418" s="141">
        <v>1.0</v>
      </c>
      <c r="O418" s="141">
        <v>994.5</v>
      </c>
      <c r="P418" s="141">
        <v>0.0</v>
      </c>
      <c r="Q418" s="141">
        <v>0.0</v>
      </c>
      <c r="R418" s="141">
        <v>0.0</v>
      </c>
      <c r="S418" s="141"/>
      <c r="T418" s="142"/>
      <c r="U418" s="142"/>
      <c r="V418" s="142"/>
      <c r="W418" s="142"/>
      <c r="X418" s="142"/>
      <c r="Y418" s="141"/>
      <c r="Z418" s="141"/>
      <c r="AA418" s="141"/>
      <c r="AB418" s="141"/>
      <c r="AC418" s="141"/>
      <c r="AD418" s="141"/>
      <c r="AE418" s="141"/>
    </row>
    <row r="419" ht="17.25" customHeight="1">
      <c r="A419" s="133" t="s">
        <v>23</v>
      </c>
      <c r="B419" s="133" t="s">
        <v>124</v>
      </c>
      <c r="C419" s="133" t="s">
        <v>90</v>
      </c>
      <c r="E419" s="133" t="s">
        <v>125</v>
      </c>
      <c r="F419" s="133" t="s">
        <v>224</v>
      </c>
      <c r="G419" s="140">
        <v>1.7782149E7</v>
      </c>
      <c r="H419" s="141">
        <v>7.403675410205E12</v>
      </c>
      <c r="I419" s="133" t="s">
        <v>138</v>
      </c>
      <c r="J419" s="133" t="s">
        <v>94</v>
      </c>
      <c r="K419" s="133" t="s">
        <v>104</v>
      </c>
      <c r="L419" s="141">
        <v>0.0</v>
      </c>
      <c r="M419" s="141">
        <v>0.0</v>
      </c>
      <c r="N419" s="141">
        <v>0.0</v>
      </c>
      <c r="O419" s="141">
        <v>0.0</v>
      </c>
      <c r="P419" s="141">
        <v>0.0</v>
      </c>
      <c r="Q419" s="141">
        <v>0.0</v>
      </c>
      <c r="R419" s="141">
        <v>0.0</v>
      </c>
      <c r="S419" s="141"/>
      <c r="T419" s="142"/>
      <c r="U419" s="142"/>
      <c r="V419" s="142"/>
      <c r="W419" s="142"/>
      <c r="X419" s="142"/>
      <c r="Y419" s="141"/>
      <c r="Z419" s="141"/>
      <c r="AA419" s="141"/>
      <c r="AB419" s="141"/>
      <c r="AC419" s="141"/>
      <c r="AD419" s="141"/>
      <c r="AE419" s="141"/>
    </row>
    <row r="420" ht="17.25" customHeight="1">
      <c r="A420" s="133" t="s">
        <v>23</v>
      </c>
      <c r="B420" s="133" t="s">
        <v>136</v>
      </c>
      <c r="C420" s="133" t="s">
        <v>90</v>
      </c>
      <c r="E420" s="133" t="s">
        <v>137</v>
      </c>
      <c r="F420" s="133" t="s">
        <v>50</v>
      </c>
      <c r="G420" s="140">
        <v>1.8460857E7</v>
      </c>
      <c r="H420" s="141">
        <v>7.403835210201E12</v>
      </c>
      <c r="I420" s="133" t="s">
        <v>127</v>
      </c>
      <c r="J420" s="133" t="s">
        <v>94</v>
      </c>
      <c r="K420" s="133" t="s">
        <v>146</v>
      </c>
      <c r="L420" s="141">
        <v>0.0</v>
      </c>
      <c r="M420" s="141">
        <v>0.0</v>
      </c>
      <c r="N420" s="141">
        <v>0.0</v>
      </c>
      <c r="O420" s="141">
        <v>0.0</v>
      </c>
      <c r="P420" s="141">
        <v>1.0</v>
      </c>
      <c r="Q420" s="141">
        <v>1620.26</v>
      </c>
      <c r="R420" s="141">
        <v>0.0</v>
      </c>
      <c r="S420" s="141"/>
      <c r="T420" s="142"/>
      <c r="U420" s="142"/>
      <c r="V420" s="142"/>
      <c r="W420" s="142"/>
      <c r="X420" s="142"/>
      <c r="Y420" s="141"/>
      <c r="Z420" s="141"/>
      <c r="AA420" s="141"/>
      <c r="AB420" s="141"/>
      <c r="AC420" s="141"/>
      <c r="AD420" s="141"/>
      <c r="AE420" s="141"/>
    </row>
    <row r="421" ht="17.25" customHeight="1">
      <c r="A421" s="133" t="s">
        <v>23</v>
      </c>
      <c r="B421" s="133" t="s">
        <v>136</v>
      </c>
      <c r="C421" s="133" t="s">
        <v>90</v>
      </c>
      <c r="E421" s="133" t="s">
        <v>137</v>
      </c>
      <c r="F421" s="133" t="s">
        <v>68</v>
      </c>
      <c r="G421" s="140">
        <v>1.6307225E7</v>
      </c>
      <c r="H421" s="141">
        <v>7.403795210204E12</v>
      </c>
      <c r="I421" s="133" t="s">
        <v>127</v>
      </c>
      <c r="J421" s="133" t="s">
        <v>94</v>
      </c>
      <c r="K421" s="133" t="s">
        <v>143</v>
      </c>
      <c r="L421" s="141">
        <v>0.0</v>
      </c>
      <c r="M421" s="141">
        <v>0.0</v>
      </c>
      <c r="N421" s="141">
        <v>0.0</v>
      </c>
      <c r="O421" s="141">
        <v>0.0</v>
      </c>
      <c r="P421" s="141">
        <v>1.0</v>
      </c>
      <c r="Q421" s="141">
        <v>2343.89</v>
      </c>
      <c r="R421" s="141">
        <v>0.0</v>
      </c>
      <c r="S421" s="156"/>
      <c r="T421" s="142"/>
      <c r="U421" s="142"/>
      <c r="V421" s="142"/>
      <c r="W421" s="142"/>
      <c r="X421" s="142"/>
      <c r="Y421" s="156"/>
      <c r="Z421" s="156"/>
      <c r="AA421" s="156"/>
      <c r="AB421" s="156"/>
      <c r="AC421" s="156"/>
      <c r="AD421" s="156"/>
      <c r="AE421" s="156"/>
    </row>
    <row r="422" ht="17.25" customHeight="1">
      <c r="A422" s="133" t="s">
        <v>23</v>
      </c>
      <c r="B422" s="133" t="s">
        <v>136</v>
      </c>
      <c r="C422" s="133" t="s">
        <v>90</v>
      </c>
      <c r="E422" s="133" t="s">
        <v>137</v>
      </c>
      <c r="F422" s="133" t="s">
        <v>68</v>
      </c>
      <c r="G422" s="140">
        <v>1.6307225E7</v>
      </c>
      <c r="H422" s="141">
        <v>7.403795210204E12</v>
      </c>
      <c r="I422" s="133" t="s">
        <v>127</v>
      </c>
      <c r="J422" s="133" t="s">
        <v>94</v>
      </c>
      <c r="K422" s="133" t="s">
        <v>113</v>
      </c>
      <c r="L422" s="141">
        <v>0.0</v>
      </c>
      <c r="M422" s="141">
        <v>0.0</v>
      </c>
      <c r="N422" s="141">
        <v>1.0</v>
      </c>
      <c r="O422" s="141">
        <v>1865.38</v>
      </c>
      <c r="P422" s="141">
        <v>0.0</v>
      </c>
      <c r="Q422" s="141">
        <v>0.0</v>
      </c>
      <c r="R422" s="141">
        <v>0.0</v>
      </c>
      <c r="S422" s="156"/>
      <c r="T422" s="142"/>
      <c r="U422" s="142"/>
      <c r="V422" s="142"/>
      <c r="W422" s="142"/>
      <c r="X422" s="142"/>
      <c r="Y422" s="156"/>
      <c r="Z422" s="156"/>
      <c r="AA422" s="156"/>
      <c r="AB422" s="156"/>
      <c r="AC422" s="156"/>
      <c r="AD422" s="156"/>
      <c r="AE422" s="156"/>
    </row>
    <row r="423" ht="17.25" customHeight="1">
      <c r="A423" s="133" t="s">
        <v>23</v>
      </c>
      <c r="B423" s="133" t="s">
        <v>136</v>
      </c>
      <c r="C423" s="133" t="s">
        <v>90</v>
      </c>
      <c r="E423" s="133" t="s">
        <v>137</v>
      </c>
      <c r="F423" s="133" t="s">
        <v>66</v>
      </c>
      <c r="G423" s="140">
        <v>1.8075947E7</v>
      </c>
      <c r="H423" s="141">
        <v>7.403845210208E12</v>
      </c>
      <c r="I423" s="133" t="s">
        <v>127</v>
      </c>
      <c r="J423" s="133" t="s">
        <v>102</v>
      </c>
      <c r="K423" s="133" t="s">
        <v>95</v>
      </c>
      <c r="L423" s="141">
        <v>0.0</v>
      </c>
      <c r="M423" s="141">
        <v>0.0</v>
      </c>
      <c r="N423" s="141">
        <v>4.0</v>
      </c>
      <c r="O423" s="141">
        <v>7296.3</v>
      </c>
      <c r="P423" s="141">
        <v>4.0</v>
      </c>
      <c r="Q423" s="141">
        <v>7807.11</v>
      </c>
      <c r="R423" s="141">
        <v>173.0</v>
      </c>
      <c r="S423" s="156"/>
      <c r="T423" s="142"/>
      <c r="U423" s="142"/>
      <c r="V423" s="142"/>
      <c r="W423" s="142"/>
      <c r="X423" s="142"/>
      <c r="Y423" s="156"/>
      <c r="Z423" s="156"/>
      <c r="AA423" s="156"/>
      <c r="AB423" s="156"/>
      <c r="AC423" s="156"/>
      <c r="AD423" s="156"/>
      <c r="AE423" s="156"/>
    </row>
    <row r="424" ht="15.75" customHeight="1">
      <c r="A424" s="133" t="s">
        <v>23</v>
      </c>
      <c r="B424" s="133" t="s">
        <v>136</v>
      </c>
      <c r="C424" s="133" t="s">
        <v>90</v>
      </c>
      <c r="E424" s="133" t="s">
        <v>137</v>
      </c>
      <c r="F424" s="133" t="s">
        <v>50</v>
      </c>
      <c r="G424" s="140">
        <v>1.8460857E7</v>
      </c>
      <c r="H424" s="141">
        <v>7.403835210201E12</v>
      </c>
      <c r="I424" s="133" t="s">
        <v>127</v>
      </c>
      <c r="J424" s="133" t="s">
        <v>102</v>
      </c>
      <c r="K424" s="133" t="s">
        <v>95</v>
      </c>
      <c r="L424" s="141">
        <v>0.0</v>
      </c>
      <c r="M424" s="141">
        <v>0.0</v>
      </c>
      <c r="N424" s="141">
        <v>26.0</v>
      </c>
      <c r="O424" s="141">
        <v>38247.91</v>
      </c>
      <c r="P424" s="141">
        <v>16.0</v>
      </c>
      <c r="Q424" s="141">
        <v>24853.6</v>
      </c>
      <c r="R424" s="141">
        <v>64.0</v>
      </c>
      <c r="S424" s="156"/>
      <c r="T424" s="142"/>
      <c r="U424" s="142"/>
      <c r="V424" s="142"/>
      <c r="W424" s="142"/>
      <c r="X424" s="142"/>
      <c r="Y424" s="156"/>
      <c r="Z424" s="156"/>
      <c r="AA424" s="156"/>
      <c r="AB424" s="156"/>
      <c r="AC424" s="156"/>
      <c r="AD424" s="156"/>
      <c r="AE424" s="156"/>
    </row>
    <row r="425" ht="17.25" customHeight="1">
      <c r="A425" s="133" t="s">
        <v>23</v>
      </c>
      <c r="B425" s="133" t="s">
        <v>89</v>
      </c>
      <c r="C425" s="133" t="s">
        <v>90</v>
      </c>
      <c r="E425" s="133" t="s">
        <v>91</v>
      </c>
      <c r="F425" s="133" t="s">
        <v>123</v>
      </c>
      <c r="G425" s="140">
        <v>1.1210355E7</v>
      </c>
      <c r="H425" s="141">
        <v>7.200205400015E12</v>
      </c>
      <c r="I425" s="133" t="s">
        <v>140</v>
      </c>
      <c r="J425" s="133" t="s">
        <v>94</v>
      </c>
      <c r="K425" s="133" t="s">
        <v>104</v>
      </c>
      <c r="L425" s="141">
        <v>0.0</v>
      </c>
      <c r="M425" s="141">
        <v>0.0</v>
      </c>
      <c r="N425" s="141">
        <v>0.0</v>
      </c>
      <c r="O425" s="141">
        <v>0.0</v>
      </c>
      <c r="P425" s="141">
        <v>1.0</v>
      </c>
      <c r="Q425" s="141">
        <v>4021.8</v>
      </c>
      <c r="R425" s="141">
        <v>0.0</v>
      </c>
      <c r="S425" s="156"/>
      <c r="T425" s="142"/>
      <c r="U425" s="142"/>
      <c r="V425" s="142"/>
      <c r="W425" s="142"/>
      <c r="X425" s="142"/>
      <c r="Y425" s="156"/>
      <c r="Z425" s="156"/>
      <c r="AA425" s="156"/>
      <c r="AB425" s="157"/>
      <c r="AC425" s="157"/>
      <c r="AD425" s="157"/>
      <c r="AE425" s="157"/>
    </row>
    <row r="426" ht="17.25" customHeight="1">
      <c r="A426" s="133" t="s">
        <v>23</v>
      </c>
      <c r="B426" s="133" t="s">
        <v>136</v>
      </c>
      <c r="C426" s="133" t="s">
        <v>90</v>
      </c>
      <c r="E426" s="133" t="s">
        <v>137</v>
      </c>
      <c r="F426" s="133" t="s">
        <v>68</v>
      </c>
      <c r="G426" s="140">
        <v>1.6307225E7</v>
      </c>
      <c r="H426" s="141">
        <v>7.403795210204E12</v>
      </c>
      <c r="I426" s="133" t="s">
        <v>127</v>
      </c>
      <c r="J426" s="133" t="s">
        <v>94</v>
      </c>
      <c r="K426" s="133" t="s">
        <v>146</v>
      </c>
      <c r="L426" s="141">
        <v>0.0</v>
      </c>
      <c r="M426" s="141">
        <v>0.0</v>
      </c>
      <c r="N426" s="141">
        <v>0.0</v>
      </c>
      <c r="O426" s="141">
        <v>0.0</v>
      </c>
      <c r="P426" s="141">
        <v>1.0</v>
      </c>
      <c r="Q426" s="141">
        <v>2343.89</v>
      </c>
      <c r="R426" s="141">
        <v>0.0</v>
      </c>
      <c r="S426" s="156"/>
      <c r="T426" s="142"/>
      <c r="U426" s="142"/>
      <c r="V426" s="142"/>
      <c r="W426" s="142"/>
      <c r="X426" s="142"/>
      <c r="Y426" s="156"/>
      <c r="Z426" s="156"/>
      <c r="AA426" s="156"/>
      <c r="AB426" s="156"/>
      <c r="AC426" s="156"/>
      <c r="AD426" s="156"/>
      <c r="AE426" s="156"/>
    </row>
    <row r="427" ht="17.25" customHeight="1">
      <c r="A427" s="133" t="s">
        <v>23</v>
      </c>
      <c r="B427" s="133" t="s">
        <v>136</v>
      </c>
      <c r="C427" s="133" t="s">
        <v>90</v>
      </c>
      <c r="E427" s="133" t="s">
        <v>137</v>
      </c>
      <c r="F427" s="133" t="s">
        <v>66</v>
      </c>
      <c r="G427" s="140">
        <v>1.8075947E7</v>
      </c>
      <c r="H427" s="141">
        <v>7.403845210208E12</v>
      </c>
      <c r="I427" s="133" t="s">
        <v>127</v>
      </c>
      <c r="J427" s="133" t="s">
        <v>94</v>
      </c>
      <c r="K427" s="133" t="s">
        <v>104</v>
      </c>
      <c r="L427" s="141">
        <v>0.0</v>
      </c>
      <c r="M427" s="141">
        <v>0.0</v>
      </c>
      <c r="N427" s="141">
        <v>0.0</v>
      </c>
      <c r="O427" s="141">
        <v>0.0</v>
      </c>
      <c r="P427" s="141">
        <v>1.0</v>
      </c>
      <c r="Q427" s="141">
        <v>2055.3</v>
      </c>
      <c r="R427" s="141">
        <v>0.0</v>
      </c>
      <c r="S427" s="156"/>
      <c r="T427" s="142"/>
      <c r="U427" s="142"/>
      <c r="V427" s="142"/>
      <c r="W427" s="142"/>
      <c r="X427" s="142"/>
      <c r="Y427" s="156"/>
      <c r="Z427" s="156"/>
      <c r="AA427" s="156"/>
      <c r="AB427" s="156"/>
      <c r="AC427" s="156"/>
      <c r="AD427" s="156"/>
      <c r="AE427" s="156"/>
    </row>
    <row r="428" ht="17.25" customHeight="1">
      <c r="A428" s="133" t="s">
        <v>23</v>
      </c>
      <c r="B428" s="133" t="s">
        <v>129</v>
      </c>
      <c r="C428" s="133" t="s">
        <v>90</v>
      </c>
      <c r="E428" s="133" t="s">
        <v>225</v>
      </c>
      <c r="F428" s="133" t="s">
        <v>226</v>
      </c>
      <c r="G428" s="140">
        <v>1.3178265E7</v>
      </c>
      <c r="H428" s="141">
        <v>7.003254406201E12</v>
      </c>
      <c r="I428" s="133" t="s">
        <v>93</v>
      </c>
      <c r="J428" s="133" t="s">
        <v>94</v>
      </c>
      <c r="K428" s="133" t="s">
        <v>97</v>
      </c>
      <c r="L428" s="141">
        <v>0.0</v>
      </c>
      <c r="M428" s="141">
        <v>0.0</v>
      </c>
      <c r="N428" s="141">
        <v>1.0</v>
      </c>
      <c r="O428" s="141">
        <v>1705.03</v>
      </c>
      <c r="P428" s="141">
        <v>0.0</v>
      </c>
      <c r="Q428" s="141">
        <v>0.0</v>
      </c>
      <c r="R428" s="141">
        <v>0.0</v>
      </c>
      <c r="S428" s="156"/>
      <c r="T428" s="142"/>
      <c r="U428" s="142"/>
      <c r="V428" s="142"/>
      <c r="W428" s="142"/>
      <c r="X428" s="142"/>
      <c r="Y428" s="156"/>
      <c r="Z428" s="156"/>
      <c r="AA428" s="156"/>
      <c r="AB428" s="157"/>
      <c r="AC428" s="157"/>
      <c r="AD428" s="157"/>
      <c r="AE428" s="157"/>
    </row>
    <row r="429" ht="17.25" customHeight="1">
      <c r="A429" s="133" t="s">
        <v>23</v>
      </c>
      <c r="B429" s="133" t="s">
        <v>124</v>
      </c>
      <c r="C429" s="133" t="s">
        <v>90</v>
      </c>
      <c r="E429" s="133" t="s">
        <v>125</v>
      </c>
      <c r="F429" s="133" t="s">
        <v>224</v>
      </c>
      <c r="G429" s="140">
        <v>1.7782149E7</v>
      </c>
      <c r="H429" s="141">
        <v>7.403675410205E12</v>
      </c>
      <c r="I429" s="133" t="s">
        <v>138</v>
      </c>
      <c r="J429" s="133" t="s">
        <v>102</v>
      </c>
      <c r="K429" s="133" t="s">
        <v>143</v>
      </c>
      <c r="L429" s="141">
        <v>0.0</v>
      </c>
      <c r="M429" s="141">
        <v>0.0</v>
      </c>
      <c r="N429" s="141">
        <v>0.0</v>
      </c>
      <c r="O429" s="141">
        <v>0.0</v>
      </c>
      <c r="P429" s="141">
        <v>0.0</v>
      </c>
      <c r="Q429" s="141">
        <v>0.0</v>
      </c>
      <c r="R429" s="141">
        <v>1.0</v>
      </c>
      <c r="S429" s="156"/>
      <c r="T429" s="142"/>
      <c r="U429" s="142"/>
      <c r="V429" s="142"/>
      <c r="W429" s="142"/>
      <c r="X429" s="142"/>
      <c r="Y429" s="156"/>
      <c r="Z429" s="156"/>
      <c r="AA429" s="156"/>
      <c r="AB429" s="157"/>
      <c r="AC429" s="157"/>
      <c r="AD429" s="157"/>
      <c r="AE429" s="157"/>
    </row>
    <row r="430" ht="17.25" customHeight="1">
      <c r="A430" s="133" t="s">
        <v>23</v>
      </c>
      <c r="B430" s="133" t="s">
        <v>129</v>
      </c>
      <c r="C430" s="133" t="s">
        <v>90</v>
      </c>
      <c r="E430" s="133" t="s">
        <v>225</v>
      </c>
      <c r="F430" s="133" t="s">
        <v>226</v>
      </c>
      <c r="G430" s="140">
        <v>1.3178265E7</v>
      </c>
      <c r="H430" s="141">
        <v>7.003254406201E12</v>
      </c>
      <c r="I430" s="133" t="s">
        <v>93</v>
      </c>
      <c r="J430" s="133" t="s">
        <v>102</v>
      </c>
      <c r="K430" s="133" t="s">
        <v>116</v>
      </c>
      <c r="L430" s="141">
        <v>0.0</v>
      </c>
      <c r="M430" s="141">
        <v>0.0</v>
      </c>
      <c r="N430" s="141">
        <v>0.0</v>
      </c>
      <c r="O430" s="141">
        <v>0.0</v>
      </c>
      <c r="P430" s="141">
        <v>0.0</v>
      </c>
      <c r="Q430" s="141">
        <v>0.0</v>
      </c>
      <c r="R430" s="141">
        <v>1.0</v>
      </c>
      <c r="S430" s="156"/>
      <c r="T430" s="142"/>
      <c r="U430" s="142"/>
      <c r="V430" s="142"/>
      <c r="W430" s="142"/>
      <c r="X430" s="142"/>
      <c r="Y430" s="156"/>
      <c r="Z430" s="156"/>
      <c r="AA430" s="156"/>
      <c r="AB430" s="157"/>
      <c r="AC430" s="157"/>
      <c r="AD430" s="157"/>
      <c r="AE430" s="157"/>
    </row>
    <row r="431" ht="17.25" customHeight="1">
      <c r="A431" s="133" t="s">
        <v>23</v>
      </c>
      <c r="B431" s="133" t="s">
        <v>158</v>
      </c>
      <c r="C431" s="133"/>
      <c r="D431" s="133"/>
      <c r="E431" s="133" t="s">
        <v>164</v>
      </c>
      <c r="F431" s="133" t="s">
        <v>165</v>
      </c>
      <c r="G431" s="140">
        <v>1.6123099E7</v>
      </c>
      <c r="H431" s="141">
        <v>7.003494609202E12</v>
      </c>
      <c r="I431" s="133" t="s">
        <v>96</v>
      </c>
      <c r="J431" s="133" t="s">
        <v>102</v>
      </c>
      <c r="K431" s="133" t="s">
        <v>104</v>
      </c>
      <c r="L431" s="141">
        <v>0.0</v>
      </c>
      <c r="M431" s="141">
        <v>0.0</v>
      </c>
      <c r="N431" s="141">
        <v>0.0</v>
      </c>
      <c r="O431" s="141">
        <v>0.0</v>
      </c>
      <c r="P431" s="141">
        <v>0.0</v>
      </c>
      <c r="Q431" s="141">
        <v>0.0</v>
      </c>
      <c r="R431" s="141">
        <v>1.0</v>
      </c>
      <c r="S431" s="156"/>
      <c r="T431" s="142"/>
      <c r="U431" s="142"/>
      <c r="V431" s="142"/>
      <c r="W431" s="142"/>
      <c r="X431" s="142"/>
      <c r="Y431" s="156"/>
      <c r="Z431" s="156"/>
      <c r="AA431" s="156"/>
      <c r="AB431" s="157"/>
      <c r="AC431" s="157"/>
      <c r="AD431" s="157"/>
      <c r="AE431" s="157"/>
    </row>
    <row r="432" ht="17.25" customHeight="1">
      <c r="A432" s="133" t="s">
        <v>23</v>
      </c>
      <c r="B432" s="133" t="s">
        <v>124</v>
      </c>
      <c r="C432" s="133" t="s">
        <v>90</v>
      </c>
      <c r="E432" s="133" t="s">
        <v>125</v>
      </c>
      <c r="F432" s="133" t="s">
        <v>224</v>
      </c>
      <c r="G432" s="140">
        <v>1.7782149E7</v>
      </c>
      <c r="H432" s="141">
        <v>7.403675410205E12</v>
      </c>
      <c r="I432" s="133" t="s">
        <v>138</v>
      </c>
      <c r="J432" s="133" t="s">
        <v>102</v>
      </c>
      <c r="K432" s="133" t="s">
        <v>113</v>
      </c>
      <c r="L432" s="141">
        <v>0.0</v>
      </c>
      <c r="M432" s="141">
        <v>0.0</v>
      </c>
      <c r="N432" s="141">
        <v>0.0</v>
      </c>
      <c r="O432" s="141">
        <v>0.0</v>
      </c>
      <c r="P432" s="141">
        <v>0.0</v>
      </c>
      <c r="Q432" s="141">
        <v>0.0</v>
      </c>
      <c r="R432" s="141">
        <v>2.0</v>
      </c>
      <c r="S432" s="156"/>
      <c r="T432" s="142"/>
      <c r="U432" s="142"/>
      <c r="V432" s="142"/>
      <c r="W432" s="142"/>
      <c r="X432" s="142"/>
      <c r="Y432" s="156"/>
      <c r="Z432" s="156"/>
      <c r="AA432" s="156"/>
      <c r="AB432" s="157"/>
      <c r="AC432" s="157"/>
      <c r="AD432" s="157"/>
      <c r="AE432" s="157"/>
    </row>
    <row r="433" ht="17.25" customHeight="1">
      <c r="A433" s="133" t="s">
        <v>23</v>
      </c>
      <c r="B433" s="133" t="s">
        <v>136</v>
      </c>
      <c r="C433" s="133" t="s">
        <v>90</v>
      </c>
      <c r="E433" s="133" t="s">
        <v>137</v>
      </c>
      <c r="F433" s="133" t="s">
        <v>68</v>
      </c>
      <c r="G433" s="140">
        <v>1.6307225E7</v>
      </c>
      <c r="H433" s="141">
        <v>7.403795210204E12</v>
      </c>
      <c r="I433" s="133" t="s">
        <v>127</v>
      </c>
      <c r="J433" s="133" t="s">
        <v>102</v>
      </c>
      <c r="K433" s="133" t="s">
        <v>104</v>
      </c>
      <c r="L433" s="141">
        <v>0.0</v>
      </c>
      <c r="M433" s="141">
        <v>0.0</v>
      </c>
      <c r="N433" s="141">
        <v>0.0</v>
      </c>
      <c r="O433" s="141">
        <v>0.0</v>
      </c>
      <c r="P433" s="141">
        <v>0.0</v>
      </c>
      <c r="Q433" s="141">
        <v>0.0</v>
      </c>
      <c r="R433" s="141">
        <v>1.0</v>
      </c>
      <c r="S433" s="156"/>
      <c r="T433" s="142"/>
      <c r="U433" s="142"/>
      <c r="V433" s="142"/>
      <c r="W433" s="142"/>
      <c r="X433" s="142"/>
      <c r="Y433" s="156"/>
      <c r="Z433" s="156"/>
      <c r="AA433" s="156"/>
      <c r="AB433" s="156"/>
      <c r="AC433" s="156"/>
      <c r="AD433" s="156"/>
      <c r="AE433" s="156"/>
    </row>
    <row r="434" ht="17.25" customHeight="1">
      <c r="A434" s="133" t="s">
        <v>23</v>
      </c>
      <c r="B434" s="133" t="s">
        <v>136</v>
      </c>
      <c r="C434" s="133" t="s">
        <v>90</v>
      </c>
      <c r="E434" s="133" t="s">
        <v>137</v>
      </c>
      <c r="F434" s="133" t="s">
        <v>31</v>
      </c>
      <c r="G434" s="140">
        <v>1.3889288E7</v>
      </c>
      <c r="H434" s="141">
        <v>7.003475406202E12</v>
      </c>
      <c r="I434" s="133" t="s">
        <v>138</v>
      </c>
      <c r="J434" s="133" t="s">
        <v>94</v>
      </c>
      <c r="K434" s="133" t="s">
        <v>143</v>
      </c>
      <c r="L434" s="141">
        <v>0.0</v>
      </c>
      <c r="M434" s="141">
        <v>0.0</v>
      </c>
      <c r="N434" s="141">
        <v>1.0</v>
      </c>
      <c r="O434" s="141">
        <v>1356.26</v>
      </c>
      <c r="P434" s="141">
        <v>1.0</v>
      </c>
      <c r="Q434" s="141">
        <v>1356.26</v>
      </c>
      <c r="R434" s="141">
        <v>0.0</v>
      </c>
      <c r="S434" s="156"/>
      <c r="T434" s="142"/>
      <c r="U434" s="142"/>
      <c r="V434" s="142"/>
      <c r="W434" s="142"/>
      <c r="X434" s="142"/>
      <c r="Y434" s="156"/>
      <c r="Z434" s="156"/>
      <c r="AA434" s="156"/>
      <c r="AB434" s="157"/>
      <c r="AC434" s="157"/>
      <c r="AD434" s="157"/>
      <c r="AE434" s="157"/>
    </row>
    <row r="435" ht="17.25" customHeight="1">
      <c r="A435" s="133" t="s">
        <v>23</v>
      </c>
      <c r="B435" s="133" t="s">
        <v>106</v>
      </c>
      <c r="C435" s="133" t="s">
        <v>90</v>
      </c>
      <c r="E435" s="133" t="s">
        <v>107</v>
      </c>
      <c r="F435" s="133" t="s">
        <v>193</v>
      </c>
      <c r="G435" s="140">
        <v>1.8074632E7</v>
      </c>
      <c r="H435" s="141">
        <v>7.403944415122E12</v>
      </c>
      <c r="I435" s="133" t="s">
        <v>93</v>
      </c>
      <c r="J435" s="133" t="s">
        <v>94</v>
      </c>
      <c r="K435" s="133" t="s">
        <v>113</v>
      </c>
      <c r="L435" s="141">
        <v>0.0</v>
      </c>
      <c r="M435" s="141">
        <v>0.0</v>
      </c>
      <c r="N435" s="141">
        <v>1.0</v>
      </c>
      <c r="O435" s="141">
        <v>2472.48</v>
      </c>
      <c r="P435" s="141">
        <v>1.0</v>
      </c>
      <c r="Q435" s="141">
        <v>2472.48</v>
      </c>
      <c r="R435" s="141">
        <v>0.0</v>
      </c>
      <c r="S435" s="156"/>
      <c r="T435" s="142"/>
      <c r="U435" s="142"/>
      <c r="V435" s="142"/>
      <c r="W435" s="142"/>
      <c r="X435" s="142"/>
      <c r="Y435" s="156"/>
      <c r="Z435" s="156"/>
      <c r="AA435" s="156"/>
      <c r="AB435" s="157"/>
      <c r="AC435" s="157"/>
      <c r="AD435" s="157"/>
      <c r="AE435" s="157"/>
    </row>
    <row r="436" ht="17.25" customHeight="1">
      <c r="A436" s="133" t="s">
        <v>23</v>
      </c>
      <c r="B436" s="133" t="s">
        <v>106</v>
      </c>
      <c r="C436" s="133" t="s">
        <v>90</v>
      </c>
      <c r="E436" s="133" t="s">
        <v>107</v>
      </c>
      <c r="F436" s="133" t="s">
        <v>193</v>
      </c>
      <c r="G436" s="140">
        <v>1.8074632E7</v>
      </c>
      <c r="H436" s="141">
        <v>7.403944415122E12</v>
      </c>
      <c r="I436" s="133" t="s">
        <v>93</v>
      </c>
      <c r="J436" s="133" t="s">
        <v>94</v>
      </c>
      <c r="K436" s="133" t="s">
        <v>97</v>
      </c>
      <c r="L436" s="141">
        <v>0.0</v>
      </c>
      <c r="M436" s="141">
        <v>0.0</v>
      </c>
      <c r="N436" s="141">
        <v>0.0</v>
      </c>
      <c r="O436" s="141">
        <v>0.0</v>
      </c>
      <c r="P436" s="141">
        <v>0.0</v>
      </c>
      <c r="Q436" s="141">
        <v>0.0</v>
      </c>
      <c r="R436" s="141">
        <v>0.0</v>
      </c>
      <c r="S436" s="156"/>
      <c r="T436" s="142"/>
      <c r="U436" s="142"/>
      <c r="V436" s="142"/>
      <c r="W436" s="142"/>
      <c r="X436" s="142"/>
      <c r="Y436" s="156"/>
      <c r="Z436" s="156"/>
      <c r="AA436" s="156"/>
      <c r="AB436" s="157"/>
      <c r="AC436" s="157"/>
      <c r="AD436" s="157"/>
      <c r="AE436" s="157"/>
    </row>
    <row r="437" ht="17.25" customHeight="1">
      <c r="A437" s="133" t="s">
        <v>23</v>
      </c>
      <c r="B437" s="133" t="s">
        <v>106</v>
      </c>
      <c r="C437" s="133" t="s">
        <v>90</v>
      </c>
      <c r="E437" s="133" t="s">
        <v>114</v>
      </c>
      <c r="F437" s="133" t="s">
        <v>115</v>
      </c>
      <c r="G437" s="140">
        <v>1.8074633E7</v>
      </c>
      <c r="H437" s="141">
        <v>7.403934615129E12</v>
      </c>
      <c r="I437" s="133" t="s">
        <v>93</v>
      </c>
      <c r="J437" s="133" t="s">
        <v>102</v>
      </c>
      <c r="K437" s="133" t="s">
        <v>95</v>
      </c>
      <c r="L437" s="141">
        <v>0.0</v>
      </c>
      <c r="M437" s="141">
        <v>0.0</v>
      </c>
      <c r="N437" s="141">
        <v>0.0</v>
      </c>
      <c r="O437" s="141">
        <v>0.0</v>
      </c>
      <c r="P437" s="141">
        <v>2.0</v>
      </c>
      <c r="Q437" s="141">
        <v>8376.43</v>
      </c>
      <c r="R437" s="141">
        <v>2.0</v>
      </c>
      <c r="S437" s="156"/>
      <c r="T437" s="142"/>
      <c r="U437" s="142"/>
      <c r="V437" s="142"/>
      <c r="W437" s="142"/>
      <c r="X437" s="142"/>
      <c r="Y437" s="156"/>
      <c r="Z437" s="156"/>
      <c r="AA437" s="156"/>
      <c r="AB437" s="157"/>
      <c r="AC437" s="157"/>
      <c r="AD437" s="157"/>
      <c r="AE437" s="157"/>
    </row>
    <row r="438" ht="17.25" customHeight="1">
      <c r="A438" s="133" t="s">
        <v>23</v>
      </c>
      <c r="B438" s="133" t="s">
        <v>89</v>
      </c>
      <c r="C438" s="133" t="s">
        <v>90</v>
      </c>
      <c r="E438" s="133" t="s">
        <v>91</v>
      </c>
      <c r="F438" s="133" t="s">
        <v>139</v>
      </c>
      <c r="G438" s="140">
        <v>1.1210356E7</v>
      </c>
      <c r="H438" s="141">
        <v>7.300205000007E12</v>
      </c>
      <c r="I438" s="133" t="s">
        <v>122</v>
      </c>
      <c r="J438" s="133" t="s">
        <v>94</v>
      </c>
      <c r="K438" s="133" t="s">
        <v>95</v>
      </c>
      <c r="L438" s="141">
        <v>0.0</v>
      </c>
      <c r="M438" s="141">
        <v>0.0</v>
      </c>
      <c r="N438" s="141">
        <v>1.0</v>
      </c>
      <c r="O438" s="141">
        <v>3409.85</v>
      </c>
      <c r="P438" s="141">
        <v>1.0</v>
      </c>
      <c r="Q438" s="141">
        <v>3772.61</v>
      </c>
      <c r="R438" s="141">
        <v>0.0</v>
      </c>
      <c r="S438" s="156"/>
      <c r="T438" s="142"/>
      <c r="U438" s="142"/>
      <c r="V438" s="142"/>
      <c r="W438" s="142"/>
      <c r="X438" s="142"/>
      <c r="Y438" s="156"/>
      <c r="Z438" s="156"/>
      <c r="AA438" s="156"/>
      <c r="AB438" s="157"/>
      <c r="AC438" s="157"/>
      <c r="AD438" s="157"/>
      <c r="AE438" s="157"/>
    </row>
    <row r="439" ht="17.25" customHeight="1">
      <c r="A439" s="133" t="s">
        <v>23</v>
      </c>
      <c r="B439" s="133" t="s">
        <v>89</v>
      </c>
      <c r="C439" s="133" t="s">
        <v>90</v>
      </c>
      <c r="E439" s="133" t="s">
        <v>91</v>
      </c>
      <c r="F439" s="133" t="s">
        <v>123</v>
      </c>
      <c r="G439" s="140">
        <v>1.1210355E7</v>
      </c>
      <c r="H439" s="141">
        <v>7.200204800014E12</v>
      </c>
      <c r="I439" s="133" t="s">
        <v>93</v>
      </c>
      <c r="J439" s="133" t="s">
        <v>94</v>
      </c>
      <c r="K439" s="133" t="s">
        <v>104</v>
      </c>
      <c r="L439" s="141">
        <v>0.0</v>
      </c>
      <c r="M439" s="141">
        <v>0.0</v>
      </c>
      <c r="N439" s="141">
        <v>1.0</v>
      </c>
      <c r="O439" s="141">
        <v>4021.8</v>
      </c>
      <c r="P439" s="141">
        <v>0.0</v>
      </c>
      <c r="Q439" s="141">
        <v>0.0</v>
      </c>
      <c r="R439" s="141">
        <v>0.0</v>
      </c>
      <c r="S439" s="156"/>
      <c r="T439" s="142"/>
      <c r="U439" s="142"/>
      <c r="V439" s="142"/>
      <c r="W439" s="142"/>
      <c r="X439" s="142"/>
      <c r="Y439" s="156"/>
      <c r="Z439" s="156"/>
      <c r="AA439" s="156"/>
      <c r="AB439" s="157"/>
      <c r="AC439" s="157"/>
      <c r="AD439" s="157"/>
      <c r="AE439" s="157"/>
    </row>
    <row r="440" ht="17.25" customHeight="1">
      <c r="A440" s="133" t="s">
        <v>23</v>
      </c>
      <c r="B440" s="133" t="s">
        <v>147</v>
      </c>
      <c r="C440" s="133" t="s">
        <v>90</v>
      </c>
      <c r="E440" s="133" t="s">
        <v>148</v>
      </c>
      <c r="F440" s="133" t="s">
        <v>175</v>
      </c>
      <c r="G440" s="140">
        <v>1.4620438E7</v>
      </c>
      <c r="H440" s="141">
        <v>7.403594608202E12</v>
      </c>
      <c r="I440" s="133" t="s">
        <v>93</v>
      </c>
      <c r="J440" s="133" t="s">
        <v>94</v>
      </c>
      <c r="K440" s="133" t="s">
        <v>146</v>
      </c>
      <c r="L440" s="141">
        <v>0.0</v>
      </c>
      <c r="M440" s="141">
        <v>0.0</v>
      </c>
      <c r="N440" s="141">
        <v>0.0</v>
      </c>
      <c r="O440" s="141">
        <v>0.0</v>
      </c>
      <c r="P440" s="141">
        <v>1.0</v>
      </c>
      <c r="Q440" s="141">
        <v>1199.59</v>
      </c>
      <c r="R440" s="141">
        <v>0.0</v>
      </c>
      <c r="S440" s="156"/>
      <c r="T440" s="142"/>
      <c r="U440" s="142"/>
      <c r="V440" s="142"/>
      <c r="W440" s="142"/>
      <c r="X440" s="142"/>
      <c r="Y440" s="156"/>
      <c r="Z440" s="156"/>
      <c r="AA440" s="156"/>
      <c r="AB440" s="157"/>
      <c r="AC440" s="157"/>
      <c r="AD440" s="157"/>
      <c r="AE440" s="157"/>
    </row>
    <row r="441" ht="17.25" customHeight="1">
      <c r="A441" s="133" t="s">
        <v>23</v>
      </c>
      <c r="B441" s="133" t="s">
        <v>89</v>
      </c>
      <c r="C441" s="133" t="s">
        <v>90</v>
      </c>
      <c r="E441" s="133" t="s">
        <v>91</v>
      </c>
      <c r="F441" s="133" t="s">
        <v>123</v>
      </c>
      <c r="G441" s="140">
        <v>1.1210355E7</v>
      </c>
      <c r="H441" s="141">
        <v>7.200204800014E12</v>
      </c>
      <c r="I441" s="133" t="s">
        <v>93</v>
      </c>
      <c r="J441" s="133" t="s">
        <v>94</v>
      </c>
      <c r="K441" s="133" t="s">
        <v>95</v>
      </c>
      <c r="L441" s="141">
        <v>0.0</v>
      </c>
      <c r="M441" s="141">
        <v>0.0</v>
      </c>
      <c r="N441" s="141">
        <v>0.0</v>
      </c>
      <c r="O441" s="141">
        <v>0.0</v>
      </c>
      <c r="P441" s="141">
        <v>2.0</v>
      </c>
      <c r="Q441" s="141">
        <v>7570.45</v>
      </c>
      <c r="R441" s="141">
        <v>0.0</v>
      </c>
      <c r="S441" s="156"/>
      <c r="T441" s="142"/>
      <c r="U441" s="142"/>
      <c r="V441" s="142"/>
      <c r="W441" s="142"/>
      <c r="X441" s="142"/>
      <c r="Y441" s="156"/>
      <c r="Z441" s="156"/>
      <c r="AA441" s="156"/>
      <c r="AB441" s="157"/>
      <c r="AC441" s="157"/>
      <c r="AD441" s="157"/>
      <c r="AE441" s="157"/>
    </row>
    <row r="442" ht="17.25" customHeight="1">
      <c r="A442" s="133" t="s">
        <v>23</v>
      </c>
      <c r="B442" s="133" t="s">
        <v>106</v>
      </c>
      <c r="C442" s="133" t="s">
        <v>90</v>
      </c>
      <c r="E442" s="133" t="s">
        <v>107</v>
      </c>
      <c r="F442" s="133" t="s">
        <v>193</v>
      </c>
      <c r="G442" s="140">
        <v>1.8074632E7</v>
      </c>
      <c r="H442" s="141">
        <v>7.403944415122E12</v>
      </c>
      <c r="I442" s="133" t="s">
        <v>93</v>
      </c>
      <c r="J442" s="133" t="s">
        <v>102</v>
      </c>
      <c r="K442" s="133" t="s">
        <v>95</v>
      </c>
      <c r="L442" s="141">
        <v>0.0</v>
      </c>
      <c r="M442" s="141">
        <v>0.0</v>
      </c>
      <c r="N442" s="141">
        <v>4.0</v>
      </c>
      <c r="O442" s="141">
        <v>10353.5</v>
      </c>
      <c r="P442" s="141">
        <v>2.0</v>
      </c>
      <c r="Q442" s="141">
        <v>5408.54</v>
      </c>
      <c r="R442" s="141">
        <v>15.0</v>
      </c>
      <c r="S442" s="156"/>
      <c r="T442" s="142"/>
      <c r="U442" s="142"/>
      <c r="V442" s="142"/>
      <c r="W442" s="142"/>
      <c r="X442" s="142"/>
      <c r="Y442" s="156"/>
      <c r="Z442" s="156"/>
      <c r="AA442" s="156"/>
      <c r="AB442" s="157"/>
      <c r="AC442" s="157"/>
      <c r="AD442" s="157"/>
      <c r="AE442" s="157"/>
    </row>
    <row r="443" ht="17.25" customHeight="1">
      <c r="A443" s="133" t="s">
        <v>23</v>
      </c>
      <c r="B443" s="133" t="s">
        <v>147</v>
      </c>
      <c r="C443" s="133" t="s">
        <v>90</v>
      </c>
      <c r="E443" s="133" t="s">
        <v>148</v>
      </c>
      <c r="F443" s="133" t="s">
        <v>175</v>
      </c>
      <c r="G443" s="140">
        <v>1.4620438E7</v>
      </c>
      <c r="H443" s="141">
        <v>7.403594608202E12</v>
      </c>
      <c r="I443" s="133" t="s">
        <v>93</v>
      </c>
      <c r="J443" s="133" t="s">
        <v>94</v>
      </c>
      <c r="K443" s="133" t="s">
        <v>143</v>
      </c>
      <c r="L443" s="141">
        <v>0.0</v>
      </c>
      <c r="M443" s="141">
        <v>0.0</v>
      </c>
      <c r="N443" s="141">
        <v>1.0</v>
      </c>
      <c r="O443" s="141">
        <v>1083.49</v>
      </c>
      <c r="P443" s="141">
        <v>0.0</v>
      </c>
      <c r="Q443" s="141">
        <v>0.0</v>
      </c>
      <c r="R443" s="141">
        <v>0.0</v>
      </c>
      <c r="S443" s="156"/>
      <c r="T443" s="142"/>
      <c r="U443" s="142"/>
      <c r="V443" s="142"/>
      <c r="W443" s="142"/>
      <c r="X443" s="142"/>
      <c r="Y443" s="156"/>
      <c r="Z443" s="156"/>
      <c r="AA443" s="156"/>
      <c r="AB443" s="157"/>
      <c r="AC443" s="157"/>
      <c r="AD443" s="157"/>
      <c r="AE443" s="157"/>
    </row>
    <row r="444" ht="17.25" customHeight="1">
      <c r="A444" s="133" t="s">
        <v>23</v>
      </c>
      <c r="B444" s="133" t="s">
        <v>136</v>
      </c>
      <c r="C444" s="133" t="s">
        <v>90</v>
      </c>
      <c r="E444" s="133" t="s">
        <v>137</v>
      </c>
      <c r="F444" s="133" t="s">
        <v>31</v>
      </c>
      <c r="G444" s="140">
        <v>1.3889288E7</v>
      </c>
      <c r="H444" s="141">
        <v>7.003475406202E12</v>
      </c>
      <c r="I444" s="133" t="s">
        <v>138</v>
      </c>
      <c r="J444" s="133" t="s">
        <v>102</v>
      </c>
      <c r="K444" s="133" t="s">
        <v>95</v>
      </c>
      <c r="L444" s="141">
        <v>0.0</v>
      </c>
      <c r="M444" s="141">
        <v>0.0</v>
      </c>
      <c r="N444" s="141">
        <v>26.0</v>
      </c>
      <c r="O444" s="141">
        <v>36392.6</v>
      </c>
      <c r="P444" s="141">
        <v>14.0</v>
      </c>
      <c r="Q444" s="141">
        <v>20127.77</v>
      </c>
      <c r="R444" s="141">
        <v>298.0</v>
      </c>
      <c r="S444" s="156"/>
      <c r="T444" s="142"/>
      <c r="U444" s="142"/>
      <c r="V444" s="142"/>
      <c r="W444" s="142"/>
      <c r="X444" s="142"/>
      <c r="Y444" s="156"/>
      <c r="Z444" s="156"/>
      <c r="AA444" s="156"/>
      <c r="AB444" s="157"/>
      <c r="AC444" s="157"/>
      <c r="AD444" s="157"/>
      <c r="AE444" s="157"/>
    </row>
    <row r="445" ht="17.25" customHeight="1">
      <c r="A445" s="133" t="s">
        <v>23</v>
      </c>
      <c r="B445" s="133" t="s">
        <v>147</v>
      </c>
      <c r="C445" s="133" t="s">
        <v>90</v>
      </c>
      <c r="E445" s="133" t="s">
        <v>148</v>
      </c>
      <c r="F445" s="133" t="s">
        <v>149</v>
      </c>
      <c r="G445" s="140">
        <v>1.4620437E7</v>
      </c>
      <c r="H445" s="141">
        <v>7.403585008202E12</v>
      </c>
      <c r="I445" s="133" t="s">
        <v>101</v>
      </c>
      <c r="J445" s="133" t="s">
        <v>94</v>
      </c>
      <c r="K445" s="133" t="s">
        <v>95</v>
      </c>
      <c r="L445" s="141">
        <v>0.0</v>
      </c>
      <c r="M445" s="141">
        <v>0.0</v>
      </c>
      <c r="N445" s="141">
        <v>5.0</v>
      </c>
      <c r="O445" s="141">
        <v>7024.03</v>
      </c>
      <c r="P445" s="141">
        <v>0.0</v>
      </c>
      <c r="Q445" s="141">
        <v>0.0</v>
      </c>
      <c r="R445" s="141">
        <v>0.0</v>
      </c>
      <c r="S445" s="156"/>
      <c r="T445" s="142"/>
      <c r="U445" s="142"/>
      <c r="V445" s="142"/>
      <c r="W445" s="142"/>
      <c r="X445" s="142"/>
      <c r="Y445" s="156"/>
      <c r="Z445" s="156"/>
      <c r="AA445" s="156"/>
      <c r="AB445" s="157"/>
      <c r="AC445" s="157"/>
      <c r="AD445" s="157"/>
      <c r="AE445" s="157"/>
    </row>
    <row r="446" ht="17.25" customHeight="1">
      <c r="A446" s="133" t="s">
        <v>23</v>
      </c>
      <c r="B446" s="133" t="s">
        <v>106</v>
      </c>
      <c r="C446" s="133" t="s">
        <v>90</v>
      </c>
      <c r="E446" s="133" t="s">
        <v>114</v>
      </c>
      <c r="F446" s="133" t="s">
        <v>178</v>
      </c>
      <c r="G446" s="140">
        <v>1.6963759E7</v>
      </c>
      <c r="H446" s="141">
        <v>7.403864403117E12</v>
      </c>
      <c r="I446" s="133" t="s">
        <v>96</v>
      </c>
      <c r="J446" s="133" t="s">
        <v>102</v>
      </c>
      <c r="K446" s="133" t="s">
        <v>95</v>
      </c>
      <c r="L446" s="141">
        <v>0.0</v>
      </c>
      <c r="M446" s="141">
        <v>0.0</v>
      </c>
      <c r="N446" s="141">
        <v>0.0</v>
      </c>
      <c r="O446" s="141">
        <v>0.0</v>
      </c>
      <c r="P446" s="141">
        <v>0.0</v>
      </c>
      <c r="Q446" s="141">
        <v>0.0</v>
      </c>
      <c r="R446" s="141">
        <v>27.0</v>
      </c>
      <c r="S446" s="156"/>
      <c r="T446" s="142"/>
      <c r="U446" s="142"/>
      <c r="V446" s="142"/>
      <c r="W446" s="142"/>
      <c r="X446" s="142"/>
      <c r="Y446" s="156"/>
      <c r="Z446" s="156"/>
      <c r="AA446" s="156"/>
      <c r="AB446" s="157"/>
      <c r="AC446" s="157"/>
      <c r="AD446" s="157"/>
      <c r="AE446" s="157"/>
    </row>
    <row r="447" ht="17.25" customHeight="1">
      <c r="A447" s="133" t="s">
        <v>23</v>
      </c>
      <c r="B447" s="133" t="s">
        <v>136</v>
      </c>
      <c r="C447" s="133" t="s">
        <v>90</v>
      </c>
      <c r="E447" s="133" t="s">
        <v>137</v>
      </c>
      <c r="F447" s="133" t="s">
        <v>36</v>
      </c>
      <c r="G447" s="140">
        <v>1.8075949E7</v>
      </c>
      <c r="H447" s="141">
        <v>7.403645409208E12</v>
      </c>
      <c r="I447" s="133" t="s">
        <v>138</v>
      </c>
      <c r="J447" s="133" t="s">
        <v>102</v>
      </c>
      <c r="K447" s="133" t="s">
        <v>95</v>
      </c>
      <c r="L447" s="141">
        <v>1.0</v>
      </c>
      <c r="M447" s="141">
        <v>8060.0</v>
      </c>
      <c r="N447" s="141">
        <v>5.0</v>
      </c>
      <c r="O447" s="141">
        <v>6988.03</v>
      </c>
      <c r="P447" s="141">
        <v>4.0</v>
      </c>
      <c r="Q447" s="141">
        <v>6108.45</v>
      </c>
      <c r="R447" s="141">
        <v>221.0</v>
      </c>
      <c r="S447" s="156"/>
      <c r="T447" s="142"/>
      <c r="U447" s="142"/>
      <c r="V447" s="142"/>
      <c r="W447" s="142"/>
      <c r="X447" s="142"/>
      <c r="Y447" s="156"/>
      <c r="Z447" s="156"/>
      <c r="AA447" s="156"/>
      <c r="AB447" s="156"/>
      <c r="AC447" s="156"/>
      <c r="AD447" s="156"/>
      <c r="AE447" s="156"/>
    </row>
    <row r="448" ht="17.25" customHeight="1">
      <c r="A448" s="133" t="s">
        <v>23</v>
      </c>
      <c r="B448" s="133" t="s">
        <v>147</v>
      </c>
      <c r="C448" s="133" t="s">
        <v>90</v>
      </c>
      <c r="E448" s="133" t="s">
        <v>148</v>
      </c>
      <c r="F448" s="133" t="s">
        <v>175</v>
      </c>
      <c r="G448" s="140">
        <v>1.4620438E7</v>
      </c>
      <c r="H448" s="141">
        <v>7.403594608202E12</v>
      </c>
      <c r="I448" s="133" t="s">
        <v>93</v>
      </c>
      <c r="J448" s="133" t="s">
        <v>102</v>
      </c>
      <c r="K448" s="133" t="s">
        <v>95</v>
      </c>
      <c r="L448" s="141">
        <v>0.0</v>
      </c>
      <c r="M448" s="141">
        <v>0.0</v>
      </c>
      <c r="N448" s="141">
        <v>14.0</v>
      </c>
      <c r="O448" s="141">
        <v>15439.76</v>
      </c>
      <c r="P448" s="141">
        <v>5.0</v>
      </c>
      <c r="Q448" s="141">
        <v>5765.75</v>
      </c>
      <c r="R448" s="141">
        <v>18.0</v>
      </c>
      <c r="S448" s="156"/>
      <c r="T448" s="142"/>
      <c r="U448" s="142"/>
      <c r="V448" s="142"/>
      <c r="W448" s="142"/>
      <c r="X448" s="142"/>
      <c r="Y448" s="156"/>
      <c r="Z448" s="156"/>
      <c r="AA448" s="156"/>
      <c r="AB448" s="157"/>
      <c r="AC448" s="157"/>
      <c r="AD448" s="157"/>
      <c r="AE448" s="157"/>
    </row>
    <row r="449" ht="17.25" customHeight="1">
      <c r="A449" s="133" t="s">
        <v>23</v>
      </c>
      <c r="B449" s="133" t="s">
        <v>89</v>
      </c>
      <c r="C449" s="133" t="s">
        <v>90</v>
      </c>
      <c r="E449" s="133" t="s">
        <v>91</v>
      </c>
      <c r="F449" s="133" t="s">
        <v>139</v>
      </c>
      <c r="G449" s="140">
        <v>1.1210356E7</v>
      </c>
      <c r="H449" s="141">
        <v>7.300204200002E12</v>
      </c>
      <c r="I449" s="133" t="s">
        <v>120</v>
      </c>
      <c r="J449" s="133" t="s">
        <v>102</v>
      </c>
      <c r="K449" s="133" t="s">
        <v>113</v>
      </c>
      <c r="L449" s="141">
        <v>0.0</v>
      </c>
      <c r="M449" s="141">
        <v>0.0</v>
      </c>
      <c r="N449" s="141">
        <v>0.0</v>
      </c>
      <c r="O449" s="141">
        <v>0.0</v>
      </c>
      <c r="P449" s="141">
        <v>0.0</v>
      </c>
      <c r="Q449" s="141">
        <v>0.0</v>
      </c>
      <c r="R449" s="141">
        <v>2.0</v>
      </c>
      <c r="S449" s="156"/>
      <c r="T449" s="142"/>
      <c r="U449" s="142"/>
      <c r="V449" s="142"/>
      <c r="W449" s="142"/>
      <c r="X449" s="142"/>
      <c r="Y449" s="156"/>
      <c r="Z449" s="156"/>
      <c r="AA449" s="156"/>
      <c r="AB449" s="157"/>
      <c r="AC449" s="157"/>
      <c r="AD449" s="157"/>
      <c r="AE449" s="157"/>
    </row>
    <row r="450" ht="17.25" customHeight="1">
      <c r="A450" s="133" t="s">
        <v>23</v>
      </c>
      <c r="B450" s="133" t="s">
        <v>89</v>
      </c>
      <c r="C450" s="133" t="s">
        <v>90</v>
      </c>
      <c r="E450" s="133" t="s">
        <v>91</v>
      </c>
      <c r="F450" s="133" t="s">
        <v>139</v>
      </c>
      <c r="G450" s="140">
        <v>1.1210356E7</v>
      </c>
      <c r="H450" s="141">
        <v>7.300204200002E12</v>
      </c>
      <c r="I450" s="133" t="s">
        <v>120</v>
      </c>
      <c r="J450" s="133" t="s">
        <v>102</v>
      </c>
      <c r="K450" s="133" t="s">
        <v>146</v>
      </c>
      <c r="L450" s="141">
        <v>0.0</v>
      </c>
      <c r="M450" s="141">
        <v>0.0</v>
      </c>
      <c r="N450" s="141">
        <v>0.0</v>
      </c>
      <c r="O450" s="141">
        <v>0.0</v>
      </c>
      <c r="P450" s="141">
        <v>0.0</v>
      </c>
      <c r="Q450" s="141">
        <v>0.0</v>
      </c>
      <c r="R450" s="141">
        <v>1.0</v>
      </c>
      <c r="S450" s="156"/>
      <c r="T450" s="142"/>
      <c r="U450" s="142"/>
      <c r="V450" s="142"/>
      <c r="W450" s="142"/>
      <c r="X450" s="142"/>
      <c r="Y450" s="156"/>
      <c r="Z450" s="156"/>
      <c r="AA450" s="156"/>
      <c r="AB450" s="157"/>
      <c r="AC450" s="157"/>
      <c r="AD450" s="157"/>
      <c r="AE450" s="157"/>
    </row>
    <row r="451" ht="17.25" customHeight="1">
      <c r="A451" s="133" t="s">
        <v>23</v>
      </c>
      <c r="B451" s="133" t="s">
        <v>89</v>
      </c>
      <c r="C451" s="133" t="s">
        <v>90</v>
      </c>
      <c r="E451" s="133" t="s">
        <v>91</v>
      </c>
      <c r="F451" s="133" t="s">
        <v>139</v>
      </c>
      <c r="G451" s="140">
        <v>1.1210356E7</v>
      </c>
      <c r="H451" s="141">
        <v>7.300204200002E12</v>
      </c>
      <c r="I451" s="133" t="s">
        <v>120</v>
      </c>
      <c r="J451" s="133" t="s">
        <v>102</v>
      </c>
      <c r="K451" s="133" t="s">
        <v>95</v>
      </c>
      <c r="L451" s="141">
        <v>0.0</v>
      </c>
      <c r="M451" s="141">
        <v>0.0</v>
      </c>
      <c r="N451" s="141">
        <v>0.0</v>
      </c>
      <c r="O451" s="141">
        <v>0.0</v>
      </c>
      <c r="P451" s="141">
        <v>0.0</v>
      </c>
      <c r="Q451" s="141">
        <v>0.0</v>
      </c>
      <c r="R451" s="141">
        <v>19.0</v>
      </c>
      <c r="S451" s="156"/>
      <c r="T451" s="142"/>
      <c r="U451" s="142"/>
      <c r="V451" s="142"/>
      <c r="W451" s="142"/>
      <c r="X451" s="142"/>
      <c r="Y451" s="156"/>
      <c r="Z451" s="156"/>
      <c r="AA451" s="156"/>
      <c r="AB451" s="157"/>
      <c r="AC451" s="157"/>
      <c r="AD451" s="157"/>
      <c r="AE451" s="157"/>
    </row>
    <row r="452" ht="17.25" customHeight="1">
      <c r="A452" s="133" t="s">
        <v>23</v>
      </c>
      <c r="B452" s="133" t="s">
        <v>106</v>
      </c>
      <c r="C452" s="133" t="s">
        <v>90</v>
      </c>
      <c r="E452" s="133" t="s">
        <v>107</v>
      </c>
      <c r="F452" s="133" t="s">
        <v>193</v>
      </c>
      <c r="G452" s="140">
        <v>1.8074632E7</v>
      </c>
      <c r="H452" s="141">
        <v>7.403944415122E12</v>
      </c>
      <c r="I452" s="133" t="s">
        <v>93</v>
      </c>
      <c r="J452" s="133" t="s">
        <v>102</v>
      </c>
      <c r="K452" s="133" t="s">
        <v>104</v>
      </c>
      <c r="L452" s="141">
        <v>0.0</v>
      </c>
      <c r="M452" s="141">
        <v>0.0</v>
      </c>
      <c r="N452" s="141">
        <v>0.0</v>
      </c>
      <c r="O452" s="141">
        <v>0.0</v>
      </c>
      <c r="P452" s="141">
        <v>0.0</v>
      </c>
      <c r="Q452" s="141">
        <v>0.0</v>
      </c>
      <c r="R452" s="141">
        <v>1.0</v>
      </c>
      <c r="S452" s="156"/>
      <c r="T452" s="142"/>
      <c r="U452" s="142"/>
      <c r="V452" s="142"/>
      <c r="W452" s="142"/>
      <c r="X452" s="142"/>
      <c r="Y452" s="156"/>
      <c r="Z452" s="156"/>
      <c r="AA452" s="156"/>
      <c r="AB452" s="157"/>
      <c r="AC452" s="157"/>
      <c r="AD452" s="157"/>
      <c r="AE452" s="157"/>
    </row>
    <row r="453" ht="17.25" customHeight="1">
      <c r="A453" s="133" t="s">
        <v>23</v>
      </c>
      <c r="B453" s="133" t="s">
        <v>106</v>
      </c>
      <c r="C453" s="133" t="s">
        <v>90</v>
      </c>
      <c r="E453" s="133" t="s">
        <v>114</v>
      </c>
      <c r="F453" s="133" t="s">
        <v>178</v>
      </c>
      <c r="G453" s="140">
        <v>1.6963759E7</v>
      </c>
      <c r="H453" s="141">
        <v>7.403864403117E12</v>
      </c>
      <c r="I453" s="133" t="s">
        <v>96</v>
      </c>
      <c r="J453" s="133" t="s">
        <v>102</v>
      </c>
      <c r="K453" s="133" t="s">
        <v>113</v>
      </c>
      <c r="L453" s="141">
        <v>0.0</v>
      </c>
      <c r="M453" s="141">
        <v>0.0</v>
      </c>
      <c r="N453" s="141">
        <v>0.0</v>
      </c>
      <c r="O453" s="141">
        <v>0.0</v>
      </c>
      <c r="P453" s="141">
        <v>0.0</v>
      </c>
      <c r="Q453" s="141">
        <v>0.0</v>
      </c>
      <c r="R453" s="141">
        <v>2.0</v>
      </c>
      <c r="S453" s="156"/>
      <c r="T453" s="142"/>
      <c r="U453" s="142"/>
      <c r="V453" s="142"/>
      <c r="W453" s="142"/>
      <c r="X453" s="142"/>
      <c r="Y453" s="156"/>
      <c r="Z453" s="156"/>
      <c r="AA453" s="156"/>
      <c r="AB453" s="157"/>
      <c r="AC453" s="157"/>
      <c r="AD453" s="157"/>
      <c r="AE453" s="157"/>
    </row>
    <row r="454" ht="17.25" customHeight="1">
      <c r="A454" s="133" t="s">
        <v>23</v>
      </c>
      <c r="B454" s="133" t="s">
        <v>89</v>
      </c>
      <c r="C454" s="133" t="s">
        <v>90</v>
      </c>
      <c r="E454" s="133" t="s">
        <v>91</v>
      </c>
      <c r="F454" s="133" t="s">
        <v>139</v>
      </c>
      <c r="G454" s="140">
        <v>1.1210356E7</v>
      </c>
      <c r="H454" s="141">
        <v>7.300204200002E12</v>
      </c>
      <c r="I454" s="133" t="s">
        <v>120</v>
      </c>
      <c r="J454" s="133" t="s">
        <v>102</v>
      </c>
      <c r="K454" s="133" t="s">
        <v>143</v>
      </c>
      <c r="L454" s="141">
        <v>0.0</v>
      </c>
      <c r="M454" s="141">
        <v>0.0</v>
      </c>
      <c r="N454" s="141">
        <v>0.0</v>
      </c>
      <c r="O454" s="141">
        <v>0.0</v>
      </c>
      <c r="P454" s="141">
        <v>0.0</v>
      </c>
      <c r="Q454" s="141">
        <v>0.0</v>
      </c>
      <c r="R454" s="141">
        <v>1.0</v>
      </c>
      <c r="S454" s="156"/>
      <c r="T454" s="142"/>
      <c r="U454" s="142"/>
      <c r="V454" s="142"/>
      <c r="W454" s="142"/>
      <c r="X454" s="142"/>
      <c r="Y454" s="156"/>
      <c r="Z454" s="156"/>
      <c r="AA454" s="156"/>
      <c r="AB454" s="157"/>
      <c r="AC454" s="157"/>
      <c r="AD454" s="157"/>
      <c r="AE454" s="157"/>
    </row>
    <row r="455" ht="17.25" customHeight="1">
      <c r="A455" s="133" t="s">
        <v>23</v>
      </c>
      <c r="B455" s="133" t="s">
        <v>147</v>
      </c>
      <c r="C455" s="133" t="s">
        <v>90</v>
      </c>
      <c r="E455" s="133" t="s">
        <v>148</v>
      </c>
      <c r="F455" s="133" t="s">
        <v>149</v>
      </c>
      <c r="G455" s="140">
        <v>1.4620437E7</v>
      </c>
      <c r="H455" s="141">
        <v>7.403584808209E12</v>
      </c>
      <c r="I455" s="133" t="s">
        <v>122</v>
      </c>
      <c r="J455" s="133" t="s">
        <v>102</v>
      </c>
      <c r="K455" s="133" t="s">
        <v>95</v>
      </c>
      <c r="L455" s="141">
        <v>0.0</v>
      </c>
      <c r="M455" s="141">
        <v>0.0</v>
      </c>
      <c r="N455" s="141">
        <v>5.0</v>
      </c>
      <c r="O455" s="141">
        <v>7024.03</v>
      </c>
      <c r="P455" s="141">
        <v>1.0</v>
      </c>
      <c r="Q455" s="141">
        <v>1388.47</v>
      </c>
      <c r="R455" s="141">
        <v>5.0</v>
      </c>
      <c r="S455" s="156"/>
      <c r="T455" s="142"/>
      <c r="U455" s="142"/>
      <c r="V455" s="142"/>
      <c r="W455" s="142"/>
      <c r="X455" s="142"/>
      <c r="Y455" s="156"/>
      <c r="Z455" s="156"/>
      <c r="AA455" s="156"/>
      <c r="AB455" s="157"/>
      <c r="AC455" s="157"/>
      <c r="AD455" s="157"/>
      <c r="AE455" s="157"/>
    </row>
    <row r="456" ht="17.25" customHeight="1">
      <c r="A456" s="133" t="s">
        <v>23</v>
      </c>
      <c r="B456" s="133" t="s">
        <v>89</v>
      </c>
      <c r="C456" s="133" t="s">
        <v>90</v>
      </c>
      <c r="E456" s="133" t="s">
        <v>91</v>
      </c>
      <c r="F456" s="133" t="s">
        <v>139</v>
      </c>
      <c r="G456" s="140">
        <v>1.1210356E7</v>
      </c>
      <c r="H456" s="141">
        <v>7.300205200001E12</v>
      </c>
      <c r="I456" s="133" t="s">
        <v>101</v>
      </c>
      <c r="J456" s="133" t="s">
        <v>94</v>
      </c>
      <c r="K456" s="133" t="s">
        <v>104</v>
      </c>
      <c r="L456" s="141">
        <v>0.0</v>
      </c>
      <c r="M456" s="141">
        <v>0.0</v>
      </c>
      <c r="N456" s="141">
        <v>1.0</v>
      </c>
      <c r="O456" s="141">
        <v>3409.85</v>
      </c>
      <c r="P456" s="141">
        <v>1.0</v>
      </c>
      <c r="Q456" s="141">
        <v>3409.85</v>
      </c>
      <c r="R456" s="141">
        <v>0.0</v>
      </c>
      <c r="S456" s="156"/>
      <c r="T456" s="142"/>
      <c r="U456" s="142"/>
      <c r="V456" s="142"/>
      <c r="W456" s="142"/>
      <c r="X456" s="142"/>
      <c r="Y456" s="156"/>
      <c r="Z456" s="156"/>
      <c r="AA456" s="156"/>
      <c r="AB456" s="157"/>
      <c r="AC456" s="157"/>
      <c r="AD456" s="157"/>
      <c r="AE456" s="157"/>
    </row>
    <row r="457" ht="17.25" customHeight="1">
      <c r="A457" s="133" t="s">
        <v>23</v>
      </c>
      <c r="B457" s="133" t="s">
        <v>89</v>
      </c>
      <c r="C457" s="133" t="s">
        <v>117</v>
      </c>
      <c r="D457" s="133"/>
      <c r="E457" s="133" t="s">
        <v>118</v>
      </c>
      <c r="F457" s="133" t="s">
        <v>198</v>
      </c>
      <c r="G457" s="140">
        <v>1.493091E7</v>
      </c>
      <c r="H457" s="141">
        <v>7.410225207208E12</v>
      </c>
      <c r="I457" s="133" t="s">
        <v>101</v>
      </c>
      <c r="J457" s="133" t="s">
        <v>94</v>
      </c>
      <c r="K457" s="133" t="s">
        <v>95</v>
      </c>
      <c r="L457" s="141">
        <v>0.0</v>
      </c>
      <c r="M457" s="141">
        <v>0.0</v>
      </c>
      <c r="N457" s="141">
        <v>3.0</v>
      </c>
      <c r="O457" s="141">
        <v>9439.9</v>
      </c>
      <c r="P457" s="141">
        <v>3.0</v>
      </c>
      <c r="Q457" s="141">
        <v>9749.4</v>
      </c>
      <c r="R457" s="141">
        <v>0.0</v>
      </c>
      <c r="S457" s="156"/>
      <c r="T457" s="142"/>
      <c r="U457" s="142"/>
      <c r="V457" s="142"/>
      <c r="W457" s="142"/>
      <c r="X457" s="142"/>
      <c r="Y457" s="156"/>
      <c r="Z457" s="156"/>
      <c r="AA457" s="156"/>
      <c r="AB457" s="157"/>
      <c r="AC457" s="157"/>
      <c r="AD457" s="157"/>
      <c r="AE457" s="157"/>
    </row>
    <row r="458" ht="17.25" customHeight="1">
      <c r="A458" s="133" t="s">
        <v>23</v>
      </c>
      <c r="B458" s="133" t="s">
        <v>170</v>
      </c>
      <c r="C458" s="133" t="s">
        <v>90</v>
      </c>
      <c r="E458" s="133" t="s">
        <v>171</v>
      </c>
      <c r="F458" s="133" t="s">
        <v>172</v>
      </c>
      <c r="G458" s="140">
        <v>1.4790928E7</v>
      </c>
      <c r="H458" s="141">
        <v>7.003074606201E12</v>
      </c>
      <c r="I458" s="133" t="s">
        <v>96</v>
      </c>
      <c r="J458" s="133" t="s">
        <v>102</v>
      </c>
      <c r="K458" s="133" t="s">
        <v>95</v>
      </c>
      <c r="L458" s="141">
        <v>0.0</v>
      </c>
      <c r="M458" s="141">
        <v>0.0</v>
      </c>
      <c r="N458" s="141">
        <v>0.0</v>
      </c>
      <c r="O458" s="141">
        <v>0.0</v>
      </c>
      <c r="P458" s="141">
        <v>1.0</v>
      </c>
      <c r="Q458" s="141">
        <v>1864.05</v>
      </c>
      <c r="R458" s="141">
        <v>37.0</v>
      </c>
      <c r="S458" s="156"/>
      <c r="T458" s="142"/>
      <c r="U458" s="142"/>
      <c r="V458" s="142"/>
      <c r="W458" s="142"/>
      <c r="X458" s="142"/>
      <c r="Y458" s="156"/>
      <c r="Z458" s="156"/>
      <c r="AA458" s="156"/>
      <c r="AB458" s="157"/>
      <c r="AC458" s="157"/>
      <c r="AD458" s="157"/>
      <c r="AE458" s="157"/>
    </row>
    <row r="459" ht="17.25" customHeight="1">
      <c r="A459" s="133" t="s">
        <v>23</v>
      </c>
      <c r="B459" s="133" t="s">
        <v>89</v>
      </c>
      <c r="C459" s="133" t="s">
        <v>117</v>
      </c>
      <c r="D459" s="133"/>
      <c r="E459" s="133" t="s">
        <v>118</v>
      </c>
      <c r="F459" s="133" t="s">
        <v>119</v>
      </c>
      <c r="G459" s="140">
        <v>1.4930911E7</v>
      </c>
      <c r="H459" s="141">
        <v>7.410234607204E12</v>
      </c>
      <c r="I459" s="133" t="s">
        <v>96</v>
      </c>
      <c r="J459" s="133" t="s">
        <v>94</v>
      </c>
      <c r="K459" s="133" t="s">
        <v>95</v>
      </c>
      <c r="L459" s="141">
        <v>0.0</v>
      </c>
      <c r="M459" s="141">
        <v>0.0</v>
      </c>
      <c r="N459" s="141">
        <v>1.0</v>
      </c>
      <c r="O459" s="141">
        <v>2745.27</v>
      </c>
      <c r="P459" s="141">
        <v>1.0</v>
      </c>
      <c r="Q459" s="141">
        <v>2745.27</v>
      </c>
      <c r="R459" s="141">
        <v>0.0</v>
      </c>
      <c r="S459" s="156"/>
      <c r="T459" s="142"/>
      <c r="U459" s="142"/>
      <c r="V459" s="142"/>
      <c r="W459" s="142"/>
      <c r="X459" s="142"/>
      <c r="Y459" s="156"/>
      <c r="Z459" s="156"/>
      <c r="AA459" s="156"/>
      <c r="AB459" s="157"/>
      <c r="AC459" s="157"/>
      <c r="AD459" s="157"/>
      <c r="AE459" s="157"/>
    </row>
    <row r="460" ht="16.5" customHeight="1">
      <c r="A460" s="133" t="s">
        <v>23</v>
      </c>
      <c r="B460" s="133" t="s">
        <v>106</v>
      </c>
      <c r="C460" s="133" t="s">
        <v>90</v>
      </c>
      <c r="E460" s="133" t="s">
        <v>114</v>
      </c>
      <c r="F460" s="133" t="s">
        <v>178</v>
      </c>
      <c r="G460" s="140">
        <v>1.6963759E7</v>
      </c>
      <c r="H460" s="141">
        <v>7.403865003118E12</v>
      </c>
      <c r="I460" s="133" t="s">
        <v>101</v>
      </c>
      <c r="J460" s="133" t="s">
        <v>94</v>
      </c>
      <c r="K460" s="133" t="s">
        <v>146</v>
      </c>
      <c r="L460" s="141">
        <v>0.0</v>
      </c>
      <c r="M460" s="141">
        <v>0.0</v>
      </c>
      <c r="N460" s="141">
        <v>0.0</v>
      </c>
      <c r="O460" s="141">
        <v>0.0</v>
      </c>
      <c r="P460" s="141">
        <v>1.0</v>
      </c>
      <c r="Q460" s="141">
        <v>4481.37</v>
      </c>
      <c r="R460" s="141">
        <v>0.0</v>
      </c>
      <c r="S460" s="156"/>
      <c r="T460" s="142"/>
      <c r="U460" s="142"/>
      <c r="V460" s="142"/>
      <c r="W460" s="142"/>
      <c r="X460" s="142"/>
      <c r="Y460" s="156"/>
      <c r="Z460" s="156"/>
      <c r="AA460" s="156"/>
      <c r="AB460" s="157"/>
      <c r="AC460" s="157"/>
      <c r="AD460" s="157"/>
      <c r="AE460" s="157"/>
    </row>
    <row r="461" ht="17.25" customHeight="1">
      <c r="A461" s="133" t="s">
        <v>23</v>
      </c>
      <c r="B461" s="133" t="s">
        <v>136</v>
      </c>
      <c r="C461" s="133" t="s">
        <v>90</v>
      </c>
      <c r="E461" s="133" t="s">
        <v>137</v>
      </c>
      <c r="F461" s="133" t="s">
        <v>30</v>
      </c>
      <c r="G461" s="140">
        <v>1.3889286E7</v>
      </c>
      <c r="H461" s="141">
        <v>7.003455406208E12</v>
      </c>
      <c r="I461" s="133" t="s">
        <v>138</v>
      </c>
      <c r="J461" s="133" t="s">
        <v>94</v>
      </c>
      <c r="K461" s="133" t="s">
        <v>113</v>
      </c>
      <c r="L461" s="141">
        <v>0.0</v>
      </c>
      <c r="M461" s="141">
        <v>0.0</v>
      </c>
      <c r="N461" s="141">
        <v>1.0</v>
      </c>
      <c r="O461" s="141">
        <v>1547.2</v>
      </c>
      <c r="P461" s="141">
        <v>1.0</v>
      </c>
      <c r="Q461" s="141">
        <v>1547.2</v>
      </c>
      <c r="R461" s="141">
        <v>0.0</v>
      </c>
      <c r="S461" s="156"/>
      <c r="T461" s="142"/>
      <c r="U461" s="142"/>
      <c r="V461" s="142"/>
      <c r="W461" s="142"/>
      <c r="X461" s="142"/>
      <c r="Y461" s="156"/>
      <c r="Z461" s="156"/>
      <c r="AA461" s="156"/>
      <c r="AB461" s="157"/>
      <c r="AC461" s="157"/>
      <c r="AD461" s="157"/>
      <c r="AE461" s="157"/>
    </row>
    <row r="462" ht="17.25" customHeight="1">
      <c r="A462" s="133" t="s">
        <v>23</v>
      </c>
      <c r="B462" s="133" t="s">
        <v>136</v>
      </c>
      <c r="C462" s="133" t="s">
        <v>90</v>
      </c>
      <c r="E462" s="133" t="s">
        <v>137</v>
      </c>
      <c r="F462" s="133" t="s">
        <v>41</v>
      </c>
      <c r="G462" s="140">
        <v>1.388929E7</v>
      </c>
      <c r="H462" s="141">
        <v>7.003495406206E12</v>
      </c>
      <c r="I462" s="133" t="s">
        <v>138</v>
      </c>
      <c r="J462" s="133" t="s">
        <v>102</v>
      </c>
      <c r="K462" s="133" t="s">
        <v>95</v>
      </c>
      <c r="L462" s="141">
        <v>0.0</v>
      </c>
      <c r="M462" s="141">
        <v>0.0</v>
      </c>
      <c r="N462" s="141">
        <v>4.0</v>
      </c>
      <c r="O462" s="141">
        <v>5868.24</v>
      </c>
      <c r="P462" s="141">
        <v>3.0</v>
      </c>
      <c r="Q462" s="141">
        <v>4564.18</v>
      </c>
      <c r="R462" s="141">
        <v>80.0</v>
      </c>
      <c r="S462" s="156"/>
      <c r="T462" s="142"/>
      <c r="U462" s="142"/>
      <c r="V462" s="142"/>
      <c r="W462" s="142"/>
      <c r="X462" s="142"/>
      <c r="Y462" s="156"/>
      <c r="Z462" s="156"/>
      <c r="AA462" s="156"/>
      <c r="AB462" s="156"/>
      <c r="AC462" s="156"/>
      <c r="AD462" s="156"/>
      <c r="AE462" s="156"/>
    </row>
    <row r="463" ht="17.25" customHeight="1">
      <c r="A463" s="133" t="s">
        <v>23</v>
      </c>
      <c r="B463" s="133" t="s">
        <v>136</v>
      </c>
      <c r="C463" s="133" t="s">
        <v>90</v>
      </c>
      <c r="E463" s="133" t="s">
        <v>137</v>
      </c>
      <c r="F463" s="133" t="s">
        <v>24</v>
      </c>
      <c r="G463" s="140">
        <v>1.3889284E7</v>
      </c>
      <c r="H463" s="141">
        <v>7.003435406204E12</v>
      </c>
      <c r="I463" s="133" t="s">
        <v>138</v>
      </c>
      <c r="J463" s="133" t="s">
        <v>102</v>
      </c>
      <c r="K463" s="133" t="s">
        <v>95</v>
      </c>
      <c r="L463" s="141">
        <v>0.0</v>
      </c>
      <c r="M463" s="141">
        <v>0.0</v>
      </c>
      <c r="N463" s="141">
        <v>42.0</v>
      </c>
      <c r="O463" s="141">
        <v>64387.08</v>
      </c>
      <c r="P463" s="141">
        <v>32.0</v>
      </c>
      <c r="Q463" s="141">
        <v>50229.26</v>
      </c>
      <c r="R463" s="141">
        <v>280.0</v>
      </c>
      <c r="S463" s="156"/>
      <c r="T463" s="142"/>
      <c r="U463" s="142"/>
      <c r="V463" s="142"/>
      <c r="W463" s="142"/>
      <c r="X463" s="142"/>
      <c r="Y463" s="156"/>
      <c r="Z463" s="156"/>
      <c r="AA463" s="156"/>
      <c r="AB463" s="156"/>
      <c r="AC463" s="156"/>
      <c r="AD463" s="156"/>
      <c r="AE463" s="156"/>
    </row>
    <row r="464" ht="17.25" customHeight="1">
      <c r="A464" s="133" t="s">
        <v>23</v>
      </c>
      <c r="B464" s="133" t="s">
        <v>89</v>
      </c>
      <c r="C464" s="133" t="s">
        <v>117</v>
      </c>
      <c r="D464" s="133"/>
      <c r="E464" s="133" t="s">
        <v>118</v>
      </c>
      <c r="F464" s="133" t="s">
        <v>141</v>
      </c>
      <c r="G464" s="140">
        <v>1.4936019E7</v>
      </c>
      <c r="H464" s="141">
        <v>7.400224807202E12</v>
      </c>
      <c r="I464" s="133" t="s">
        <v>93</v>
      </c>
      <c r="J464" s="133" t="s">
        <v>94</v>
      </c>
      <c r="K464" s="133" t="s">
        <v>95</v>
      </c>
      <c r="L464" s="141">
        <v>0.0</v>
      </c>
      <c r="M464" s="141">
        <v>0.0</v>
      </c>
      <c r="N464" s="141">
        <v>1.0</v>
      </c>
      <c r="O464" s="141">
        <v>2910.39</v>
      </c>
      <c r="P464" s="141">
        <v>2.0</v>
      </c>
      <c r="Q464" s="141">
        <v>5478.38</v>
      </c>
      <c r="R464" s="141">
        <v>0.0</v>
      </c>
      <c r="S464" s="156"/>
      <c r="T464" s="142"/>
      <c r="U464" s="142"/>
      <c r="V464" s="142"/>
      <c r="W464" s="142"/>
      <c r="X464" s="142"/>
      <c r="Y464" s="156"/>
      <c r="Z464" s="156"/>
      <c r="AA464" s="156"/>
      <c r="AB464" s="157"/>
      <c r="AC464" s="157"/>
      <c r="AD464" s="157"/>
      <c r="AE464" s="157"/>
    </row>
    <row r="465" ht="17.25" customHeight="1">
      <c r="A465" s="133" t="s">
        <v>23</v>
      </c>
      <c r="B465" s="133" t="s">
        <v>106</v>
      </c>
      <c r="C465" s="133" t="s">
        <v>90</v>
      </c>
      <c r="E465" s="133" t="s">
        <v>114</v>
      </c>
      <c r="F465" s="133" t="s">
        <v>178</v>
      </c>
      <c r="G465" s="140">
        <v>1.6963759E7</v>
      </c>
      <c r="H465" s="141">
        <v>7.403865003118E12</v>
      </c>
      <c r="I465" s="133" t="s">
        <v>101</v>
      </c>
      <c r="J465" s="133" t="s">
        <v>94</v>
      </c>
      <c r="K465" s="133" t="s">
        <v>95</v>
      </c>
      <c r="L465" s="141">
        <v>0.0</v>
      </c>
      <c r="M465" s="141">
        <v>0.0</v>
      </c>
      <c r="N465" s="141">
        <v>4.0</v>
      </c>
      <c r="O465" s="141">
        <v>16307.46</v>
      </c>
      <c r="P465" s="141">
        <v>0.0</v>
      </c>
      <c r="Q465" s="141">
        <v>472.68</v>
      </c>
      <c r="R465" s="141">
        <v>0.0</v>
      </c>
      <c r="S465" s="156"/>
      <c r="T465" s="142"/>
      <c r="U465" s="142"/>
      <c r="V465" s="142"/>
      <c r="W465" s="142"/>
      <c r="X465" s="142"/>
      <c r="Y465" s="156"/>
      <c r="Z465" s="156"/>
      <c r="AA465" s="156"/>
      <c r="AB465" s="157"/>
      <c r="AC465" s="157"/>
      <c r="AD465" s="157"/>
      <c r="AE465" s="157"/>
    </row>
    <row r="466" ht="17.25" customHeight="1">
      <c r="A466" s="133" t="s">
        <v>23</v>
      </c>
      <c r="B466" s="133" t="s">
        <v>136</v>
      </c>
      <c r="C466" s="133" t="s">
        <v>90</v>
      </c>
      <c r="E466" s="133" t="s">
        <v>137</v>
      </c>
      <c r="F466" s="133" t="s">
        <v>30</v>
      </c>
      <c r="G466" s="140">
        <v>1.3889286E7</v>
      </c>
      <c r="H466" s="141">
        <v>7.003455406208E12</v>
      </c>
      <c r="I466" s="133" t="s">
        <v>138</v>
      </c>
      <c r="J466" s="133" t="s">
        <v>102</v>
      </c>
      <c r="K466" s="133" t="s">
        <v>95</v>
      </c>
      <c r="L466" s="141">
        <v>0.0</v>
      </c>
      <c r="M466" s="141">
        <v>0.0</v>
      </c>
      <c r="N466" s="141">
        <v>7.0</v>
      </c>
      <c r="O466" s="141">
        <v>11071.6</v>
      </c>
      <c r="P466" s="141">
        <v>5.0</v>
      </c>
      <c r="Q466" s="141">
        <v>8200.16</v>
      </c>
      <c r="R466" s="141">
        <v>475.0</v>
      </c>
      <c r="S466" s="156"/>
      <c r="T466" s="142"/>
      <c r="U466" s="142"/>
      <c r="V466" s="142"/>
      <c r="W466" s="142"/>
      <c r="X466" s="142"/>
      <c r="Y466" s="156"/>
      <c r="Z466" s="156"/>
      <c r="AA466" s="156"/>
      <c r="AB466" s="157"/>
      <c r="AC466" s="157"/>
      <c r="AD466" s="157"/>
      <c r="AE466" s="157"/>
    </row>
    <row r="467" ht="17.25" customHeight="1">
      <c r="A467" s="133" t="s">
        <v>23</v>
      </c>
      <c r="B467" s="133" t="s">
        <v>106</v>
      </c>
      <c r="C467" s="133" t="s">
        <v>90</v>
      </c>
      <c r="E467" s="133" t="s">
        <v>114</v>
      </c>
      <c r="F467" s="133" t="s">
        <v>178</v>
      </c>
      <c r="G467" s="140">
        <v>1.6963759E7</v>
      </c>
      <c r="H467" s="141">
        <v>7.403865003118E12</v>
      </c>
      <c r="I467" s="133" t="s">
        <v>101</v>
      </c>
      <c r="J467" s="133" t="s">
        <v>94</v>
      </c>
      <c r="K467" s="133" t="s">
        <v>113</v>
      </c>
      <c r="L467" s="141">
        <v>0.0</v>
      </c>
      <c r="M467" s="141">
        <v>0.0</v>
      </c>
      <c r="N467" s="141">
        <v>1.0</v>
      </c>
      <c r="O467" s="141">
        <v>4017.78</v>
      </c>
      <c r="P467" s="141">
        <v>0.0</v>
      </c>
      <c r="Q467" s="141">
        <v>0.0</v>
      </c>
      <c r="R467" s="141">
        <v>0.0</v>
      </c>
      <c r="S467" s="156"/>
      <c r="T467" s="142"/>
      <c r="U467" s="142"/>
      <c r="V467" s="142"/>
      <c r="W467" s="142"/>
      <c r="X467" s="142"/>
      <c r="Y467" s="156"/>
      <c r="Z467" s="156"/>
      <c r="AA467" s="156"/>
      <c r="AB467" s="157"/>
      <c r="AC467" s="157"/>
      <c r="AD467" s="157"/>
      <c r="AE467" s="157"/>
    </row>
    <row r="468" ht="17.25" customHeight="1">
      <c r="A468" s="133" t="s">
        <v>23</v>
      </c>
      <c r="B468" s="133" t="s">
        <v>147</v>
      </c>
      <c r="C468" s="133" t="s">
        <v>90</v>
      </c>
      <c r="E468" s="133" t="s">
        <v>148</v>
      </c>
      <c r="F468" s="133" t="s">
        <v>149</v>
      </c>
      <c r="G468" s="140">
        <v>1.4620437E7</v>
      </c>
      <c r="H468" s="141">
        <v>7.403584808209E12</v>
      </c>
      <c r="I468" s="133" t="s">
        <v>122</v>
      </c>
      <c r="J468" s="133" t="s">
        <v>94</v>
      </c>
      <c r="K468" s="133" t="s">
        <v>97</v>
      </c>
      <c r="L468" s="141">
        <v>0.0</v>
      </c>
      <c r="M468" s="141">
        <v>0.0</v>
      </c>
      <c r="N468" s="141">
        <v>1.0</v>
      </c>
      <c r="O468" s="141">
        <v>1388.47</v>
      </c>
      <c r="P468" s="141">
        <v>0.0</v>
      </c>
      <c r="Q468" s="141">
        <v>0.0</v>
      </c>
      <c r="R468" s="141">
        <v>0.0</v>
      </c>
      <c r="S468" s="156"/>
      <c r="T468" s="142"/>
      <c r="U468" s="142"/>
      <c r="V468" s="142"/>
      <c r="W468" s="142"/>
      <c r="X468" s="142"/>
      <c r="Y468" s="156"/>
      <c r="Z468" s="156"/>
      <c r="AA468" s="156"/>
      <c r="AB468" s="157"/>
      <c r="AC468" s="157"/>
      <c r="AD468" s="157"/>
      <c r="AE468" s="157"/>
    </row>
    <row r="469" ht="17.25" customHeight="1">
      <c r="A469" s="133" t="s">
        <v>23</v>
      </c>
      <c r="B469" s="133" t="s">
        <v>136</v>
      </c>
      <c r="C469" s="133" t="s">
        <v>90</v>
      </c>
      <c r="E469" s="133" t="s">
        <v>137</v>
      </c>
      <c r="F469" s="133" t="s">
        <v>41</v>
      </c>
      <c r="G469" s="140">
        <v>1.388929E7</v>
      </c>
      <c r="H469" s="141">
        <v>7.003495406206E12</v>
      </c>
      <c r="I469" s="133" t="s">
        <v>138</v>
      </c>
      <c r="J469" s="133" t="s">
        <v>94</v>
      </c>
      <c r="K469" s="133" t="s">
        <v>104</v>
      </c>
      <c r="L469" s="141">
        <v>0.0</v>
      </c>
      <c r="M469" s="141">
        <v>0.0</v>
      </c>
      <c r="N469" s="141">
        <v>1.0</v>
      </c>
      <c r="O469" s="141">
        <v>1467.06</v>
      </c>
      <c r="P469" s="141">
        <v>0.0</v>
      </c>
      <c r="Q469" s="141">
        <v>0.0</v>
      </c>
      <c r="R469" s="141">
        <v>0.0</v>
      </c>
      <c r="S469" s="156"/>
      <c r="T469" s="142"/>
      <c r="U469" s="142"/>
      <c r="V469" s="142"/>
      <c r="W469" s="142"/>
      <c r="X469" s="142"/>
      <c r="Y469" s="156"/>
      <c r="Z469" s="156"/>
      <c r="AA469" s="156"/>
      <c r="AB469" s="156"/>
      <c r="AC469" s="156"/>
      <c r="AD469" s="156"/>
      <c r="AE469" s="156"/>
    </row>
    <row r="470" ht="17.25" customHeight="1">
      <c r="A470" s="133" t="s">
        <v>23</v>
      </c>
      <c r="B470" s="133" t="s">
        <v>89</v>
      </c>
      <c r="C470" s="133" t="s">
        <v>117</v>
      </c>
      <c r="D470" s="133"/>
      <c r="E470" s="133" t="s">
        <v>118</v>
      </c>
      <c r="F470" s="133" t="s">
        <v>198</v>
      </c>
      <c r="G470" s="140">
        <v>1.493091E7</v>
      </c>
      <c r="H470" s="141">
        <v>7.410225207208E12</v>
      </c>
      <c r="I470" s="133" t="s">
        <v>101</v>
      </c>
      <c r="J470" s="133" t="s">
        <v>94</v>
      </c>
      <c r="K470" s="133" t="s">
        <v>104</v>
      </c>
      <c r="L470" s="141">
        <v>0.0</v>
      </c>
      <c r="M470" s="141">
        <v>0.0</v>
      </c>
      <c r="N470" s="141">
        <v>1.0</v>
      </c>
      <c r="O470" s="141">
        <v>2594.38</v>
      </c>
      <c r="P470" s="141">
        <v>0.0</v>
      </c>
      <c r="Q470" s="141">
        <v>0.0</v>
      </c>
      <c r="R470" s="141">
        <v>0.0</v>
      </c>
      <c r="S470" s="156"/>
      <c r="T470" s="142"/>
      <c r="U470" s="142"/>
      <c r="V470" s="142"/>
      <c r="W470" s="142"/>
      <c r="X470" s="142"/>
      <c r="Y470" s="156"/>
      <c r="Z470" s="156"/>
      <c r="AA470" s="156"/>
      <c r="AB470" s="157"/>
      <c r="AC470" s="157"/>
      <c r="AD470" s="157"/>
      <c r="AE470" s="157"/>
    </row>
    <row r="471" ht="17.25" customHeight="1">
      <c r="A471" s="133" t="s">
        <v>23</v>
      </c>
      <c r="B471" s="133" t="s">
        <v>89</v>
      </c>
      <c r="C471" s="133" t="s">
        <v>90</v>
      </c>
      <c r="E471" s="133" t="s">
        <v>91</v>
      </c>
      <c r="F471" s="133" t="s">
        <v>163</v>
      </c>
      <c r="G471" s="140">
        <v>1.1210358E7</v>
      </c>
      <c r="H471" s="141">
        <v>7.500205600003E12</v>
      </c>
      <c r="I471" s="133" t="s">
        <v>112</v>
      </c>
      <c r="J471" s="133" t="s">
        <v>102</v>
      </c>
      <c r="K471" s="133" t="s">
        <v>95</v>
      </c>
      <c r="L471" s="141">
        <v>0.0</v>
      </c>
      <c r="M471" s="141">
        <v>0.0</v>
      </c>
      <c r="N471" s="141">
        <v>3.0</v>
      </c>
      <c r="O471" s="141">
        <v>9052.98</v>
      </c>
      <c r="P471" s="141">
        <v>2.0</v>
      </c>
      <c r="Q471" s="141">
        <v>6035.32</v>
      </c>
      <c r="R471" s="141">
        <v>1.0</v>
      </c>
      <c r="S471" s="156"/>
      <c r="T471" s="142"/>
      <c r="U471" s="142"/>
      <c r="V471" s="142"/>
      <c r="W471" s="142"/>
      <c r="X471" s="142"/>
      <c r="Y471" s="156"/>
      <c r="Z471" s="156"/>
      <c r="AA471" s="156"/>
      <c r="AB471" s="157"/>
      <c r="AC471" s="157"/>
      <c r="AD471" s="157"/>
      <c r="AE471" s="157"/>
    </row>
    <row r="472" ht="17.25" customHeight="1">
      <c r="A472" s="133" t="s">
        <v>23</v>
      </c>
      <c r="B472" s="133" t="s">
        <v>89</v>
      </c>
      <c r="C472" s="133" t="s">
        <v>90</v>
      </c>
      <c r="E472" s="133" t="s">
        <v>91</v>
      </c>
      <c r="F472" s="133" t="s">
        <v>92</v>
      </c>
      <c r="G472" s="140">
        <v>1.4930909E7</v>
      </c>
      <c r="H472" s="141">
        <v>7.410215007207E12</v>
      </c>
      <c r="I472" s="133" t="s">
        <v>122</v>
      </c>
      <c r="J472" s="133" t="s">
        <v>94</v>
      </c>
      <c r="K472" s="133" t="s">
        <v>95</v>
      </c>
      <c r="L472" s="141">
        <v>0.0</v>
      </c>
      <c r="M472" s="141">
        <v>0.0</v>
      </c>
      <c r="N472" s="141">
        <v>1.0</v>
      </c>
      <c r="O472" s="141">
        <v>3901.5</v>
      </c>
      <c r="P472" s="141">
        <v>0.0</v>
      </c>
      <c r="Q472" s="141">
        <v>0.0</v>
      </c>
      <c r="R472" s="141">
        <v>0.0</v>
      </c>
      <c r="S472" s="156"/>
      <c r="T472" s="142"/>
      <c r="U472" s="142"/>
      <c r="V472" s="142"/>
      <c r="W472" s="142"/>
      <c r="X472" s="142"/>
      <c r="Y472" s="156"/>
      <c r="Z472" s="156"/>
      <c r="AA472" s="156"/>
      <c r="AB472" s="157"/>
      <c r="AC472" s="157"/>
      <c r="AD472" s="157"/>
      <c r="AE472" s="157"/>
    </row>
    <row r="473" ht="17.25" customHeight="1">
      <c r="A473" s="133" t="s">
        <v>23</v>
      </c>
      <c r="B473" s="133" t="s">
        <v>89</v>
      </c>
      <c r="C473" s="133" t="s">
        <v>90</v>
      </c>
      <c r="E473" s="133" t="s">
        <v>91</v>
      </c>
      <c r="F473" s="133" t="s">
        <v>139</v>
      </c>
      <c r="G473" s="140">
        <v>1.1210356E7</v>
      </c>
      <c r="H473" s="141">
        <v>7.300205200001E12</v>
      </c>
      <c r="I473" s="133" t="s">
        <v>101</v>
      </c>
      <c r="J473" s="133" t="s">
        <v>94</v>
      </c>
      <c r="K473" s="133" t="s">
        <v>113</v>
      </c>
      <c r="L473" s="141">
        <v>0.0</v>
      </c>
      <c r="M473" s="141">
        <v>0.0</v>
      </c>
      <c r="N473" s="141">
        <v>1.0</v>
      </c>
      <c r="O473" s="141">
        <v>3409.85</v>
      </c>
      <c r="P473" s="141">
        <v>0.0</v>
      </c>
      <c r="Q473" s="141">
        <v>0.0</v>
      </c>
      <c r="R473" s="141">
        <v>0.0</v>
      </c>
      <c r="S473" s="156"/>
      <c r="T473" s="142"/>
      <c r="U473" s="142"/>
      <c r="V473" s="142"/>
      <c r="W473" s="142"/>
      <c r="X473" s="142"/>
      <c r="Y473" s="156"/>
      <c r="Z473" s="156"/>
      <c r="AA473" s="156"/>
      <c r="AB473" s="157"/>
      <c r="AC473" s="157"/>
      <c r="AD473" s="157"/>
      <c r="AE473" s="157"/>
    </row>
    <row r="474" ht="17.25" customHeight="1">
      <c r="A474" s="133" t="s">
        <v>23</v>
      </c>
      <c r="B474" s="133" t="s">
        <v>136</v>
      </c>
      <c r="C474" s="133" t="s">
        <v>90</v>
      </c>
      <c r="E474" s="133" t="s">
        <v>137</v>
      </c>
      <c r="F474" s="133" t="s">
        <v>24</v>
      </c>
      <c r="G474" s="140">
        <v>1.3889284E7</v>
      </c>
      <c r="H474" s="141">
        <v>7.003435406204E12</v>
      </c>
      <c r="I474" s="133" t="s">
        <v>138</v>
      </c>
      <c r="J474" s="133" t="s">
        <v>94</v>
      </c>
      <c r="K474" s="133" t="s">
        <v>146</v>
      </c>
      <c r="L474" s="141">
        <v>0.0</v>
      </c>
      <c r="M474" s="141">
        <v>0.0</v>
      </c>
      <c r="N474" s="141">
        <v>0.0</v>
      </c>
      <c r="O474" s="141">
        <v>0.0</v>
      </c>
      <c r="P474" s="141">
        <v>1.0</v>
      </c>
      <c r="Q474" s="141">
        <v>1506.61</v>
      </c>
      <c r="R474" s="141">
        <v>0.0</v>
      </c>
      <c r="S474" s="156"/>
      <c r="T474" s="142"/>
      <c r="U474" s="142"/>
      <c r="V474" s="142"/>
      <c r="W474" s="142"/>
      <c r="X474" s="142"/>
      <c r="Y474" s="156"/>
      <c r="Z474" s="156"/>
      <c r="AA474" s="156"/>
      <c r="AB474" s="156"/>
      <c r="AC474" s="156"/>
      <c r="AD474" s="156"/>
      <c r="AE474" s="156"/>
    </row>
    <row r="475" ht="17.25" customHeight="1">
      <c r="A475" s="133" t="s">
        <v>23</v>
      </c>
      <c r="B475" s="133" t="s">
        <v>89</v>
      </c>
      <c r="C475" s="133" t="s">
        <v>90</v>
      </c>
      <c r="E475" s="133" t="s">
        <v>91</v>
      </c>
      <c r="F475" s="133" t="s">
        <v>139</v>
      </c>
      <c r="G475" s="140">
        <v>1.1210356E7</v>
      </c>
      <c r="H475" s="141">
        <v>7.300205200001E12</v>
      </c>
      <c r="I475" s="133" t="s">
        <v>101</v>
      </c>
      <c r="J475" s="133" t="s">
        <v>102</v>
      </c>
      <c r="K475" s="133" t="s">
        <v>95</v>
      </c>
      <c r="L475" s="141">
        <v>0.0</v>
      </c>
      <c r="M475" s="141">
        <v>0.0</v>
      </c>
      <c r="N475" s="141">
        <v>1.0</v>
      </c>
      <c r="O475" s="141">
        <v>3772.61</v>
      </c>
      <c r="P475" s="141">
        <v>0.0</v>
      </c>
      <c r="Q475" s="141">
        <v>0.0</v>
      </c>
      <c r="R475" s="141">
        <v>4.0</v>
      </c>
      <c r="S475" s="156"/>
      <c r="T475" s="142"/>
      <c r="U475" s="142"/>
      <c r="V475" s="142"/>
      <c r="W475" s="142"/>
      <c r="X475" s="142"/>
      <c r="Y475" s="156"/>
      <c r="Z475" s="156"/>
      <c r="AA475" s="156"/>
      <c r="AB475" s="157"/>
      <c r="AC475" s="157"/>
      <c r="AD475" s="157"/>
      <c r="AE475" s="157"/>
    </row>
    <row r="476" ht="17.25" customHeight="1">
      <c r="A476" s="133" t="s">
        <v>23</v>
      </c>
      <c r="B476" s="133" t="s">
        <v>136</v>
      </c>
      <c r="C476" s="133" t="s">
        <v>90</v>
      </c>
      <c r="E476" s="133" t="s">
        <v>137</v>
      </c>
      <c r="F476" s="133" t="s">
        <v>30</v>
      </c>
      <c r="G476" s="140">
        <v>1.3889286E7</v>
      </c>
      <c r="H476" s="141">
        <v>7.003455406208E12</v>
      </c>
      <c r="I476" s="133" t="s">
        <v>138</v>
      </c>
      <c r="J476" s="133" t="s">
        <v>94</v>
      </c>
      <c r="K476" s="133" t="s">
        <v>116</v>
      </c>
      <c r="L476" s="141">
        <v>0.0</v>
      </c>
      <c r="M476" s="141">
        <v>0.0</v>
      </c>
      <c r="N476" s="141">
        <v>0.0</v>
      </c>
      <c r="O476" s="141">
        <v>0.0</v>
      </c>
      <c r="P476" s="141">
        <v>1.0</v>
      </c>
      <c r="Q476" s="141">
        <v>1802.03</v>
      </c>
      <c r="R476" s="141">
        <v>0.0</v>
      </c>
      <c r="S476" s="156"/>
      <c r="T476" s="142"/>
      <c r="U476" s="142"/>
      <c r="V476" s="142"/>
      <c r="W476" s="142"/>
      <c r="X476" s="142"/>
      <c r="Y476" s="156"/>
      <c r="Z476" s="156"/>
      <c r="AA476" s="156"/>
      <c r="AB476" s="157"/>
      <c r="AC476" s="157"/>
      <c r="AD476" s="157"/>
      <c r="AE476" s="157"/>
    </row>
    <row r="477" ht="17.25" customHeight="1">
      <c r="A477" s="133" t="s">
        <v>23</v>
      </c>
      <c r="B477" s="133" t="s">
        <v>106</v>
      </c>
      <c r="C477" s="133" t="s">
        <v>90</v>
      </c>
      <c r="E477" s="133" t="s">
        <v>114</v>
      </c>
      <c r="F477" s="133" t="s">
        <v>178</v>
      </c>
      <c r="G477" s="140">
        <v>1.6963759E7</v>
      </c>
      <c r="H477" s="141">
        <v>7.403865003118E12</v>
      </c>
      <c r="I477" s="133" t="s">
        <v>101</v>
      </c>
      <c r="J477" s="133" t="s">
        <v>102</v>
      </c>
      <c r="K477" s="133" t="s">
        <v>97</v>
      </c>
      <c r="L477" s="141">
        <v>0.0</v>
      </c>
      <c r="M477" s="141">
        <v>0.0</v>
      </c>
      <c r="N477" s="141">
        <v>1.0</v>
      </c>
      <c r="O477" s="141">
        <v>4017.78</v>
      </c>
      <c r="P477" s="141">
        <v>0.0</v>
      </c>
      <c r="Q477" s="141">
        <v>0.0</v>
      </c>
      <c r="R477" s="141">
        <v>1.0</v>
      </c>
      <c r="S477" s="156"/>
      <c r="T477" s="142"/>
      <c r="U477" s="142"/>
      <c r="V477" s="142"/>
      <c r="W477" s="142"/>
      <c r="X477" s="142"/>
      <c r="Y477" s="156"/>
      <c r="Z477" s="156"/>
      <c r="AA477" s="156"/>
      <c r="AB477" s="157"/>
      <c r="AC477" s="157"/>
      <c r="AD477" s="157"/>
      <c r="AE477" s="157"/>
    </row>
    <row r="478" ht="17.25" customHeight="1">
      <c r="A478" s="133" t="s">
        <v>23</v>
      </c>
      <c r="B478" s="133" t="s">
        <v>136</v>
      </c>
      <c r="C478" s="133" t="s">
        <v>90</v>
      </c>
      <c r="E478" s="133" t="s">
        <v>137</v>
      </c>
      <c r="F478" s="133" t="s">
        <v>30</v>
      </c>
      <c r="G478" s="140">
        <v>1.3889286E7</v>
      </c>
      <c r="H478" s="141">
        <v>7.003455406208E12</v>
      </c>
      <c r="I478" s="133" t="s">
        <v>138</v>
      </c>
      <c r="J478" s="133" t="s">
        <v>94</v>
      </c>
      <c r="K478" s="133" t="s">
        <v>97</v>
      </c>
      <c r="L478" s="141">
        <v>0.0</v>
      </c>
      <c r="M478" s="141">
        <v>0.0</v>
      </c>
      <c r="N478" s="141">
        <v>0.0</v>
      </c>
      <c r="O478" s="141">
        <v>0.0</v>
      </c>
      <c r="P478" s="141">
        <v>1.0</v>
      </c>
      <c r="Q478" s="141">
        <v>1701.92</v>
      </c>
      <c r="R478" s="141">
        <v>0.0</v>
      </c>
      <c r="S478" s="156"/>
      <c r="T478" s="142"/>
      <c r="U478" s="142"/>
      <c r="V478" s="142"/>
      <c r="W478" s="142"/>
      <c r="X478" s="142"/>
      <c r="Y478" s="156"/>
      <c r="Z478" s="156"/>
      <c r="AA478" s="156"/>
      <c r="AB478" s="157"/>
      <c r="AC478" s="157"/>
      <c r="AD478" s="157"/>
      <c r="AE478" s="157"/>
    </row>
    <row r="479" ht="17.25" customHeight="1">
      <c r="A479" s="133" t="s">
        <v>23</v>
      </c>
      <c r="B479" s="133" t="s">
        <v>106</v>
      </c>
      <c r="C479" s="133" t="s">
        <v>90</v>
      </c>
      <c r="E479" s="133" t="s">
        <v>114</v>
      </c>
      <c r="F479" s="133" t="s">
        <v>178</v>
      </c>
      <c r="G479" s="140">
        <v>1.6963759E7</v>
      </c>
      <c r="H479" s="141">
        <v>7.403865003118E12</v>
      </c>
      <c r="I479" s="133" t="s">
        <v>101</v>
      </c>
      <c r="J479" s="133" t="s">
        <v>94</v>
      </c>
      <c r="K479" s="133" t="s">
        <v>116</v>
      </c>
      <c r="L479" s="141">
        <v>0.0</v>
      </c>
      <c r="M479" s="141">
        <v>0.0</v>
      </c>
      <c r="N479" s="141">
        <v>1.0</v>
      </c>
      <c r="O479" s="141">
        <v>4017.78</v>
      </c>
      <c r="P479" s="141">
        <v>0.0</v>
      </c>
      <c r="Q479" s="141">
        <v>0.0</v>
      </c>
      <c r="R479" s="141">
        <v>0.0</v>
      </c>
      <c r="S479" s="156"/>
      <c r="T479" s="142"/>
      <c r="U479" s="142"/>
      <c r="V479" s="142"/>
      <c r="W479" s="142"/>
      <c r="X479" s="142"/>
      <c r="Y479" s="156"/>
      <c r="Z479" s="156"/>
      <c r="AA479" s="156"/>
      <c r="AB479" s="157"/>
      <c r="AC479" s="157"/>
      <c r="AD479" s="157"/>
      <c r="AE479" s="157"/>
    </row>
    <row r="480" ht="17.25" customHeight="1">
      <c r="A480" s="133" t="s">
        <v>23</v>
      </c>
      <c r="B480" s="133" t="s">
        <v>89</v>
      </c>
      <c r="C480" s="133" t="s">
        <v>90</v>
      </c>
      <c r="E480" s="133" t="s">
        <v>91</v>
      </c>
      <c r="F480" s="133" t="s">
        <v>163</v>
      </c>
      <c r="G480" s="140">
        <v>1.1210358E7</v>
      </c>
      <c r="H480" s="141">
        <v>7.500204600004E12</v>
      </c>
      <c r="I480" s="133" t="s">
        <v>96</v>
      </c>
      <c r="J480" s="133" t="s">
        <v>102</v>
      </c>
      <c r="K480" s="133" t="s">
        <v>95</v>
      </c>
      <c r="L480" s="141">
        <v>0.0</v>
      </c>
      <c r="M480" s="141">
        <v>0.0</v>
      </c>
      <c r="N480" s="141">
        <v>0.0</v>
      </c>
      <c r="O480" s="141">
        <v>0.0</v>
      </c>
      <c r="P480" s="141">
        <v>0.0</v>
      </c>
      <c r="Q480" s="141">
        <v>0.0</v>
      </c>
      <c r="R480" s="141">
        <v>1.0</v>
      </c>
      <c r="S480" s="156"/>
      <c r="T480" s="142"/>
      <c r="U480" s="142"/>
      <c r="V480" s="142"/>
      <c r="W480" s="142"/>
      <c r="X480" s="142"/>
      <c r="Y480" s="156"/>
      <c r="Z480" s="156"/>
      <c r="AA480" s="156"/>
      <c r="AB480" s="157"/>
      <c r="AC480" s="157"/>
      <c r="AD480" s="157"/>
      <c r="AE480" s="157"/>
    </row>
    <row r="481" ht="17.25" customHeight="1">
      <c r="A481" s="133" t="s">
        <v>23</v>
      </c>
      <c r="B481" s="133" t="s">
        <v>89</v>
      </c>
      <c r="C481" s="133" t="s">
        <v>117</v>
      </c>
      <c r="D481" s="133"/>
      <c r="E481" s="133" t="s">
        <v>118</v>
      </c>
      <c r="F481" s="133" t="s">
        <v>119</v>
      </c>
      <c r="G481" s="140">
        <v>1.4930911E7</v>
      </c>
      <c r="H481" s="141">
        <v>7.410234607204E12</v>
      </c>
      <c r="I481" s="133" t="s">
        <v>96</v>
      </c>
      <c r="J481" s="133" t="s">
        <v>102</v>
      </c>
      <c r="K481" s="133" t="s">
        <v>143</v>
      </c>
      <c r="L481" s="141">
        <v>0.0</v>
      </c>
      <c r="M481" s="141">
        <v>0.0</v>
      </c>
      <c r="N481" s="141">
        <v>0.0</v>
      </c>
      <c r="O481" s="141">
        <v>0.0</v>
      </c>
      <c r="P481" s="141">
        <v>0.0</v>
      </c>
      <c r="Q481" s="141">
        <v>0.0</v>
      </c>
      <c r="R481" s="141">
        <v>1.0</v>
      </c>
      <c r="S481" s="156"/>
      <c r="T481" s="142"/>
      <c r="U481" s="142"/>
      <c r="V481" s="142"/>
      <c r="W481" s="142"/>
      <c r="X481" s="142"/>
      <c r="Y481" s="156"/>
      <c r="Z481" s="156"/>
      <c r="AA481" s="156"/>
      <c r="AB481" s="157"/>
      <c r="AC481" s="157"/>
      <c r="AD481" s="157"/>
      <c r="AE481" s="157"/>
    </row>
    <row r="482" ht="17.25" customHeight="1">
      <c r="A482" s="133" t="s">
        <v>23</v>
      </c>
      <c r="B482" s="133" t="s">
        <v>129</v>
      </c>
      <c r="C482" s="133" t="s">
        <v>90</v>
      </c>
      <c r="E482" s="133" t="s">
        <v>130</v>
      </c>
      <c r="F482" s="133" t="s">
        <v>227</v>
      </c>
      <c r="G482" s="140">
        <v>1.3176417E7</v>
      </c>
      <c r="H482" s="141">
        <v>7.003323006202E12</v>
      </c>
      <c r="I482" s="133" t="s">
        <v>132</v>
      </c>
      <c r="J482" s="133" t="s">
        <v>102</v>
      </c>
      <c r="K482" s="133" t="s">
        <v>116</v>
      </c>
      <c r="L482" s="141">
        <v>0.0</v>
      </c>
      <c r="M482" s="141">
        <v>0.0</v>
      </c>
      <c r="N482" s="141">
        <v>0.0</v>
      </c>
      <c r="O482" s="141">
        <v>0.0</v>
      </c>
      <c r="P482" s="141">
        <v>0.0</v>
      </c>
      <c r="Q482" s="141">
        <v>0.0</v>
      </c>
      <c r="R482" s="141">
        <v>1.0</v>
      </c>
      <c r="S482" s="156"/>
      <c r="T482" s="142"/>
      <c r="U482" s="142"/>
      <c r="V482" s="142"/>
      <c r="W482" s="142"/>
      <c r="X482" s="142"/>
      <c r="Y482" s="156"/>
      <c r="Z482" s="156"/>
      <c r="AA482" s="156"/>
      <c r="AB482" s="157"/>
      <c r="AC482" s="157"/>
      <c r="AD482" s="157"/>
      <c r="AE482" s="157"/>
    </row>
    <row r="483" ht="17.25" customHeight="1">
      <c r="A483" s="133" t="s">
        <v>23</v>
      </c>
      <c r="B483" s="133" t="s">
        <v>89</v>
      </c>
      <c r="C483" s="133" t="s">
        <v>90</v>
      </c>
      <c r="E483" s="133" t="s">
        <v>91</v>
      </c>
      <c r="F483" s="133" t="s">
        <v>163</v>
      </c>
      <c r="G483" s="140">
        <v>1.1210358E7</v>
      </c>
      <c r="H483" s="141">
        <v>7.500204600004E12</v>
      </c>
      <c r="I483" s="133" t="s">
        <v>96</v>
      </c>
      <c r="J483" s="133" t="s">
        <v>102</v>
      </c>
      <c r="K483" s="133" t="s">
        <v>95</v>
      </c>
      <c r="L483" s="141">
        <v>0.0</v>
      </c>
      <c r="M483" s="141">
        <v>0.0</v>
      </c>
      <c r="N483" s="141">
        <v>0.0</v>
      </c>
      <c r="O483" s="141">
        <v>0.0</v>
      </c>
      <c r="P483" s="141">
        <v>0.0</v>
      </c>
      <c r="Q483" s="141">
        <v>0.0</v>
      </c>
      <c r="R483" s="141">
        <v>26.0</v>
      </c>
      <c r="S483" s="156"/>
      <c r="T483" s="142"/>
      <c r="U483" s="142"/>
      <c r="V483" s="142"/>
      <c r="W483" s="142"/>
      <c r="X483" s="142"/>
      <c r="Y483" s="156"/>
      <c r="Z483" s="156"/>
      <c r="AA483" s="156"/>
      <c r="AB483" s="157"/>
      <c r="AC483" s="157"/>
      <c r="AD483" s="157"/>
      <c r="AE483" s="157"/>
    </row>
    <row r="484" ht="17.25" customHeight="1">
      <c r="A484" s="133" t="s">
        <v>23</v>
      </c>
      <c r="B484" s="133" t="s">
        <v>89</v>
      </c>
      <c r="C484" s="133" t="s">
        <v>117</v>
      </c>
      <c r="D484" s="133"/>
      <c r="E484" s="133" t="s">
        <v>118</v>
      </c>
      <c r="F484" s="133" t="s">
        <v>119</v>
      </c>
      <c r="G484" s="140">
        <v>1.4930911E7</v>
      </c>
      <c r="H484" s="141">
        <v>7.410234607204E12</v>
      </c>
      <c r="I484" s="133" t="s">
        <v>96</v>
      </c>
      <c r="J484" s="133" t="s">
        <v>102</v>
      </c>
      <c r="K484" s="133" t="s">
        <v>113</v>
      </c>
      <c r="L484" s="141">
        <v>0.0</v>
      </c>
      <c r="M484" s="141">
        <v>0.0</v>
      </c>
      <c r="N484" s="141">
        <v>0.0</v>
      </c>
      <c r="O484" s="141">
        <v>0.0</v>
      </c>
      <c r="P484" s="141">
        <v>0.0</v>
      </c>
      <c r="Q484" s="141">
        <v>0.0</v>
      </c>
      <c r="R484" s="141">
        <v>1.0</v>
      </c>
      <c r="S484" s="156"/>
      <c r="T484" s="142"/>
      <c r="U484" s="142"/>
      <c r="V484" s="142"/>
      <c r="W484" s="142"/>
      <c r="X484" s="142"/>
      <c r="Y484" s="156"/>
      <c r="Z484" s="156"/>
      <c r="AA484" s="156"/>
      <c r="AB484" s="157"/>
      <c r="AC484" s="157"/>
      <c r="AD484" s="157"/>
      <c r="AE484" s="157"/>
    </row>
    <row r="485" ht="17.25" customHeight="1">
      <c r="A485" s="133" t="s">
        <v>23</v>
      </c>
      <c r="B485" s="133" t="s">
        <v>129</v>
      </c>
      <c r="C485" s="133" t="s">
        <v>90</v>
      </c>
      <c r="E485" s="133" t="s">
        <v>130</v>
      </c>
      <c r="F485" s="133" t="s">
        <v>227</v>
      </c>
      <c r="G485" s="140">
        <v>1.3176417E7</v>
      </c>
      <c r="H485" s="141">
        <v>7.003322906206E12</v>
      </c>
      <c r="I485" s="133" t="s">
        <v>211</v>
      </c>
      <c r="J485" s="133" t="s">
        <v>102</v>
      </c>
      <c r="K485" s="133" t="s">
        <v>95</v>
      </c>
      <c r="L485" s="141">
        <v>0.0</v>
      </c>
      <c r="M485" s="141">
        <v>0.0</v>
      </c>
      <c r="N485" s="141">
        <v>0.0</v>
      </c>
      <c r="O485" s="141">
        <v>0.0</v>
      </c>
      <c r="P485" s="141">
        <v>0.0</v>
      </c>
      <c r="Q485" s="141">
        <v>0.0</v>
      </c>
      <c r="R485" s="141">
        <v>1.0</v>
      </c>
      <c r="S485" s="156"/>
      <c r="T485" s="142"/>
      <c r="U485" s="142"/>
      <c r="V485" s="142"/>
      <c r="W485" s="142"/>
      <c r="X485" s="142"/>
      <c r="Y485" s="156"/>
      <c r="Z485" s="156"/>
      <c r="AA485" s="156"/>
      <c r="AB485" s="157"/>
      <c r="AC485" s="157"/>
      <c r="AD485" s="157"/>
      <c r="AE485" s="157"/>
    </row>
    <row r="486" ht="17.25" customHeight="1">
      <c r="A486" s="133" t="s">
        <v>23</v>
      </c>
      <c r="B486" s="133" t="s">
        <v>129</v>
      </c>
      <c r="C486" s="133" t="s">
        <v>90</v>
      </c>
      <c r="E486" s="133" t="s">
        <v>130</v>
      </c>
      <c r="F486" s="133" t="s">
        <v>227</v>
      </c>
      <c r="G486" s="140">
        <v>1.3176417E7</v>
      </c>
      <c r="H486" s="141">
        <v>7.003323006202E12</v>
      </c>
      <c r="I486" s="133" t="s">
        <v>132</v>
      </c>
      <c r="J486" s="133" t="s">
        <v>102</v>
      </c>
      <c r="K486" s="133" t="s">
        <v>95</v>
      </c>
      <c r="L486" s="141">
        <v>0.0</v>
      </c>
      <c r="M486" s="141">
        <v>0.0</v>
      </c>
      <c r="N486" s="141">
        <v>0.0</v>
      </c>
      <c r="O486" s="141">
        <v>0.0</v>
      </c>
      <c r="P486" s="141">
        <v>0.0</v>
      </c>
      <c r="Q486" s="141">
        <v>0.0</v>
      </c>
      <c r="R486" s="141">
        <v>1.0</v>
      </c>
      <c r="S486" s="156"/>
      <c r="T486" s="142"/>
      <c r="U486" s="142"/>
      <c r="V486" s="142"/>
      <c r="W486" s="142"/>
      <c r="X486" s="142"/>
      <c r="Y486" s="156"/>
      <c r="Z486" s="156"/>
      <c r="AA486" s="156"/>
      <c r="AB486" s="157"/>
      <c r="AC486" s="157"/>
      <c r="AD486" s="157"/>
      <c r="AE486" s="157"/>
    </row>
    <row r="487" ht="17.25" customHeight="1">
      <c r="A487" s="133" t="s">
        <v>23</v>
      </c>
      <c r="B487" s="133" t="s">
        <v>158</v>
      </c>
      <c r="C487" s="133"/>
      <c r="D487" s="133"/>
      <c r="E487" s="133" t="s">
        <v>164</v>
      </c>
      <c r="F487" s="133" t="s">
        <v>165</v>
      </c>
      <c r="G487" s="140">
        <v>1.6123099E7</v>
      </c>
      <c r="H487" s="141">
        <v>7.003495409207E12</v>
      </c>
      <c r="I487" s="133" t="s">
        <v>140</v>
      </c>
      <c r="J487" s="133" t="s">
        <v>102</v>
      </c>
      <c r="K487" s="133" t="s">
        <v>95</v>
      </c>
      <c r="L487" s="141">
        <v>0.0</v>
      </c>
      <c r="M487" s="141">
        <v>0.0</v>
      </c>
      <c r="N487" s="141">
        <v>0.0</v>
      </c>
      <c r="O487" s="141">
        <v>0.0</v>
      </c>
      <c r="P487" s="141">
        <v>0.0</v>
      </c>
      <c r="Q487" s="141">
        <v>0.0</v>
      </c>
      <c r="R487" s="141">
        <v>3.0</v>
      </c>
      <c r="S487" s="156"/>
      <c r="T487" s="142"/>
      <c r="U487" s="142"/>
      <c r="V487" s="142"/>
      <c r="W487" s="142"/>
      <c r="X487" s="142"/>
      <c r="Y487" s="156"/>
      <c r="Z487" s="156"/>
      <c r="AA487" s="156"/>
      <c r="AB487" s="157"/>
      <c r="AC487" s="157"/>
      <c r="AD487" s="157"/>
      <c r="AE487" s="157"/>
    </row>
    <row r="488" ht="17.25" customHeight="1">
      <c r="A488" s="133" t="s">
        <v>23</v>
      </c>
      <c r="B488" s="133" t="s">
        <v>124</v>
      </c>
      <c r="C488" s="133" t="s">
        <v>153</v>
      </c>
      <c r="D488" s="133"/>
      <c r="E488" s="133" t="s">
        <v>220</v>
      </c>
      <c r="F488" s="133" t="s">
        <v>221</v>
      </c>
      <c r="G488" s="140">
        <v>1.1817888E7</v>
      </c>
      <c r="H488" s="141">
        <v>7.302520320006E12</v>
      </c>
      <c r="I488" s="133" t="s">
        <v>101</v>
      </c>
      <c r="J488" s="133" t="s">
        <v>145</v>
      </c>
      <c r="K488" s="133" t="s">
        <v>104</v>
      </c>
      <c r="L488" s="141">
        <v>0.0</v>
      </c>
      <c r="M488" s="141">
        <v>0.0</v>
      </c>
      <c r="N488" s="141">
        <v>0.0</v>
      </c>
      <c r="O488" s="141">
        <v>0.0</v>
      </c>
      <c r="P488" s="141">
        <v>0.0</v>
      </c>
      <c r="Q488" s="141">
        <v>0.0</v>
      </c>
      <c r="R488" s="141">
        <v>1.0</v>
      </c>
      <c r="S488" s="156"/>
      <c r="T488" s="142"/>
      <c r="U488" s="142"/>
      <c r="V488" s="142"/>
      <c r="W488" s="142"/>
      <c r="X488" s="142"/>
      <c r="Y488" s="156"/>
      <c r="Z488" s="156"/>
      <c r="AA488" s="156"/>
      <c r="AB488" s="157"/>
      <c r="AC488" s="157"/>
      <c r="AD488" s="157"/>
      <c r="AE488" s="157"/>
    </row>
    <row r="489" ht="17.25" customHeight="1">
      <c r="A489" s="133" t="s">
        <v>23</v>
      </c>
      <c r="B489" s="133" t="s">
        <v>158</v>
      </c>
      <c r="C489" s="133"/>
      <c r="D489" s="133"/>
      <c r="E489" s="133" t="s">
        <v>164</v>
      </c>
      <c r="F489" s="133" t="s">
        <v>165</v>
      </c>
      <c r="G489" s="140">
        <v>1.6123099E7</v>
      </c>
      <c r="H489" s="141">
        <v>7.003495409207E12</v>
      </c>
      <c r="I489" s="133" t="s">
        <v>140</v>
      </c>
      <c r="J489" s="133" t="s">
        <v>102</v>
      </c>
      <c r="K489" s="133" t="s">
        <v>95</v>
      </c>
      <c r="L489" s="141">
        <v>0.0</v>
      </c>
      <c r="M489" s="141">
        <v>0.0</v>
      </c>
      <c r="N489" s="141">
        <v>0.0</v>
      </c>
      <c r="O489" s="141">
        <v>0.0</v>
      </c>
      <c r="P489" s="141">
        <v>0.0</v>
      </c>
      <c r="Q489" s="141">
        <v>0.0</v>
      </c>
      <c r="R489" s="141">
        <v>3.0</v>
      </c>
      <c r="S489" s="156"/>
      <c r="T489" s="142"/>
      <c r="U489" s="142"/>
      <c r="V489" s="142"/>
      <c r="W489" s="142"/>
      <c r="X489" s="142"/>
      <c r="Y489" s="156"/>
      <c r="Z489" s="156"/>
      <c r="AA489" s="156"/>
      <c r="AB489" s="157"/>
      <c r="AC489" s="157"/>
      <c r="AD489" s="157"/>
      <c r="AE489" s="157"/>
    </row>
    <row r="490" ht="17.25" customHeight="1">
      <c r="A490" s="156" t="s">
        <v>23</v>
      </c>
      <c r="B490" s="158" t="s">
        <v>136</v>
      </c>
      <c r="C490" s="156" t="s">
        <v>90</v>
      </c>
      <c r="D490" s="156"/>
      <c r="E490" s="156" t="s">
        <v>137</v>
      </c>
      <c r="F490" s="156" t="s">
        <v>60</v>
      </c>
      <c r="G490" s="140">
        <v>1.7615252E7</v>
      </c>
      <c r="H490" s="156" t="s">
        <v>228</v>
      </c>
      <c r="I490" s="156" t="s">
        <v>127</v>
      </c>
      <c r="J490" s="156" t="s">
        <v>102</v>
      </c>
      <c r="K490" s="156" t="s">
        <v>143</v>
      </c>
      <c r="L490" s="156">
        <v>0.0</v>
      </c>
      <c r="M490" s="156">
        <v>0.0</v>
      </c>
      <c r="N490" s="156">
        <v>0.0</v>
      </c>
      <c r="O490" s="156">
        <v>0.0</v>
      </c>
      <c r="P490" s="156">
        <v>0.0</v>
      </c>
      <c r="Q490" s="156">
        <v>0.0</v>
      </c>
      <c r="R490" s="156">
        <v>1.0</v>
      </c>
      <c r="S490" s="156"/>
      <c r="T490" s="142"/>
      <c r="U490" s="142"/>
      <c r="V490" s="142"/>
      <c r="W490" s="142"/>
      <c r="X490" s="142"/>
      <c r="Y490" s="156"/>
      <c r="Z490" s="156"/>
      <c r="AA490" s="156"/>
      <c r="AB490" s="156"/>
      <c r="AC490" s="156"/>
      <c r="AD490" s="156"/>
      <c r="AE490" s="156"/>
    </row>
    <row r="491" ht="17.25" customHeight="1">
      <c r="A491" s="156" t="s">
        <v>23</v>
      </c>
      <c r="B491" s="158" t="s">
        <v>136</v>
      </c>
      <c r="C491" s="156" t="s">
        <v>90</v>
      </c>
      <c r="D491" s="156"/>
      <c r="E491" s="156" t="s">
        <v>161</v>
      </c>
      <c r="F491" s="156" t="s">
        <v>173</v>
      </c>
      <c r="G491" s="140">
        <v>1.9459471E7</v>
      </c>
      <c r="H491" s="156" t="s">
        <v>229</v>
      </c>
      <c r="I491" s="156" t="s">
        <v>174</v>
      </c>
      <c r="J491" s="156" t="s">
        <v>102</v>
      </c>
      <c r="K491" s="156" t="s">
        <v>143</v>
      </c>
      <c r="L491" s="156">
        <v>0.0</v>
      </c>
      <c r="M491" s="156">
        <v>0.0</v>
      </c>
      <c r="N491" s="156">
        <v>0.0</v>
      </c>
      <c r="O491" s="156">
        <v>0.0</v>
      </c>
      <c r="P491" s="156">
        <v>0.0</v>
      </c>
      <c r="Q491" s="156">
        <v>0.0</v>
      </c>
      <c r="R491" s="156">
        <v>1.0</v>
      </c>
      <c r="S491" s="156"/>
      <c r="T491" s="142"/>
      <c r="U491" s="142"/>
      <c r="V491" s="142"/>
      <c r="W491" s="142"/>
      <c r="X491" s="142"/>
      <c r="Y491" s="156"/>
      <c r="Z491" s="156"/>
      <c r="AA491" s="156"/>
      <c r="AB491" s="156"/>
      <c r="AC491" s="156"/>
      <c r="AD491" s="156"/>
      <c r="AE491" s="156"/>
    </row>
    <row r="492" ht="15.75" customHeight="1">
      <c r="G492" s="159"/>
      <c r="T492" s="135"/>
      <c r="U492" s="135"/>
      <c r="V492" s="135"/>
      <c r="W492" s="135"/>
      <c r="X492" s="135"/>
    </row>
    <row r="493" ht="15.75" customHeight="1">
      <c r="G493" s="159"/>
      <c r="T493" s="135"/>
      <c r="U493" s="135"/>
      <c r="V493" s="135"/>
      <c r="W493" s="135"/>
      <c r="X493" s="135"/>
    </row>
    <row r="494" ht="15.75" customHeight="1">
      <c r="G494" s="159"/>
      <c r="T494" s="135"/>
      <c r="U494" s="135"/>
      <c r="V494" s="135"/>
      <c r="W494" s="135"/>
      <c r="X494" s="135"/>
    </row>
    <row r="495" ht="15.75" customHeight="1">
      <c r="G495" s="159"/>
      <c r="T495" s="135"/>
      <c r="U495" s="135"/>
      <c r="V495" s="135"/>
      <c r="W495" s="135"/>
      <c r="X495" s="135"/>
    </row>
    <row r="496" ht="15.75" customHeight="1">
      <c r="G496" s="159"/>
      <c r="T496" s="135"/>
      <c r="U496" s="135"/>
      <c r="V496" s="135"/>
      <c r="W496" s="135"/>
      <c r="X496" s="135"/>
    </row>
    <row r="497" ht="15.75" customHeight="1">
      <c r="G497" s="159"/>
      <c r="T497" s="135"/>
      <c r="U497" s="135"/>
      <c r="V497" s="135"/>
      <c r="W497" s="135"/>
      <c r="X497" s="135"/>
    </row>
    <row r="498" ht="15.75" customHeight="1">
      <c r="G498" s="159"/>
      <c r="T498" s="135"/>
      <c r="U498" s="135"/>
      <c r="V498" s="135"/>
      <c r="W498" s="135"/>
      <c r="X498" s="135"/>
    </row>
    <row r="499" ht="15.75" customHeight="1">
      <c r="G499" s="159"/>
      <c r="T499" s="135"/>
      <c r="U499" s="135"/>
      <c r="V499" s="135"/>
      <c r="W499" s="135"/>
      <c r="X499" s="135"/>
    </row>
    <row r="500" ht="15.75" customHeight="1">
      <c r="G500" s="159"/>
      <c r="T500" s="135"/>
      <c r="U500" s="135"/>
      <c r="V500" s="135"/>
      <c r="W500" s="135"/>
      <c r="X500" s="135"/>
    </row>
    <row r="501" ht="15.75" customHeight="1">
      <c r="G501" s="159"/>
      <c r="T501" s="135"/>
      <c r="U501" s="135"/>
      <c r="V501" s="135"/>
      <c r="W501" s="135"/>
      <c r="X501" s="135"/>
    </row>
    <row r="502" ht="15.75" customHeight="1">
      <c r="G502" s="159"/>
      <c r="T502" s="135"/>
      <c r="U502" s="135"/>
      <c r="V502" s="135"/>
      <c r="W502" s="135"/>
      <c r="X502" s="135"/>
    </row>
    <row r="503" ht="15.75" customHeight="1">
      <c r="G503" s="159"/>
      <c r="T503" s="135"/>
      <c r="U503" s="135"/>
      <c r="V503" s="135"/>
      <c r="W503" s="135"/>
      <c r="X503" s="135"/>
    </row>
    <row r="504" ht="15.75" customHeight="1">
      <c r="G504" s="159"/>
      <c r="T504" s="135"/>
      <c r="U504" s="135"/>
      <c r="V504" s="135"/>
      <c r="W504" s="135"/>
      <c r="X504" s="135"/>
    </row>
    <row r="505" ht="15.75" customHeight="1">
      <c r="G505" s="159"/>
      <c r="T505" s="135"/>
      <c r="U505" s="135"/>
      <c r="V505" s="135"/>
      <c r="W505" s="135"/>
      <c r="X505" s="135"/>
    </row>
    <row r="506" ht="15.75" customHeight="1">
      <c r="G506" s="159"/>
      <c r="T506" s="135"/>
      <c r="U506" s="135"/>
      <c r="V506" s="135"/>
      <c r="W506" s="135"/>
      <c r="X506" s="135"/>
    </row>
    <row r="507" ht="15.75" customHeight="1">
      <c r="G507" s="159"/>
      <c r="T507" s="135"/>
      <c r="U507" s="135"/>
      <c r="V507" s="135"/>
      <c r="W507" s="135"/>
      <c r="X507" s="135"/>
    </row>
    <row r="508" ht="15.75" customHeight="1">
      <c r="G508" s="159"/>
      <c r="T508" s="135"/>
      <c r="U508" s="135"/>
      <c r="V508" s="135"/>
      <c r="W508" s="135"/>
      <c r="X508" s="135"/>
    </row>
    <row r="509" ht="15.75" customHeight="1">
      <c r="G509" s="159"/>
      <c r="T509" s="135"/>
      <c r="U509" s="135"/>
      <c r="V509" s="135"/>
      <c r="W509" s="135"/>
      <c r="X509" s="135"/>
    </row>
    <row r="510" ht="15.75" customHeight="1">
      <c r="G510" s="159"/>
      <c r="T510" s="135"/>
      <c r="U510" s="135"/>
      <c r="V510" s="135"/>
      <c r="W510" s="135"/>
      <c r="X510" s="135"/>
    </row>
    <row r="511" ht="15.75" customHeight="1">
      <c r="G511" s="159"/>
      <c r="T511" s="135"/>
      <c r="U511" s="135"/>
      <c r="V511" s="135"/>
      <c r="W511" s="135"/>
      <c r="X511" s="135"/>
    </row>
    <row r="512" ht="15.75" customHeight="1">
      <c r="G512" s="159"/>
      <c r="T512" s="135"/>
      <c r="U512" s="135"/>
      <c r="V512" s="135"/>
      <c r="W512" s="135"/>
      <c r="X512" s="135"/>
    </row>
    <row r="513" ht="15.75" customHeight="1">
      <c r="G513" s="159"/>
      <c r="T513" s="135"/>
      <c r="U513" s="135"/>
      <c r="V513" s="135"/>
      <c r="W513" s="135"/>
      <c r="X513" s="135"/>
    </row>
    <row r="514" ht="15.75" customHeight="1">
      <c r="G514" s="159"/>
      <c r="T514" s="135"/>
      <c r="U514" s="135"/>
      <c r="V514" s="135"/>
      <c r="W514" s="135"/>
      <c r="X514" s="135"/>
    </row>
    <row r="515" ht="15.75" customHeight="1">
      <c r="G515" s="159"/>
      <c r="T515" s="135"/>
      <c r="U515" s="135"/>
      <c r="V515" s="135"/>
      <c r="W515" s="135"/>
      <c r="X515" s="135"/>
    </row>
    <row r="516" ht="15.75" customHeight="1">
      <c r="G516" s="159"/>
      <c r="T516" s="135"/>
      <c r="U516" s="135"/>
      <c r="V516" s="135"/>
      <c r="W516" s="135"/>
      <c r="X516" s="135"/>
    </row>
    <row r="517" ht="15.75" customHeight="1">
      <c r="G517" s="159"/>
      <c r="T517" s="135"/>
      <c r="U517" s="135"/>
      <c r="V517" s="135"/>
      <c r="W517" s="135"/>
      <c r="X517" s="135"/>
    </row>
    <row r="518" ht="15.75" customHeight="1">
      <c r="G518" s="159"/>
      <c r="T518" s="135"/>
      <c r="U518" s="135"/>
      <c r="V518" s="135"/>
      <c r="W518" s="135"/>
      <c r="X518" s="135"/>
    </row>
    <row r="519" ht="15.75" customHeight="1">
      <c r="G519" s="159"/>
      <c r="T519" s="135"/>
      <c r="U519" s="135"/>
      <c r="V519" s="135"/>
      <c r="W519" s="135"/>
      <c r="X519" s="135"/>
    </row>
    <row r="520" ht="15.75" customHeight="1">
      <c r="G520" s="159"/>
      <c r="T520" s="135"/>
      <c r="U520" s="135"/>
      <c r="V520" s="135"/>
      <c r="W520" s="135"/>
      <c r="X520" s="135"/>
    </row>
    <row r="521" ht="15.75" customHeight="1">
      <c r="G521" s="159"/>
      <c r="T521" s="135"/>
      <c r="U521" s="135"/>
      <c r="V521" s="135"/>
      <c r="W521" s="135"/>
      <c r="X521" s="135"/>
    </row>
    <row r="522" ht="15.75" customHeight="1">
      <c r="G522" s="159"/>
      <c r="T522" s="135"/>
      <c r="U522" s="135"/>
      <c r="V522" s="135"/>
      <c r="W522" s="135"/>
      <c r="X522" s="135"/>
    </row>
    <row r="523" ht="15.75" customHeight="1">
      <c r="G523" s="159"/>
      <c r="T523" s="135"/>
      <c r="U523" s="135"/>
      <c r="V523" s="135"/>
      <c r="W523" s="135"/>
      <c r="X523" s="135"/>
    </row>
    <row r="524" ht="15.75" customHeight="1">
      <c r="G524" s="159"/>
      <c r="T524" s="135"/>
      <c r="U524" s="135"/>
      <c r="V524" s="135"/>
      <c r="W524" s="135"/>
      <c r="X524" s="135"/>
    </row>
    <row r="525" ht="15.75" customHeight="1">
      <c r="G525" s="159"/>
      <c r="T525" s="135"/>
      <c r="U525" s="135"/>
      <c r="V525" s="135"/>
      <c r="W525" s="135"/>
      <c r="X525" s="135"/>
    </row>
    <row r="526" ht="15.75" customHeight="1">
      <c r="G526" s="159"/>
      <c r="T526" s="135"/>
      <c r="U526" s="135"/>
      <c r="V526" s="135"/>
      <c r="W526" s="135"/>
      <c r="X526" s="135"/>
    </row>
    <row r="527" ht="15.75" customHeight="1">
      <c r="G527" s="159"/>
      <c r="T527" s="135"/>
      <c r="U527" s="135"/>
      <c r="V527" s="135"/>
      <c r="W527" s="135"/>
      <c r="X527" s="135"/>
    </row>
    <row r="528" ht="15.75" customHeight="1">
      <c r="G528" s="159"/>
      <c r="T528" s="135"/>
      <c r="U528" s="135"/>
      <c r="V528" s="135"/>
      <c r="W528" s="135"/>
      <c r="X528" s="135"/>
    </row>
    <row r="529" ht="15.75" customHeight="1">
      <c r="G529" s="159"/>
      <c r="T529" s="135"/>
      <c r="U529" s="135"/>
      <c r="V529" s="135"/>
      <c r="W529" s="135"/>
      <c r="X529" s="135"/>
    </row>
    <row r="530" ht="15.75" customHeight="1">
      <c r="G530" s="159"/>
      <c r="T530" s="135"/>
      <c r="U530" s="135"/>
      <c r="V530" s="135"/>
      <c r="W530" s="135"/>
      <c r="X530" s="135"/>
    </row>
    <row r="531" ht="15.75" customHeight="1">
      <c r="G531" s="159"/>
      <c r="T531" s="135"/>
      <c r="U531" s="135"/>
      <c r="V531" s="135"/>
      <c r="W531" s="135"/>
      <c r="X531" s="135"/>
    </row>
    <row r="532" ht="15.75" customHeight="1">
      <c r="G532" s="159"/>
      <c r="T532" s="135"/>
      <c r="U532" s="135"/>
      <c r="V532" s="135"/>
      <c r="W532" s="135"/>
      <c r="X532" s="135"/>
    </row>
    <row r="533" ht="15.75" customHeight="1">
      <c r="G533" s="159"/>
      <c r="T533" s="135"/>
      <c r="U533" s="135"/>
      <c r="V533" s="135"/>
      <c r="W533" s="135"/>
      <c r="X533" s="135"/>
    </row>
    <row r="534" ht="15.75" customHeight="1">
      <c r="G534" s="159"/>
      <c r="T534" s="135"/>
      <c r="U534" s="135"/>
      <c r="V534" s="135"/>
      <c r="W534" s="135"/>
      <c r="X534" s="135"/>
    </row>
    <row r="535" ht="15.75" customHeight="1">
      <c r="G535" s="159"/>
      <c r="T535" s="135"/>
      <c r="U535" s="135"/>
      <c r="V535" s="135"/>
      <c r="W535" s="135"/>
      <c r="X535" s="135"/>
    </row>
    <row r="536" ht="15.75" customHeight="1">
      <c r="G536" s="159"/>
      <c r="T536" s="135"/>
      <c r="U536" s="135"/>
      <c r="V536" s="135"/>
      <c r="W536" s="135"/>
      <c r="X536" s="135"/>
    </row>
    <row r="537" ht="15.75" customHeight="1">
      <c r="G537" s="159"/>
      <c r="T537" s="135"/>
      <c r="U537" s="135"/>
      <c r="V537" s="135"/>
      <c r="W537" s="135"/>
      <c r="X537" s="135"/>
    </row>
    <row r="538" ht="15.75" customHeight="1">
      <c r="G538" s="159"/>
      <c r="T538" s="135"/>
      <c r="U538" s="135"/>
      <c r="V538" s="135"/>
      <c r="W538" s="135"/>
      <c r="X538" s="135"/>
    </row>
    <row r="539" ht="15.75" customHeight="1">
      <c r="G539" s="159"/>
      <c r="T539" s="135"/>
      <c r="U539" s="135"/>
      <c r="V539" s="135"/>
      <c r="W539" s="135"/>
      <c r="X539" s="135"/>
    </row>
    <row r="540" ht="15.75" customHeight="1">
      <c r="G540" s="159"/>
      <c r="T540" s="135"/>
      <c r="U540" s="135"/>
      <c r="V540" s="135"/>
      <c r="W540" s="135"/>
      <c r="X540" s="135"/>
    </row>
    <row r="541" ht="15.75" customHeight="1">
      <c r="G541" s="159"/>
      <c r="T541" s="135"/>
      <c r="U541" s="135"/>
      <c r="V541" s="135"/>
      <c r="W541" s="135"/>
      <c r="X541" s="135"/>
    </row>
    <row r="542" ht="15.75" customHeight="1">
      <c r="G542" s="159"/>
      <c r="T542" s="135"/>
      <c r="U542" s="135"/>
      <c r="V542" s="135"/>
      <c r="W542" s="135"/>
      <c r="X542" s="135"/>
    </row>
    <row r="543" ht="15.75" customHeight="1">
      <c r="G543" s="159"/>
      <c r="T543" s="135"/>
      <c r="U543" s="135"/>
      <c r="V543" s="135"/>
      <c r="W543" s="135"/>
      <c r="X543" s="135"/>
    </row>
    <row r="544" ht="15.75" customHeight="1">
      <c r="G544" s="159"/>
      <c r="T544" s="135"/>
      <c r="U544" s="135"/>
      <c r="V544" s="135"/>
      <c r="W544" s="135"/>
      <c r="X544" s="135"/>
    </row>
    <row r="545" ht="15.75" customHeight="1">
      <c r="G545" s="159"/>
      <c r="T545" s="135"/>
      <c r="U545" s="135"/>
      <c r="V545" s="135"/>
      <c r="W545" s="135"/>
      <c r="X545" s="135"/>
    </row>
    <row r="546" ht="15.75" customHeight="1">
      <c r="G546" s="159"/>
      <c r="T546" s="135"/>
      <c r="U546" s="135"/>
      <c r="V546" s="135"/>
      <c r="W546" s="135"/>
      <c r="X546" s="135"/>
    </row>
    <row r="547" ht="15.75" customHeight="1">
      <c r="G547" s="159"/>
      <c r="T547" s="135"/>
      <c r="U547" s="135"/>
      <c r="V547" s="135"/>
      <c r="W547" s="135"/>
      <c r="X547" s="135"/>
    </row>
    <row r="548" ht="15.75" customHeight="1">
      <c r="G548" s="159"/>
      <c r="T548" s="135"/>
      <c r="U548" s="135"/>
      <c r="V548" s="135"/>
      <c r="W548" s="135"/>
      <c r="X548" s="135"/>
    </row>
    <row r="549" ht="15.75" customHeight="1">
      <c r="G549" s="159"/>
      <c r="T549" s="135"/>
      <c r="U549" s="135"/>
      <c r="V549" s="135"/>
      <c r="W549" s="135"/>
      <c r="X549" s="135"/>
    </row>
    <row r="550" ht="15.75" customHeight="1">
      <c r="G550" s="159"/>
      <c r="T550" s="135"/>
      <c r="U550" s="135"/>
      <c r="V550" s="135"/>
      <c r="W550" s="135"/>
      <c r="X550" s="135"/>
    </row>
    <row r="551" ht="15.75" customHeight="1">
      <c r="G551" s="159"/>
      <c r="T551" s="135"/>
      <c r="U551" s="135"/>
      <c r="V551" s="135"/>
      <c r="W551" s="135"/>
      <c r="X551" s="135"/>
    </row>
    <row r="552" ht="15.75" customHeight="1">
      <c r="G552" s="159"/>
      <c r="T552" s="135"/>
      <c r="U552" s="135"/>
      <c r="V552" s="135"/>
      <c r="W552" s="135"/>
      <c r="X552" s="135"/>
    </row>
    <row r="553" ht="15.75" customHeight="1">
      <c r="G553" s="159"/>
      <c r="T553" s="135"/>
      <c r="U553" s="135"/>
      <c r="V553" s="135"/>
      <c r="W553" s="135"/>
      <c r="X553" s="135"/>
    </row>
    <row r="554" ht="15.75" customHeight="1">
      <c r="G554" s="159"/>
      <c r="T554" s="135"/>
      <c r="U554" s="135"/>
      <c r="V554" s="135"/>
      <c r="W554" s="135"/>
      <c r="X554" s="135"/>
    </row>
    <row r="555" ht="15.75" customHeight="1">
      <c r="G555" s="159"/>
      <c r="T555" s="135"/>
      <c r="U555" s="135"/>
      <c r="V555" s="135"/>
      <c r="W555" s="135"/>
      <c r="X555" s="135"/>
    </row>
    <row r="556" ht="15.75" customHeight="1">
      <c r="G556" s="159"/>
      <c r="T556" s="135"/>
      <c r="U556" s="135"/>
      <c r="V556" s="135"/>
      <c r="W556" s="135"/>
      <c r="X556" s="135"/>
    </row>
    <row r="557" ht="15.75" customHeight="1">
      <c r="G557" s="159"/>
      <c r="T557" s="135"/>
      <c r="U557" s="135"/>
      <c r="V557" s="135"/>
      <c r="W557" s="135"/>
      <c r="X557" s="135"/>
    </row>
    <row r="558" ht="15.75" customHeight="1">
      <c r="G558" s="159"/>
      <c r="T558" s="135"/>
      <c r="U558" s="135"/>
      <c r="V558" s="135"/>
      <c r="W558" s="135"/>
      <c r="X558" s="135"/>
    </row>
    <row r="559" ht="15.75" customHeight="1">
      <c r="G559" s="159"/>
      <c r="T559" s="135"/>
      <c r="U559" s="135"/>
      <c r="V559" s="135"/>
      <c r="W559" s="135"/>
      <c r="X559" s="135"/>
    </row>
    <row r="560" ht="15.75" customHeight="1">
      <c r="G560" s="159"/>
      <c r="T560" s="135"/>
      <c r="U560" s="135"/>
      <c r="V560" s="135"/>
      <c r="W560" s="135"/>
      <c r="X560" s="135"/>
    </row>
    <row r="561" ht="15.75" customHeight="1">
      <c r="G561" s="159"/>
      <c r="T561" s="135"/>
      <c r="U561" s="135"/>
      <c r="V561" s="135"/>
      <c r="W561" s="135"/>
      <c r="X561" s="135"/>
    </row>
    <row r="562" ht="15.75" customHeight="1">
      <c r="G562" s="159"/>
      <c r="T562" s="135"/>
      <c r="U562" s="135"/>
      <c r="V562" s="135"/>
      <c r="W562" s="135"/>
      <c r="X562" s="135"/>
    </row>
    <row r="563" ht="15.75" customHeight="1">
      <c r="G563" s="159"/>
      <c r="T563" s="135"/>
      <c r="U563" s="135"/>
      <c r="V563" s="135"/>
      <c r="W563" s="135"/>
      <c r="X563" s="135"/>
    </row>
    <row r="564" ht="15.75" customHeight="1">
      <c r="G564" s="159"/>
      <c r="T564" s="135"/>
      <c r="U564" s="135"/>
      <c r="V564" s="135"/>
      <c r="W564" s="135"/>
      <c r="X564" s="135"/>
    </row>
    <row r="565" ht="15.75" customHeight="1">
      <c r="G565" s="159"/>
      <c r="T565" s="135"/>
      <c r="U565" s="135"/>
      <c r="V565" s="135"/>
      <c r="W565" s="135"/>
      <c r="X565" s="135"/>
    </row>
    <row r="566" ht="15.75" customHeight="1">
      <c r="G566" s="159"/>
      <c r="T566" s="135"/>
      <c r="U566" s="135"/>
      <c r="V566" s="135"/>
      <c r="W566" s="135"/>
      <c r="X566" s="135"/>
    </row>
    <row r="567" ht="15.75" customHeight="1">
      <c r="G567" s="159"/>
      <c r="T567" s="135"/>
      <c r="U567" s="135"/>
      <c r="V567" s="135"/>
      <c r="W567" s="135"/>
      <c r="X567" s="135"/>
    </row>
    <row r="568" ht="15.75" customHeight="1">
      <c r="G568" s="159"/>
      <c r="T568" s="135"/>
      <c r="U568" s="135"/>
      <c r="V568" s="135"/>
      <c r="W568" s="135"/>
      <c r="X568" s="135"/>
    </row>
    <row r="569" ht="15.75" customHeight="1">
      <c r="G569" s="159"/>
      <c r="T569" s="135"/>
      <c r="U569" s="135"/>
      <c r="V569" s="135"/>
      <c r="W569" s="135"/>
      <c r="X569" s="135"/>
    </row>
    <row r="570" ht="15.75" customHeight="1">
      <c r="G570" s="159"/>
      <c r="T570" s="135"/>
      <c r="U570" s="135"/>
      <c r="V570" s="135"/>
      <c r="W570" s="135"/>
      <c r="X570" s="135"/>
    </row>
    <row r="571" ht="15.75" customHeight="1">
      <c r="G571" s="159"/>
      <c r="T571" s="135"/>
      <c r="U571" s="135"/>
      <c r="V571" s="135"/>
      <c r="W571" s="135"/>
      <c r="X571" s="135"/>
    </row>
    <row r="572" ht="15.75" customHeight="1">
      <c r="G572" s="159"/>
      <c r="T572" s="135"/>
      <c r="U572" s="135"/>
      <c r="V572" s="135"/>
      <c r="W572" s="135"/>
      <c r="X572" s="135"/>
    </row>
    <row r="573" ht="15.75" customHeight="1">
      <c r="G573" s="159"/>
      <c r="T573" s="135"/>
      <c r="U573" s="135"/>
      <c r="V573" s="135"/>
      <c r="W573" s="135"/>
      <c r="X573" s="135"/>
    </row>
    <row r="574" ht="15.75" customHeight="1">
      <c r="G574" s="159"/>
      <c r="T574" s="135"/>
      <c r="U574" s="135"/>
      <c r="V574" s="135"/>
      <c r="W574" s="135"/>
      <c r="X574" s="135"/>
    </row>
    <row r="575" ht="15.75" customHeight="1">
      <c r="G575" s="159"/>
      <c r="T575" s="135"/>
      <c r="U575" s="135"/>
      <c r="V575" s="135"/>
      <c r="W575" s="135"/>
      <c r="X575" s="135"/>
    </row>
    <row r="576" ht="15.75" customHeight="1">
      <c r="G576" s="159"/>
      <c r="T576" s="135"/>
      <c r="U576" s="135"/>
      <c r="V576" s="135"/>
      <c r="W576" s="135"/>
      <c r="X576" s="135"/>
    </row>
    <row r="577" ht="15.75" customHeight="1">
      <c r="G577" s="159"/>
      <c r="T577" s="135"/>
      <c r="U577" s="135"/>
      <c r="V577" s="135"/>
      <c r="W577" s="135"/>
      <c r="X577" s="135"/>
    </row>
    <row r="578" ht="15.75" customHeight="1">
      <c r="G578" s="159"/>
      <c r="T578" s="135"/>
      <c r="U578" s="135"/>
      <c r="V578" s="135"/>
      <c r="W578" s="135"/>
      <c r="X578" s="135"/>
    </row>
    <row r="579" ht="15.75" customHeight="1">
      <c r="G579" s="159"/>
      <c r="T579" s="135"/>
      <c r="U579" s="135"/>
      <c r="V579" s="135"/>
      <c r="W579" s="135"/>
      <c r="X579" s="135"/>
    </row>
    <row r="580" ht="15.75" customHeight="1">
      <c r="G580" s="159"/>
      <c r="T580" s="135"/>
      <c r="U580" s="135"/>
      <c r="V580" s="135"/>
      <c r="W580" s="135"/>
      <c r="X580" s="135"/>
    </row>
    <row r="581" ht="15.75" customHeight="1">
      <c r="G581" s="159"/>
      <c r="T581" s="135"/>
      <c r="U581" s="135"/>
      <c r="V581" s="135"/>
      <c r="W581" s="135"/>
      <c r="X581" s="135"/>
    </row>
    <row r="582" ht="15.75" customHeight="1">
      <c r="G582" s="159"/>
      <c r="T582" s="135"/>
      <c r="U582" s="135"/>
      <c r="V582" s="135"/>
      <c r="W582" s="135"/>
      <c r="X582" s="135"/>
    </row>
    <row r="583" ht="15.75" customHeight="1">
      <c r="G583" s="159"/>
      <c r="T583" s="135"/>
      <c r="U583" s="135"/>
      <c r="V583" s="135"/>
      <c r="W583" s="135"/>
      <c r="X583" s="135"/>
    </row>
    <row r="584" ht="15.75" customHeight="1">
      <c r="G584" s="159"/>
      <c r="T584" s="135"/>
      <c r="U584" s="135"/>
      <c r="V584" s="135"/>
      <c r="W584" s="135"/>
      <c r="X584" s="135"/>
    </row>
    <row r="585" ht="15.75" customHeight="1">
      <c r="G585" s="159"/>
      <c r="T585" s="135"/>
      <c r="U585" s="135"/>
      <c r="V585" s="135"/>
      <c r="W585" s="135"/>
      <c r="X585" s="135"/>
    </row>
    <row r="586" ht="15.75" customHeight="1">
      <c r="G586" s="159"/>
      <c r="T586" s="135"/>
      <c r="U586" s="135"/>
      <c r="V586" s="135"/>
      <c r="W586" s="135"/>
      <c r="X586" s="135"/>
    </row>
    <row r="587" ht="15.75" customHeight="1">
      <c r="G587" s="159"/>
      <c r="T587" s="135"/>
      <c r="U587" s="135"/>
      <c r="V587" s="135"/>
      <c r="W587" s="135"/>
      <c r="X587" s="135"/>
    </row>
    <row r="588" ht="15.75" customHeight="1">
      <c r="G588" s="159"/>
      <c r="T588" s="135"/>
      <c r="U588" s="135"/>
      <c r="V588" s="135"/>
      <c r="W588" s="135"/>
      <c r="X588" s="135"/>
    </row>
    <row r="589" ht="15.75" customHeight="1">
      <c r="G589" s="159"/>
      <c r="T589" s="135"/>
      <c r="U589" s="135"/>
      <c r="V589" s="135"/>
      <c r="W589" s="135"/>
      <c r="X589" s="135"/>
    </row>
    <row r="590" ht="15.75" customHeight="1">
      <c r="G590" s="159"/>
      <c r="T590" s="135"/>
      <c r="U590" s="135"/>
      <c r="V590" s="135"/>
      <c r="W590" s="135"/>
      <c r="X590" s="135"/>
    </row>
    <row r="591" ht="15.75" customHeight="1">
      <c r="G591" s="159"/>
      <c r="T591" s="135"/>
      <c r="U591" s="135"/>
      <c r="V591" s="135"/>
      <c r="W591" s="135"/>
      <c r="X591" s="135"/>
    </row>
    <row r="592" ht="15.75" customHeight="1">
      <c r="G592" s="159"/>
      <c r="T592" s="135"/>
      <c r="U592" s="135"/>
      <c r="V592" s="135"/>
      <c r="W592" s="135"/>
      <c r="X592" s="135"/>
    </row>
    <row r="593" ht="15.75" customHeight="1">
      <c r="G593" s="159"/>
      <c r="T593" s="135"/>
      <c r="U593" s="135"/>
      <c r="V593" s="135"/>
      <c r="W593" s="135"/>
      <c r="X593" s="135"/>
    </row>
    <row r="594" ht="15.75" customHeight="1">
      <c r="G594" s="159"/>
      <c r="T594" s="135"/>
      <c r="U594" s="135"/>
      <c r="V594" s="135"/>
      <c r="W594" s="135"/>
      <c r="X594" s="135"/>
    </row>
    <row r="595" ht="15.75" customHeight="1">
      <c r="G595" s="159"/>
      <c r="T595" s="135"/>
      <c r="U595" s="135"/>
      <c r="V595" s="135"/>
      <c r="W595" s="135"/>
      <c r="X595" s="135"/>
    </row>
    <row r="596" ht="15.75" customHeight="1">
      <c r="G596" s="159"/>
      <c r="T596" s="135"/>
      <c r="U596" s="135"/>
      <c r="V596" s="135"/>
      <c r="W596" s="135"/>
      <c r="X596" s="135"/>
    </row>
    <row r="597" ht="15.75" customHeight="1">
      <c r="G597" s="159"/>
      <c r="T597" s="135"/>
      <c r="U597" s="135"/>
      <c r="V597" s="135"/>
      <c r="W597" s="135"/>
      <c r="X597" s="135"/>
    </row>
    <row r="598" ht="15.75" customHeight="1">
      <c r="G598" s="159"/>
      <c r="T598" s="135"/>
      <c r="U598" s="135"/>
      <c r="V598" s="135"/>
      <c r="W598" s="135"/>
      <c r="X598" s="135"/>
    </row>
    <row r="599" ht="15.75" customHeight="1">
      <c r="G599" s="159"/>
      <c r="T599" s="135"/>
      <c r="U599" s="135"/>
      <c r="V599" s="135"/>
      <c r="W599" s="135"/>
      <c r="X599" s="135"/>
    </row>
    <row r="600" ht="15.75" customHeight="1">
      <c r="G600" s="159"/>
      <c r="T600" s="135"/>
      <c r="U600" s="135"/>
      <c r="V600" s="135"/>
      <c r="W600" s="135"/>
      <c r="X600" s="135"/>
    </row>
    <row r="601" ht="15.75" customHeight="1">
      <c r="G601" s="159"/>
      <c r="T601" s="135"/>
      <c r="U601" s="135"/>
      <c r="V601" s="135"/>
      <c r="W601" s="135"/>
      <c r="X601" s="135"/>
    </row>
    <row r="602" ht="15.75" customHeight="1">
      <c r="G602" s="159"/>
      <c r="T602" s="135"/>
      <c r="U602" s="135"/>
      <c r="V602" s="135"/>
      <c r="W602" s="135"/>
      <c r="X602" s="135"/>
    </row>
    <row r="603" ht="15.75" customHeight="1">
      <c r="G603" s="159"/>
      <c r="T603" s="135"/>
      <c r="U603" s="135"/>
      <c r="V603" s="135"/>
      <c r="W603" s="135"/>
      <c r="X603" s="135"/>
    </row>
    <row r="604" ht="15.75" customHeight="1">
      <c r="G604" s="159"/>
      <c r="T604" s="135"/>
      <c r="U604" s="135"/>
      <c r="V604" s="135"/>
      <c r="W604" s="135"/>
      <c r="X604" s="135"/>
    </row>
    <row r="605" ht="15.75" customHeight="1">
      <c r="G605" s="159"/>
      <c r="T605" s="135"/>
      <c r="U605" s="135"/>
      <c r="V605" s="135"/>
      <c r="W605" s="135"/>
      <c r="X605" s="135"/>
    </row>
    <row r="606" ht="15.75" customHeight="1">
      <c r="G606" s="159"/>
      <c r="T606" s="135"/>
      <c r="U606" s="135"/>
      <c r="V606" s="135"/>
      <c r="W606" s="135"/>
      <c r="X606" s="135"/>
    </row>
    <row r="607" ht="15.75" customHeight="1">
      <c r="G607" s="159"/>
      <c r="T607" s="135"/>
      <c r="U607" s="135"/>
      <c r="V607" s="135"/>
      <c r="W607" s="135"/>
      <c r="X607" s="135"/>
    </row>
    <row r="608" ht="15.75" customHeight="1">
      <c r="G608" s="159"/>
      <c r="T608" s="135"/>
      <c r="U608" s="135"/>
      <c r="V608" s="135"/>
      <c r="W608" s="135"/>
      <c r="X608" s="135"/>
    </row>
    <row r="609" ht="15.75" customHeight="1">
      <c r="G609" s="159"/>
      <c r="T609" s="135"/>
      <c r="U609" s="135"/>
      <c r="V609" s="135"/>
      <c r="W609" s="135"/>
      <c r="X609" s="135"/>
    </row>
    <row r="610" ht="15.75" customHeight="1">
      <c r="G610" s="159"/>
      <c r="T610" s="135"/>
      <c r="U610" s="135"/>
      <c r="V610" s="135"/>
      <c r="W610" s="135"/>
      <c r="X610" s="135"/>
    </row>
    <row r="611" ht="15.75" customHeight="1">
      <c r="G611" s="159"/>
      <c r="T611" s="135"/>
      <c r="U611" s="135"/>
      <c r="V611" s="135"/>
      <c r="W611" s="135"/>
      <c r="X611" s="135"/>
    </row>
    <row r="612" ht="15.75" customHeight="1">
      <c r="G612" s="159"/>
      <c r="T612" s="135"/>
      <c r="U612" s="135"/>
      <c r="V612" s="135"/>
      <c r="W612" s="135"/>
      <c r="X612" s="135"/>
    </row>
    <row r="613" ht="15.75" customHeight="1">
      <c r="G613" s="159"/>
      <c r="T613" s="135"/>
      <c r="U613" s="135"/>
      <c r="V613" s="135"/>
      <c r="W613" s="135"/>
      <c r="X613" s="135"/>
    </row>
    <row r="614" ht="15.75" customHeight="1">
      <c r="G614" s="159"/>
      <c r="T614" s="135"/>
      <c r="U614" s="135"/>
      <c r="V614" s="135"/>
      <c r="W614" s="135"/>
      <c r="X614" s="135"/>
    </row>
    <row r="615" ht="15.75" customHeight="1">
      <c r="G615" s="159"/>
      <c r="T615" s="135"/>
      <c r="U615" s="135"/>
      <c r="V615" s="135"/>
      <c r="W615" s="135"/>
      <c r="X615" s="135"/>
    </row>
    <row r="616" ht="15.75" customHeight="1">
      <c r="G616" s="159"/>
      <c r="T616" s="135"/>
      <c r="U616" s="135"/>
      <c r="V616" s="135"/>
      <c r="W616" s="135"/>
      <c r="X616" s="135"/>
    </row>
    <row r="617" ht="15.75" customHeight="1">
      <c r="G617" s="159"/>
      <c r="T617" s="135"/>
      <c r="U617" s="135"/>
      <c r="V617" s="135"/>
      <c r="W617" s="135"/>
      <c r="X617" s="135"/>
    </row>
    <row r="618" ht="15.75" customHeight="1">
      <c r="G618" s="159"/>
      <c r="T618" s="135"/>
      <c r="U618" s="135"/>
      <c r="V618" s="135"/>
      <c r="W618" s="135"/>
      <c r="X618" s="135"/>
    </row>
    <row r="619" ht="15.75" customHeight="1">
      <c r="G619" s="159"/>
      <c r="T619" s="135"/>
      <c r="U619" s="135"/>
      <c r="V619" s="135"/>
      <c r="W619" s="135"/>
      <c r="X619" s="135"/>
    </row>
    <row r="620" ht="15.75" customHeight="1">
      <c r="G620" s="159"/>
      <c r="T620" s="135"/>
      <c r="U620" s="135"/>
      <c r="V620" s="135"/>
      <c r="W620" s="135"/>
      <c r="X620" s="135"/>
    </row>
    <row r="621" ht="15.75" customHeight="1">
      <c r="G621" s="159"/>
      <c r="T621" s="135"/>
      <c r="U621" s="135"/>
      <c r="V621" s="135"/>
      <c r="W621" s="135"/>
      <c r="X621" s="135"/>
    </row>
    <row r="622" ht="15.75" customHeight="1">
      <c r="G622" s="159"/>
      <c r="T622" s="135"/>
      <c r="U622" s="135"/>
      <c r="V622" s="135"/>
      <c r="W622" s="135"/>
      <c r="X622" s="135"/>
    </row>
    <row r="623" ht="15.75" customHeight="1">
      <c r="G623" s="159"/>
      <c r="T623" s="135"/>
      <c r="U623" s="135"/>
      <c r="V623" s="135"/>
      <c r="W623" s="135"/>
      <c r="X623" s="135"/>
    </row>
    <row r="624" ht="15.75" customHeight="1">
      <c r="G624" s="159"/>
      <c r="T624" s="135"/>
      <c r="U624" s="135"/>
      <c r="V624" s="135"/>
      <c r="W624" s="135"/>
      <c r="X624" s="135"/>
    </row>
    <row r="625" ht="15.75" customHeight="1">
      <c r="G625" s="159"/>
      <c r="T625" s="135"/>
      <c r="U625" s="135"/>
      <c r="V625" s="135"/>
      <c r="W625" s="135"/>
      <c r="X625" s="135"/>
    </row>
    <row r="626" ht="15.75" customHeight="1">
      <c r="G626" s="159"/>
      <c r="T626" s="135"/>
      <c r="U626" s="135"/>
      <c r="V626" s="135"/>
      <c r="W626" s="135"/>
      <c r="X626" s="135"/>
    </row>
    <row r="627" ht="15.75" customHeight="1">
      <c r="G627" s="159"/>
      <c r="T627" s="135"/>
      <c r="U627" s="135"/>
      <c r="V627" s="135"/>
      <c r="W627" s="135"/>
      <c r="X627" s="135"/>
    </row>
    <row r="628" ht="15.75" customHeight="1">
      <c r="G628" s="159"/>
      <c r="T628" s="135"/>
      <c r="U628" s="135"/>
      <c r="V628" s="135"/>
      <c r="W628" s="135"/>
      <c r="X628" s="135"/>
    </row>
    <row r="629" ht="15.75" customHeight="1">
      <c r="G629" s="159"/>
      <c r="T629" s="135"/>
      <c r="U629" s="135"/>
      <c r="V629" s="135"/>
      <c r="W629" s="135"/>
      <c r="X629" s="135"/>
    </row>
    <row r="630" ht="15.75" customHeight="1">
      <c r="G630" s="159"/>
      <c r="T630" s="135"/>
      <c r="U630" s="135"/>
      <c r="V630" s="135"/>
      <c r="W630" s="135"/>
      <c r="X630" s="135"/>
    </row>
    <row r="631" ht="15.75" customHeight="1">
      <c r="G631" s="159"/>
      <c r="T631" s="135"/>
      <c r="U631" s="135"/>
      <c r="V631" s="135"/>
      <c r="W631" s="135"/>
      <c r="X631" s="135"/>
    </row>
    <row r="632" ht="15.75" customHeight="1">
      <c r="G632" s="159"/>
      <c r="T632" s="135"/>
      <c r="U632" s="135"/>
      <c r="V632" s="135"/>
      <c r="W632" s="135"/>
      <c r="X632" s="135"/>
    </row>
    <row r="633" ht="15.75" customHeight="1">
      <c r="G633" s="159"/>
      <c r="T633" s="135"/>
      <c r="U633" s="135"/>
      <c r="V633" s="135"/>
      <c r="W633" s="135"/>
      <c r="X633" s="135"/>
    </row>
    <row r="634" ht="15.75" customHeight="1">
      <c r="G634" s="159"/>
      <c r="T634" s="135"/>
      <c r="U634" s="135"/>
      <c r="V634" s="135"/>
      <c r="W634" s="135"/>
      <c r="X634" s="135"/>
    </row>
    <row r="635" ht="15.75" customHeight="1">
      <c r="G635" s="159"/>
      <c r="T635" s="135"/>
      <c r="U635" s="135"/>
      <c r="V635" s="135"/>
      <c r="W635" s="135"/>
      <c r="X635" s="135"/>
    </row>
    <row r="636" ht="15.75" customHeight="1">
      <c r="G636" s="159"/>
      <c r="T636" s="135"/>
      <c r="U636" s="135"/>
      <c r="V636" s="135"/>
      <c r="W636" s="135"/>
      <c r="X636" s="135"/>
    </row>
    <row r="637" ht="15.75" customHeight="1">
      <c r="G637" s="159"/>
      <c r="T637" s="135"/>
      <c r="U637" s="135"/>
      <c r="V637" s="135"/>
      <c r="W637" s="135"/>
      <c r="X637" s="135"/>
    </row>
    <row r="638" ht="15.75" customHeight="1">
      <c r="G638" s="159"/>
      <c r="T638" s="135"/>
      <c r="U638" s="135"/>
      <c r="V638" s="135"/>
      <c r="W638" s="135"/>
      <c r="X638" s="135"/>
    </row>
    <row r="639" ht="15.75" customHeight="1">
      <c r="G639" s="159"/>
      <c r="T639" s="135"/>
      <c r="U639" s="135"/>
      <c r="V639" s="135"/>
      <c r="W639" s="135"/>
      <c r="X639" s="135"/>
    </row>
    <row r="640" ht="15.75" customHeight="1">
      <c r="G640" s="159"/>
      <c r="T640" s="135"/>
      <c r="U640" s="135"/>
      <c r="V640" s="135"/>
      <c r="W640" s="135"/>
      <c r="X640" s="135"/>
    </row>
    <row r="641" ht="15.75" customHeight="1">
      <c r="G641" s="159"/>
      <c r="T641" s="135"/>
      <c r="U641" s="135"/>
      <c r="V641" s="135"/>
      <c r="W641" s="135"/>
      <c r="X641" s="135"/>
    </row>
    <row r="642" ht="15.75" customHeight="1">
      <c r="G642" s="159"/>
      <c r="T642" s="135"/>
      <c r="U642" s="135"/>
      <c r="V642" s="135"/>
      <c r="W642" s="135"/>
      <c r="X642" s="135"/>
    </row>
    <row r="643" ht="15.75" customHeight="1">
      <c r="G643" s="159"/>
      <c r="T643" s="135"/>
      <c r="U643" s="135"/>
      <c r="V643" s="135"/>
      <c r="W643" s="135"/>
      <c r="X643" s="135"/>
    </row>
    <row r="644" ht="15.75" customHeight="1">
      <c r="G644" s="159"/>
      <c r="T644" s="135"/>
      <c r="U644" s="135"/>
      <c r="V644" s="135"/>
      <c r="W644" s="135"/>
      <c r="X644" s="135"/>
    </row>
    <row r="645" ht="15.75" customHeight="1">
      <c r="G645" s="159"/>
      <c r="T645" s="135"/>
      <c r="U645" s="135"/>
      <c r="V645" s="135"/>
      <c r="W645" s="135"/>
      <c r="X645" s="135"/>
    </row>
    <row r="646" ht="15.75" customHeight="1">
      <c r="G646" s="159"/>
      <c r="T646" s="135"/>
      <c r="U646" s="135"/>
      <c r="V646" s="135"/>
      <c r="W646" s="135"/>
      <c r="X646" s="135"/>
    </row>
    <row r="647" ht="15.75" customHeight="1">
      <c r="G647" s="159"/>
      <c r="T647" s="135"/>
      <c r="U647" s="135"/>
      <c r="V647" s="135"/>
      <c r="W647" s="135"/>
      <c r="X647" s="135"/>
    </row>
    <row r="648" ht="15.75" customHeight="1">
      <c r="G648" s="159"/>
      <c r="T648" s="135"/>
      <c r="U648" s="135"/>
      <c r="V648" s="135"/>
      <c r="W648" s="135"/>
      <c r="X648" s="135"/>
    </row>
    <row r="649" ht="15.75" customHeight="1">
      <c r="G649" s="159"/>
      <c r="T649" s="135"/>
      <c r="U649" s="135"/>
      <c r="V649" s="135"/>
      <c r="W649" s="135"/>
      <c r="X649" s="135"/>
    </row>
    <row r="650" ht="15.75" customHeight="1">
      <c r="G650" s="159"/>
      <c r="T650" s="135"/>
      <c r="U650" s="135"/>
      <c r="V650" s="135"/>
      <c r="W650" s="135"/>
      <c r="X650" s="135"/>
    </row>
    <row r="651" ht="15.75" customHeight="1">
      <c r="G651" s="159"/>
      <c r="T651" s="135"/>
      <c r="U651" s="135"/>
      <c r="V651" s="135"/>
      <c r="W651" s="135"/>
      <c r="X651" s="135"/>
    </row>
    <row r="652" ht="15.75" customHeight="1">
      <c r="G652" s="159"/>
      <c r="T652" s="135"/>
      <c r="U652" s="135"/>
      <c r="V652" s="135"/>
      <c r="W652" s="135"/>
      <c r="X652" s="135"/>
    </row>
    <row r="653" ht="15.75" customHeight="1">
      <c r="G653" s="159"/>
      <c r="T653" s="135"/>
      <c r="U653" s="135"/>
      <c r="V653" s="135"/>
      <c r="W653" s="135"/>
      <c r="X653" s="135"/>
    </row>
    <row r="654" ht="15.75" customHeight="1">
      <c r="G654" s="159"/>
      <c r="T654" s="135"/>
      <c r="U654" s="135"/>
      <c r="V654" s="135"/>
      <c r="W654" s="135"/>
      <c r="X654" s="135"/>
    </row>
    <row r="655" ht="15.75" customHeight="1">
      <c r="G655" s="159"/>
      <c r="T655" s="135"/>
      <c r="U655" s="135"/>
      <c r="V655" s="135"/>
      <c r="W655" s="135"/>
      <c r="X655" s="135"/>
    </row>
    <row r="656" ht="15.75" customHeight="1">
      <c r="G656" s="159"/>
      <c r="T656" s="135"/>
      <c r="U656" s="135"/>
      <c r="V656" s="135"/>
      <c r="W656" s="135"/>
      <c r="X656" s="135"/>
    </row>
    <row r="657" ht="15.75" customHeight="1">
      <c r="G657" s="159"/>
      <c r="T657" s="135"/>
      <c r="U657" s="135"/>
      <c r="V657" s="135"/>
      <c r="W657" s="135"/>
      <c r="X657" s="135"/>
    </row>
    <row r="658" ht="15.75" customHeight="1">
      <c r="G658" s="159"/>
      <c r="T658" s="135"/>
      <c r="U658" s="135"/>
      <c r="V658" s="135"/>
      <c r="W658" s="135"/>
      <c r="X658" s="135"/>
    </row>
    <row r="659" ht="15.75" customHeight="1">
      <c r="G659" s="159"/>
      <c r="T659" s="135"/>
      <c r="U659" s="135"/>
      <c r="V659" s="135"/>
      <c r="W659" s="135"/>
      <c r="X659" s="135"/>
    </row>
    <row r="660" ht="15.75" customHeight="1">
      <c r="G660" s="159"/>
      <c r="T660" s="135"/>
      <c r="U660" s="135"/>
      <c r="V660" s="135"/>
      <c r="W660" s="135"/>
      <c r="X660" s="135"/>
    </row>
    <row r="661" ht="15.75" customHeight="1">
      <c r="G661" s="159"/>
      <c r="T661" s="135"/>
      <c r="U661" s="135"/>
      <c r="V661" s="135"/>
      <c r="W661" s="135"/>
      <c r="X661" s="135"/>
    </row>
    <row r="662" ht="15.75" customHeight="1">
      <c r="G662" s="159"/>
      <c r="T662" s="135"/>
      <c r="U662" s="135"/>
      <c r="V662" s="135"/>
      <c r="W662" s="135"/>
      <c r="X662" s="135"/>
    </row>
    <row r="663" ht="15.75" customHeight="1">
      <c r="G663" s="159"/>
      <c r="T663" s="135"/>
      <c r="U663" s="135"/>
      <c r="V663" s="135"/>
      <c r="W663" s="135"/>
      <c r="X663" s="135"/>
    </row>
    <row r="664" ht="15.75" customHeight="1">
      <c r="G664" s="159"/>
      <c r="T664" s="135"/>
      <c r="U664" s="135"/>
      <c r="V664" s="135"/>
      <c r="W664" s="135"/>
      <c r="X664" s="135"/>
    </row>
    <row r="665" ht="15.75" customHeight="1">
      <c r="G665" s="159"/>
      <c r="T665" s="135"/>
      <c r="U665" s="135"/>
      <c r="V665" s="135"/>
      <c r="W665" s="135"/>
      <c r="X665" s="135"/>
    </row>
    <row r="666" ht="15.75" customHeight="1">
      <c r="G666" s="159"/>
      <c r="T666" s="135"/>
      <c r="U666" s="135"/>
      <c r="V666" s="135"/>
      <c r="W666" s="135"/>
      <c r="X666" s="135"/>
    </row>
    <row r="667" ht="15.75" customHeight="1">
      <c r="G667" s="159"/>
      <c r="T667" s="135"/>
      <c r="U667" s="135"/>
      <c r="V667" s="135"/>
      <c r="W667" s="135"/>
      <c r="X667" s="135"/>
    </row>
    <row r="668" ht="15.75" customHeight="1">
      <c r="G668" s="159"/>
      <c r="T668" s="135"/>
      <c r="U668" s="135"/>
      <c r="V668" s="135"/>
      <c r="W668" s="135"/>
      <c r="X668" s="135"/>
    </row>
    <row r="669" ht="15.75" customHeight="1">
      <c r="G669" s="159"/>
      <c r="T669" s="135"/>
      <c r="U669" s="135"/>
      <c r="V669" s="135"/>
      <c r="W669" s="135"/>
      <c r="X669" s="135"/>
    </row>
    <row r="670" ht="15.75" customHeight="1">
      <c r="G670" s="159"/>
      <c r="T670" s="135"/>
      <c r="U670" s="135"/>
      <c r="V670" s="135"/>
      <c r="W670" s="135"/>
      <c r="X670" s="135"/>
    </row>
    <row r="671" ht="15.75" customHeight="1">
      <c r="G671" s="159"/>
      <c r="T671" s="135"/>
      <c r="U671" s="135"/>
      <c r="V671" s="135"/>
      <c r="W671" s="135"/>
      <c r="X671" s="135"/>
    </row>
    <row r="672" ht="15.75" customHeight="1">
      <c r="G672" s="159"/>
      <c r="T672" s="135"/>
      <c r="U672" s="135"/>
      <c r="V672" s="135"/>
      <c r="W672" s="135"/>
      <c r="X672" s="135"/>
    </row>
    <row r="673" ht="15.75" customHeight="1">
      <c r="G673" s="159"/>
      <c r="T673" s="135"/>
      <c r="U673" s="135"/>
      <c r="V673" s="135"/>
      <c r="W673" s="135"/>
      <c r="X673" s="135"/>
    </row>
    <row r="674" ht="15.75" customHeight="1">
      <c r="G674" s="159"/>
      <c r="T674" s="135"/>
      <c r="U674" s="135"/>
      <c r="V674" s="135"/>
      <c r="W674" s="135"/>
      <c r="X674" s="135"/>
    </row>
    <row r="675" ht="15.75" customHeight="1">
      <c r="G675" s="159"/>
      <c r="T675" s="135"/>
      <c r="U675" s="135"/>
      <c r="V675" s="135"/>
      <c r="W675" s="135"/>
      <c r="X675" s="135"/>
    </row>
    <row r="676" ht="15.75" customHeight="1">
      <c r="G676" s="159"/>
      <c r="T676" s="135"/>
      <c r="U676" s="135"/>
      <c r="V676" s="135"/>
      <c r="W676" s="135"/>
      <c r="X676" s="135"/>
    </row>
    <row r="677" ht="15.75" customHeight="1">
      <c r="G677" s="159"/>
      <c r="T677" s="135"/>
      <c r="U677" s="135"/>
      <c r="V677" s="135"/>
      <c r="W677" s="135"/>
      <c r="X677" s="135"/>
    </row>
    <row r="678" ht="15.75" customHeight="1">
      <c r="G678" s="159"/>
      <c r="T678" s="135"/>
      <c r="U678" s="135"/>
      <c r="V678" s="135"/>
      <c r="W678" s="135"/>
      <c r="X678" s="135"/>
    </row>
    <row r="679" ht="15.75" customHeight="1">
      <c r="G679" s="159"/>
      <c r="T679" s="135"/>
      <c r="U679" s="135"/>
      <c r="V679" s="135"/>
      <c r="W679" s="135"/>
      <c r="X679" s="135"/>
    </row>
    <row r="680" ht="15.75" customHeight="1">
      <c r="G680" s="159"/>
      <c r="T680" s="135"/>
      <c r="U680" s="135"/>
      <c r="V680" s="135"/>
      <c r="W680" s="135"/>
      <c r="X680" s="135"/>
    </row>
    <row r="681" ht="15.75" customHeight="1">
      <c r="G681" s="159"/>
      <c r="T681" s="135"/>
      <c r="U681" s="135"/>
      <c r="V681" s="135"/>
      <c r="W681" s="135"/>
      <c r="X681" s="135"/>
    </row>
    <row r="682" ht="15.75" customHeight="1">
      <c r="G682" s="159"/>
      <c r="T682" s="135"/>
      <c r="U682" s="135"/>
      <c r="V682" s="135"/>
      <c r="W682" s="135"/>
      <c r="X682" s="135"/>
    </row>
    <row r="683" ht="15.75" customHeight="1">
      <c r="G683" s="159"/>
      <c r="T683" s="135"/>
      <c r="U683" s="135"/>
      <c r="V683" s="135"/>
      <c r="W683" s="135"/>
      <c r="X683" s="135"/>
    </row>
    <row r="684" ht="15.75" customHeight="1">
      <c r="G684" s="159"/>
      <c r="T684" s="135"/>
      <c r="U684" s="135"/>
      <c r="V684" s="135"/>
      <c r="W684" s="135"/>
      <c r="X684" s="135"/>
    </row>
    <row r="685" ht="15.75" customHeight="1">
      <c r="G685" s="159"/>
      <c r="T685" s="135"/>
      <c r="U685" s="135"/>
      <c r="V685" s="135"/>
      <c r="W685" s="135"/>
      <c r="X685" s="135"/>
    </row>
    <row r="686" ht="15.75" customHeight="1">
      <c r="G686" s="159"/>
      <c r="T686" s="135"/>
      <c r="U686" s="135"/>
      <c r="V686" s="135"/>
      <c r="W686" s="135"/>
      <c r="X686" s="135"/>
    </row>
    <row r="687" ht="15.75" customHeight="1">
      <c r="G687" s="159"/>
      <c r="T687" s="135"/>
      <c r="U687" s="135"/>
      <c r="V687" s="135"/>
      <c r="W687" s="135"/>
      <c r="X687" s="135"/>
    </row>
    <row r="688" ht="15.75" customHeight="1">
      <c r="G688" s="159"/>
      <c r="T688" s="135"/>
      <c r="U688" s="135"/>
      <c r="V688" s="135"/>
      <c r="W688" s="135"/>
      <c r="X688" s="135"/>
    </row>
    <row r="689" ht="15.75" customHeight="1">
      <c r="G689" s="159"/>
      <c r="T689" s="135"/>
      <c r="U689" s="135"/>
      <c r="V689" s="135"/>
      <c r="W689" s="135"/>
      <c r="X689" s="135"/>
    </row>
    <row r="690" ht="15.75" customHeight="1">
      <c r="G690" s="159"/>
      <c r="T690" s="135"/>
      <c r="U690" s="135"/>
      <c r="V690" s="135"/>
      <c r="W690" s="135"/>
      <c r="X690" s="135"/>
    </row>
    <row r="691" ht="15.75" customHeight="1">
      <c r="G691" s="159"/>
      <c r="T691" s="135"/>
      <c r="U691" s="135"/>
      <c r="V691" s="135"/>
      <c r="W691" s="135"/>
      <c r="X691" s="135"/>
    </row>
    <row r="692" ht="15.75" customHeight="1">
      <c r="G692" s="159"/>
      <c r="T692" s="135"/>
      <c r="U692" s="135"/>
      <c r="V692" s="135"/>
      <c r="W692" s="135"/>
      <c r="X692" s="135"/>
    </row>
    <row r="693" ht="15.75" customHeight="1">
      <c r="G693" s="159"/>
      <c r="T693" s="135"/>
      <c r="U693" s="135"/>
      <c r="V693" s="135"/>
      <c r="W693" s="135"/>
      <c r="X693" s="135"/>
    </row>
    <row r="694" ht="15.75" customHeight="1">
      <c r="G694" s="159"/>
      <c r="T694" s="135"/>
      <c r="U694" s="135"/>
      <c r="V694" s="135"/>
      <c r="W694" s="135"/>
      <c r="X694" s="135"/>
    </row>
    <row r="695" ht="15.75" customHeight="1">
      <c r="G695" s="159"/>
      <c r="T695" s="135"/>
      <c r="U695" s="135"/>
      <c r="V695" s="135"/>
      <c r="W695" s="135"/>
      <c r="X695" s="135"/>
    </row>
    <row r="696" ht="15.75" customHeight="1">
      <c r="G696" s="159"/>
      <c r="T696" s="135"/>
      <c r="U696" s="135"/>
      <c r="V696" s="135"/>
      <c r="W696" s="135"/>
      <c r="X696" s="135"/>
    </row>
    <row r="697" ht="15.75" customHeight="1">
      <c r="G697" s="159"/>
      <c r="T697" s="135"/>
      <c r="U697" s="135"/>
      <c r="V697" s="135"/>
      <c r="W697" s="135"/>
      <c r="X697" s="135"/>
    </row>
    <row r="698" ht="15.75" customHeight="1">
      <c r="G698" s="159"/>
      <c r="T698" s="135"/>
      <c r="U698" s="135"/>
      <c r="V698" s="135"/>
      <c r="W698" s="135"/>
      <c r="X698" s="135"/>
    </row>
    <row r="699" ht="15.75" customHeight="1">
      <c r="G699" s="159"/>
      <c r="T699" s="135"/>
      <c r="U699" s="135"/>
      <c r="V699" s="135"/>
      <c r="W699" s="135"/>
      <c r="X699" s="135"/>
    </row>
    <row r="700" ht="15.75" customHeight="1">
      <c r="G700" s="159"/>
      <c r="T700" s="135"/>
      <c r="U700" s="135"/>
      <c r="V700" s="135"/>
      <c r="W700" s="135"/>
      <c r="X700" s="135"/>
    </row>
    <row r="701" ht="15.75" customHeight="1">
      <c r="G701" s="159"/>
      <c r="T701" s="135"/>
      <c r="U701" s="135"/>
      <c r="V701" s="135"/>
      <c r="W701" s="135"/>
      <c r="X701" s="135"/>
    </row>
    <row r="702" ht="15.75" customHeight="1">
      <c r="G702" s="159"/>
      <c r="T702" s="135"/>
      <c r="U702" s="135"/>
      <c r="V702" s="135"/>
      <c r="W702" s="135"/>
      <c r="X702" s="135"/>
    </row>
    <row r="703" ht="15.75" customHeight="1">
      <c r="G703" s="159"/>
      <c r="T703" s="135"/>
      <c r="U703" s="135"/>
      <c r="V703" s="135"/>
      <c r="W703" s="135"/>
      <c r="X703" s="135"/>
    </row>
    <row r="704" ht="15.75" customHeight="1">
      <c r="G704" s="159"/>
      <c r="T704" s="135"/>
      <c r="U704" s="135"/>
      <c r="V704" s="135"/>
      <c r="W704" s="135"/>
      <c r="X704" s="135"/>
    </row>
    <row r="705" ht="15.75" customHeight="1">
      <c r="G705" s="159"/>
      <c r="T705" s="135"/>
      <c r="U705" s="135"/>
      <c r="V705" s="135"/>
      <c r="W705" s="135"/>
      <c r="X705" s="135"/>
    </row>
    <row r="706" ht="15.75" customHeight="1">
      <c r="G706" s="159"/>
      <c r="T706" s="135"/>
      <c r="U706" s="135"/>
      <c r="V706" s="135"/>
      <c r="W706" s="135"/>
      <c r="X706" s="135"/>
    </row>
    <row r="707" ht="15.75" customHeight="1">
      <c r="G707" s="159"/>
      <c r="T707" s="135"/>
      <c r="U707" s="135"/>
      <c r="V707" s="135"/>
      <c r="W707" s="135"/>
      <c r="X707" s="135"/>
    </row>
    <row r="708" ht="15.75" customHeight="1">
      <c r="G708" s="159"/>
      <c r="T708" s="135"/>
      <c r="U708" s="135"/>
      <c r="V708" s="135"/>
      <c r="W708" s="135"/>
      <c r="X708" s="135"/>
    </row>
    <row r="709" ht="15.75" customHeight="1">
      <c r="G709" s="159"/>
      <c r="T709" s="135"/>
      <c r="U709" s="135"/>
      <c r="V709" s="135"/>
      <c r="W709" s="135"/>
      <c r="X709" s="135"/>
    </row>
    <row r="710" ht="15.75" customHeight="1">
      <c r="G710" s="159"/>
      <c r="T710" s="135"/>
      <c r="U710" s="135"/>
      <c r="V710" s="135"/>
      <c r="W710" s="135"/>
      <c r="X710" s="135"/>
    </row>
    <row r="711" ht="15.75" customHeight="1">
      <c r="G711" s="159"/>
      <c r="T711" s="135"/>
      <c r="U711" s="135"/>
      <c r="V711" s="135"/>
      <c r="W711" s="135"/>
      <c r="X711" s="135"/>
    </row>
    <row r="712" ht="15.75" customHeight="1">
      <c r="G712" s="159"/>
      <c r="T712" s="135"/>
      <c r="U712" s="135"/>
      <c r="V712" s="135"/>
      <c r="W712" s="135"/>
      <c r="X712" s="135"/>
    </row>
    <row r="713" ht="15.75" customHeight="1">
      <c r="G713" s="159"/>
      <c r="T713" s="135"/>
      <c r="U713" s="135"/>
      <c r="V713" s="135"/>
      <c r="W713" s="135"/>
      <c r="X713" s="135"/>
    </row>
    <row r="714" ht="15.75" customHeight="1">
      <c r="G714" s="159"/>
      <c r="T714" s="135"/>
      <c r="U714" s="135"/>
      <c r="V714" s="135"/>
      <c r="W714" s="135"/>
      <c r="X714" s="135"/>
    </row>
    <row r="715" ht="15.75" customHeight="1">
      <c r="G715" s="159"/>
      <c r="T715" s="135"/>
      <c r="U715" s="135"/>
      <c r="V715" s="135"/>
      <c r="W715" s="135"/>
      <c r="X715" s="135"/>
    </row>
    <row r="716" ht="15.75" customHeight="1">
      <c r="G716" s="159"/>
      <c r="T716" s="135"/>
      <c r="U716" s="135"/>
      <c r="V716" s="135"/>
      <c r="W716" s="135"/>
      <c r="X716" s="135"/>
    </row>
    <row r="717" ht="15.75" customHeight="1">
      <c r="G717" s="159"/>
      <c r="T717" s="135"/>
      <c r="U717" s="135"/>
      <c r="V717" s="135"/>
      <c r="W717" s="135"/>
      <c r="X717" s="135"/>
    </row>
    <row r="718" ht="15.75" customHeight="1">
      <c r="G718" s="159"/>
      <c r="T718" s="135"/>
      <c r="U718" s="135"/>
      <c r="V718" s="135"/>
      <c r="W718" s="135"/>
      <c r="X718" s="135"/>
    </row>
    <row r="719" ht="15.75" customHeight="1">
      <c r="G719" s="159"/>
      <c r="T719" s="135"/>
      <c r="U719" s="135"/>
      <c r="V719" s="135"/>
      <c r="W719" s="135"/>
      <c r="X719" s="135"/>
    </row>
    <row r="720" ht="15.75" customHeight="1">
      <c r="G720" s="159"/>
      <c r="T720" s="135"/>
      <c r="U720" s="135"/>
      <c r="V720" s="135"/>
      <c r="W720" s="135"/>
      <c r="X720" s="135"/>
    </row>
    <row r="721" ht="15.75" customHeight="1">
      <c r="G721" s="159"/>
      <c r="T721" s="135"/>
      <c r="U721" s="135"/>
      <c r="V721" s="135"/>
      <c r="W721" s="135"/>
      <c r="X721" s="135"/>
    </row>
    <row r="722" ht="15.75" customHeight="1">
      <c r="G722" s="159"/>
      <c r="T722" s="135"/>
      <c r="U722" s="135"/>
      <c r="V722" s="135"/>
      <c r="W722" s="135"/>
      <c r="X722" s="135"/>
    </row>
    <row r="723" ht="15.75" customHeight="1">
      <c r="G723" s="159"/>
      <c r="T723" s="135"/>
      <c r="U723" s="135"/>
      <c r="V723" s="135"/>
      <c r="W723" s="135"/>
      <c r="X723" s="135"/>
    </row>
    <row r="724" ht="15.75" customHeight="1">
      <c r="G724" s="159"/>
      <c r="T724" s="135"/>
      <c r="U724" s="135"/>
      <c r="V724" s="135"/>
      <c r="W724" s="135"/>
      <c r="X724" s="135"/>
    </row>
    <row r="725" ht="15.75" customHeight="1">
      <c r="G725" s="159"/>
      <c r="T725" s="135"/>
      <c r="U725" s="135"/>
      <c r="V725" s="135"/>
      <c r="W725" s="135"/>
      <c r="X725" s="135"/>
    </row>
    <row r="726" ht="15.75" customHeight="1">
      <c r="G726" s="159"/>
      <c r="T726" s="135"/>
      <c r="U726" s="135"/>
      <c r="V726" s="135"/>
      <c r="W726" s="135"/>
      <c r="X726" s="135"/>
    </row>
    <row r="727" ht="15.75" customHeight="1">
      <c r="G727" s="159"/>
      <c r="T727" s="135"/>
      <c r="U727" s="135"/>
      <c r="V727" s="135"/>
      <c r="W727" s="135"/>
      <c r="X727" s="135"/>
    </row>
    <row r="728" ht="15.75" customHeight="1">
      <c r="G728" s="159"/>
      <c r="T728" s="135"/>
      <c r="U728" s="135"/>
      <c r="V728" s="135"/>
      <c r="W728" s="135"/>
      <c r="X728" s="135"/>
    </row>
    <row r="729" ht="15.75" customHeight="1">
      <c r="G729" s="159"/>
      <c r="T729" s="135"/>
      <c r="U729" s="135"/>
      <c r="V729" s="135"/>
      <c r="W729" s="135"/>
      <c r="X729" s="135"/>
    </row>
    <row r="730" ht="15.75" customHeight="1">
      <c r="G730" s="159"/>
      <c r="T730" s="135"/>
      <c r="U730" s="135"/>
      <c r="V730" s="135"/>
      <c r="W730" s="135"/>
      <c r="X730" s="135"/>
    </row>
    <row r="731" ht="15.75" customHeight="1">
      <c r="G731" s="159"/>
      <c r="T731" s="135"/>
      <c r="U731" s="135"/>
      <c r="V731" s="135"/>
      <c r="W731" s="135"/>
      <c r="X731" s="135"/>
    </row>
    <row r="732" ht="15.75" customHeight="1">
      <c r="G732" s="159"/>
      <c r="T732" s="135"/>
      <c r="U732" s="135"/>
      <c r="V732" s="135"/>
      <c r="W732" s="135"/>
      <c r="X732" s="135"/>
    </row>
    <row r="733" ht="15.75" customHeight="1">
      <c r="G733" s="159"/>
      <c r="T733" s="135"/>
      <c r="U733" s="135"/>
      <c r="V733" s="135"/>
      <c r="W733" s="135"/>
      <c r="X733" s="135"/>
    </row>
    <row r="734" ht="15.75" customHeight="1">
      <c r="G734" s="159"/>
      <c r="T734" s="135"/>
      <c r="U734" s="135"/>
      <c r="V734" s="135"/>
      <c r="W734" s="135"/>
      <c r="X734" s="135"/>
    </row>
    <row r="735" ht="15.75" customHeight="1">
      <c r="G735" s="159"/>
      <c r="T735" s="135"/>
      <c r="U735" s="135"/>
      <c r="V735" s="135"/>
      <c r="W735" s="135"/>
      <c r="X735" s="135"/>
    </row>
    <row r="736" ht="15.75" customHeight="1">
      <c r="G736" s="159"/>
      <c r="T736" s="135"/>
      <c r="U736" s="135"/>
      <c r="V736" s="135"/>
      <c r="W736" s="135"/>
      <c r="X736" s="135"/>
    </row>
    <row r="737" ht="15.75" customHeight="1">
      <c r="G737" s="159"/>
      <c r="T737" s="135"/>
      <c r="U737" s="135"/>
      <c r="V737" s="135"/>
      <c r="W737" s="135"/>
      <c r="X737" s="135"/>
    </row>
    <row r="738" ht="15.75" customHeight="1">
      <c r="G738" s="159"/>
      <c r="T738" s="135"/>
      <c r="U738" s="135"/>
      <c r="V738" s="135"/>
      <c r="W738" s="135"/>
      <c r="X738" s="135"/>
    </row>
    <row r="739" ht="15.75" customHeight="1">
      <c r="G739" s="159"/>
      <c r="T739" s="135"/>
      <c r="U739" s="135"/>
      <c r="V739" s="135"/>
      <c r="W739" s="135"/>
      <c r="X739" s="135"/>
    </row>
    <row r="740" ht="15.75" customHeight="1">
      <c r="G740" s="159"/>
      <c r="T740" s="135"/>
      <c r="U740" s="135"/>
      <c r="V740" s="135"/>
      <c r="W740" s="135"/>
      <c r="X740" s="135"/>
    </row>
    <row r="741" ht="15.75" customHeight="1">
      <c r="G741" s="159"/>
      <c r="T741" s="135"/>
      <c r="U741" s="135"/>
      <c r="V741" s="135"/>
      <c r="W741" s="135"/>
      <c r="X741" s="135"/>
    </row>
    <row r="742" ht="15.75" customHeight="1">
      <c r="G742" s="159"/>
      <c r="T742" s="135"/>
      <c r="U742" s="135"/>
      <c r="V742" s="135"/>
      <c r="W742" s="135"/>
      <c r="X742" s="135"/>
    </row>
    <row r="743" ht="15.75" customHeight="1">
      <c r="G743" s="159"/>
      <c r="T743" s="135"/>
      <c r="U743" s="135"/>
      <c r="V743" s="135"/>
      <c r="W743" s="135"/>
      <c r="X743" s="135"/>
    </row>
    <row r="744" ht="15.75" customHeight="1">
      <c r="G744" s="159"/>
      <c r="T744" s="135"/>
      <c r="U744" s="135"/>
      <c r="V744" s="135"/>
      <c r="W744" s="135"/>
      <c r="X744" s="135"/>
    </row>
    <row r="745" ht="15.75" customHeight="1">
      <c r="G745" s="159"/>
      <c r="T745" s="135"/>
      <c r="U745" s="135"/>
      <c r="V745" s="135"/>
      <c r="W745" s="135"/>
      <c r="X745" s="135"/>
    </row>
    <row r="746" ht="15.75" customHeight="1">
      <c r="G746" s="159"/>
      <c r="T746" s="135"/>
      <c r="U746" s="135"/>
      <c r="V746" s="135"/>
      <c r="W746" s="135"/>
      <c r="X746" s="135"/>
    </row>
    <row r="747" ht="15.75" customHeight="1">
      <c r="G747" s="159"/>
      <c r="T747" s="135"/>
      <c r="U747" s="135"/>
      <c r="V747" s="135"/>
      <c r="W747" s="135"/>
      <c r="X747" s="135"/>
    </row>
    <row r="748" ht="15.75" customHeight="1">
      <c r="G748" s="159"/>
      <c r="T748" s="135"/>
      <c r="U748" s="135"/>
      <c r="V748" s="135"/>
      <c r="W748" s="135"/>
      <c r="X748" s="135"/>
    </row>
    <row r="749" ht="15.75" customHeight="1">
      <c r="G749" s="159"/>
      <c r="T749" s="135"/>
      <c r="U749" s="135"/>
      <c r="V749" s="135"/>
      <c r="W749" s="135"/>
      <c r="X749" s="135"/>
    </row>
    <row r="750" ht="15.75" customHeight="1">
      <c r="G750" s="159"/>
      <c r="T750" s="135"/>
      <c r="U750" s="135"/>
      <c r="V750" s="135"/>
      <c r="W750" s="135"/>
      <c r="X750" s="135"/>
    </row>
    <row r="751" ht="15.75" customHeight="1">
      <c r="G751" s="159"/>
      <c r="T751" s="135"/>
      <c r="U751" s="135"/>
      <c r="V751" s="135"/>
      <c r="W751" s="135"/>
      <c r="X751" s="135"/>
    </row>
    <row r="752" ht="15.75" customHeight="1">
      <c r="G752" s="159"/>
      <c r="T752" s="135"/>
      <c r="U752" s="135"/>
      <c r="V752" s="135"/>
      <c r="W752" s="135"/>
      <c r="X752" s="135"/>
    </row>
    <row r="753" ht="15.75" customHeight="1">
      <c r="G753" s="159"/>
      <c r="T753" s="135"/>
      <c r="U753" s="135"/>
      <c r="V753" s="135"/>
      <c r="W753" s="135"/>
      <c r="X753" s="135"/>
    </row>
    <row r="754" ht="15.75" customHeight="1">
      <c r="G754" s="159"/>
      <c r="T754" s="135"/>
      <c r="U754" s="135"/>
      <c r="V754" s="135"/>
      <c r="W754" s="135"/>
      <c r="X754" s="135"/>
    </row>
    <row r="755" ht="15.75" customHeight="1">
      <c r="G755" s="159"/>
      <c r="T755" s="135"/>
      <c r="U755" s="135"/>
      <c r="V755" s="135"/>
      <c r="W755" s="135"/>
      <c r="X755" s="135"/>
    </row>
    <row r="756" ht="15.75" customHeight="1">
      <c r="G756" s="159"/>
      <c r="T756" s="135"/>
      <c r="U756" s="135"/>
      <c r="V756" s="135"/>
      <c r="W756" s="135"/>
      <c r="X756" s="135"/>
    </row>
    <row r="757" ht="15.75" customHeight="1">
      <c r="G757" s="159"/>
      <c r="T757" s="135"/>
      <c r="U757" s="135"/>
      <c r="V757" s="135"/>
      <c r="W757" s="135"/>
      <c r="X757" s="135"/>
    </row>
    <row r="758" ht="15.75" customHeight="1">
      <c r="G758" s="159"/>
      <c r="T758" s="135"/>
      <c r="U758" s="135"/>
      <c r="V758" s="135"/>
      <c r="W758" s="135"/>
      <c r="X758" s="135"/>
    </row>
    <row r="759" ht="15.75" customHeight="1">
      <c r="G759" s="159"/>
      <c r="T759" s="135"/>
      <c r="U759" s="135"/>
      <c r="V759" s="135"/>
      <c r="W759" s="135"/>
      <c r="X759" s="135"/>
    </row>
    <row r="760" ht="15.75" customHeight="1">
      <c r="G760" s="159"/>
      <c r="T760" s="135"/>
      <c r="U760" s="135"/>
      <c r="V760" s="135"/>
      <c r="W760" s="135"/>
      <c r="X760" s="135"/>
    </row>
    <row r="761" ht="15.75" customHeight="1">
      <c r="G761" s="159"/>
      <c r="T761" s="135"/>
      <c r="U761" s="135"/>
      <c r="V761" s="135"/>
      <c r="W761" s="135"/>
      <c r="X761" s="135"/>
    </row>
    <row r="762" ht="15.75" customHeight="1">
      <c r="G762" s="159"/>
      <c r="T762" s="135"/>
      <c r="U762" s="135"/>
      <c r="V762" s="135"/>
      <c r="W762" s="135"/>
      <c r="X762" s="135"/>
    </row>
    <row r="763" ht="15.75" customHeight="1">
      <c r="G763" s="159"/>
      <c r="T763" s="135"/>
      <c r="U763" s="135"/>
      <c r="V763" s="135"/>
      <c r="W763" s="135"/>
      <c r="X763" s="135"/>
    </row>
    <row r="764" ht="15.75" customHeight="1">
      <c r="G764" s="159"/>
      <c r="T764" s="135"/>
      <c r="U764" s="135"/>
      <c r="V764" s="135"/>
      <c r="W764" s="135"/>
      <c r="X764" s="135"/>
    </row>
    <row r="765" ht="15.75" customHeight="1">
      <c r="G765" s="159"/>
      <c r="T765" s="135"/>
      <c r="U765" s="135"/>
      <c r="V765" s="135"/>
      <c r="W765" s="135"/>
      <c r="X765" s="135"/>
    </row>
    <row r="766" ht="15.75" customHeight="1">
      <c r="G766" s="159"/>
      <c r="T766" s="135"/>
      <c r="U766" s="135"/>
      <c r="V766" s="135"/>
      <c r="W766" s="135"/>
      <c r="X766" s="135"/>
    </row>
    <row r="767" ht="15.75" customHeight="1">
      <c r="G767" s="159"/>
      <c r="T767" s="135"/>
      <c r="U767" s="135"/>
      <c r="V767" s="135"/>
      <c r="W767" s="135"/>
      <c r="X767" s="135"/>
    </row>
    <row r="768" ht="15.75" customHeight="1">
      <c r="G768" s="159"/>
      <c r="T768" s="135"/>
      <c r="U768" s="135"/>
      <c r="V768" s="135"/>
      <c r="W768" s="135"/>
      <c r="X768" s="135"/>
    </row>
    <row r="769" ht="15.75" customHeight="1">
      <c r="G769" s="159"/>
      <c r="T769" s="135"/>
      <c r="U769" s="135"/>
      <c r="V769" s="135"/>
      <c r="W769" s="135"/>
      <c r="X769" s="135"/>
    </row>
    <row r="770" ht="15.75" customHeight="1">
      <c r="G770" s="159"/>
      <c r="T770" s="135"/>
      <c r="U770" s="135"/>
      <c r="V770" s="135"/>
      <c r="W770" s="135"/>
      <c r="X770" s="135"/>
    </row>
    <row r="771" ht="15.75" customHeight="1">
      <c r="G771" s="159"/>
      <c r="T771" s="135"/>
      <c r="U771" s="135"/>
      <c r="V771" s="135"/>
      <c r="W771" s="135"/>
      <c r="X771" s="135"/>
    </row>
    <row r="772" ht="15.75" customHeight="1">
      <c r="G772" s="159"/>
      <c r="T772" s="135"/>
      <c r="U772" s="135"/>
      <c r="V772" s="135"/>
      <c r="W772" s="135"/>
      <c r="X772" s="135"/>
    </row>
    <row r="773" ht="15.75" customHeight="1">
      <c r="G773" s="159"/>
      <c r="T773" s="135"/>
      <c r="U773" s="135"/>
      <c r="V773" s="135"/>
      <c r="W773" s="135"/>
      <c r="X773" s="135"/>
    </row>
    <row r="774" ht="15.75" customHeight="1">
      <c r="G774" s="159"/>
      <c r="T774" s="135"/>
      <c r="U774" s="135"/>
      <c r="V774" s="135"/>
      <c r="W774" s="135"/>
      <c r="X774" s="135"/>
    </row>
    <row r="775" ht="15.75" customHeight="1">
      <c r="G775" s="159"/>
      <c r="T775" s="135"/>
      <c r="U775" s="135"/>
      <c r="V775" s="135"/>
      <c r="W775" s="135"/>
      <c r="X775" s="135"/>
    </row>
    <row r="776" ht="15.75" customHeight="1">
      <c r="G776" s="159"/>
      <c r="T776" s="135"/>
      <c r="U776" s="135"/>
      <c r="V776" s="135"/>
      <c r="W776" s="135"/>
      <c r="X776" s="135"/>
    </row>
    <row r="777" ht="15.75" customHeight="1">
      <c r="G777" s="159"/>
      <c r="T777" s="135"/>
      <c r="U777" s="135"/>
      <c r="V777" s="135"/>
      <c r="W777" s="135"/>
      <c r="X777" s="135"/>
    </row>
    <row r="778" ht="15.75" customHeight="1">
      <c r="G778" s="159"/>
      <c r="T778" s="135"/>
      <c r="U778" s="135"/>
      <c r="V778" s="135"/>
      <c r="W778" s="135"/>
      <c r="X778" s="135"/>
    </row>
    <row r="779" ht="15.75" customHeight="1">
      <c r="G779" s="159"/>
      <c r="T779" s="135"/>
      <c r="U779" s="135"/>
      <c r="V779" s="135"/>
      <c r="W779" s="135"/>
      <c r="X779" s="135"/>
    </row>
    <row r="780" ht="15.75" customHeight="1">
      <c r="G780" s="159"/>
      <c r="T780" s="135"/>
      <c r="U780" s="135"/>
      <c r="V780" s="135"/>
      <c r="W780" s="135"/>
      <c r="X780" s="135"/>
    </row>
    <row r="781" ht="15.75" customHeight="1">
      <c r="G781" s="159"/>
      <c r="T781" s="135"/>
      <c r="U781" s="135"/>
      <c r="V781" s="135"/>
      <c r="W781" s="135"/>
      <c r="X781" s="135"/>
    </row>
    <row r="782" ht="15.75" customHeight="1">
      <c r="G782" s="159"/>
      <c r="T782" s="135"/>
      <c r="U782" s="135"/>
      <c r="V782" s="135"/>
      <c r="W782" s="135"/>
      <c r="X782" s="135"/>
    </row>
    <row r="783" ht="15.75" customHeight="1">
      <c r="G783" s="159"/>
      <c r="T783" s="135"/>
      <c r="U783" s="135"/>
      <c r="V783" s="135"/>
      <c r="W783" s="135"/>
      <c r="X783" s="135"/>
    </row>
    <row r="784" ht="15.75" customHeight="1">
      <c r="G784" s="159"/>
      <c r="T784" s="135"/>
      <c r="U784" s="135"/>
      <c r="V784" s="135"/>
      <c r="W784" s="135"/>
      <c r="X784" s="135"/>
    </row>
    <row r="785" ht="15.75" customHeight="1">
      <c r="G785" s="159"/>
      <c r="T785" s="135"/>
      <c r="U785" s="135"/>
      <c r="V785" s="135"/>
      <c r="W785" s="135"/>
      <c r="X785" s="135"/>
    </row>
    <row r="786" ht="15.75" customHeight="1">
      <c r="G786" s="159"/>
      <c r="T786" s="135"/>
      <c r="U786" s="135"/>
      <c r="V786" s="135"/>
      <c r="W786" s="135"/>
      <c r="X786" s="135"/>
    </row>
    <row r="787" ht="15.75" customHeight="1">
      <c r="G787" s="159"/>
      <c r="T787" s="135"/>
      <c r="U787" s="135"/>
      <c r="V787" s="135"/>
      <c r="W787" s="135"/>
      <c r="X787" s="135"/>
    </row>
    <row r="788" ht="15.75" customHeight="1">
      <c r="G788" s="159"/>
      <c r="T788" s="135"/>
      <c r="U788" s="135"/>
      <c r="V788" s="135"/>
      <c r="W788" s="135"/>
      <c r="X788" s="135"/>
    </row>
    <row r="789" ht="15.75" customHeight="1">
      <c r="G789" s="159"/>
      <c r="T789" s="135"/>
      <c r="U789" s="135"/>
      <c r="V789" s="135"/>
      <c r="W789" s="135"/>
      <c r="X789" s="135"/>
    </row>
    <row r="790" ht="15.75" customHeight="1">
      <c r="G790" s="159"/>
      <c r="T790" s="135"/>
      <c r="U790" s="135"/>
      <c r="V790" s="135"/>
      <c r="W790" s="135"/>
      <c r="X790" s="135"/>
    </row>
    <row r="791" ht="15.75" customHeight="1">
      <c r="G791" s="159"/>
      <c r="T791" s="135"/>
      <c r="U791" s="135"/>
      <c r="V791" s="135"/>
      <c r="W791" s="135"/>
      <c r="X791" s="135"/>
    </row>
    <row r="792" ht="15.75" customHeight="1">
      <c r="G792" s="159"/>
      <c r="T792" s="135"/>
      <c r="U792" s="135"/>
      <c r="V792" s="135"/>
      <c r="W792" s="135"/>
      <c r="X792" s="135"/>
    </row>
    <row r="793" ht="15.75" customHeight="1">
      <c r="G793" s="159"/>
      <c r="T793" s="135"/>
      <c r="U793" s="135"/>
      <c r="V793" s="135"/>
      <c r="W793" s="135"/>
      <c r="X793" s="135"/>
    </row>
    <row r="794" ht="15.75" customHeight="1">
      <c r="G794" s="159"/>
      <c r="T794" s="135"/>
      <c r="U794" s="135"/>
      <c r="V794" s="135"/>
      <c r="W794" s="135"/>
      <c r="X794" s="135"/>
    </row>
    <row r="795" ht="15.75" customHeight="1">
      <c r="G795" s="159"/>
      <c r="T795" s="135"/>
      <c r="U795" s="135"/>
      <c r="V795" s="135"/>
      <c r="W795" s="135"/>
      <c r="X795" s="135"/>
    </row>
    <row r="796" ht="15.75" customHeight="1">
      <c r="G796" s="159"/>
      <c r="T796" s="135"/>
      <c r="U796" s="135"/>
      <c r="V796" s="135"/>
      <c r="W796" s="135"/>
      <c r="X796" s="135"/>
    </row>
    <row r="797" ht="15.75" customHeight="1">
      <c r="G797" s="159"/>
      <c r="T797" s="135"/>
      <c r="U797" s="135"/>
      <c r="V797" s="135"/>
      <c r="W797" s="135"/>
      <c r="X797" s="135"/>
    </row>
    <row r="798" ht="15.75" customHeight="1">
      <c r="G798" s="159"/>
      <c r="T798" s="135"/>
      <c r="U798" s="135"/>
      <c r="V798" s="135"/>
      <c r="W798" s="135"/>
      <c r="X798" s="135"/>
    </row>
    <row r="799" ht="15.75" customHeight="1">
      <c r="G799" s="159"/>
      <c r="T799" s="135"/>
      <c r="U799" s="135"/>
      <c r="V799" s="135"/>
      <c r="W799" s="135"/>
      <c r="X799" s="135"/>
    </row>
    <row r="800" ht="15.75" customHeight="1">
      <c r="G800" s="159"/>
      <c r="T800" s="135"/>
      <c r="U800" s="135"/>
      <c r="V800" s="135"/>
      <c r="W800" s="135"/>
      <c r="X800" s="135"/>
    </row>
    <row r="801" ht="15.75" customHeight="1">
      <c r="G801" s="159"/>
      <c r="T801" s="135"/>
      <c r="U801" s="135"/>
      <c r="V801" s="135"/>
      <c r="W801" s="135"/>
      <c r="X801" s="135"/>
    </row>
    <row r="802" ht="15.75" customHeight="1">
      <c r="G802" s="159"/>
      <c r="T802" s="135"/>
      <c r="U802" s="135"/>
      <c r="V802" s="135"/>
      <c r="W802" s="135"/>
      <c r="X802" s="135"/>
    </row>
    <row r="803" ht="15.75" customHeight="1">
      <c r="G803" s="159"/>
      <c r="T803" s="135"/>
      <c r="U803" s="135"/>
      <c r="V803" s="135"/>
      <c r="W803" s="135"/>
      <c r="X803" s="135"/>
    </row>
    <row r="804" ht="15.75" customHeight="1">
      <c r="G804" s="159"/>
      <c r="T804" s="135"/>
      <c r="U804" s="135"/>
      <c r="V804" s="135"/>
      <c r="W804" s="135"/>
      <c r="X804" s="135"/>
    </row>
    <row r="805" ht="15.75" customHeight="1">
      <c r="G805" s="159"/>
      <c r="T805" s="135"/>
      <c r="U805" s="135"/>
      <c r="V805" s="135"/>
      <c r="W805" s="135"/>
      <c r="X805" s="135"/>
    </row>
    <row r="806" ht="15.75" customHeight="1">
      <c r="G806" s="159"/>
      <c r="T806" s="135"/>
      <c r="U806" s="135"/>
      <c r="V806" s="135"/>
      <c r="W806" s="135"/>
      <c r="X806" s="135"/>
    </row>
    <row r="807" ht="15.75" customHeight="1">
      <c r="G807" s="159"/>
      <c r="T807" s="135"/>
      <c r="U807" s="135"/>
      <c r="V807" s="135"/>
      <c r="W807" s="135"/>
      <c r="X807" s="135"/>
    </row>
    <row r="808" ht="15.75" customHeight="1">
      <c r="G808" s="159"/>
      <c r="T808" s="135"/>
      <c r="U808" s="135"/>
      <c r="V808" s="135"/>
      <c r="W808" s="135"/>
      <c r="X808" s="135"/>
    </row>
    <row r="809" ht="15.75" customHeight="1">
      <c r="G809" s="159"/>
      <c r="T809" s="135"/>
      <c r="U809" s="135"/>
      <c r="V809" s="135"/>
      <c r="W809" s="135"/>
      <c r="X809" s="135"/>
    </row>
    <row r="810" ht="15.75" customHeight="1">
      <c r="G810" s="159"/>
      <c r="T810" s="135"/>
      <c r="U810" s="135"/>
      <c r="V810" s="135"/>
      <c r="W810" s="135"/>
      <c r="X810" s="135"/>
    </row>
    <row r="811" ht="15.75" customHeight="1">
      <c r="G811" s="159"/>
      <c r="T811" s="135"/>
      <c r="U811" s="135"/>
      <c r="V811" s="135"/>
      <c r="W811" s="135"/>
      <c r="X811" s="135"/>
    </row>
    <row r="812" ht="15.75" customHeight="1">
      <c r="G812" s="159"/>
      <c r="T812" s="135"/>
      <c r="U812" s="135"/>
      <c r="V812" s="135"/>
      <c r="W812" s="135"/>
      <c r="X812" s="135"/>
    </row>
    <row r="813" ht="15.75" customHeight="1">
      <c r="G813" s="159"/>
      <c r="T813" s="135"/>
      <c r="U813" s="135"/>
      <c r="V813" s="135"/>
      <c r="W813" s="135"/>
      <c r="X813" s="135"/>
    </row>
    <row r="814" ht="15.75" customHeight="1">
      <c r="G814" s="159"/>
      <c r="T814" s="135"/>
      <c r="U814" s="135"/>
      <c r="V814" s="135"/>
      <c r="W814" s="135"/>
      <c r="X814" s="135"/>
    </row>
    <row r="815" ht="15.75" customHeight="1">
      <c r="G815" s="159"/>
      <c r="T815" s="135"/>
      <c r="U815" s="135"/>
      <c r="V815" s="135"/>
      <c r="W815" s="135"/>
      <c r="X815" s="135"/>
    </row>
    <row r="816" ht="15.75" customHeight="1">
      <c r="G816" s="159"/>
      <c r="T816" s="135"/>
      <c r="U816" s="135"/>
      <c r="V816" s="135"/>
      <c r="W816" s="135"/>
      <c r="X816" s="135"/>
    </row>
    <row r="817" ht="15.75" customHeight="1">
      <c r="G817" s="159"/>
      <c r="T817" s="135"/>
      <c r="U817" s="135"/>
      <c r="V817" s="135"/>
      <c r="W817" s="135"/>
      <c r="X817" s="135"/>
    </row>
    <row r="818" ht="15.75" customHeight="1">
      <c r="G818" s="159"/>
      <c r="T818" s="135"/>
      <c r="U818" s="135"/>
      <c r="V818" s="135"/>
      <c r="W818" s="135"/>
      <c r="X818" s="135"/>
    </row>
    <row r="819" ht="15.75" customHeight="1">
      <c r="G819" s="159"/>
      <c r="T819" s="135"/>
      <c r="U819" s="135"/>
      <c r="V819" s="135"/>
      <c r="W819" s="135"/>
      <c r="X819" s="135"/>
    </row>
    <row r="820" ht="15.75" customHeight="1">
      <c r="G820" s="159"/>
      <c r="T820" s="135"/>
      <c r="U820" s="135"/>
      <c r="V820" s="135"/>
      <c r="W820" s="135"/>
      <c r="X820" s="135"/>
    </row>
    <row r="821" ht="15.75" customHeight="1">
      <c r="G821" s="159"/>
      <c r="T821" s="135"/>
      <c r="U821" s="135"/>
      <c r="V821" s="135"/>
      <c r="W821" s="135"/>
      <c r="X821" s="135"/>
    </row>
    <row r="822" ht="15.75" customHeight="1">
      <c r="G822" s="159"/>
      <c r="T822" s="135"/>
      <c r="U822" s="135"/>
      <c r="V822" s="135"/>
      <c r="W822" s="135"/>
      <c r="X822" s="135"/>
    </row>
    <row r="823" ht="15.75" customHeight="1">
      <c r="G823" s="159"/>
      <c r="T823" s="135"/>
      <c r="U823" s="135"/>
      <c r="V823" s="135"/>
      <c r="W823" s="135"/>
      <c r="X823" s="135"/>
    </row>
    <row r="824" ht="15.75" customHeight="1">
      <c r="G824" s="159"/>
      <c r="T824" s="135"/>
      <c r="U824" s="135"/>
      <c r="V824" s="135"/>
      <c r="W824" s="135"/>
      <c r="X824" s="135"/>
    </row>
    <row r="825" ht="15.75" customHeight="1">
      <c r="G825" s="159"/>
      <c r="T825" s="135"/>
      <c r="U825" s="135"/>
      <c r="V825" s="135"/>
      <c r="W825" s="135"/>
      <c r="X825" s="135"/>
    </row>
    <row r="826" ht="15.75" customHeight="1">
      <c r="G826" s="159"/>
      <c r="T826" s="135"/>
      <c r="U826" s="135"/>
      <c r="V826" s="135"/>
      <c r="W826" s="135"/>
      <c r="X826" s="135"/>
    </row>
    <row r="827" ht="15.75" customHeight="1">
      <c r="G827" s="159"/>
      <c r="T827" s="135"/>
      <c r="U827" s="135"/>
      <c r="V827" s="135"/>
      <c r="W827" s="135"/>
      <c r="X827" s="135"/>
    </row>
    <row r="828" ht="15.75" customHeight="1">
      <c r="G828" s="159"/>
      <c r="T828" s="135"/>
      <c r="U828" s="135"/>
      <c r="V828" s="135"/>
      <c r="W828" s="135"/>
      <c r="X828" s="135"/>
    </row>
    <row r="829" ht="15.75" customHeight="1">
      <c r="G829" s="159"/>
      <c r="T829" s="135"/>
      <c r="U829" s="135"/>
      <c r="V829" s="135"/>
      <c r="W829" s="135"/>
      <c r="X829" s="135"/>
    </row>
    <row r="830" ht="15.75" customHeight="1">
      <c r="G830" s="159"/>
      <c r="T830" s="135"/>
      <c r="U830" s="135"/>
      <c r="V830" s="135"/>
      <c r="W830" s="135"/>
      <c r="X830" s="135"/>
    </row>
    <row r="831" ht="15.75" customHeight="1">
      <c r="G831" s="159"/>
      <c r="T831" s="135"/>
      <c r="U831" s="135"/>
      <c r="V831" s="135"/>
      <c r="W831" s="135"/>
      <c r="X831" s="135"/>
    </row>
    <row r="832" ht="15.75" customHeight="1">
      <c r="G832" s="159"/>
      <c r="T832" s="135"/>
      <c r="U832" s="135"/>
      <c r="V832" s="135"/>
      <c r="W832" s="135"/>
      <c r="X832" s="135"/>
    </row>
    <row r="833" ht="15.75" customHeight="1">
      <c r="G833" s="159"/>
      <c r="T833" s="135"/>
      <c r="U833" s="135"/>
      <c r="V833" s="135"/>
      <c r="W833" s="135"/>
      <c r="X833" s="135"/>
    </row>
    <row r="834" ht="15.75" customHeight="1">
      <c r="G834" s="159"/>
      <c r="T834" s="135"/>
      <c r="U834" s="135"/>
      <c r="V834" s="135"/>
      <c r="W834" s="135"/>
      <c r="X834" s="135"/>
    </row>
    <row r="835" ht="15.75" customHeight="1">
      <c r="G835" s="159"/>
      <c r="T835" s="135"/>
      <c r="U835" s="135"/>
      <c r="V835" s="135"/>
      <c r="W835" s="135"/>
      <c r="X835" s="135"/>
    </row>
    <row r="836" ht="15.75" customHeight="1">
      <c r="G836" s="159"/>
      <c r="T836" s="135"/>
      <c r="U836" s="135"/>
      <c r="V836" s="135"/>
      <c r="W836" s="135"/>
      <c r="X836" s="135"/>
    </row>
    <row r="837" ht="15.75" customHeight="1">
      <c r="G837" s="159"/>
      <c r="T837" s="135"/>
      <c r="U837" s="135"/>
      <c r="V837" s="135"/>
      <c r="W837" s="135"/>
      <c r="X837" s="135"/>
    </row>
    <row r="838" ht="15.75" customHeight="1">
      <c r="G838" s="159"/>
      <c r="T838" s="135"/>
      <c r="U838" s="135"/>
      <c r="V838" s="135"/>
      <c r="W838" s="135"/>
      <c r="X838" s="135"/>
    </row>
    <row r="839" ht="15.75" customHeight="1">
      <c r="G839" s="159"/>
      <c r="T839" s="135"/>
      <c r="U839" s="135"/>
      <c r="V839" s="135"/>
      <c r="W839" s="135"/>
      <c r="X839" s="135"/>
    </row>
    <row r="840" ht="15.75" customHeight="1">
      <c r="G840" s="159"/>
      <c r="T840" s="135"/>
      <c r="U840" s="135"/>
      <c r="V840" s="135"/>
      <c r="W840" s="135"/>
      <c r="X840" s="135"/>
    </row>
    <row r="841" ht="15.75" customHeight="1">
      <c r="G841" s="159"/>
      <c r="T841" s="135"/>
      <c r="U841" s="135"/>
      <c r="V841" s="135"/>
      <c r="W841" s="135"/>
      <c r="X841" s="135"/>
    </row>
    <row r="842" ht="15.75" customHeight="1">
      <c r="G842" s="159"/>
      <c r="T842" s="135"/>
      <c r="U842" s="135"/>
      <c r="V842" s="135"/>
      <c r="W842" s="135"/>
      <c r="X842" s="135"/>
    </row>
    <row r="843" ht="15.75" customHeight="1">
      <c r="G843" s="159"/>
      <c r="T843" s="135"/>
      <c r="U843" s="135"/>
      <c r="V843" s="135"/>
      <c r="W843" s="135"/>
      <c r="X843" s="135"/>
    </row>
    <row r="844" ht="15.75" customHeight="1">
      <c r="G844" s="159"/>
      <c r="T844" s="135"/>
      <c r="U844" s="135"/>
      <c r="V844" s="135"/>
      <c r="W844" s="135"/>
      <c r="X844" s="135"/>
    </row>
    <row r="845" ht="15.75" customHeight="1">
      <c r="G845" s="159"/>
      <c r="T845" s="135"/>
      <c r="U845" s="135"/>
      <c r="V845" s="135"/>
      <c r="W845" s="135"/>
      <c r="X845" s="135"/>
    </row>
    <row r="846" ht="15.75" customHeight="1">
      <c r="G846" s="159"/>
      <c r="T846" s="135"/>
      <c r="U846" s="135"/>
      <c r="V846" s="135"/>
      <c r="W846" s="135"/>
      <c r="X846" s="135"/>
    </row>
    <row r="847" ht="15.75" customHeight="1">
      <c r="G847" s="159"/>
      <c r="T847" s="135"/>
      <c r="U847" s="135"/>
      <c r="V847" s="135"/>
      <c r="W847" s="135"/>
      <c r="X847" s="135"/>
    </row>
    <row r="848" ht="15.75" customHeight="1">
      <c r="G848" s="159"/>
      <c r="T848" s="135"/>
      <c r="U848" s="135"/>
      <c r="V848" s="135"/>
      <c r="W848" s="135"/>
      <c r="X848" s="135"/>
    </row>
    <row r="849" ht="15.75" customHeight="1">
      <c r="G849" s="159"/>
      <c r="T849" s="135"/>
      <c r="U849" s="135"/>
      <c r="V849" s="135"/>
      <c r="W849" s="135"/>
      <c r="X849" s="135"/>
    </row>
    <row r="850" ht="15.75" customHeight="1">
      <c r="G850" s="159"/>
      <c r="T850" s="135"/>
      <c r="U850" s="135"/>
      <c r="V850" s="135"/>
      <c r="W850" s="135"/>
      <c r="X850" s="135"/>
    </row>
    <row r="851" ht="15.75" customHeight="1">
      <c r="G851" s="159"/>
      <c r="T851" s="135"/>
      <c r="U851" s="135"/>
      <c r="V851" s="135"/>
      <c r="W851" s="135"/>
      <c r="X851" s="135"/>
    </row>
    <row r="852" ht="15.75" customHeight="1">
      <c r="G852" s="159"/>
      <c r="T852" s="135"/>
      <c r="U852" s="135"/>
      <c r="V852" s="135"/>
      <c r="W852" s="135"/>
      <c r="X852" s="135"/>
    </row>
    <row r="853" ht="15.75" customHeight="1">
      <c r="G853" s="159"/>
      <c r="T853" s="135"/>
      <c r="U853" s="135"/>
      <c r="V853" s="135"/>
      <c r="W853" s="135"/>
      <c r="X853" s="135"/>
    </row>
    <row r="854" ht="15.75" customHeight="1">
      <c r="G854" s="159"/>
      <c r="T854" s="135"/>
      <c r="U854" s="135"/>
      <c r="V854" s="135"/>
      <c r="W854" s="135"/>
      <c r="X854" s="135"/>
    </row>
    <row r="855" ht="15.75" customHeight="1">
      <c r="G855" s="159"/>
      <c r="T855" s="135"/>
      <c r="U855" s="135"/>
      <c r="V855" s="135"/>
      <c r="W855" s="135"/>
      <c r="X855" s="135"/>
    </row>
    <row r="856" ht="15.75" customHeight="1">
      <c r="G856" s="159"/>
      <c r="T856" s="135"/>
      <c r="U856" s="135"/>
      <c r="V856" s="135"/>
      <c r="W856" s="135"/>
      <c r="X856" s="135"/>
    </row>
    <row r="857" ht="15.75" customHeight="1">
      <c r="G857" s="159"/>
      <c r="T857" s="135"/>
      <c r="U857" s="135"/>
      <c r="V857" s="135"/>
      <c r="W857" s="135"/>
      <c r="X857" s="135"/>
    </row>
    <row r="858" ht="15.75" customHeight="1">
      <c r="G858" s="159"/>
      <c r="T858" s="135"/>
      <c r="U858" s="135"/>
      <c r="V858" s="135"/>
      <c r="W858" s="135"/>
      <c r="X858" s="135"/>
    </row>
    <row r="859" ht="15.75" customHeight="1">
      <c r="G859" s="159"/>
      <c r="T859" s="135"/>
      <c r="U859" s="135"/>
      <c r="V859" s="135"/>
      <c r="W859" s="135"/>
      <c r="X859" s="135"/>
    </row>
    <row r="860" ht="15.75" customHeight="1">
      <c r="G860" s="159"/>
      <c r="T860" s="135"/>
      <c r="U860" s="135"/>
      <c r="V860" s="135"/>
      <c r="W860" s="135"/>
      <c r="X860" s="135"/>
    </row>
    <row r="861" ht="15.75" customHeight="1">
      <c r="G861" s="159"/>
      <c r="T861" s="135"/>
      <c r="U861" s="135"/>
      <c r="V861" s="135"/>
      <c r="W861" s="135"/>
      <c r="X861" s="135"/>
    </row>
    <row r="862" ht="15.75" customHeight="1">
      <c r="G862" s="159"/>
      <c r="T862" s="135"/>
      <c r="U862" s="135"/>
      <c r="V862" s="135"/>
      <c r="W862" s="135"/>
      <c r="X862" s="135"/>
    </row>
    <row r="863" ht="15.75" customHeight="1">
      <c r="G863" s="159"/>
      <c r="T863" s="135"/>
      <c r="U863" s="135"/>
      <c r="V863" s="135"/>
      <c r="W863" s="135"/>
      <c r="X863" s="135"/>
    </row>
    <row r="864" ht="15.75" customHeight="1">
      <c r="G864" s="159"/>
      <c r="T864" s="135"/>
      <c r="U864" s="135"/>
      <c r="V864" s="135"/>
      <c r="W864" s="135"/>
      <c r="X864" s="135"/>
    </row>
    <row r="865" ht="15.75" customHeight="1">
      <c r="G865" s="159"/>
      <c r="T865" s="135"/>
      <c r="U865" s="135"/>
      <c r="V865" s="135"/>
      <c r="W865" s="135"/>
      <c r="X865" s="135"/>
    </row>
    <row r="866" ht="15.75" customHeight="1">
      <c r="G866" s="159"/>
      <c r="T866" s="135"/>
      <c r="U866" s="135"/>
      <c r="V866" s="135"/>
      <c r="W866" s="135"/>
      <c r="X866" s="135"/>
    </row>
    <row r="867" ht="15.75" customHeight="1">
      <c r="G867" s="159"/>
      <c r="T867" s="135"/>
      <c r="U867" s="135"/>
      <c r="V867" s="135"/>
      <c r="W867" s="135"/>
      <c r="X867" s="135"/>
    </row>
    <row r="868" ht="15.75" customHeight="1">
      <c r="G868" s="159"/>
      <c r="T868" s="135"/>
      <c r="U868" s="135"/>
      <c r="V868" s="135"/>
      <c r="W868" s="135"/>
      <c r="X868" s="135"/>
    </row>
    <row r="869" ht="15.75" customHeight="1">
      <c r="G869" s="159"/>
      <c r="T869" s="135"/>
      <c r="U869" s="135"/>
      <c r="V869" s="135"/>
      <c r="W869" s="135"/>
      <c r="X869" s="135"/>
    </row>
    <row r="870" ht="15.75" customHeight="1">
      <c r="G870" s="159"/>
      <c r="T870" s="135"/>
      <c r="U870" s="135"/>
      <c r="V870" s="135"/>
      <c r="W870" s="135"/>
      <c r="X870" s="135"/>
    </row>
    <row r="871" ht="15.75" customHeight="1">
      <c r="G871" s="159"/>
      <c r="T871" s="135"/>
      <c r="U871" s="135"/>
      <c r="V871" s="135"/>
      <c r="W871" s="135"/>
      <c r="X871" s="135"/>
    </row>
    <row r="872" ht="15.75" customHeight="1">
      <c r="G872" s="159"/>
      <c r="T872" s="135"/>
      <c r="U872" s="135"/>
      <c r="V872" s="135"/>
      <c r="W872" s="135"/>
      <c r="X872" s="135"/>
    </row>
    <row r="873" ht="15.75" customHeight="1">
      <c r="G873" s="159"/>
      <c r="T873" s="135"/>
      <c r="U873" s="135"/>
      <c r="V873" s="135"/>
      <c r="W873" s="135"/>
      <c r="X873" s="135"/>
    </row>
    <row r="874" ht="15.75" customHeight="1">
      <c r="G874" s="159"/>
      <c r="T874" s="135"/>
      <c r="U874" s="135"/>
      <c r="V874" s="135"/>
      <c r="W874" s="135"/>
      <c r="X874" s="135"/>
    </row>
    <row r="875" ht="15.75" customHeight="1">
      <c r="G875" s="159"/>
      <c r="T875" s="135"/>
      <c r="U875" s="135"/>
      <c r="V875" s="135"/>
      <c r="W875" s="135"/>
      <c r="X875" s="135"/>
    </row>
    <row r="876" ht="15.75" customHeight="1">
      <c r="G876" s="159"/>
      <c r="T876" s="135"/>
      <c r="U876" s="135"/>
      <c r="V876" s="135"/>
      <c r="W876" s="135"/>
      <c r="X876" s="135"/>
    </row>
    <row r="877" ht="15.75" customHeight="1">
      <c r="G877" s="159"/>
      <c r="T877" s="135"/>
      <c r="U877" s="135"/>
      <c r="V877" s="135"/>
      <c r="W877" s="135"/>
      <c r="X877" s="135"/>
    </row>
    <row r="878" ht="15.75" customHeight="1">
      <c r="G878" s="159"/>
      <c r="T878" s="135"/>
      <c r="U878" s="135"/>
      <c r="V878" s="135"/>
      <c r="W878" s="135"/>
      <c r="X878" s="135"/>
    </row>
    <row r="879" ht="15.75" customHeight="1">
      <c r="G879" s="159"/>
      <c r="T879" s="135"/>
      <c r="U879" s="135"/>
      <c r="V879" s="135"/>
      <c r="W879" s="135"/>
      <c r="X879" s="135"/>
    </row>
    <row r="880" ht="15.75" customHeight="1">
      <c r="G880" s="159"/>
      <c r="T880" s="135"/>
      <c r="U880" s="135"/>
      <c r="V880" s="135"/>
      <c r="W880" s="135"/>
      <c r="X880" s="135"/>
    </row>
    <row r="881" ht="15.75" customHeight="1">
      <c r="G881" s="159"/>
      <c r="T881" s="135"/>
      <c r="U881" s="135"/>
      <c r="V881" s="135"/>
      <c r="W881" s="135"/>
      <c r="X881" s="135"/>
    </row>
    <row r="882" ht="15.75" customHeight="1">
      <c r="G882" s="159"/>
      <c r="T882" s="135"/>
      <c r="U882" s="135"/>
      <c r="V882" s="135"/>
      <c r="W882" s="135"/>
      <c r="X882" s="135"/>
    </row>
    <row r="883" ht="15.75" customHeight="1">
      <c r="G883" s="159"/>
      <c r="T883" s="135"/>
      <c r="U883" s="135"/>
      <c r="V883" s="135"/>
      <c r="W883" s="135"/>
      <c r="X883" s="135"/>
    </row>
    <row r="884" ht="15.75" customHeight="1">
      <c r="G884" s="159"/>
      <c r="T884" s="135"/>
      <c r="U884" s="135"/>
      <c r="V884" s="135"/>
      <c r="W884" s="135"/>
      <c r="X884" s="135"/>
    </row>
    <row r="885" ht="15.75" customHeight="1">
      <c r="G885" s="159"/>
      <c r="T885" s="135"/>
      <c r="U885" s="135"/>
      <c r="V885" s="135"/>
      <c r="W885" s="135"/>
      <c r="X885" s="135"/>
    </row>
    <row r="886" ht="15.75" customHeight="1">
      <c r="G886" s="159"/>
      <c r="T886" s="135"/>
      <c r="U886" s="135"/>
      <c r="V886" s="135"/>
      <c r="W886" s="135"/>
      <c r="X886" s="135"/>
    </row>
    <row r="887" ht="15.75" customHeight="1">
      <c r="G887" s="159"/>
      <c r="T887" s="135"/>
      <c r="U887" s="135"/>
      <c r="V887" s="135"/>
      <c r="W887" s="135"/>
      <c r="X887" s="135"/>
    </row>
    <row r="888" ht="15.75" customHeight="1">
      <c r="G888" s="159"/>
      <c r="T888" s="135"/>
      <c r="U888" s="135"/>
      <c r="V888" s="135"/>
      <c r="W888" s="135"/>
      <c r="X888" s="135"/>
    </row>
    <row r="889" ht="15.75" customHeight="1">
      <c r="G889" s="159"/>
      <c r="T889" s="135"/>
      <c r="U889" s="135"/>
      <c r="V889" s="135"/>
      <c r="W889" s="135"/>
      <c r="X889" s="135"/>
    </row>
    <row r="890" ht="15.75" customHeight="1">
      <c r="G890" s="159"/>
      <c r="T890" s="135"/>
      <c r="U890" s="135"/>
      <c r="V890" s="135"/>
      <c r="W890" s="135"/>
      <c r="X890" s="135"/>
    </row>
    <row r="891" ht="15.75" customHeight="1">
      <c r="G891" s="159"/>
      <c r="T891" s="135"/>
      <c r="U891" s="135"/>
      <c r="V891" s="135"/>
      <c r="W891" s="135"/>
      <c r="X891" s="135"/>
    </row>
    <row r="892" ht="15.75" customHeight="1">
      <c r="G892" s="159"/>
      <c r="T892" s="135"/>
      <c r="U892" s="135"/>
      <c r="V892" s="135"/>
      <c r="W892" s="135"/>
      <c r="X892" s="135"/>
    </row>
    <row r="893" ht="15.75" customHeight="1">
      <c r="G893" s="159"/>
      <c r="T893" s="135"/>
      <c r="U893" s="135"/>
      <c r="V893" s="135"/>
      <c r="W893" s="135"/>
      <c r="X893" s="135"/>
    </row>
    <row r="894" ht="15.75" customHeight="1">
      <c r="G894" s="159"/>
      <c r="T894" s="135"/>
      <c r="U894" s="135"/>
      <c r="V894" s="135"/>
      <c r="W894" s="135"/>
      <c r="X894" s="135"/>
    </row>
    <row r="895" ht="15.75" customHeight="1">
      <c r="G895" s="159"/>
      <c r="T895" s="135"/>
      <c r="U895" s="135"/>
      <c r="V895" s="135"/>
      <c r="W895" s="135"/>
      <c r="X895" s="135"/>
    </row>
    <row r="896" ht="15.75" customHeight="1">
      <c r="G896" s="159"/>
      <c r="T896" s="135"/>
      <c r="U896" s="135"/>
      <c r="V896" s="135"/>
      <c r="W896" s="135"/>
      <c r="X896" s="135"/>
    </row>
    <row r="897" ht="15.75" customHeight="1">
      <c r="G897" s="159"/>
      <c r="T897" s="135"/>
      <c r="U897" s="135"/>
      <c r="V897" s="135"/>
      <c r="W897" s="135"/>
      <c r="X897" s="135"/>
    </row>
    <row r="898" ht="15.75" customHeight="1">
      <c r="G898" s="159"/>
      <c r="T898" s="135"/>
      <c r="U898" s="135"/>
      <c r="V898" s="135"/>
      <c r="W898" s="135"/>
      <c r="X898" s="135"/>
    </row>
    <row r="899" ht="15.75" customHeight="1">
      <c r="G899" s="159"/>
      <c r="T899" s="135"/>
      <c r="U899" s="135"/>
      <c r="V899" s="135"/>
      <c r="W899" s="135"/>
      <c r="X899" s="135"/>
    </row>
    <row r="900" ht="15.75" customHeight="1">
      <c r="G900" s="159"/>
      <c r="T900" s="135"/>
      <c r="U900" s="135"/>
      <c r="V900" s="135"/>
      <c r="W900" s="135"/>
      <c r="X900" s="135"/>
    </row>
    <row r="901" ht="15.75" customHeight="1">
      <c r="G901" s="159"/>
      <c r="T901" s="135"/>
      <c r="U901" s="135"/>
      <c r="V901" s="135"/>
      <c r="W901" s="135"/>
      <c r="X901" s="135"/>
    </row>
    <row r="902" ht="15.75" customHeight="1">
      <c r="G902" s="159"/>
      <c r="T902" s="135"/>
      <c r="U902" s="135"/>
      <c r="V902" s="135"/>
      <c r="W902" s="135"/>
      <c r="X902" s="135"/>
    </row>
    <row r="903" ht="15.75" customHeight="1">
      <c r="G903" s="159"/>
      <c r="T903" s="135"/>
      <c r="U903" s="135"/>
      <c r="V903" s="135"/>
      <c r="W903" s="135"/>
      <c r="X903" s="135"/>
    </row>
    <row r="904" ht="15.75" customHeight="1">
      <c r="G904" s="159"/>
      <c r="T904" s="135"/>
      <c r="U904" s="135"/>
      <c r="V904" s="135"/>
      <c r="W904" s="135"/>
      <c r="X904" s="135"/>
    </row>
    <row r="905" ht="15.75" customHeight="1">
      <c r="G905" s="159"/>
      <c r="T905" s="135"/>
      <c r="U905" s="135"/>
      <c r="V905" s="135"/>
      <c r="W905" s="135"/>
      <c r="X905" s="135"/>
    </row>
    <row r="906" ht="15.75" customHeight="1">
      <c r="G906" s="159"/>
      <c r="T906" s="135"/>
      <c r="U906" s="135"/>
      <c r="V906" s="135"/>
      <c r="W906" s="135"/>
      <c r="X906" s="135"/>
    </row>
    <row r="907" ht="15.75" customHeight="1">
      <c r="G907" s="159"/>
      <c r="T907" s="135"/>
      <c r="U907" s="135"/>
      <c r="V907" s="135"/>
      <c r="W907" s="135"/>
      <c r="X907" s="135"/>
    </row>
    <row r="908" ht="15.75" customHeight="1">
      <c r="G908" s="159"/>
      <c r="T908" s="135"/>
      <c r="U908" s="135"/>
      <c r="V908" s="135"/>
      <c r="W908" s="135"/>
      <c r="X908" s="135"/>
    </row>
    <row r="909" ht="15.75" customHeight="1">
      <c r="G909" s="159"/>
      <c r="T909" s="135"/>
      <c r="U909" s="135"/>
      <c r="V909" s="135"/>
      <c r="W909" s="135"/>
      <c r="X909" s="135"/>
    </row>
    <row r="910" ht="15.75" customHeight="1">
      <c r="G910" s="159"/>
      <c r="T910" s="135"/>
      <c r="U910" s="135"/>
      <c r="V910" s="135"/>
      <c r="W910" s="135"/>
      <c r="X910" s="135"/>
    </row>
    <row r="911" ht="15.75" customHeight="1">
      <c r="G911" s="159"/>
      <c r="T911" s="135"/>
      <c r="U911" s="135"/>
      <c r="V911" s="135"/>
      <c r="W911" s="135"/>
      <c r="X911" s="135"/>
    </row>
    <row r="912" ht="15.75" customHeight="1">
      <c r="G912" s="159"/>
      <c r="T912" s="135"/>
      <c r="U912" s="135"/>
      <c r="V912" s="135"/>
      <c r="W912" s="135"/>
      <c r="X912" s="135"/>
    </row>
    <row r="913" ht="15.75" customHeight="1">
      <c r="G913" s="159"/>
      <c r="T913" s="135"/>
      <c r="U913" s="135"/>
      <c r="V913" s="135"/>
      <c r="W913" s="135"/>
      <c r="X913" s="135"/>
    </row>
    <row r="914" ht="15.75" customHeight="1">
      <c r="G914" s="159"/>
      <c r="T914" s="135"/>
      <c r="U914" s="135"/>
      <c r="V914" s="135"/>
      <c r="W914" s="135"/>
      <c r="X914" s="135"/>
    </row>
    <row r="915" ht="15.75" customHeight="1">
      <c r="G915" s="159"/>
      <c r="T915" s="135"/>
      <c r="U915" s="135"/>
      <c r="V915" s="135"/>
      <c r="W915" s="135"/>
      <c r="X915" s="135"/>
    </row>
    <row r="916" ht="15.75" customHeight="1">
      <c r="G916" s="159"/>
      <c r="T916" s="135"/>
      <c r="U916" s="135"/>
      <c r="V916" s="135"/>
      <c r="W916" s="135"/>
      <c r="X916" s="135"/>
    </row>
    <row r="917" ht="15.75" customHeight="1">
      <c r="G917" s="159"/>
      <c r="T917" s="135"/>
      <c r="U917" s="135"/>
      <c r="V917" s="135"/>
      <c r="W917" s="135"/>
      <c r="X917" s="135"/>
    </row>
    <row r="918" ht="15.75" customHeight="1">
      <c r="G918" s="159"/>
      <c r="T918" s="135"/>
      <c r="U918" s="135"/>
      <c r="V918" s="135"/>
      <c r="W918" s="135"/>
      <c r="X918" s="135"/>
    </row>
    <row r="919" ht="15.75" customHeight="1">
      <c r="G919" s="159"/>
      <c r="T919" s="135"/>
      <c r="U919" s="135"/>
      <c r="V919" s="135"/>
      <c r="W919" s="135"/>
      <c r="X919" s="135"/>
    </row>
    <row r="920" ht="15.75" customHeight="1">
      <c r="G920" s="159"/>
      <c r="T920" s="135"/>
      <c r="U920" s="135"/>
      <c r="V920" s="135"/>
      <c r="W920" s="135"/>
      <c r="X920" s="135"/>
    </row>
    <row r="921" ht="15.75" customHeight="1">
      <c r="G921" s="159"/>
      <c r="T921" s="135"/>
      <c r="U921" s="135"/>
      <c r="V921" s="135"/>
      <c r="W921" s="135"/>
      <c r="X921" s="135"/>
    </row>
    <row r="922" ht="15.75" customHeight="1">
      <c r="G922" s="159"/>
      <c r="T922" s="135"/>
      <c r="U922" s="135"/>
      <c r="V922" s="135"/>
      <c r="W922" s="135"/>
      <c r="X922" s="135"/>
    </row>
    <row r="923" ht="15.75" customHeight="1">
      <c r="G923" s="159"/>
      <c r="T923" s="135"/>
      <c r="U923" s="135"/>
      <c r="V923" s="135"/>
      <c r="W923" s="135"/>
      <c r="X923" s="135"/>
    </row>
    <row r="924" ht="15.75" customHeight="1">
      <c r="G924" s="159"/>
      <c r="T924" s="135"/>
      <c r="U924" s="135"/>
      <c r="V924" s="135"/>
      <c r="W924" s="135"/>
      <c r="X924" s="135"/>
    </row>
    <row r="925" ht="15.75" customHeight="1">
      <c r="G925" s="159"/>
      <c r="T925" s="135"/>
      <c r="U925" s="135"/>
      <c r="V925" s="135"/>
      <c r="W925" s="135"/>
      <c r="X925" s="135"/>
    </row>
    <row r="926" ht="15.75" customHeight="1">
      <c r="G926" s="159"/>
      <c r="T926" s="135"/>
      <c r="U926" s="135"/>
      <c r="V926" s="135"/>
      <c r="W926" s="135"/>
      <c r="X926" s="135"/>
    </row>
    <row r="927" ht="15.75" customHeight="1">
      <c r="G927" s="159"/>
      <c r="T927" s="135"/>
      <c r="U927" s="135"/>
      <c r="V927" s="135"/>
      <c r="W927" s="135"/>
      <c r="X927" s="135"/>
    </row>
    <row r="928" ht="15.75" customHeight="1">
      <c r="G928" s="159"/>
      <c r="T928" s="135"/>
      <c r="U928" s="135"/>
      <c r="V928" s="135"/>
      <c r="W928" s="135"/>
      <c r="X928" s="135"/>
    </row>
    <row r="929" ht="15.75" customHeight="1">
      <c r="G929" s="159"/>
      <c r="T929" s="135"/>
      <c r="U929" s="135"/>
      <c r="V929" s="135"/>
      <c r="W929" s="135"/>
      <c r="X929" s="135"/>
    </row>
    <row r="930" ht="15.75" customHeight="1">
      <c r="G930" s="159"/>
      <c r="T930" s="135"/>
      <c r="U930" s="135"/>
      <c r="V930" s="135"/>
      <c r="W930" s="135"/>
      <c r="X930" s="135"/>
    </row>
    <row r="931" ht="15.75" customHeight="1">
      <c r="G931" s="159"/>
      <c r="T931" s="135"/>
      <c r="U931" s="135"/>
      <c r="V931" s="135"/>
      <c r="W931" s="135"/>
      <c r="X931" s="135"/>
    </row>
    <row r="932" ht="15.75" customHeight="1">
      <c r="G932" s="159"/>
      <c r="T932" s="135"/>
      <c r="U932" s="135"/>
      <c r="V932" s="135"/>
      <c r="W932" s="135"/>
      <c r="X932" s="135"/>
    </row>
    <row r="933" ht="15.75" customHeight="1">
      <c r="G933" s="159"/>
      <c r="T933" s="135"/>
      <c r="U933" s="135"/>
      <c r="V933" s="135"/>
      <c r="W933" s="135"/>
      <c r="X933" s="135"/>
    </row>
    <row r="934" ht="15.75" customHeight="1">
      <c r="G934" s="159"/>
      <c r="T934" s="135"/>
      <c r="U934" s="135"/>
      <c r="V934" s="135"/>
      <c r="W934" s="135"/>
      <c r="X934" s="135"/>
    </row>
    <row r="935" ht="15.75" customHeight="1">
      <c r="G935" s="159"/>
      <c r="T935" s="135"/>
      <c r="U935" s="135"/>
      <c r="V935" s="135"/>
      <c r="W935" s="135"/>
      <c r="X935" s="135"/>
    </row>
    <row r="936" ht="15.75" customHeight="1">
      <c r="G936" s="159"/>
      <c r="T936" s="135"/>
      <c r="U936" s="135"/>
      <c r="V936" s="135"/>
      <c r="W936" s="135"/>
      <c r="X936" s="135"/>
    </row>
    <row r="937" ht="15.75" customHeight="1">
      <c r="G937" s="159"/>
      <c r="T937" s="135"/>
      <c r="U937" s="135"/>
      <c r="V937" s="135"/>
      <c r="W937" s="135"/>
      <c r="X937" s="135"/>
    </row>
    <row r="938" ht="15.75" customHeight="1">
      <c r="G938" s="159"/>
      <c r="T938" s="135"/>
      <c r="U938" s="135"/>
      <c r="V938" s="135"/>
      <c r="W938" s="135"/>
      <c r="X938" s="135"/>
    </row>
    <row r="939" ht="15.75" customHeight="1">
      <c r="G939" s="159"/>
      <c r="T939" s="135"/>
      <c r="U939" s="135"/>
      <c r="V939" s="135"/>
      <c r="W939" s="135"/>
      <c r="X939" s="135"/>
    </row>
    <row r="940" ht="15.75" customHeight="1">
      <c r="G940" s="159"/>
      <c r="T940" s="135"/>
      <c r="U940" s="135"/>
      <c r="V940" s="135"/>
      <c r="W940" s="135"/>
      <c r="X940" s="135"/>
    </row>
    <row r="941" ht="15.75" customHeight="1">
      <c r="G941" s="159"/>
      <c r="T941" s="135"/>
      <c r="U941" s="135"/>
      <c r="V941" s="135"/>
      <c r="W941" s="135"/>
      <c r="X941" s="135"/>
    </row>
    <row r="942" ht="15.75" customHeight="1">
      <c r="G942" s="159"/>
      <c r="T942" s="135"/>
      <c r="U942" s="135"/>
      <c r="V942" s="135"/>
      <c r="W942" s="135"/>
      <c r="X942" s="135"/>
    </row>
    <row r="943" ht="15.75" customHeight="1">
      <c r="G943" s="159"/>
      <c r="T943" s="135"/>
      <c r="U943" s="135"/>
      <c r="V943" s="135"/>
      <c r="W943" s="135"/>
      <c r="X943" s="135"/>
    </row>
    <row r="944" ht="15.75" customHeight="1">
      <c r="G944" s="159"/>
      <c r="T944" s="135"/>
      <c r="U944" s="135"/>
      <c r="V944" s="135"/>
      <c r="W944" s="135"/>
      <c r="X944" s="135"/>
    </row>
    <row r="945" ht="15.75" customHeight="1">
      <c r="G945" s="159"/>
      <c r="T945" s="135"/>
      <c r="U945" s="135"/>
      <c r="V945" s="135"/>
      <c r="W945" s="135"/>
      <c r="X945" s="135"/>
    </row>
    <row r="946" ht="15.75" customHeight="1">
      <c r="G946" s="159"/>
      <c r="T946" s="135"/>
      <c r="U946" s="135"/>
      <c r="V946" s="135"/>
      <c r="W946" s="135"/>
      <c r="X946" s="135"/>
    </row>
    <row r="947" ht="15.75" customHeight="1">
      <c r="G947" s="159"/>
      <c r="T947" s="135"/>
      <c r="U947" s="135"/>
      <c r="V947" s="135"/>
      <c r="W947" s="135"/>
      <c r="X947" s="135"/>
    </row>
    <row r="948" ht="15.75" customHeight="1">
      <c r="G948" s="159"/>
      <c r="T948" s="135"/>
      <c r="U948" s="135"/>
      <c r="V948" s="135"/>
      <c r="W948" s="135"/>
      <c r="X948" s="135"/>
    </row>
    <row r="949" ht="15.75" customHeight="1">
      <c r="G949" s="159"/>
      <c r="T949" s="135"/>
      <c r="U949" s="135"/>
      <c r="V949" s="135"/>
      <c r="W949" s="135"/>
      <c r="X949" s="135"/>
    </row>
    <row r="950" ht="15.75" customHeight="1">
      <c r="G950" s="159"/>
      <c r="T950" s="135"/>
      <c r="U950" s="135"/>
      <c r="V950" s="135"/>
      <c r="W950" s="135"/>
      <c r="X950" s="135"/>
    </row>
    <row r="951" ht="15.75" customHeight="1">
      <c r="G951" s="159"/>
      <c r="T951" s="135"/>
      <c r="U951" s="135"/>
      <c r="V951" s="135"/>
      <c r="W951" s="135"/>
      <c r="X951" s="135"/>
    </row>
    <row r="952" ht="15.75" customHeight="1">
      <c r="G952" s="159"/>
      <c r="T952" s="135"/>
      <c r="U952" s="135"/>
      <c r="V952" s="135"/>
      <c r="W952" s="135"/>
      <c r="X952" s="135"/>
    </row>
    <row r="953" ht="15.75" customHeight="1">
      <c r="G953" s="159"/>
      <c r="T953" s="135"/>
      <c r="U953" s="135"/>
      <c r="V953" s="135"/>
      <c r="W953" s="135"/>
      <c r="X953" s="135"/>
    </row>
    <row r="954" ht="15.75" customHeight="1">
      <c r="G954" s="159"/>
      <c r="T954" s="135"/>
      <c r="U954" s="135"/>
      <c r="V954" s="135"/>
      <c r="W954" s="135"/>
      <c r="X954" s="135"/>
    </row>
    <row r="955" ht="15.75" customHeight="1">
      <c r="G955" s="159"/>
      <c r="T955" s="135"/>
      <c r="U955" s="135"/>
      <c r="V955" s="135"/>
      <c r="W955" s="135"/>
      <c r="X955" s="135"/>
    </row>
    <row r="956" ht="15.75" customHeight="1">
      <c r="G956" s="159"/>
      <c r="T956" s="135"/>
      <c r="U956" s="135"/>
      <c r="V956" s="135"/>
      <c r="W956" s="135"/>
      <c r="X956" s="135"/>
    </row>
    <row r="957" ht="15.75" customHeight="1">
      <c r="G957" s="159"/>
      <c r="T957" s="135"/>
      <c r="U957" s="135"/>
      <c r="V957" s="135"/>
      <c r="W957" s="135"/>
      <c r="X957" s="135"/>
    </row>
    <row r="958" ht="15.75" customHeight="1">
      <c r="G958" s="159"/>
      <c r="T958" s="135"/>
      <c r="U958" s="135"/>
      <c r="V958" s="135"/>
      <c r="W958" s="135"/>
      <c r="X958" s="135"/>
    </row>
    <row r="959" ht="15.75" customHeight="1">
      <c r="G959" s="159"/>
      <c r="T959" s="135"/>
      <c r="U959" s="135"/>
      <c r="V959" s="135"/>
      <c r="W959" s="135"/>
      <c r="X959" s="135"/>
    </row>
    <row r="960" ht="15.75" customHeight="1">
      <c r="G960" s="159"/>
      <c r="T960" s="135"/>
      <c r="U960" s="135"/>
      <c r="V960" s="135"/>
      <c r="W960" s="135"/>
      <c r="X960" s="135"/>
    </row>
    <row r="961" ht="15.75" customHeight="1">
      <c r="G961" s="159"/>
      <c r="T961" s="135"/>
      <c r="U961" s="135"/>
      <c r="V961" s="135"/>
      <c r="W961" s="135"/>
      <c r="X961" s="135"/>
    </row>
    <row r="962" ht="15.75" customHeight="1">
      <c r="G962" s="159"/>
      <c r="T962" s="135"/>
      <c r="U962" s="135"/>
      <c r="V962" s="135"/>
      <c r="W962" s="135"/>
      <c r="X962" s="135"/>
    </row>
    <row r="963" ht="15.75" customHeight="1">
      <c r="G963" s="159"/>
      <c r="T963" s="135"/>
      <c r="U963" s="135"/>
      <c r="V963" s="135"/>
      <c r="W963" s="135"/>
      <c r="X963" s="135"/>
    </row>
    <row r="964" ht="15.75" customHeight="1">
      <c r="G964" s="159"/>
      <c r="T964" s="135"/>
      <c r="U964" s="135"/>
      <c r="V964" s="135"/>
      <c r="W964" s="135"/>
      <c r="X964" s="135"/>
    </row>
    <row r="965" ht="15.75" customHeight="1">
      <c r="G965" s="159"/>
      <c r="T965" s="135"/>
      <c r="U965" s="135"/>
      <c r="V965" s="135"/>
      <c r="W965" s="135"/>
      <c r="X965" s="135"/>
    </row>
    <row r="966" ht="15.75" customHeight="1">
      <c r="G966" s="159"/>
      <c r="T966" s="135"/>
      <c r="U966" s="135"/>
      <c r="V966" s="135"/>
      <c r="W966" s="135"/>
      <c r="X966" s="135"/>
    </row>
    <row r="967" ht="15.75" customHeight="1">
      <c r="G967" s="159"/>
      <c r="T967" s="135"/>
      <c r="U967" s="135"/>
      <c r="V967" s="135"/>
      <c r="W967" s="135"/>
      <c r="X967" s="135"/>
    </row>
    <row r="968" ht="15.75" customHeight="1">
      <c r="G968" s="159"/>
      <c r="T968" s="135"/>
      <c r="U968" s="135"/>
      <c r="V968" s="135"/>
      <c r="W968" s="135"/>
      <c r="X968" s="135"/>
    </row>
    <row r="969" ht="15.75" customHeight="1">
      <c r="G969" s="159"/>
      <c r="T969" s="135"/>
      <c r="U969" s="135"/>
      <c r="V969" s="135"/>
      <c r="W969" s="135"/>
      <c r="X969" s="135"/>
    </row>
    <row r="970" ht="15.75" customHeight="1">
      <c r="G970" s="159"/>
      <c r="T970" s="135"/>
      <c r="U970" s="135"/>
      <c r="V970" s="135"/>
      <c r="W970" s="135"/>
      <c r="X970" s="135"/>
    </row>
    <row r="971" ht="15.75" customHeight="1">
      <c r="G971" s="159"/>
      <c r="T971" s="135"/>
      <c r="U971" s="135"/>
      <c r="V971" s="135"/>
      <c r="W971" s="135"/>
      <c r="X971" s="135"/>
    </row>
    <row r="972" ht="15.75" customHeight="1">
      <c r="G972" s="159"/>
      <c r="T972" s="135"/>
      <c r="U972" s="135"/>
      <c r="V972" s="135"/>
      <c r="W972" s="135"/>
      <c r="X972" s="135"/>
    </row>
    <row r="973" ht="15.75" customHeight="1">
      <c r="G973" s="159"/>
      <c r="T973" s="135"/>
      <c r="U973" s="135"/>
      <c r="V973" s="135"/>
      <c r="W973" s="135"/>
      <c r="X973" s="135"/>
    </row>
    <row r="974" ht="15.75" customHeight="1">
      <c r="G974" s="159"/>
      <c r="T974" s="135"/>
      <c r="U974" s="135"/>
      <c r="V974" s="135"/>
      <c r="W974" s="135"/>
      <c r="X974" s="135"/>
    </row>
    <row r="975" ht="15.75" customHeight="1">
      <c r="G975" s="159"/>
      <c r="T975" s="135"/>
      <c r="U975" s="135"/>
      <c r="V975" s="135"/>
      <c r="W975" s="135"/>
      <c r="X975" s="135"/>
    </row>
    <row r="976" ht="15.75" customHeight="1">
      <c r="G976" s="159"/>
      <c r="T976" s="135"/>
      <c r="U976" s="135"/>
      <c r="V976" s="135"/>
      <c r="W976" s="135"/>
      <c r="X976" s="135"/>
    </row>
    <row r="977" ht="15.75" customHeight="1">
      <c r="G977" s="159"/>
      <c r="T977" s="135"/>
      <c r="U977" s="135"/>
      <c r="V977" s="135"/>
      <c r="W977" s="135"/>
      <c r="X977" s="135"/>
    </row>
    <row r="978" ht="15.75" customHeight="1">
      <c r="G978" s="159"/>
      <c r="T978" s="135"/>
      <c r="U978" s="135"/>
      <c r="V978" s="135"/>
      <c r="W978" s="135"/>
      <c r="X978" s="135"/>
    </row>
    <row r="979" ht="15.75" customHeight="1">
      <c r="G979" s="159"/>
      <c r="T979" s="135"/>
      <c r="U979" s="135"/>
      <c r="V979" s="135"/>
      <c r="W979" s="135"/>
      <c r="X979" s="135"/>
    </row>
    <row r="980" ht="15.75" customHeight="1">
      <c r="G980" s="159"/>
      <c r="T980" s="135"/>
      <c r="U980" s="135"/>
      <c r="V980" s="135"/>
      <c r="W980" s="135"/>
      <c r="X980" s="135"/>
    </row>
    <row r="981" ht="15.75" customHeight="1">
      <c r="G981" s="159"/>
      <c r="T981" s="135"/>
      <c r="U981" s="135"/>
      <c r="V981" s="135"/>
      <c r="W981" s="135"/>
      <c r="X981" s="135"/>
    </row>
    <row r="982" ht="15.75" customHeight="1">
      <c r="G982" s="159"/>
      <c r="T982" s="135"/>
      <c r="U982" s="135"/>
      <c r="V982" s="135"/>
      <c r="W982" s="135"/>
      <c r="X982" s="135"/>
    </row>
    <row r="983" ht="15.75" customHeight="1">
      <c r="G983" s="159"/>
      <c r="T983" s="135"/>
      <c r="U983" s="135"/>
      <c r="V983" s="135"/>
      <c r="W983" s="135"/>
      <c r="X983" s="135"/>
    </row>
    <row r="984" ht="15.75" customHeight="1">
      <c r="G984" s="159"/>
      <c r="T984" s="135"/>
      <c r="U984" s="135"/>
      <c r="V984" s="135"/>
      <c r="W984" s="135"/>
      <c r="X984" s="135"/>
    </row>
    <row r="985" ht="15.75" customHeight="1">
      <c r="G985" s="159"/>
      <c r="T985" s="135"/>
      <c r="U985" s="135"/>
      <c r="V985" s="135"/>
      <c r="W985" s="135"/>
      <c r="X985" s="135"/>
    </row>
    <row r="986" ht="15.75" customHeight="1">
      <c r="G986" s="159"/>
      <c r="T986" s="135"/>
      <c r="U986" s="135"/>
      <c r="V986" s="135"/>
      <c r="W986" s="135"/>
      <c r="X986" s="135"/>
    </row>
    <row r="987" ht="15.75" customHeight="1">
      <c r="G987" s="159"/>
      <c r="T987" s="135"/>
      <c r="U987" s="135"/>
      <c r="V987" s="135"/>
      <c r="W987" s="135"/>
      <c r="X987" s="135"/>
    </row>
    <row r="988" ht="15.75" customHeight="1">
      <c r="G988" s="159"/>
      <c r="T988" s="135"/>
      <c r="U988" s="135"/>
      <c r="V988" s="135"/>
      <c r="W988" s="135"/>
      <c r="X988" s="135"/>
    </row>
    <row r="989" ht="15.75" customHeight="1">
      <c r="G989" s="159"/>
      <c r="T989" s="135"/>
      <c r="U989" s="135"/>
      <c r="V989" s="135"/>
      <c r="W989" s="135"/>
      <c r="X989" s="135"/>
    </row>
    <row r="990" ht="15.75" customHeight="1">
      <c r="G990" s="159"/>
      <c r="T990" s="135"/>
      <c r="U990" s="135"/>
      <c r="V990" s="135"/>
      <c r="W990" s="135"/>
      <c r="X990" s="135"/>
    </row>
    <row r="991" ht="15.75" customHeight="1">
      <c r="G991" s="159"/>
      <c r="T991" s="135"/>
      <c r="U991" s="135"/>
      <c r="V991" s="135"/>
      <c r="W991" s="135"/>
      <c r="X991" s="135"/>
    </row>
    <row r="992" ht="15.75" customHeight="1">
      <c r="G992" s="159"/>
      <c r="T992" s="135"/>
      <c r="U992" s="135"/>
      <c r="V992" s="135"/>
      <c r="W992" s="135"/>
      <c r="X992" s="135"/>
    </row>
    <row r="993" ht="15.75" customHeight="1">
      <c r="G993" s="159"/>
      <c r="T993" s="135"/>
      <c r="U993" s="135"/>
      <c r="V993" s="135"/>
      <c r="W993" s="135"/>
      <c r="X993" s="135"/>
    </row>
    <row r="994" ht="15.75" customHeight="1">
      <c r="G994" s="159"/>
      <c r="T994" s="135"/>
      <c r="U994" s="135"/>
      <c r="V994" s="135"/>
      <c r="W994" s="135"/>
      <c r="X994" s="135"/>
    </row>
    <row r="995" ht="15.75" customHeight="1">
      <c r="G995" s="159"/>
      <c r="T995" s="135"/>
      <c r="U995" s="135"/>
      <c r="V995" s="135"/>
      <c r="W995" s="135"/>
      <c r="X995" s="135"/>
    </row>
    <row r="996" ht="15.75" customHeight="1">
      <c r="G996" s="159"/>
      <c r="T996" s="135"/>
      <c r="U996" s="135"/>
      <c r="V996" s="135"/>
      <c r="W996" s="135"/>
      <c r="X996" s="135"/>
    </row>
    <row r="997" ht="15.75" customHeight="1">
      <c r="G997" s="159"/>
      <c r="T997" s="135"/>
      <c r="U997" s="135"/>
      <c r="V997" s="135"/>
      <c r="W997" s="135"/>
      <c r="X997" s="135"/>
    </row>
    <row r="998" ht="15.75" customHeight="1">
      <c r="G998" s="159"/>
      <c r="T998" s="135"/>
      <c r="U998" s="135"/>
      <c r="V998" s="135"/>
      <c r="W998" s="135"/>
      <c r="X998" s="135"/>
    </row>
    <row r="999" ht="15.75" customHeight="1">
      <c r="G999" s="159"/>
      <c r="T999" s="135"/>
      <c r="U999" s="135"/>
      <c r="V999" s="135"/>
      <c r="W999" s="135"/>
      <c r="X999" s="135"/>
    </row>
    <row r="1000" ht="15.75" customHeight="1">
      <c r="G1000" s="159"/>
      <c r="T1000" s="135"/>
      <c r="U1000" s="135"/>
      <c r="V1000" s="135"/>
      <c r="W1000" s="135"/>
      <c r="X1000" s="135"/>
    </row>
  </sheetData>
  <customSheetViews>
    <customSheetView guid="{0189228A-91C6-49FE-B08C-2652F47CA9D4}" filter="1" showAutoFilter="1">
      <autoFilter ref="$A$3:$K$491">
        <filterColumn colId="5">
          <filters>
            <filter val="SH00326SLM"/>
            <filter val="SW190WB"/>
            <filter val="SM302WB"/>
            <filter val="PL40360SLW"/>
            <filter val="JO00310SLM"/>
            <filter val="H00344SLW"/>
            <filter val="BR00308SLM"/>
            <filter val="H00347SLW"/>
            <filter val="H00350SLMпесочный"/>
            <filter val="V50020M"/>
            <filter val="V60020M"/>
            <filter val="H403885SLW"/>
            <filter val="H40376SLW"/>
            <filter val="H403888SLWслива"/>
            <filter val="KO40371SLW"/>
            <filter val="KO40386SLM"/>
            <filter val="SV40366SLW"/>
            <filter val="PL40359SLW"/>
            <filter val="H003H00354SLM"/>
            <filter val="V41023SLWSLW"/>
            <filter val="SV40369SLM"/>
            <filter val="KO40385SLWчерный"/>
            <filter val="MA00306SLM"/>
            <filter val="H40379SLM"/>
            <filter val="V40021SLML"/>
            <filter val="KO40385SLWкэмел"/>
            <filter val="H40358SLW"/>
            <filter val="BR40355SLW"/>
            <filter val="H003H00351SLM"/>
            <filter val="V40025SLM"/>
            <filter val="V41023SLW3SLW"/>
            <filter val="V40020M"/>
            <filter val="SV40365SLW"/>
            <filter val="AN40327SLM"/>
            <filter val="AN00327SLM"/>
            <filter val="H403864SLW"/>
            <filter val="H00345SLW"/>
            <filter val="H003H00350SLM"/>
            <filter val="H40378SLM"/>
            <filter val="H40384SLM"/>
            <filter val="H403888SLWхаки"/>
            <filter val="V40026SLM"/>
            <filter val="H40359SLW"/>
            <filter val="V41023SLWV41022SLW"/>
            <filter val="H003H40356SLM"/>
            <filter val="H40390SLM"/>
            <filter val="JO00311SLM"/>
            <filter val="H40390SLMхаки"/>
            <filter val="BR00309SLM"/>
            <filter val="V40023SLM"/>
            <filter val="PX00345SLM"/>
            <filter val="H40390SLMслива"/>
            <filter val="SV40368SLW"/>
            <filter val="H003H00353SLM"/>
            <filter val="H40387SLM"/>
            <filter val="H40373SLW"/>
            <filter val="BR00332SLM"/>
            <filter val="V41021V20020W"/>
            <filter val="KO40387SLM"/>
            <filter val="H003H40355SLM"/>
            <filter val="SV40367SLW"/>
            <filter val="PX00344SLM"/>
            <filter val="V40024SLM"/>
            <filter val="V4102120W"/>
            <filter val="BR40356SLW"/>
            <filter val="H003H00352SLM"/>
            <filter val="H40372SLW"/>
            <filter val="H40386SLM"/>
            <filter val="H40357SLW"/>
            <filter val="V41023SLWV41024SLW"/>
            <filter val="фиолетовый"/>
            <filter val="PX00350SLM"/>
            <filter val="H40375SLM"/>
            <filter val="H00343SLW"/>
            <filter val="V41021V10020W"/>
            <filter val="H00348SLW"/>
            <filter val="H40400SLW"/>
            <filter val="H40389SLW"/>
            <filter val="TO00307SLM"/>
            <filter val="H003H40361SLM"/>
            <filter val="PX00347SLM"/>
            <filter val="H00343SLWпесочный"/>
            <filter val="KO40387SLMчерный"/>
            <filter val="H00349SLW"/>
            <filter val="V40022SLM"/>
            <filter val="H40390SLMпудра"/>
            <filter val="RK00317SLU"/>
            <filter val="BR00331SLM"/>
            <filter val="H40374SLW"/>
            <filter val="PX00346SLM"/>
            <filter val="KO40385SLWрозовый"/>
            <filter val="SM230WB"/>
            <filter val="KO40385SLWпудра"/>
            <filter val="BR00325SLW"/>
            <filter val="V41021SLW"/>
            <filter val="V41021V41026SLW"/>
            <filter val="AN00326SLW"/>
            <filter val="H00346SLW"/>
            <filter val="H403888SLW"/>
            <filter val="H40383SLM"/>
            <filter val="H003H40391SLM"/>
            <filter val="PX00349SLM"/>
            <filter val="PL40358SLW"/>
            <filter val="AN40326SLW"/>
            <filter val="SV40370SLM"/>
            <filter val="H403863SLW"/>
          </filters>
        </filterColumn>
      </autoFilter>
    </customSheetView>
  </customSheetViews>
  <mergeCells count="382"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8:D458"/>
    <mergeCell ref="C468:D468"/>
    <mergeCell ref="C469:D469"/>
    <mergeCell ref="C471:D471"/>
    <mergeCell ref="C472:D472"/>
    <mergeCell ref="C473:D473"/>
    <mergeCell ref="C474:D474"/>
    <mergeCell ref="C475:D475"/>
    <mergeCell ref="C485:D485"/>
    <mergeCell ref="C486:D486"/>
    <mergeCell ref="C476:D476"/>
    <mergeCell ref="C477:D477"/>
    <mergeCell ref="C478:D478"/>
    <mergeCell ref="C479:D479"/>
    <mergeCell ref="C480:D480"/>
    <mergeCell ref="C482:D482"/>
    <mergeCell ref="C483:D483"/>
    <mergeCell ref="C398:D398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1:D411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60:D460"/>
    <mergeCell ref="C461:D461"/>
    <mergeCell ref="C462:D462"/>
    <mergeCell ref="C463:D463"/>
    <mergeCell ref="C465:D465"/>
    <mergeCell ref="C466:D466"/>
    <mergeCell ref="C467:D467"/>
    <mergeCell ref="A3:K3"/>
    <mergeCell ref="L3:M3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22:D22"/>
    <mergeCell ref="C23:D23"/>
    <mergeCell ref="C24:D24"/>
    <mergeCell ref="C25:D25"/>
    <mergeCell ref="C27:D27"/>
    <mergeCell ref="C28:D28"/>
    <mergeCell ref="C32:D32"/>
    <mergeCell ref="C33:D33"/>
    <mergeCell ref="C34:D34"/>
    <mergeCell ref="C35:D35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9:D49"/>
    <mergeCell ref="C50:D50"/>
    <mergeCell ref="C51:D51"/>
    <mergeCell ref="C52:D52"/>
    <mergeCell ref="C53:D53"/>
    <mergeCell ref="C70:D70"/>
    <mergeCell ref="C72:D72"/>
    <mergeCell ref="C54:D54"/>
    <mergeCell ref="C55:D55"/>
    <mergeCell ref="C56:D56"/>
    <mergeCell ref="C57:D57"/>
    <mergeCell ref="C58:D58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73:D73"/>
    <mergeCell ref="C74:D74"/>
    <mergeCell ref="C75:D75"/>
    <mergeCell ref="C77:D77"/>
    <mergeCell ref="C79:D79"/>
    <mergeCell ref="C80:D80"/>
    <mergeCell ref="C81:D81"/>
    <mergeCell ref="C82:D82"/>
    <mergeCell ref="C83:D83"/>
    <mergeCell ref="C84:D84"/>
    <mergeCell ref="C87:D87"/>
    <mergeCell ref="C88:D88"/>
    <mergeCell ref="C89:D89"/>
    <mergeCell ref="C91:D91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1:D111"/>
    <mergeCell ref="C112:D112"/>
    <mergeCell ref="C113:D113"/>
    <mergeCell ref="C114:D114"/>
    <mergeCell ref="C115:D115"/>
    <mergeCell ref="C116:D116"/>
    <mergeCell ref="C117:D117"/>
    <mergeCell ref="C119:D119"/>
    <mergeCell ref="C122:D122"/>
    <mergeCell ref="C123:D123"/>
    <mergeCell ref="C124:D124"/>
    <mergeCell ref="C125:D125"/>
    <mergeCell ref="C126:D126"/>
    <mergeCell ref="C127:D127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50:D150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6:D206"/>
    <mergeCell ref="C207:D207"/>
    <mergeCell ref="C208:D208"/>
    <mergeCell ref="C209:D209"/>
    <mergeCell ref="C210:D210"/>
    <mergeCell ref="C211:D211"/>
    <mergeCell ref="C212:D212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88:D288"/>
    <mergeCell ref="C289:D289"/>
    <mergeCell ref="C290:D290"/>
    <mergeCell ref="C292:D292"/>
    <mergeCell ref="C293:D293"/>
    <mergeCell ref="C294:D294"/>
    <mergeCell ref="C295:D295"/>
    <mergeCell ref="C296:D296"/>
    <mergeCell ref="C298:D298"/>
    <mergeCell ref="C299:D299"/>
    <mergeCell ref="C303:D303"/>
    <mergeCell ref="C307:D307"/>
    <mergeCell ref="C309:D309"/>
    <mergeCell ref="C310:D310"/>
    <mergeCell ref="C226:D226"/>
    <mergeCell ref="C227:D227"/>
    <mergeCell ref="C228:D228"/>
    <mergeCell ref="C229:D229"/>
    <mergeCell ref="C230:D230"/>
    <mergeCell ref="C235:D235"/>
    <mergeCell ref="C237:D237"/>
    <mergeCell ref="C238:D238"/>
    <mergeCell ref="C241:D241"/>
    <mergeCell ref="C242:D242"/>
    <mergeCell ref="C243:D243"/>
    <mergeCell ref="C244:D244"/>
    <mergeCell ref="C245:D245"/>
    <mergeCell ref="C246:D246"/>
    <mergeCell ref="C248:D248"/>
    <mergeCell ref="C249:D249"/>
    <mergeCell ref="C251:D251"/>
    <mergeCell ref="C253:D253"/>
    <mergeCell ref="C254:D254"/>
    <mergeCell ref="C255:D255"/>
    <mergeCell ref="C259:D259"/>
    <mergeCell ref="C260:D260"/>
    <mergeCell ref="C261:D261"/>
    <mergeCell ref="C262:D262"/>
    <mergeCell ref="C263:D263"/>
    <mergeCell ref="C268:D268"/>
    <mergeCell ref="C269:D269"/>
    <mergeCell ref="C270:D270"/>
    <mergeCell ref="C272:D272"/>
    <mergeCell ref="C273:D273"/>
    <mergeCell ref="C274:D274"/>
    <mergeCell ref="C276:D276"/>
    <mergeCell ref="C277:D277"/>
    <mergeCell ref="C278:D278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2:D322"/>
    <mergeCell ref="C323:D323"/>
    <mergeCell ref="C324:D324"/>
    <mergeCell ref="C325:D325"/>
    <mergeCell ref="C326:D326"/>
    <mergeCell ref="C327:D327"/>
    <mergeCell ref="C332:D332"/>
    <mergeCell ref="C338:D338"/>
    <mergeCell ref="C339:D339"/>
    <mergeCell ref="C340:D340"/>
    <mergeCell ref="C341:D341"/>
    <mergeCell ref="C343:D343"/>
    <mergeCell ref="C344:D344"/>
    <mergeCell ref="C345:D345"/>
    <mergeCell ref="C346:D346"/>
    <mergeCell ref="C347:D347"/>
    <mergeCell ref="C348:D348"/>
    <mergeCell ref="C350:D350"/>
    <mergeCell ref="C351:D351"/>
    <mergeCell ref="C352:D352"/>
    <mergeCell ref="C353:D353"/>
    <mergeCell ref="C354:D354"/>
    <mergeCell ref="C357:D357"/>
    <mergeCell ref="C358:D358"/>
    <mergeCell ref="C359:D359"/>
    <mergeCell ref="C360:D360"/>
    <mergeCell ref="C361:D361"/>
    <mergeCell ref="C362:D362"/>
    <mergeCell ref="C364:D364"/>
    <mergeCell ref="C365:D365"/>
    <mergeCell ref="C367:D367"/>
    <mergeCell ref="C372:D372"/>
    <mergeCell ref="C373:D373"/>
    <mergeCell ref="C374:D374"/>
    <mergeCell ref="C375:D375"/>
    <mergeCell ref="C376:D376"/>
    <mergeCell ref="C377:D377"/>
    <mergeCell ref="C379:D379"/>
    <mergeCell ref="C380:D380"/>
    <mergeCell ref="C382:D382"/>
    <mergeCell ref="C383:D383"/>
    <mergeCell ref="C385:D385"/>
    <mergeCell ref="C388:D388"/>
    <mergeCell ref="C389:D389"/>
    <mergeCell ref="C393:D393"/>
    <mergeCell ref="C395:D395"/>
    <mergeCell ref="C397:D397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2.63"/>
    <col customWidth="1" min="4" max="4" width="11.38"/>
    <col customWidth="1" min="5" max="5" width="1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1.63"/>
    <col customWidth="1" min="2" max="26" width="9.63"/>
  </cols>
  <sheetData>
    <row r="1" ht="15.75" customHeight="1">
      <c r="A1" s="161"/>
    </row>
    <row r="2" ht="15.75" customHeight="1">
      <c r="A2" s="162" t="s">
        <v>236</v>
      </c>
    </row>
    <row r="3" ht="15.75" customHeight="1">
      <c r="A3" s="25"/>
    </row>
    <row r="4" ht="15.75" customHeight="1">
      <c r="A4" s="25"/>
    </row>
    <row r="5" ht="15.75" customHeight="1">
      <c r="A5" s="28"/>
    </row>
    <row r="6" ht="19.5" customHeight="1">
      <c r="A6" s="163" t="s">
        <v>237</v>
      </c>
    </row>
    <row r="7" ht="20.25" customHeight="1">
      <c r="A7" s="24" t="s">
        <v>238</v>
      </c>
    </row>
    <row r="8" ht="15.75" customHeight="1">
      <c r="A8" s="161"/>
    </row>
    <row r="9" ht="15.75" customHeight="1">
      <c r="A9" s="161"/>
    </row>
    <row r="10" ht="15.75" customHeight="1">
      <c r="A10" s="161"/>
    </row>
    <row r="11" ht="15.75" customHeight="1">
      <c r="A11" s="161"/>
    </row>
    <row r="12" ht="15.75" customHeight="1">
      <c r="A12" s="161"/>
    </row>
    <row r="13" ht="15.75" customHeight="1">
      <c r="A13" s="161"/>
    </row>
    <row r="14" ht="15.75" customHeight="1">
      <c r="A14" s="161"/>
    </row>
    <row r="15" ht="15.75" customHeight="1">
      <c r="A15" s="161"/>
    </row>
    <row r="16" ht="15.75" customHeight="1">
      <c r="A16" s="161"/>
    </row>
    <row r="17" ht="15.75" customHeight="1">
      <c r="A17" s="161"/>
    </row>
    <row r="18" ht="15.75" customHeight="1">
      <c r="A18" s="161"/>
    </row>
    <row r="19" ht="15.75" customHeight="1">
      <c r="A19" s="161"/>
    </row>
    <row r="20" ht="15.75" customHeight="1">
      <c r="A20" s="161"/>
    </row>
    <row r="21" ht="15.75" customHeight="1">
      <c r="A21" s="161"/>
    </row>
    <row r="22" ht="15.75" customHeight="1">
      <c r="A22" s="161"/>
    </row>
    <row r="23" ht="15.75" customHeight="1">
      <c r="A23" s="161"/>
    </row>
    <row r="24" ht="15.75" customHeight="1">
      <c r="A24" s="161"/>
    </row>
    <row r="25" ht="15.75" customHeight="1">
      <c r="A25" s="161"/>
    </row>
    <row r="26" ht="15.75" customHeight="1">
      <c r="A26" s="161"/>
    </row>
    <row r="27" ht="15.75" customHeight="1">
      <c r="A27" s="161"/>
    </row>
    <row r="28" ht="15.75" customHeight="1">
      <c r="A28" s="161"/>
    </row>
    <row r="29" ht="15.75" customHeight="1">
      <c r="A29" s="161"/>
    </row>
    <row r="30" ht="15.75" customHeight="1">
      <c r="A30" s="161"/>
    </row>
    <row r="31" ht="15.75" customHeight="1">
      <c r="A31" s="161"/>
    </row>
    <row r="32" ht="15.75" customHeight="1">
      <c r="A32" s="161"/>
    </row>
    <row r="33" ht="15.75" customHeight="1">
      <c r="A33" s="161"/>
    </row>
    <row r="34" ht="15.75" customHeight="1">
      <c r="A34" s="161"/>
    </row>
    <row r="35" ht="15.75" customHeight="1">
      <c r="A35" s="161"/>
    </row>
    <row r="36" ht="15.75" customHeight="1">
      <c r="A36" s="161"/>
    </row>
    <row r="37" ht="15.75" customHeight="1">
      <c r="A37" s="161"/>
    </row>
    <row r="38" ht="15.75" customHeight="1">
      <c r="A38" s="161"/>
    </row>
    <row r="39" ht="15.75" customHeight="1">
      <c r="A39" s="161"/>
    </row>
    <row r="40" ht="15.75" customHeight="1">
      <c r="A40" s="161"/>
    </row>
    <row r="41" ht="15.75" customHeight="1">
      <c r="A41" s="161"/>
    </row>
    <row r="42" ht="15.75" customHeight="1">
      <c r="A42" s="161"/>
    </row>
    <row r="43" ht="15.75" customHeight="1">
      <c r="A43" s="161"/>
    </row>
    <row r="44" ht="15.75" customHeight="1">
      <c r="A44" s="161"/>
    </row>
    <row r="45" ht="15.75" customHeight="1">
      <c r="A45" s="161"/>
    </row>
    <row r="46" ht="15.75" customHeight="1">
      <c r="A46" s="161"/>
    </row>
    <row r="47" ht="15.75" customHeight="1">
      <c r="A47" s="161"/>
    </row>
    <row r="48" ht="15.75" customHeight="1">
      <c r="A48" s="161"/>
    </row>
    <row r="49" ht="15.75" customHeight="1">
      <c r="A49" s="161"/>
    </row>
    <row r="50" ht="15.75" customHeight="1">
      <c r="A50" s="161"/>
    </row>
    <row r="51" ht="15.75" customHeight="1">
      <c r="A51" s="161"/>
    </row>
    <row r="52" ht="15.75" customHeight="1">
      <c r="A52" s="161"/>
    </row>
    <row r="53" ht="15.75" customHeight="1">
      <c r="A53" s="161"/>
    </row>
    <row r="54" ht="15.75" customHeight="1">
      <c r="A54" s="161"/>
    </row>
    <row r="55" ht="15.75" customHeight="1">
      <c r="A55" s="161"/>
    </row>
    <row r="56" ht="15.75" customHeight="1">
      <c r="A56" s="161"/>
    </row>
    <row r="57" ht="15.75" customHeight="1">
      <c r="A57" s="161"/>
    </row>
    <row r="58" ht="15.75" customHeight="1">
      <c r="A58" s="161"/>
    </row>
    <row r="59" ht="15.75" customHeight="1">
      <c r="A59" s="161"/>
    </row>
    <row r="60" ht="15.75" customHeight="1">
      <c r="A60" s="161"/>
    </row>
    <row r="61" ht="15.75" customHeight="1">
      <c r="A61" s="161"/>
    </row>
    <row r="62" ht="15.75" customHeight="1">
      <c r="A62" s="161"/>
    </row>
    <row r="63" ht="15.75" customHeight="1">
      <c r="A63" s="161"/>
    </row>
    <row r="64" ht="15.75" customHeight="1">
      <c r="A64" s="161"/>
    </row>
    <row r="65" ht="15.75" customHeight="1">
      <c r="A65" s="161"/>
    </row>
    <row r="66" ht="15.75" customHeight="1">
      <c r="A66" s="161"/>
    </row>
    <row r="67" ht="15.75" customHeight="1">
      <c r="A67" s="161"/>
    </row>
    <row r="68" ht="15.75" customHeight="1">
      <c r="A68" s="161"/>
    </row>
    <row r="69" ht="15.75" customHeight="1">
      <c r="A69" s="161"/>
    </row>
    <row r="70" ht="15.75" customHeight="1">
      <c r="A70" s="161"/>
    </row>
    <row r="71" ht="15.75" customHeight="1">
      <c r="A71" s="161"/>
    </row>
    <row r="72" ht="15.75" customHeight="1">
      <c r="A72" s="161"/>
    </row>
    <row r="73" ht="15.75" customHeight="1">
      <c r="A73" s="161"/>
    </row>
    <row r="74" ht="15.75" customHeight="1">
      <c r="A74" s="161"/>
    </row>
    <row r="75" ht="15.75" customHeight="1">
      <c r="A75" s="161"/>
    </row>
    <row r="76" ht="15.75" customHeight="1">
      <c r="A76" s="161"/>
    </row>
    <row r="77" ht="15.75" customHeight="1">
      <c r="A77" s="161"/>
    </row>
    <row r="78" ht="15.75" customHeight="1">
      <c r="A78" s="161"/>
    </row>
    <row r="79" ht="15.75" customHeight="1">
      <c r="A79" s="161"/>
    </row>
    <row r="80" ht="15.75" customHeight="1">
      <c r="A80" s="161"/>
    </row>
    <row r="81" ht="15.75" customHeight="1">
      <c r="A81" s="161"/>
    </row>
    <row r="82" ht="15.75" customHeight="1">
      <c r="A82" s="161"/>
    </row>
    <row r="83" ht="15.75" customHeight="1">
      <c r="A83" s="161"/>
    </row>
    <row r="84" ht="15.75" customHeight="1">
      <c r="A84" s="161"/>
    </row>
    <row r="85" ht="15.75" customHeight="1">
      <c r="A85" s="161"/>
    </row>
    <row r="86" ht="15.75" customHeight="1">
      <c r="A86" s="161"/>
    </row>
    <row r="87" ht="15.75" customHeight="1">
      <c r="A87" s="161"/>
    </row>
    <row r="88" ht="15.75" customHeight="1">
      <c r="A88" s="161"/>
    </row>
    <row r="89" ht="15.75" customHeight="1">
      <c r="A89" s="161"/>
    </row>
    <row r="90" ht="15.75" customHeight="1">
      <c r="A90" s="161"/>
    </row>
    <row r="91" ht="15.75" customHeight="1">
      <c r="A91" s="161"/>
    </row>
    <row r="92" ht="15.75" customHeight="1">
      <c r="A92" s="161"/>
    </row>
    <row r="93" ht="15.75" customHeight="1">
      <c r="A93" s="161"/>
    </row>
    <row r="94" ht="15.75" customHeight="1">
      <c r="A94" s="161"/>
    </row>
    <row r="95" ht="15.75" customHeight="1">
      <c r="A95" s="161"/>
    </row>
    <row r="96" ht="15.75" customHeight="1">
      <c r="A96" s="161"/>
    </row>
    <row r="97" ht="15.75" customHeight="1">
      <c r="A97" s="161"/>
    </row>
    <row r="98" ht="15.75" customHeight="1">
      <c r="A98" s="161"/>
    </row>
    <row r="99" ht="15.75" customHeight="1">
      <c r="A99" s="161"/>
    </row>
    <row r="100" ht="15.75" customHeight="1">
      <c r="A100" s="161"/>
    </row>
    <row r="101" ht="15.75" customHeight="1">
      <c r="A101" s="161"/>
    </row>
    <row r="102" ht="15.75" customHeight="1">
      <c r="A102" s="161"/>
    </row>
    <row r="103" ht="15.75" customHeight="1">
      <c r="A103" s="161"/>
    </row>
    <row r="104" ht="15.75" customHeight="1">
      <c r="A104" s="161"/>
    </row>
    <row r="105" ht="15.75" customHeight="1">
      <c r="A105" s="161"/>
    </row>
    <row r="106" ht="15.75" customHeight="1">
      <c r="A106" s="161"/>
    </row>
    <row r="107" ht="15.75" customHeight="1">
      <c r="A107" s="161"/>
    </row>
    <row r="108" ht="15.75" customHeight="1">
      <c r="A108" s="161"/>
    </row>
    <row r="109" ht="15.75" customHeight="1">
      <c r="A109" s="161"/>
    </row>
    <row r="110" ht="15.75" customHeight="1">
      <c r="A110" s="161"/>
    </row>
    <row r="111" ht="15.75" customHeight="1">
      <c r="A111" s="161"/>
    </row>
    <row r="112" ht="15.75" customHeight="1">
      <c r="A112" s="161"/>
    </row>
    <row r="113" ht="15.75" customHeight="1">
      <c r="A113" s="161"/>
    </row>
    <row r="114" ht="15.75" customHeight="1">
      <c r="A114" s="161"/>
    </row>
    <row r="115" ht="15.75" customHeight="1">
      <c r="A115" s="161"/>
    </row>
    <row r="116" ht="15.75" customHeight="1">
      <c r="A116" s="161"/>
    </row>
    <row r="117" ht="15.75" customHeight="1">
      <c r="A117" s="161"/>
    </row>
    <row r="118" ht="15.75" customHeight="1">
      <c r="A118" s="161"/>
    </row>
    <row r="119" ht="15.75" customHeight="1">
      <c r="A119" s="161"/>
    </row>
    <row r="120" ht="15.75" customHeight="1">
      <c r="A120" s="161"/>
    </row>
    <row r="121" ht="15.75" customHeight="1">
      <c r="A121" s="161"/>
    </row>
    <row r="122" ht="15.75" customHeight="1">
      <c r="A122" s="161"/>
    </row>
    <row r="123" ht="15.75" customHeight="1">
      <c r="A123" s="161"/>
    </row>
    <row r="124" ht="15.75" customHeight="1">
      <c r="A124" s="161"/>
    </row>
    <row r="125" ht="15.75" customHeight="1">
      <c r="A125" s="161"/>
    </row>
    <row r="126" ht="15.75" customHeight="1">
      <c r="A126" s="161"/>
    </row>
    <row r="127" ht="15.75" customHeight="1">
      <c r="A127" s="161"/>
    </row>
    <row r="128" ht="15.75" customHeight="1">
      <c r="A128" s="161"/>
    </row>
    <row r="129" ht="15.75" customHeight="1">
      <c r="A129" s="161"/>
    </row>
    <row r="130" ht="15.75" customHeight="1">
      <c r="A130" s="161"/>
    </row>
    <row r="131" ht="15.75" customHeight="1">
      <c r="A131" s="161"/>
    </row>
    <row r="132" ht="15.75" customHeight="1">
      <c r="A132" s="161"/>
    </row>
    <row r="133" ht="15.75" customHeight="1">
      <c r="A133" s="161"/>
    </row>
    <row r="134" ht="15.75" customHeight="1">
      <c r="A134" s="161"/>
    </row>
    <row r="135" ht="15.75" customHeight="1">
      <c r="A135" s="161"/>
    </row>
    <row r="136" ht="15.75" customHeight="1">
      <c r="A136" s="161"/>
    </row>
    <row r="137" ht="15.75" customHeight="1">
      <c r="A137" s="161"/>
    </row>
    <row r="138" ht="15.75" customHeight="1">
      <c r="A138" s="161"/>
    </row>
    <row r="139" ht="15.75" customHeight="1">
      <c r="A139" s="161"/>
    </row>
    <row r="140" ht="15.75" customHeight="1">
      <c r="A140" s="161"/>
    </row>
    <row r="141" ht="15.75" customHeight="1">
      <c r="A141" s="161"/>
    </row>
    <row r="142" ht="15.75" customHeight="1">
      <c r="A142" s="161"/>
    </row>
    <row r="143" ht="15.75" customHeight="1">
      <c r="A143" s="161"/>
    </row>
    <row r="144" ht="15.75" customHeight="1">
      <c r="A144" s="161"/>
    </row>
    <row r="145" ht="15.75" customHeight="1">
      <c r="A145" s="161"/>
    </row>
    <row r="146" ht="15.75" customHeight="1">
      <c r="A146" s="161"/>
    </row>
    <row r="147" ht="15.75" customHeight="1">
      <c r="A147" s="161"/>
    </row>
    <row r="148" ht="15.75" customHeight="1">
      <c r="A148" s="161"/>
    </row>
    <row r="149" ht="15.75" customHeight="1">
      <c r="A149" s="161"/>
    </row>
    <row r="150" ht="15.75" customHeight="1">
      <c r="A150" s="161"/>
    </row>
    <row r="151" ht="15.75" customHeight="1">
      <c r="A151" s="161"/>
    </row>
    <row r="152" ht="15.75" customHeight="1">
      <c r="A152" s="161"/>
    </row>
    <row r="153" ht="15.75" customHeight="1">
      <c r="A153" s="161"/>
    </row>
    <row r="154" ht="15.75" customHeight="1">
      <c r="A154" s="161"/>
    </row>
    <row r="155" ht="15.75" customHeight="1">
      <c r="A155" s="161"/>
    </row>
    <row r="156" ht="15.75" customHeight="1">
      <c r="A156" s="161"/>
    </row>
    <row r="157" ht="15.75" customHeight="1">
      <c r="A157" s="161"/>
    </row>
    <row r="158" ht="15.75" customHeight="1">
      <c r="A158" s="161"/>
    </row>
    <row r="159" ht="15.75" customHeight="1">
      <c r="A159" s="161"/>
    </row>
    <row r="160" ht="15.75" customHeight="1">
      <c r="A160" s="161"/>
    </row>
    <row r="161" ht="15.75" customHeight="1">
      <c r="A161" s="161"/>
    </row>
    <row r="162" ht="15.75" customHeight="1">
      <c r="A162" s="161"/>
    </row>
    <row r="163" ht="15.75" customHeight="1">
      <c r="A163" s="161"/>
    </row>
    <row r="164" ht="15.75" customHeight="1">
      <c r="A164" s="161"/>
    </row>
    <row r="165" ht="15.75" customHeight="1">
      <c r="A165" s="161"/>
    </row>
    <row r="166" ht="15.75" customHeight="1">
      <c r="A166" s="161"/>
    </row>
    <row r="167" ht="15.75" customHeight="1">
      <c r="A167" s="161"/>
    </row>
    <row r="168" ht="15.75" customHeight="1">
      <c r="A168" s="161"/>
    </row>
    <row r="169" ht="15.75" customHeight="1">
      <c r="A169" s="161"/>
    </row>
    <row r="170" ht="15.75" customHeight="1">
      <c r="A170" s="161"/>
    </row>
    <row r="171" ht="15.75" customHeight="1">
      <c r="A171" s="161"/>
    </row>
    <row r="172" ht="15.75" customHeight="1">
      <c r="A172" s="161"/>
    </row>
    <row r="173" ht="15.75" customHeight="1">
      <c r="A173" s="161"/>
    </row>
    <row r="174" ht="15.75" customHeight="1">
      <c r="A174" s="161"/>
    </row>
    <row r="175" ht="15.75" customHeight="1">
      <c r="A175" s="161"/>
    </row>
    <row r="176" ht="15.75" customHeight="1">
      <c r="A176" s="161"/>
    </row>
    <row r="177" ht="15.75" customHeight="1">
      <c r="A177" s="161"/>
    </row>
    <row r="178" ht="15.75" customHeight="1">
      <c r="A178" s="161"/>
    </row>
    <row r="179" ht="15.75" customHeight="1">
      <c r="A179" s="161"/>
    </row>
    <row r="180" ht="15.75" customHeight="1">
      <c r="A180" s="161"/>
    </row>
    <row r="181" ht="15.75" customHeight="1">
      <c r="A181" s="161"/>
    </row>
    <row r="182" ht="15.75" customHeight="1">
      <c r="A182" s="161"/>
    </row>
    <row r="183" ht="15.75" customHeight="1">
      <c r="A183" s="161"/>
    </row>
    <row r="184" ht="15.75" customHeight="1">
      <c r="A184" s="161"/>
    </row>
    <row r="185" ht="15.75" customHeight="1">
      <c r="A185" s="161"/>
    </row>
    <row r="186" ht="15.75" customHeight="1">
      <c r="A186" s="161"/>
    </row>
    <row r="187" ht="15.75" customHeight="1">
      <c r="A187" s="161"/>
    </row>
    <row r="188" ht="15.75" customHeight="1">
      <c r="A188" s="161"/>
    </row>
    <row r="189" ht="15.75" customHeight="1">
      <c r="A189" s="161"/>
    </row>
    <row r="190" ht="15.75" customHeight="1">
      <c r="A190" s="161"/>
    </row>
    <row r="191" ht="15.75" customHeight="1">
      <c r="A191" s="161"/>
    </row>
    <row r="192" ht="15.75" customHeight="1">
      <c r="A192" s="161"/>
    </row>
    <row r="193" ht="15.75" customHeight="1">
      <c r="A193" s="161"/>
    </row>
    <row r="194" ht="15.75" customHeight="1">
      <c r="A194" s="161"/>
    </row>
    <row r="195" ht="15.75" customHeight="1">
      <c r="A195" s="161"/>
    </row>
    <row r="196" ht="15.75" customHeight="1">
      <c r="A196" s="161"/>
    </row>
    <row r="197" ht="15.75" customHeight="1">
      <c r="A197" s="161"/>
    </row>
    <row r="198" ht="15.75" customHeight="1">
      <c r="A198" s="161"/>
    </row>
    <row r="199" ht="15.75" customHeight="1">
      <c r="A199" s="161"/>
    </row>
    <row r="200" ht="15.75" customHeight="1">
      <c r="A200" s="161"/>
    </row>
    <row r="201" ht="15.75" customHeight="1">
      <c r="A201" s="161"/>
    </row>
    <row r="202" ht="15.75" customHeight="1">
      <c r="A202" s="161"/>
    </row>
    <row r="203" ht="15.75" customHeight="1">
      <c r="A203" s="161"/>
    </row>
    <row r="204" ht="15.75" customHeight="1">
      <c r="A204" s="161"/>
    </row>
    <row r="205" ht="15.75" customHeight="1">
      <c r="A205" s="161"/>
    </row>
    <row r="206" ht="15.75" customHeight="1">
      <c r="A206" s="161"/>
    </row>
    <row r="207" ht="15.75" customHeight="1">
      <c r="A207" s="161"/>
    </row>
    <row r="208" ht="15.75" customHeight="1">
      <c r="A208" s="161"/>
    </row>
    <row r="209" ht="15.75" customHeight="1">
      <c r="A209" s="161"/>
    </row>
    <row r="210" ht="15.75" customHeight="1">
      <c r="A210" s="161"/>
    </row>
    <row r="211" ht="15.75" customHeight="1">
      <c r="A211" s="161"/>
    </row>
    <row r="212" ht="15.75" customHeight="1">
      <c r="A212" s="161"/>
    </row>
    <row r="213" ht="15.75" customHeight="1">
      <c r="A213" s="161"/>
    </row>
    <row r="214" ht="15.75" customHeight="1">
      <c r="A214" s="161"/>
    </row>
    <row r="215" ht="15.75" customHeight="1">
      <c r="A215" s="161"/>
    </row>
    <row r="216" ht="15.75" customHeight="1">
      <c r="A216" s="161"/>
    </row>
    <row r="217" ht="15.75" customHeight="1">
      <c r="A217" s="161"/>
    </row>
    <row r="218" ht="15.75" customHeight="1">
      <c r="A218" s="161"/>
    </row>
    <row r="219" ht="15.75" customHeight="1">
      <c r="A219" s="161"/>
    </row>
    <row r="220" ht="15.75" customHeight="1">
      <c r="A220" s="16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9.63"/>
  </cols>
  <sheetData>
    <row r="1" ht="15.75" customHeight="1">
      <c r="A1" s="133" t="str">
        <f>IFERROR(__xludf.DUMMYFUNCTION("IMPORTRANGE(""https://docs.google.com/spreadsheets/d/1K-o5wJCs87yZqHllp2l8B2Odc3DtiAXPFeHw4b6UmQo/edit#gid=660797547"",""Себестоимость !A1:G2957"")"),"Артикул")</f>
        <v>Артикул</v>
      </c>
      <c r="B1" s="164" t="str">
        <f>IFERROR(__xludf.DUMMYFUNCTION("""COMPUTED_VALUE"""),"WB ID")</f>
        <v>WB ID</v>
      </c>
      <c r="C1" s="164" t="str">
        <f>IFERROR(__xludf.DUMMYFUNCTION("""COMPUTED_VALUE"""),"сцепка WB ID")</f>
        <v>сцепка WB ID</v>
      </c>
      <c r="D1" s="164" t="str">
        <f>IFERROR(__xludf.DUMMYFUNCTION("""COMPUTED_VALUE"""),"Цвет")</f>
        <v>Цвет</v>
      </c>
      <c r="E1" s="164" t="str">
        <f>IFERROR(__xludf.DUMMYFUNCTION("""COMPUTED_VALUE"""),"Размеры")</f>
        <v>Размеры</v>
      </c>
      <c r="F1" s="133" t="str">
        <f>IFERROR(__xludf.DUMMYFUNCTION("""COMPUTED_VALUE"""),"сцепка")</f>
        <v>сцепка</v>
      </c>
      <c r="G1" s="165" t="str">
        <f>IFERROR(__xludf.DUMMYFUNCTION("""COMPUTED_VALUE"""),"Текущая средняя себеста 01.06.21")</f>
        <v>Текущая средняя себеста 01.06.21</v>
      </c>
    </row>
    <row r="2" ht="15.75" customHeight="1">
      <c r="A2" s="133" t="str">
        <f>IFERROR(__xludf.DUMMYFUNCTION("""COMPUTED_VALUE"""),"H00343SLW")</f>
        <v>H00343SLW</v>
      </c>
      <c r="B2" s="164">
        <f>IFERROR(__xludf.DUMMYFUNCTION("""COMPUTED_VALUE"""),1.3889284E7)</f>
        <v>13889284</v>
      </c>
      <c r="C2" s="164" t="str">
        <f>IFERROR(__xludf.DUMMYFUNCTION("""COMPUTED_VALUE"""),"1388928440-54")</f>
        <v>1388928440-54</v>
      </c>
      <c r="D2" s="164" t="str">
        <f>IFERROR(__xludf.DUMMYFUNCTION("""COMPUTED_VALUE"""),"Черный")</f>
        <v>Черный</v>
      </c>
      <c r="E2" s="164" t="str">
        <f>IFERROR(__xludf.DUMMYFUNCTION("""COMPUTED_VALUE"""),"40-54")</f>
        <v>40-54</v>
      </c>
      <c r="F2" s="133" t="str">
        <f>IFERROR(__xludf.DUMMYFUNCTION("""COMPUTED_VALUE"""),"H00343SLW40-54")</f>
        <v>H00343SLW40-54</v>
      </c>
      <c r="G2" s="165">
        <f>IFERROR(__xludf.DUMMYFUNCTION("""COMPUTED_VALUE"""),699.0)</f>
        <v>699</v>
      </c>
    </row>
    <row r="3" ht="15.75" customHeight="1">
      <c r="A3" s="133" t="str">
        <f>IFERROR(__xludf.DUMMYFUNCTION("""COMPUTED_VALUE"""),"H00344SLW")</f>
        <v>H00344SLW</v>
      </c>
      <c r="B3" s="164">
        <f>IFERROR(__xludf.DUMMYFUNCTION("""COMPUTED_VALUE"""),1.3889285E7)</f>
        <v>13889285</v>
      </c>
      <c r="C3" s="164" t="str">
        <f>IFERROR(__xludf.DUMMYFUNCTION("""COMPUTED_VALUE"""),"1388928540-54")</f>
        <v>1388928540-54</v>
      </c>
      <c r="D3" s="164" t="str">
        <f>IFERROR(__xludf.DUMMYFUNCTION("""COMPUTED_VALUE"""),"Пудра")</f>
        <v>Пудра</v>
      </c>
      <c r="E3" s="164" t="str">
        <f>IFERROR(__xludf.DUMMYFUNCTION("""COMPUTED_VALUE"""),"40-54")</f>
        <v>40-54</v>
      </c>
      <c r="F3" s="133" t="str">
        <f>IFERROR(__xludf.DUMMYFUNCTION("""COMPUTED_VALUE"""),"H00344SLW40-54")</f>
        <v>H00344SLW40-54</v>
      </c>
      <c r="G3" s="165">
        <f>IFERROR(__xludf.DUMMYFUNCTION("""COMPUTED_VALUE"""),721.0)</f>
        <v>721</v>
      </c>
    </row>
    <row r="4" ht="15.75" customHeight="1">
      <c r="A4" s="133" t="str">
        <f>IFERROR(__xludf.DUMMYFUNCTION("""COMPUTED_VALUE"""),"H00345SLW")</f>
        <v>H00345SLW</v>
      </c>
      <c r="B4" s="164">
        <f>IFERROR(__xludf.DUMMYFUNCTION("""COMPUTED_VALUE"""),1.3889286E7)</f>
        <v>13889286</v>
      </c>
      <c r="C4" s="164" t="str">
        <f>IFERROR(__xludf.DUMMYFUNCTION("""COMPUTED_VALUE"""),"1388928640-54")</f>
        <v>1388928640-54</v>
      </c>
      <c r="D4" s="164" t="str">
        <f>IFERROR(__xludf.DUMMYFUNCTION("""COMPUTED_VALUE"""),"Светло-бежевый")</f>
        <v>Светло-бежевый</v>
      </c>
      <c r="E4" s="164" t="str">
        <f>IFERROR(__xludf.DUMMYFUNCTION("""COMPUTED_VALUE"""),"40-54")</f>
        <v>40-54</v>
      </c>
      <c r="F4" s="133" t="str">
        <f>IFERROR(__xludf.DUMMYFUNCTION("""COMPUTED_VALUE"""),"H00345SLW40-54")</f>
        <v>H00345SLW40-54</v>
      </c>
      <c r="G4" s="165">
        <f>IFERROR(__xludf.DUMMYFUNCTION("""COMPUTED_VALUE"""),923.0)</f>
        <v>923</v>
      </c>
    </row>
    <row r="5" ht="15.75" customHeight="1">
      <c r="A5" s="133" t="str">
        <f>IFERROR(__xludf.DUMMYFUNCTION("""COMPUTED_VALUE"""),"H00346SLW")</f>
        <v>H00346SLW</v>
      </c>
      <c r="B5" s="164">
        <f>IFERROR(__xludf.DUMMYFUNCTION("""COMPUTED_VALUE"""),1.3889287E7)</f>
        <v>13889287</v>
      </c>
      <c r="C5" s="164" t="str">
        <f>IFERROR(__xludf.DUMMYFUNCTION("""COMPUTED_VALUE"""),"1388928740-54")</f>
        <v>1388928740-54</v>
      </c>
      <c r="D5" s="164" t="str">
        <f>IFERROR(__xludf.DUMMYFUNCTION("""COMPUTED_VALUE"""),"Розовый")</f>
        <v>Розовый</v>
      </c>
      <c r="E5" s="164" t="str">
        <f>IFERROR(__xludf.DUMMYFUNCTION("""COMPUTED_VALUE"""),"40-54")</f>
        <v>40-54</v>
      </c>
      <c r="F5" s="133" t="str">
        <f>IFERROR(__xludf.DUMMYFUNCTION("""COMPUTED_VALUE"""),"H00346SLW40-54")</f>
        <v>H00346SLW40-54</v>
      </c>
      <c r="G5" s="165">
        <f>IFERROR(__xludf.DUMMYFUNCTION("""COMPUTED_VALUE"""),959.0)</f>
        <v>959</v>
      </c>
    </row>
    <row r="6" ht="15.75" customHeight="1">
      <c r="A6" s="133" t="str">
        <f>IFERROR(__xludf.DUMMYFUNCTION("""COMPUTED_VALUE"""),"H00347SLW")</f>
        <v>H00347SLW</v>
      </c>
      <c r="B6" s="164">
        <f>IFERROR(__xludf.DUMMYFUNCTION("""COMPUTED_VALUE"""),1.3889288E7)</f>
        <v>13889288</v>
      </c>
      <c r="C6" s="164" t="str">
        <f>IFERROR(__xludf.DUMMYFUNCTION("""COMPUTED_VALUE"""),"1388928840-54")</f>
        <v>1388928840-54</v>
      </c>
      <c r="D6" s="164" t="str">
        <f>IFERROR(__xludf.DUMMYFUNCTION("""COMPUTED_VALUE"""),"Бежевый")</f>
        <v>Бежевый</v>
      </c>
      <c r="E6" s="164" t="str">
        <f>IFERROR(__xludf.DUMMYFUNCTION("""COMPUTED_VALUE"""),"40-54")</f>
        <v>40-54</v>
      </c>
      <c r="F6" s="133" t="str">
        <f>IFERROR(__xludf.DUMMYFUNCTION("""COMPUTED_VALUE"""),"H00347SLW40-54")</f>
        <v>H00347SLW40-54</v>
      </c>
      <c r="G6" s="165">
        <f>IFERROR(__xludf.DUMMYFUNCTION("""COMPUTED_VALUE"""),908.0)</f>
        <v>908</v>
      </c>
    </row>
    <row r="7" ht="15.75" customHeight="1">
      <c r="A7" s="133" t="str">
        <f>IFERROR(__xludf.DUMMYFUNCTION("""COMPUTED_VALUE"""),"H00348SLW")</f>
        <v>H00348SLW</v>
      </c>
      <c r="B7" s="164">
        <f>IFERROR(__xludf.DUMMYFUNCTION("""COMPUTED_VALUE"""),1.3889289E7)</f>
        <v>13889289</v>
      </c>
      <c r="C7" s="164" t="str">
        <f>IFERROR(__xludf.DUMMYFUNCTION("""COMPUTED_VALUE"""),"1388928940-54")</f>
        <v>1388928940-54</v>
      </c>
      <c r="D7" s="164" t="str">
        <f>IFERROR(__xludf.DUMMYFUNCTION("""COMPUTED_VALUE"""),"Фиолетовый")</f>
        <v>Фиолетовый</v>
      </c>
      <c r="E7" s="164" t="str">
        <f>IFERROR(__xludf.DUMMYFUNCTION("""COMPUTED_VALUE"""),"40-54")</f>
        <v>40-54</v>
      </c>
      <c r="F7" s="133" t="str">
        <f>IFERROR(__xludf.DUMMYFUNCTION("""COMPUTED_VALUE"""),"H00348SLW40-54")</f>
        <v>H00348SLW40-54</v>
      </c>
      <c r="G7" s="165">
        <f>IFERROR(__xludf.DUMMYFUNCTION("""COMPUTED_VALUE"""),698.0)</f>
        <v>698</v>
      </c>
    </row>
    <row r="8" ht="15.75" customHeight="1">
      <c r="A8" s="133" t="str">
        <f>IFERROR(__xludf.DUMMYFUNCTION("""COMPUTED_VALUE"""),"H00349SLW")</f>
        <v>H00349SLW</v>
      </c>
      <c r="B8" s="164">
        <f>IFERROR(__xludf.DUMMYFUNCTION("""COMPUTED_VALUE"""),1.388929E7)</f>
        <v>13889290</v>
      </c>
      <c r="C8" s="164" t="str">
        <f>IFERROR(__xludf.DUMMYFUNCTION("""COMPUTED_VALUE"""),"1388929040-54")</f>
        <v>1388929040-54</v>
      </c>
      <c r="D8" s="164" t="str">
        <f>IFERROR(__xludf.DUMMYFUNCTION("""COMPUTED_VALUE"""),"Кэмел")</f>
        <v>Кэмел</v>
      </c>
      <c r="E8" s="164" t="str">
        <f>IFERROR(__xludf.DUMMYFUNCTION("""COMPUTED_VALUE"""),"40-54")</f>
        <v>40-54</v>
      </c>
      <c r="F8" s="133" t="str">
        <f>IFERROR(__xludf.DUMMYFUNCTION("""COMPUTED_VALUE"""),"H00349SLW40-54")</f>
        <v>H00349SLW40-54</v>
      </c>
      <c r="G8" s="165">
        <f>IFERROR(__xludf.DUMMYFUNCTION("""COMPUTED_VALUE"""),966.0)</f>
        <v>966</v>
      </c>
    </row>
    <row r="9" ht="15.75" customHeight="1">
      <c r="A9" s="133" t="str">
        <f>IFERROR(__xludf.DUMMYFUNCTION("""COMPUTED_VALUE"""),"H40357SLW")</f>
        <v>H40357SLW</v>
      </c>
      <c r="B9" s="164">
        <f>IFERROR(__xludf.DUMMYFUNCTION("""COMPUTED_VALUE"""),1.4601364E7)</f>
        <v>14601364</v>
      </c>
      <c r="C9" s="164" t="str">
        <f>IFERROR(__xludf.DUMMYFUNCTION("""COMPUTED_VALUE"""),"1460136440-54")</f>
        <v>1460136440-54</v>
      </c>
      <c r="D9" s="164" t="str">
        <f>IFERROR(__xludf.DUMMYFUNCTION("""COMPUTED_VALUE"""),"Морковный")</f>
        <v>Морковный</v>
      </c>
      <c r="E9" s="164" t="str">
        <f>IFERROR(__xludf.DUMMYFUNCTION("""COMPUTED_VALUE"""),"40-54")</f>
        <v>40-54</v>
      </c>
      <c r="F9" s="133" t="str">
        <f>IFERROR(__xludf.DUMMYFUNCTION("""COMPUTED_VALUE"""),"H40357SLW40-54")</f>
        <v>H40357SLW40-54</v>
      </c>
      <c r="G9" s="165">
        <f>IFERROR(__xludf.DUMMYFUNCTION("""COMPUTED_VALUE"""),854.0)</f>
        <v>854</v>
      </c>
    </row>
    <row r="10" ht="15.75" customHeight="1">
      <c r="A10" s="133" t="str">
        <f>IFERROR(__xludf.DUMMYFUNCTION("""COMPUTED_VALUE"""),"H40358SLW")</f>
        <v>H40358SLW</v>
      </c>
      <c r="B10" s="164">
        <f>IFERROR(__xludf.DUMMYFUNCTION("""COMPUTED_VALUE"""),1.4601365E7)</f>
        <v>14601365</v>
      </c>
      <c r="C10" s="164" t="str">
        <f>IFERROR(__xludf.DUMMYFUNCTION("""COMPUTED_VALUE"""),"1460136540-54")</f>
        <v>1460136540-54</v>
      </c>
      <c r="D10" s="164" t="str">
        <f>IFERROR(__xludf.DUMMYFUNCTION("""COMPUTED_VALUE"""),"Голубой")</f>
        <v>Голубой</v>
      </c>
      <c r="E10" s="164" t="str">
        <f>IFERROR(__xludf.DUMMYFUNCTION("""COMPUTED_VALUE"""),"40-54")</f>
        <v>40-54</v>
      </c>
      <c r="F10" s="133" t="str">
        <f>IFERROR(__xludf.DUMMYFUNCTION("""COMPUTED_VALUE"""),"H40358SLW40-54")</f>
        <v>H40358SLW40-54</v>
      </c>
      <c r="G10" s="165">
        <f>IFERROR(__xludf.DUMMYFUNCTION("""COMPUTED_VALUE"""),946.0)</f>
        <v>946</v>
      </c>
    </row>
    <row r="11" ht="15.75" customHeight="1">
      <c r="A11" s="133" t="str">
        <f>IFERROR(__xludf.DUMMYFUNCTION("""COMPUTED_VALUE"""),"H40359SLW")</f>
        <v>H40359SLW</v>
      </c>
      <c r="B11" s="164">
        <f>IFERROR(__xludf.DUMMYFUNCTION("""COMPUTED_VALUE"""),1.5626659E7)</f>
        <v>15626659</v>
      </c>
      <c r="C11" s="164" t="str">
        <f>IFERROR(__xludf.DUMMYFUNCTION("""COMPUTED_VALUE"""),"1562665940-54")</f>
        <v>1562665940-54</v>
      </c>
      <c r="D11" s="164" t="str">
        <f>IFERROR(__xludf.DUMMYFUNCTION("""COMPUTED_VALUE"""),"Красный")</f>
        <v>Красный</v>
      </c>
      <c r="E11" s="164" t="str">
        <f>IFERROR(__xludf.DUMMYFUNCTION("""COMPUTED_VALUE"""),"40-54")</f>
        <v>40-54</v>
      </c>
      <c r="F11" s="133" t="str">
        <f>IFERROR(__xludf.DUMMYFUNCTION("""COMPUTED_VALUE"""),"H40359SLW40-54")</f>
        <v>H40359SLW40-54</v>
      </c>
      <c r="G11" s="165">
        <f>IFERROR(__xludf.DUMMYFUNCTION("""COMPUTED_VALUE"""),885.0)</f>
        <v>885</v>
      </c>
    </row>
    <row r="12" ht="15.75" customHeight="1">
      <c r="A12" s="133" t="str">
        <f>IFERROR(__xludf.DUMMYFUNCTION("""COMPUTED_VALUE"""),"H00350SLM")</f>
        <v>H00350SLM</v>
      </c>
      <c r="B12" s="164">
        <f>IFERROR(__xludf.DUMMYFUNCTION("""COMPUTED_VALUE"""),1.3889778E7)</f>
        <v>13889778</v>
      </c>
      <c r="C12" s="164" t="str">
        <f>IFERROR(__xludf.DUMMYFUNCTION("""COMPUTED_VALUE"""),"1388977846-52")</f>
        <v>1388977846-52</v>
      </c>
      <c r="D12" s="164" t="str">
        <f>IFERROR(__xludf.DUMMYFUNCTION("""COMPUTED_VALUE"""),"Черный")</f>
        <v>Черный</v>
      </c>
      <c r="E12" s="164" t="str">
        <f>IFERROR(__xludf.DUMMYFUNCTION("""COMPUTED_VALUE"""),"46-52")</f>
        <v>46-52</v>
      </c>
      <c r="F12" s="133" t="str">
        <f>IFERROR(__xludf.DUMMYFUNCTION("""COMPUTED_VALUE"""),"H00350SLM46-52")</f>
        <v>H00350SLM46-52</v>
      </c>
      <c r="G12" s="165">
        <f>IFERROR(__xludf.DUMMYFUNCTION("""COMPUTED_VALUE"""),761.0)</f>
        <v>761</v>
      </c>
    </row>
    <row r="13" ht="15.75" customHeight="1">
      <c r="A13" s="133" t="str">
        <f>IFERROR(__xludf.DUMMYFUNCTION("""COMPUTED_VALUE"""),"H00350SLM")</f>
        <v>H00350SLM</v>
      </c>
      <c r="B13" s="164">
        <f>IFERROR(__xludf.DUMMYFUNCTION("""COMPUTED_VALUE"""),1.3889778E7)</f>
        <v>13889778</v>
      </c>
      <c r="C13" s="164" t="str">
        <f>IFERROR(__xludf.DUMMYFUNCTION("""COMPUTED_VALUE"""),"1388977852-54")</f>
        <v>1388977852-54</v>
      </c>
      <c r="D13" s="164" t="str">
        <f>IFERROR(__xludf.DUMMYFUNCTION("""COMPUTED_VALUE"""),"Черный")</f>
        <v>Черный</v>
      </c>
      <c r="E13" s="164" t="str">
        <f>IFERROR(__xludf.DUMMYFUNCTION("""COMPUTED_VALUE"""),"52-56")</f>
        <v>52-56</v>
      </c>
      <c r="F13" s="133" t="str">
        <f>IFERROR(__xludf.DUMMYFUNCTION("""COMPUTED_VALUE"""),"H00350SLM52-56")</f>
        <v>H00350SLM52-56</v>
      </c>
      <c r="G13" s="165">
        <f>IFERROR(__xludf.DUMMYFUNCTION("""COMPUTED_VALUE"""),761.0)</f>
        <v>761</v>
      </c>
    </row>
    <row r="14" ht="15.75" customHeight="1">
      <c r="A14" s="133" t="str">
        <f>IFERROR(__xludf.DUMMYFUNCTION("""COMPUTED_VALUE"""),"H003H00351SLM")</f>
        <v>H003H00351SLM</v>
      </c>
      <c r="B14" s="164">
        <f>IFERROR(__xludf.DUMMYFUNCTION("""COMPUTED_VALUE"""),1.3889779E7)</f>
        <v>13889779</v>
      </c>
      <c r="C14" s="164" t="str">
        <f>IFERROR(__xludf.DUMMYFUNCTION("""COMPUTED_VALUE"""),"1388977946-52")</f>
        <v>1388977946-52</v>
      </c>
      <c r="D14" s="164" t="str">
        <f>IFERROR(__xludf.DUMMYFUNCTION("""COMPUTED_VALUE"""),"Светло-бежевый")</f>
        <v>Светло-бежевый</v>
      </c>
      <c r="E14" s="164" t="str">
        <f>IFERROR(__xludf.DUMMYFUNCTION("""COMPUTED_VALUE"""),"46-52")</f>
        <v>46-52</v>
      </c>
      <c r="F14" s="133" t="str">
        <f>IFERROR(__xludf.DUMMYFUNCTION("""COMPUTED_VALUE"""),"H00351SLM46-52")</f>
        <v>H00351SLM46-52</v>
      </c>
      <c r="G14" s="165">
        <f>IFERROR(__xludf.DUMMYFUNCTION("""COMPUTED_VALUE"""),925.0)</f>
        <v>925</v>
      </c>
    </row>
    <row r="15" ht="15.75" customHeight="1">
      <c r="A15" s="133" t="str">
        <f>IFERROR(__xludf.DUMMYFUNCTION("""COMPUTED_VALUE"""),"H00352SLM")</f>
        <v>H00352SLM</v>
      </c>
      <c r="B15" s="164">
        <f>IFERROR(__xludf.DUMMYFUNCTION("""COMPUTED_VALUE"""),1.388978E7)</f>
        <v>13889780</v>
      </c>
      <c r="C15" s="164" t="str">
        <f>IFERROR(__xludf.DUMMYFUNCTION("""COMPUTED_VALUE"""),"1388978046-52")</f>
        <v>1388978046-52</v>
      </c>
      <c r="D15" s="164" t="str">
        <f>IFERROR(__xludf.DUMMYFUNCTION("""COMPUTED_VALUE"""),"Бежевый")</f>
        <v>Бежевый</v>
      </c>
      <c r="E15" s="164" t="str">
        <f>IFERROR(__xludf.DUMMYFUNCTION("""COMPUTED_VALUE"""),"46-52")</f>
        <v>46-52</v>
      </c>
      <c r="F15" s="133" t="str">
        <f>IFERROR(__xludf.DUMMYFUNCTION("""COMPUTED_VALUE"""),"H00352SLM46-52")</f>
        <v>H00352SLM46-52</v>
      </c>
      <c r="G15" s="165">
        <f>IFERROR(__xludf.DUMMYFUNCTION("""COMPUTED_VALUE"""),748.0)</f>
        <v>748</v>
      </c>
    </row>
    <row r="16" ht="15.75" customHeight="1">
      <c r="A16" s="133" t="str">
        <f>IFERROR(__xludf.DUMMYFUNCTION("""COMPUTED_VALUE"""),"H00352SLM")</f>
        <v>H00352SLM</v>
      </c>
      <c r="B16" s="164">
        <f>IFERROR(__xludf.DUMMYFUNCTION("""COMPUTED_VALUE"""),1.388978E7)</f>
        <v>13889780</v>
      </c>
      <c r="C16" s="164" t="str">
        <f>IFERROR(__xludf.DUMMYFUNCTION("""COMPUTED_VALUE"""),"1388978052-56")</f>
        <v>1388978052-56</v>
      </c>
      <c r="D16" s="164" t="str">
        <f>IFERROR(__xludf.DUMMYFUNCTION("""COMPUTED_VALUE"""),"Бежевый")</f>
        <v>Бежевый</v>
      </c>
      <c r="E16" s="164" t="str">
        <f>IFERROR(__xludf.DUMMYFUNCTION("""COMPUTED_VALUE"""),"52-56")</f>
        <v>52-56</v>
      </c>
      <c r="F16" s="133" t="str">
        <f>IFERROR(__xludf.DUMMYFUNCTION("""COMPUTED_VALUE"""),"H00352SLM52-56")</f>
        <v>H00352SLM52-56</v>
      </c>
      <c r="G16" s="165">
        <f>IFERROR(__xludf.DUMMYFUNCTION("""COMPUTED_VALUE"""),748.0)</f>
        <v>748</v>
      </c>
    </row>
    <row r="17" ht="15.75" customHeight="1">
      <c r="A17" s="133" t="str">
        <f>IFERROR(__xludf.DUMMYFUNCTION("""COMPUTED_VALUE"""),"H00354SLM")</f>
        <v>H00354SLM</v>
      </c>
      <c r="B17" s="164">
        <f>IFERROR(__xludf.DUMMYFUNCTION("""COMPUTED_VALUE"""),1.3889782E7)</f>
        <v>13889782</v>
      </c>
      <c r="C17" s="164" t="str">
        <f>IFERROR(__xludf.DUMMYFUNCTION("""COMPUTED_VALUE"""),"1388978246-52")</f>
        <v>1388978246-52</v>
      </c>
      <c r="D17" s="164" t="str">
        <f>IFERROR(__xludf.DUMMYFUNCTION("""COMPUTED_VALUE"""),"Фиолетовый")</f>
        <v>Фиолетовый</v>
      </c>
      <c r="E17" s="164" t="str">
        <f>IFERROR(__xludf.DUMMYFUNCTION("""COMPUTED_VALUE"""),"46-52")</f>
        <v>46-52</v>
      </c>
      <c r="F17" s="133" t="str">
        <f>IFERROR(__xludf.DUMMYFUNCTION("""COMPUTED_VALUE"""),"H00354SLM46-52")</f>
        <v>H00354SLM46-52</v>
      </c>
      <c r="G17" s="165">
        <f>IFERROR(__xludf.DUMMYFUNCTION("""COMPUTED_VALUE"""),802.0)</f>
        <v>802</v>
      </c>
    </row>
    <row r="18" ht="15.75" customHeight="1">
      <c r="A18" s="133" t="str">
        <f>IFERROR(__xludf.DUMMYFUNCTION("""COMPUTED_VALUE"""),"H00354SLM")</f>
        <v>H00354SLM</v>
      </c>
      <c r="B18" s="164">
        <f>IFERROR(__xludf.DUMMYFUNCTION("""COMPUTED_VALUE"""),1.3889782E7)</f>
        <v>13889782</v>
      </c>
      <c r="C18" s="164" t="str">
        <f>IFERROR(__xludf.DUMMYFUNCTION("""COMPUTED_VALUE"""),"1388978252-56")</f>
        <v>1388978252-56</v>
      </c>
      <c r="D18" s="164" t="str">
        <f>IFERROR(__xludf.DUMMYFUNCTION("""COMPUTED_VALUE"""),"Фиолетовый")</f>
        <v>Фиолетовый</v>
      </c>
      <c r="E18" s="164" t="str">
        <f>IFERROR(__xludf.DUMMYFUNCTION("""COMPUTED_VALUE"""),"52-56")</f>
        <v>52-56</v>
      </c>
      <c r="F18" s="133" t="str">
        <f>IFERROR(__xludf.DUMMYFUNCTION("""COMPUTED_VALUE"""),"H00354SLM52-56")</f>
        <v>H00354SLM52-56</v>
      </c>
      <c r="G18" s="165">
        <f>IFERROR(__xludf.DUMMYFUNCTION("""COMPUTED_VALUE"""),802.0)</f>
        <v>802</v>
      </c>
    </row>
    <row r="19" ht="15.75" customHeight="1">
      <c r="A19" s="133" t="str">
        <f>IFERROR(__xludf.DUMMYFUNCTION("""COMPUTED_VALUE"""),"H003H00353SLM")</f>
        <v>H003H00353SLM</v>
      </c>
      <c r="B19" s="164">
        <f>IFERROR(__xludf.DUMMYFUNCTION("""COMPUTED_VALUE"""),1.3889781E7)</f>
        <v>13889781</v>
      </c>
      <c r="C19" s="164" t="str">
        <f>IFERROR(__xludf.DUMMYFUNCTION("""COMPUTED_VALUE"""),"1388978146-52")</f>
        <v>1388978146-52</v>
      </c>
      <c r="D19" s="164" t="str">
        <f>IFERROR(__xludf.DUMMYFUNCTION("""COMPUTED_VALUE"""),"Кэмел")</f>
        <v>Кэмел</v>
      </c>
      <c r="E19" s="164" t="str">
        <f>IFERROR(__xludf.DUMMYFUNCTION("""COMPUTED_VALUE"""),"46-52")</f>
        <v>46-52</v>
      </c>
      <c r="F19" s="133" t="str">
        <f>IFERROR(__xludf.DUMMYFUNCTION("""COMPUTED_VALUE"""),"H00353SLM46-52")</f>
        <v>H00353SLM46-52</v>
      </c>
      <c r="G19" s="165">
        <f>IFERROR(__xludf.DUMMYFUNCTION("""COMPUTED_VALUE"""),878.0)</f>
        <v>878</v>
      </c>
    </row>
    <row r="20" ht="15.75" customHeight="1">
      <c r="A20" s="133" t="str">
        <f>IFERROR(__xludf.DUMMYFUNCTION("""COMPUTED_VALUE"""),"H003H40355SLM")</f>
        <v>H003H40355SLM</v>
      </c>
      <c r="B20" s="164">
        <f>IFERROR(__xludf.DUMMYFUNCTION("""COMPUTED_VALUE"""),1.4601362E7)</f>
        <v>14601362</v>
      </c>
      <c r="C20" s="164" t="str">
        <f>IFERROR(__xludf.DUMMYFUNCTION("""COMPUTED_VALUE"""),"1460136246-52")</f>
        <v>1460136246-52</v>
      </c>
      <c r="D20" s="164" t="str">
        <f>IFERROR(__xludf.DUMMYFUNCTION("""COMPUTED_VALUE"""),"Морковный")</f>
        <v>Морковный</v>
      </c>
      <c r="E20" s="164" t="str">
        <f>IFERROR(__xludf.DUMMYFUNCTION("""COMPUTED_VALUE"""),"46-52")</f>
        <v>46-52</v>
      </c>
      <c r="F20" s="133" t="str">
        <f>IFERROR(__xludf.DUMMYFUNCTION("""COMPUTED_VALUE"""),"H40355SLM46-52")</f>
        <v>H40355SLM46-52</v>
      </c>
      <c r="G20" s="165">
        <f>IFERROR(__xludf.DUMMYFUNCTION("""COMPUTED_VALUE"""),885.0)</f>
        <v>885</v>
      </c>
    </row>
    <row r="21" ht="15.75" customHeight="1">
      <c r="A21" s="133" t="str">
        <f>IFERROR(__xludf.DUMMYFUNCTION("""COMPUTED_VALUE"""),"H003H40356SLM")</f>
        <v>H003H40356SLM</v>
      </c>
      <c r="B21" s="164">
        <f>IFERROR(__xludf.DUMMYFUNCTION("""COMPUTED_VALUE"""),1.4601363E7)</f>
        <v>14601363</v>
      </c>
      <c r="C21" s="164" t="str">
        <f>IFERROR(__xludf.DUMMYFUNCTION("""COMPUTED_VALUE"""),"1460136346-52")</f>
        <v>1460136346-52</v>
      </c>
      <c r="D21" s="164" t="str">
        <f>IFERROR(__xludf.DUMMYFUNCTION("""COMPUTED_VALUE"""),"Голубой")</f>
        <v>Голубой</v>
      </c>
      <c r="E21" s="164" t="str">
        <f>IFERROR(__xludf.DUMMYFUNCTION("""COMPUTED_VALUE"""),"46-52")</f>
        <v>46-52</v>
      </c>
      <c r="F21" s="133" t="str">
        <f>IFERROR(__xludf.DUMMYFUNCTION("""COMPUTED_VALUE"""),"H40356SLM46-52")</f>
        <v>H40356SLM46-52</v>
      </c>
      <c r="G21" s="165">
        <f>IFERROR(__xludf.DUMMYFUNCTION("""COMPUTED_VALUE"""),967.0)</f>
        <v>967</v>
      </c>
    </row>
    <row r="22" ht="15.75" customHeight="1">
      <c r="A22" s="133" t="str">
        <f>IFERROR(__xludf.DUMMYFUNCTION("""COMPUTED_VALUE"""),"H003H40361SLM")</f>
        <v>H003H40361SLM</v>
      </c>
      <c r="B22" s="164">
        <f>IFERROR(__xludf.DUMMYFUNCTION("""COMPUTED_VALUE"""),1.562666E7)</f>
        <v>15626660</v>
      </c>
      <c r="C22" s="164" t="str">
        <f>IFERROR(__xludf.DUMMYFUNCTION("""COMPUTED_VALUE"""),"1562666046-52")</f>
        <v>1562666046-52</v>
      </c>
      <c r="D22" s="164" t="str">
        <f>IFERROR(__xludf.DUMMYFUNCTION("""COMPUTED_VALUE"""),"Красный")</f>
        <v>Красный</v>
      </c>
      <c r="E22" s="164" t="str">
        <f>IFERROR(__xludf.DUMMYFUNCTION("""COMPUTED_VALUE"""),"46-52")</f>
        <v>46-52</v>
      </c>
      <c r="F22" s="133" t="str">
        <f>IFERROR(__xludf.DUMMYFUNCTION("""COMPUTED_VALUE"""),"H40361SLM46-52")</f>
        <v>H40361SLM46-52</v>
      </c>
      <c r="G22" s="165">
        <f>IFERROR(__xludf.DUMMYFUNCTION("""COMPUTED_VALUE"""),876.0)</f>
        <v>876</v>
      </c>
    </row>
    <row r="23" ht="15.75" customHeight="1">
      <c r="A23" s="133" t="str">
        <f>IFERROR(__xludf.DUMMYFUNCTION("""COMPUTED_VALUE"""),"TO00307SLM")</f>
        <v>TO00307SLM</v>
      </c>
      <c r="B23" s="164">
        <f>IFERROR(__xludf.DUMMYFUNCTION("""COMPUTED_VALUE"""),1.4790928E7)</f>
        <v>14790928</v>
      </c>
      <c r="C23" s="164" t="str">
        <f>IFERROR(__xludf.DUMMYFUNCTION("""COMPUTED_VALUE"""),"14790928S")</f>
        <v>14790928S</v>
      </c>
      <c r="D23" s="164" t="str">
        <f>IFERROR(__xludf.DUMMYFUNCTION("""COMPUTED_VALUE"""),"Черный, красный")</f>
        <v>Черный, красный</v>
      </c>
      <c r="E23" s="164" t="str">
        <f>IFERROR(__xludf.DUMMYFUNCTION("""COMPUTED_VALUE"""),"S")</f>
        <v>S</v>
      </c>
      <c r="F23" s="133" t="str">
        <f>IFERROR(__xludf.DUMMYFUNCTION("""COMPUTED_VALUE"""),"TO00307SLMS")</f>
        <v>TO00307SLMS</v>
      </c>
      <c r="G23" s="165">
        <f>IFERROR(__xludf.DUMMYFUNCTION("""COMPUTED_VALUE"""),1080.0)</f>
        <v>1080</v>
      </c>
    </row>
    <row r="24" ht="15.75" customHeight="1">
      <c r="A24" s="133" t="str">
        <f>IFERROR(__xludf.DUMMYFUNCTION("""COMPUTED_VALUE"""),"TO00307SLM")</f>
        <v>TO00307SLM</v>
      </c>
      <c r="B24" s="164">
        <f>IFERROR(__xludf.DUMMYFUNCTION("""COMPUTED_VALUE"""),1.4790928E7)</f>
        <v>14790928</v>
      </c>
      <c r="C24" s="164" t="str">
        <f>IFERROR(__xludf.DUMMYFUNCTION("""COMPUTED_VALUE"""),"14790928M")</f>
        <v>14790928M</v>
      </c>
      <c r="D24" s="164" t="str">
        <f>IFERROR(__xludf.DUMMYFUNCTION("""COMPUTED_VALUE"""),"Черный, красный")</f>
        <v>Черный, красный</v>
      </c>
      <c r="E24" s="164" t="str">
        <f>IFERROR(__xludf.DUMMYFUNCTION("""COMPUTED_VALUE"""),"M")</f>
        <v>M</v>
      </c>
      <c r="F24" s="133" t="str">
        <f>IFERROR(__xludf.DUMMYFUNCTION("""COMPUTED_VALUE"""),"TO00307SLMM")</f>
        <v>TO00307SLMM</v>
      </c>
      <c r="G24" s="165">
        <f>IFERROR(__xludf.DUMMYFUNCTION("""COMPUTED_VALUE"""),1080.0)</f>
        <v>1080</v>
      </c>
    </row>
    <row r="25" ht="15.75" customHeight="1">
      <c r="A25" s="133" t="str">
        <f>IFERROR(__xludf.DUMMYFUNCTION("""COMPUTED_VALUE"""),"TO00307SLM")</f>
        <v>TO00307SLM</v>
      </c>
      <c r="B25" s="164">
        <f>IFERROR(__xludf.DUMMYFUNCTION("""COMPUTED_VALUE"""),1.4790928E7)</f>
        <v>14790928</v>
      </c>
      <c r="C25" s="164" t="str">
        <f>IFERROR(__xludf.DUMMYFUNCTION("""COMPUTED_VALUE"""),"14790928L")</f>
        <v>14790928L</v>
      </c>
      <c r="D25" s="164" t="str">
        <f>IFERROR(__xludf.DUMMYFUNCTION("""COMPUTED_VALUE"""),"Черный, красный")</f>
        <v>Черный, красный</v>
      </c>
      <c r="E25" s="164" t="str">
        <f>IFERROR(__xludf.DUMMYFUNCTION("""COMPUTED_VALUE"""),"L")</f>
        <v>L</v>
      </c>
      <c r="F25" s="133" t="str">
        <f>IFERROR(__xludf.DUMMYFUNCTION("""COMPUTED_VALUE"""),"TO00307SLML")</f>
        <v>TO00307SLML</v>
      </c>
      <c r="G25" s="165">
        <f>IFERROR(__xludf.DUMMYFUNCTION("""COMPUTED_VALUE"""),1080.0)</f>
        <v>1080</v>
      </c>
    </row>
    <row r="26" ht="15.75" customHeight="1">
      <c r="A26" s="133" t="str">
        <f>IFERROR(__xludf.DUMMYFUNCTION("""COMPUTED_VALUE"""),"TO00307SLM")</f>
        <v>TO00307SLM</v>
      </c>
      <c r="B26" s="164">
        <f>IFERROR(__xludf.DUMMYFUNCTION("""COMPUTED_VALUE"""),1.4790928E7)</f>
        <v>14790928</v>
      </c>
      <c r="C26" s="164" t="str">
        <f>IFERROR(__xludf.DUMMYFUNCTION("""COMPUTED_VALUE"""),"14790928XL")</f>
        <v>14790928XL</v>
      </c>
      <c r="D26" s="164" t="str">
        <f>IFERROR(__xludf.DUMMYFUNCTION("""COMPUTED_VALUE"""),"Черный, красный")</f>
        <v>Черный, красный</v>
      </c>
      <c r="E26" s="164" t="str">
        <f>IFERROR(__xludf.DUMMYFUNCTION("""COMPUTED_VALUE"""),"XL")</f>
        <v>XL</v>
      </c>
      <c r="F26" s="133" t="str">
        <f>IFERROR(__xludf.DUMMYFUNCTION("""COMPUTED_VALUE"""),"TO00307SLMXL")</f>
        <v>TO00307SLMXL</v>
      </c>
      <c r="G26" s="165">
        <f>IFERROR(__xludf.DUMMYFUNCTION("""COMPUTED_VALUE"""),1080.0)</f>
        <v>1080</v>
      </c>
    </row>
    <row r="27" ht="15.75" customHeight="1">
      <c r="A27" s="133" t="str">
        <f>IFERROR(__xludf.DUMMYFUNCTION("""COMPUTED_VALUE"""),"TO00307SLM")</f>
        <v>TO00307SLM</v>
      </c>
      <c r="B27" s="164">
        <f>IFERROR(__xludf.DUMMYFUNCTION("""COMPUTED_VALUE"""),1.4790928E7)</f>
        <v>14790928</v>
      </c>
      <c r="C27" s="164" t="str">
        <f>IFERROR(__xludf.DUMMYFUNCTION("""COMPUTED_VALUE"""),"14790928XXL")</f>
        <v>14790928XXL</v>
      </c>
      <c r="D27" s="164" t="str">
        <f>IFERROR(__xludf.DUMMYFUNCTION("""COMPUTED_VALUE"""),"Черный, красный")</f>
        <v>Черный, красный</v>
      </c>
      <c r="E27" s="164" t="str">
        <f>IFERROR(__xludf.DUMMYFUNCTION("""COMPUTED_VALUE"""),"XXL")</f>
        <v>XXL</v>
      </c>
      <c r="F27" s="133" t="str">
        <f>IFERROR(__xludf.DUMMYFUNCTION("""COMPUTED_VALUE"""),"TO00307SLMXXL")</f>
        <v>TO00307SLMXXL</v>
      </c>
      <c r="G27" s="165">
        <f>IFERROR(__xludf.DUMMYFUNCTION("""COMPUTED_VALUE"""),1080.0)</f>
        <v>1080</v>
      </c>
    </row>
    <row r="28" ht="15.75" customHeight="1">
      <c r="A28" s="133" t="str">
        <f>IFERROR(__xludf.DUMMYFUNCTION("""COMPUTED_VALUE"""),"TO00307SLM")</f>
        <v>TO00307SLM</v>
      </c>
      <c r="B28" s="164">
        <f>IFERROR(__xludf.DUMMYFUNCTION("""COMPUTED_VALUE"""),1.4790928E7)</f>
        <v>14790928</v>
      </c>
      <c r="C28" s="164" t="str">
        <f>IFERROR(__xludf.DUMMYFUNCTION("""COMPUTED_VALUE"""),"14790928XXXL")</f>
        <v>14790928XXXL</v>
      </c>
      <c r="D28" s="164" t="str">
        <f>IFERROR(__xludf.DUMMYFUNCTION("""COMPUTED_VALUE"""),"Черный, красный")</f>
        <v>Черный, красный</v>
      </c>
      <c r="E28" s="164" t="str">
        <f>IFERROR(__xludf.DUMMYFUNCTION("""COMPUTED_VALUE"""),"XXXL")</f>
        <v>XXXL</v>
      </c>
      <c r="F28" s="133" t="str">
        <f>IFERROR(__xludf.DUMMYFUNCTION("""COMPUTED_VALUE"""),"TO00307SLMXXXL")</f>
        <v>TO00307SLMXXXL</v>
      </c>
      <c r="G28" s="165">
        <f>IFERROR(__xludf.DUMMYFUNCTION("""COMPUTED_VALUE"""),1080.0)</f>
        <v>1080</v>
      </c>
    </row>
    <row r="29" ht="15.75" customHeight="1">
      <c r="A29" s="133" t="str">
        <f>IFERROR(__xludf.DUMMYFUNCTION("""COMPUTED_VALUE"""),"AN40326SLW")</f>
        <v>AN40326SLW</v>
      </c>
      <c r="B29" s="164">
        <f>IFERROR(__xludf.DUMMYFUNCTION("""COMPUTED_VALUE"""),1.478863E7)</f>
        <v>14788630</v>
      </c>
      <c r="C29" s="164" t="str">
        <f>IFERROR(__xludf.DUMMYFUNCTION("""COMPUTED_VALUE"""),"14788630XXS")</f>
        <v>14788630XXS</v>
      </c>
      <c r="D29" s="164" t="str">
        <f>IFERROR(__xludf.DUMMYFUNCTION("""COMPUTED_VALUE"""),"Черный")</f>
        <v>Черный</v>
      </c>
      <c r="E29" s="164" t="str">
        <f>IFERROR(__xludf.DUMMYFUNCTION("""COMPUTED_VALUE"""),"XXS")</f>
        <v>XXS</v>
      </c>
      <c r="F29" s="133" t="str">
        <f>IFERROR(__xludf.DUMMYFUNCTION("""COMPUTED_VALUE"""),"AN40326SLWXXS")</f>
        <v>AN40326SLWXXS</v>
      </c>
      <c r="G29" s="165">
        <f>IFERROR(__xludf.DUMMYFUNCTION("""COMPUTED_VALUE"""),1066.0)</f>
        <v>1066</v>
      </c>
    </row>
    <row r="30" ht="15.75" customHeight="1">
      <c r="A30" s="133" t="str">
        <f>IFERROR(__xludf.DUMMYFUNCTION("""COMPUTED_VALUE"""),"AN40326SLW")</f>
        <v>AN40326SLW</v>
      </c>
      <c r="B30" s="164">
        <f>IFERROR(__xludf.DUMMYFUNCTION("""COMPUTED_VALUE"""),1.478863E7)</f>
        <v>14788630</v>
      </c>
      <c r="C30" s="164" t="str">
        <f>IFERROR(__xludf.DUMMYFUNCTION("""COMPUTED_VALUE"""),"14788630XS")</f>
        <v>14788630XS</v>
      </c>
      <c r="D30" s="164" t="str">
        <f>IFERROR(__xludf.DUMMYFUNCTION("""COMPUTED_VALUE"""),"Черный")</f>
        <v>Черный</v>
      </c>
      <c r="E30" s="164" t="str">
        <f>IFERROR(__xludf.DUMMYFUNCTION("""COMPUTED_VALUE"""),"XS")</f>
        <v>XS</v>
      </c>
      <c r="F30" s="133" t="str">
        <f>IFERROR(__xludf.DUMMYFUNCTION("""COMPUTED_VALUE"""),"AN40326SLWXS")</f>
        <v>AN40326SLWXS</v>
      </c>
      <c r="G30" s="165">
        <f>IFERROR(__xludf.DUMMYFUNCTION("""COMPUTED_VALUE"""),1066.0)</f>
        <v>1066</v>
      </c>
    </row>
    <row r="31" ht="15.75" customHeight="1">
      <c r="A31" s="133" t="str">
        <f>IFERROR(__xludf.DUMMYFUNCTION("""COMPUTED_VALUE"""),"AN40326SLW")</f>
        <v>AN40326SLW</v>
      </c>
      <c r="B31" s="164">
        <f>IFERROR(__xludf.DUMMYFUNCTION("""COMPUTED_VALUE"""),1.478863E7)</f>
        <v>14788630</v>
      </c>
      <c r="C31" s="164" t="str">
        <f>IFERROR(__xludf.DUMMYFUNCTION("""COMPUTED_VALUE"""),"14788630S")</f>
        <v>14788630S</v>
      </c>
      <c r="D31" s="164" t="str">
        <f>IFERROR(__xludf.DUMMYFUNCTION("""COMPUTED_VALUE"""),"Черный")</f>
        <v>Черный</v>
      </c>
      <c r="E31" s="164" t="str">
        <f>IFERROR(__xludf.DUMMYFUNCTION("""COMPUTED_VALUE"""),"S")</f>
        <v>S</v>
      </c>
      <c r="F31" s="133" t="str">
        <f>IFERROR(__xludf.DUMMYFUNCTION("""COMPUTED_VALUE"""),"AN40326SLWS")</f>
        <v>AN40326SLWS</v>
      </c>
      <c r="G31" s="165">
        <f>IFERROR(__xludf.DUMMYFUNCTION("""COMPUTED_VALUE"""),1066.0)</f>
        <v>1066</v>
      </c>
    </row>
    <row r="32" ht="15.75" customHeight="1">
      <c r="A32" s="133" t="str">
        <f>IFERROR(__xludf.DUMMYFUNCTION("""COMPUTED_VALUE"""),"AN40326SLW")</f>
        <v>AN40326SLW</v>
      </c>
      <c r="B32" s="164">
        <f>IFERROR(__xludf.DUMMYFUNCTION("""COMPUTED_VALUE"""),1.478863E7)</f>
        <v>14788630</v>
      </c>
      <c r="C32" s="164" t="str">
        <f>IFERROR(__xludf.DUMMYFUNCTION("""COMPUTED_VALUE"""),"14788630M")</f>
        <v>14788630M</v>
      </c>
      <c r="D32" s="164" t="str">
        <f>IFERROR(__xludf.DUMMYFUNCTION("""COMPUTED_VALUE"""),"Черный")</f>
        <v>Черный</v>
      </c>
      <c r="E32" s="164" t="str">
        <f>IFERROR(__xludf.DUMMYFUNCTION("""COMPUTED_VALUE"""),"M")</f>
        <v>M</v>
      </c>
      <c r="F32" s="133" t="str">
        <f>IFERROR(__xludf.DUMMYFUNCTION("""COMPUTED_VALUE"""),"AN40326SLWM")</f>
        <v>AN40326SLWM</v>
      </c>
      <c r="G32" s="165">
        <f>IFERROR(__xludf.DUMMYFUNCTION("""COMPUTED_VALUE"""),1066.0)</f>
        <v>1066</v>
      </c>
    </row>
    <row r="33" ht="15.75" customHeight="1">
      <c r="A33" s="133" t="str">
        <f>IFERROR(__xludf.DUMMYFUNCTION("""COMPUTED_VALUE"""),"AN40326SLW")</f>
        <v>AN40326SLW</v>
      </c>
      <c r="B33" s="164">
        <f>IFERROR(__xludf.DUMMYFUNCTION("""COMPUTED_VALUE"""),1.478863E7)</f>
        <v>14788630</v>
      </c>
      <c r="C33" s="164" t="str">
        <f>IFERROR(__xludf.DUMMYFUNCTION("""COMPUTED_VALUE"""),"14788630L")</f>
        <v>14788630L</v>
      </c>
      <c r="D33" s="164" t="str">
        <f>IFERROR(__xludf.DUMMYFUNCTION("""COMPUTED_VALUE"""),"Черный")</f>
        <v>Черный</v>
      </c>
      <c r="E33" s="164" t="str">
        <f>IFERROR(__xludf.DUMMYFUNCTION("""COMPUTED_VALUE"""),"L")</f>
        <v>L</v>
      </c>
      <c r="F33" s="133" t="str">
        <f>IFERROR(__xludf.DUMMYFUNCTION("""COMPUTED_VALUE"""),"AN40326SLWL")</f>
        <v>AN40326SLWL</v>
      </c>
      <c r="G33" s="165">
        <f>IFERROR(__xludf.DUMMYFUNCTION("""COMPUTED_VALUE"""),1066.0)</f>
        <v>1066</v>
      </c>
    </row>
    <row r="34" ht="15.75" customHeight="1">
      <c r="A34" s="133" t="str">
        <f>IFERROR(__xludf.DUMMYFUNCTION("""COMPUTED_VALUE"""),"AN40326SLW")</f>
        <v>AN40326SLW</v>
      </c>
      <c r="B34" s="164">
        <f>IFERROR(__xludf.DUMMYFUNCTION("""COMPUTED_VALUE"""),1.478863E7)</f>
        <v>14788630</v>
      </c>
      <c r="C34" s="164" t="str">
        <f>IFERROR(__xludf.DUMMYFUNCTION("""COMPUTED_VALUE"""),"14788630XL")</f>
        <v>14788630XL</v>
      </c>
      <c r="D34" s="164" t="str">
        <f>IFERROR(__xludf.DUMMYFUNCTION("""COMPUTED_VALUE"""),"Черный")</f>
        <v>Черный</v>
      </c>
      <c r="E34" s="164" t="str">
        <f>IFERROR(__xludf.DUMMYFUNCTION("""COMPUTED_VALUE"""),"XL")</f>
        <v>XL</v>
      </c>
      <c r="F34" s="133" t="str">
        <f>IFERROR(__xludf.DUMMYFUNCTION("""COMPUTED_VALUE"""),"AN40326SLWXL")</f>
        <v>AN40326SLWXL</v>
      </c>
      <c r="G34" s="165">
        <f>IFERROR(__xludf.DUMMYFUNCTION("""COMPUTED_VALUE"""),1066.0)</f>
        <v>1066</v>
      </c>
    </row>
    <row r="35" ht="15.75" customHeight="1">
      <c r="A35" s="133" t="str">
        <f>IFERROR(__xludf.DUMMYFUNCTION("""COMPUTED_VALUE"""),"AN40327SLM")</f>
        <v>AN40327SLM</v>
      </c>
      <c r="B35" s="164">
        <f>IFERROR(__xludf.DUMMYFUNCTION("""COMPUTED_VALUE"""),1.4788631E7)</f>
        <v>14788631</v>
      </c>
      <c r="C35" s="164" t="str">
        <f>IFERROR(__xludf.DUMMYFUNCTION("""COMPUTED_VALUE"""),"14788631S")</f>
        <v>14788631S</v>
      </c>
      <c r="D35" s="164" t="str">
        <f>IFERROR(__xludf.DUMMYFUNCTION("""COMPUTED_VALUE"""),"Черный")</f>
        <v>Черный</v>
      </c>
      <c r="E35" s="164" t="str">
        <f>IFERROR(__xludf.DUMMYFUNCTION("""COMPUTED_VALUE"""),"S")</f>
        <v>S</v>
      </c>
      <c r="F35" s="133" t="str">
        <f>IFERROR(__xludf.DUMMYFUNCTION("""COMPUTED_VALUE"""),"AN40327SLMS")</f>
        <v>AN40327SLMS</v>
      </c>
      <c r="G35" s="165">
        <f>IFERROR(__xludf.DUMMYFUNCTION("""COMPUTED_VALUE"""),1066.0)</f>
        <v>1066</v>
      </c>
    </row>
    <row r="36" ht="15.75" customHeight="1">
      <c r="A36" s="133" t="str">
        <f>IFERROR(__xludf.DUMMYFUNCTION("""COMPUTED_VALUE"""),"AN40327SLM")</f>
        <v>AN40327SLM</v>
      </c>
      <c r="B36" s="164">
        <f>IFERROR(__xludf.DUMMYFUNCTION("""COMPUTED_VALUE"""),1.4788631E7)</f>
        <v>14788631</v>
      </c>
      <c r="C36" s="164" t="str">
        <f>IFERROR(__xludf.DUMMYFUNCTION("""COMPUTED_VALUE"""),"14788631M")</f>
        <v>14788631M</v>
      </c>
      <c r="D36" s="164" t="str">
        <f>IFERROR(__xludf.DUMMYFUNCTION("""COMPUTED_VALUE"""),"Черный")</f>
        <v>Черный</v>
      </c>
      <c r="E36" s="164" t="str">
        <f>IFERROR(__xludf.DUMMYFUNCTION("""COMPUTED_VALUE"""),"M")</f>
        <v>M</v>
      </c>
      <c r="F36" s="133" t="str">
        <f>IFERROR(__xludf.DUMMYFUNCTION("""COMPUTED_VALUE"""),"AN40327SLMM")</f>
        <v>AN40327SLMM</v>
      </c>
      <c r="G36" s="165">
        <f>IFERROR(__xludf.DUMMYFUNCTION("""COMPUTED_VALUE"""),1066.0)</f>
        <v>1066</v>
      </c>
    </row>
    <row r="37" ht="15.75" customHeight="1">
      <c r="A37" s="133" t="str">
        <f>IFERROR(__xludf.DUMMYFUNCTION("""COMPUTED_VALUE"""),"AN40327SLM")</f>
        <v>AN40327SLM</v>
      </c>
      <c r="B37" s="164">
        <f>IFERROR(__xludf.DUMMYFUNCTION("""COMPUTED_VALUE"""),1.4788631E7)</f>
        <v>14788631</v>
      </c>
      <c r="C37" s="164" t="str">
        <f>IFERROR(__xludf.DUMMYFUNCTION("""COMPUTED_VALUE"""),"14788631L")</f>
        <v>14788631L</v>
      </c>
      <c r="D37" s="164" t="str">
        <f>IFERROR(__xludf.DUMMYFUNCTION("""COMPUTED_VALUE"""),"Черный")</f>
        <v>Черный</v>
      </c>
      <c r="E37" s="164" t="str">
        <f>IFERROR(__xludf.DUMMYFUNCTION("""COMPUTED_VALUE"""),"L")</f>
        <v>L</v>
      </c>
      <c r="F37" s="133" t="str">
        <f>IFERROR(__xludf.DUMMYFUNCTION("""COMPUTED_VALUE"""),"AN40327SLML")</f>
        <v>AN40327SLML</v>
      </c>
      <c r="G37" s="165">
        <f>IFERROR(__xludf.DUMMYFUNCTION("""COMPUTED_VALUE"""),1066.0)</f>
        <v>1066</v>
      </c>
    </row>
    <row r="38" ht="15.75" customHeight="1">
      <c r="A38" s="133" t="str">
        <f>IFERROR(__xludf.DUMMYFUNCTION("""COMPUTED_VALUE"""),"AN40327SLM")</f>
        <v>AN40327SLM</v>
      </c>
      <c r="B38" s="164">
        <f>IFERROR(__xludf.DUMMYFUNCTION("""COMPUTED_VALUE"""),1.4788631E7)</f>
        <v>14788631</v>
      </c>
      <c r="C38" s="164" t="str">
        <f>IFERROR(__xludf.DUMMYFUNCTION("""COMPUTED_VALUE"""),"14788631XL")</f>
        <v>14788631XL</v>
      </c>
      <c r="D38" s="164" t="str">
        <f>IFERROR(__xludf.DUMMYFUNCTION("""COMPUTED_VALUE"""),"Черный")</f>
        <v>Черный</v>
      </c>
      <c r="E38" s="164" t="str">
        <f>IFERROR(__xludf.DUMMYFUNCTION("""COMPUTED_VALUE"""),"XL")</f>
        <v>XL</v>
      </c>
      <c r="F38" s="133" t="str">
        <f>IFERROR(__xludf.DUMMYFUNCTION("""COMPUTED_VALUE"""),"AN40327SLMXL")</f>
        <v>AN40327SLMXL</v>
      </c>
      <c r="G38" s="165">
        <f>IFERROR(__xludf.DUMMYFUNCTION("""COMPUTED_VALUE"""),1066.0)</f>
        <v>1066</v>
      </c>
    </row>
    <row r="39" ht="15.75" customHeight="1">
      <c r="A39" s="133" t="str">
        <f>IFERROR(__xludf.DUMMYFUNCTION("""COMPUTED_VALUE"""),"AN40327SLM")</f>
        <v>AN40327SLM</v>
      </c>
      <c r="B39" s="164">
        <f>IFERROR(__xludf.DUMMYFUNCTION("""COMPUTED_VALUE"""),1.4788631E7)</f>
        <v>14788631</v>
      </c>
      <c r="C39" s="164" t="str">
        <f>IFERROR(__xludf.DUMMYFUNCTION("""COMPUTED_VALUE"""),"14788631XXL")</f>
        <v>14788631XXL</v>
      </c>
      <c r="D39" s="164" t="str">
        <f>IFERROR(__xludf.DUMMYFUNCTION("""COMPUTED_VALUE"""),"Черный")</f>
        <v>Черный</v>
      </c>
      <c r="E39" s="164" t="str">
        <f>IFERROR(__xludf.DUMMYFUNCTION("""COMPUTED_VALUE"""),"XXL")</f>
        <v>XXL</v>
      </c>
      <c r="F39" s="133" t="str">
        <f>IFERROR(__xludf.DUMMYFUNCTION("""COMPUTED_VALUE"""),"AN40327SLMXXL")</f>
        <v>AN40327SLMXXL</v>
      </c>
      <c r="G39" s="165">
        <f>IFERROR(__xludf.DUMMYFUNCTION("""COMPUTED_VALUE"""),1066.0)</f>
        <v>1066</v>
      </c>
    </row>
    <row r="40" ht="15.75" customHeight="1">
      <c r="A40" s="133" t="str">
        <f>IFERROR(__xludf.DUMMYFUNCTION("""COMPUTED_VALUE"""),"AN40327SLM")</f>
        <v>AN40327SLM</v>
      </c>
      <c r="B40" s="164">
        <f>IFERROR(__xludf.DUMMYFUNCTION("""COMPUTED_VALUE"""),1.4788631E7)</f>
        <v>14788631</v>
      </c>
      <c r="C40" s="164" t="str">
        <f>IFERROR(__xludf.DUMMYFUNCTION("""COMPUTED_VALUE"""),"14788631XXXL")</f>
        <v>14788631XXXL</v>
      </c>
      <c r="D40" s="164" t="str">
        <f>IFERROR(__xludf.DUMMYFUNCTION("""COMPUTED_VALUE"""),"Черный")</f>
        <v>Черный</v>
      </c>
      <c r="E40" s="164" t="str">
        <f>IFERROR(__xludf.DUMMYFUNCTION("""COMPUTED_VALUE"""),"XXXL")</f>
        <v>XXXL</v>
      </c>
      <c r="F40" s="133" t="str">
        <f>IFERROR(__xludf.DUMMYFUNCTION("""COMPUTED_VALUE"""),"AN40327SLMXXXL")</f>
        <v>AN40327SLMXXXL</v>
      </c>
      <c r="G40" s="165">
        <f>IFERROR(__xludf.DUMMYFUNCTION("""COMPUTED_VALUE"""),1066.0)</f>
        <v>1066</v>
      </c>
    </row>
    <row r="41" ht="15.75" customHeight="1">
      <c r="A41" s="133" t="str">
        <f>IFERROR(__xludf.DUMMYFUNCTION("""COMPUTED_VALUE"""),"MA00306SLM")</f>
        <v>MA00306SLM</v>
      </c>
      <c r="B41" s="164">
        <f>IFERROR(__xludf.DUMMYFUNCTION("""COMPUTED_VALUE"""),1.4967663E7)</f>
        <v>14967663</v>
      </c>
      <c r="C41" s="164" t="str">
        <f>IFERROR(__xludf.DUMMYFUNCTION("""COMPUTED_VALUE"""),"14967663S")</f>
        <v>14967663S</v>
      </c>
      <c r="D41" s="164" t="str">
        <f>IFERROR(__xludf.DUMMYFUNCTION("""COMPUTED_VALUE"""),"Черный")</f>
        <v>Черный</v>
      </c>
      <c r="E41" s="164" t="str">
        <f>IFERROR(__xludf.DUMMYFUNCTION("""COMPUTED_VALUE"""),"S")</f>
        <v>S</v>
      </c>
      <c r="F41" s="133" t="str">
        <f>IFERROR(__xludf.DUMMYFUNCTION("""COMPUTED_VALUE"""),"MA00306SLMS")</f>
        <v>MA00306SLMS</v>
      </c>
      <c r="G41" s="165">
        <f>IFERROR(__xludf.DUMMYFUNCTION("""COMPUTED_VALUE"""),1204.0)</f>
        <v>1204</v>
      </c>
    </row>
    <row r="42" ht="15.75" customHeight="1">
      <c r="A42" s="133" t="str">
        <f>IFERROR(__xludf.DUMMYFUNCTION("""COMPUTED_VALUE"""),"MA00306SLM")</f>
        <v>MA00306SLM</v>
      </c>
      <c r="B42" s="164">
        <f>IFERROR(__xludf.DUMMYFUNCTION("""COMPUTED_VALUE"""),1.4967663E7)</f>
        <v>14967663</v>
      </c>
      <c r="C42" s="164" t="str">
        <f>IFERROR(__xludf.DUMMYFUNCTION("""COMPUTED_VALUE"""),"14967663M")</f>
        <v>14967663M</v>
      </c>
      <c r="D42" s="164" t="str">
        <f>IFERROR(__xludf.DUMMYFUNCTION("""COMPUTED_VALUE"""),"Черный")</f>
        <v>Черный</v>
      </c>
      <c r="E42" s="164" t="str">
        <f>IFERROR(__xludf.DUMMYFUNCTION("""COMPUTED_VALUE"""),"M")</f>
        <v>M</v>
      </c>
      <c r="F42" s="133" t="str">
        <f>IFERROR(__xludf.DUMMYFUNCTION("""COMPUTED_VALUE"""),"MA00306SLMM")</f>
        <v>MA00306SLMM</v>
      </c>
      <c r="G42" s="165">
        <f>IFERROR(__xludf.DUMMYFUNCTION("""COMPUTED_VALUE"""),1204.0)</f>
        <v>1204</v>
      </c>
    </row>
    <row r="43" ht="15.75" customHeight="1">
      <c r="A43" s="133" t="str">
        <f>IFERROR(__xludf.DUMMYFUNCTION("""COMPUTED_VALUE"""),"MA00306SLM")</f>
        <v>MA00306SLM</v>
      </c>
      <c r="B43" s="164">
        <f>IFERROR(__xludf.DUMMYFUNCTION("""COMPUTED_VALUE"""),1.4967663E7)</f>
        <v>14967663</v>
      </c>
      <c r="C43" s="164" t="str">
        <f>IFERROR(__xludf.DUMMYFUNCTION("""COMPUTED_VALUE"""),"14967663L")</f>
        <v>14967663L</v>
      </c>
      <c r="D43" s="164" t="str">
        <f>IFERROR(__xludf.DUMMYFUNCTION("""COMPUTED_VALUE"""),"Черный")</f>
        <v>Черный</v>
      </c>
      <c r="E43" s="164" t="str">
        <f>IFERROR(__xludf.DUMMYFUNCTION("""COMPUTED_VALUE"""),"L")</f>
        <v>L</v>
      </c>
      <c r="F43" s="133" t="str">
        <f>IFERROR(__xludf.DUMMYFUNCTION("""COMPUTED_VALUE"""),"MA00306SLML")</f>
        <v>MA00306SLML</v>
      </c>
      <c r="G43" s="165">
        <f>IFERROR(__xludf.DUMMYFUNCTION("""COMPUTED_VALUE"""),1204.0)</f>
        <v>1204</v>
      </c>
    </row>
    <row r="44" ht="15.75" customHeight="1">
      <c r="A44" s="133" t="str">
        <f>IFERROR(__xludf.DUMMYFUNCTION("""COMPUTED_VALUE"""),"MA00306SLM")</f>
        <v>MA00306SLM</v>
      </c>
      <c r="B44" s="164">
        <f>IFERROR(__xludf.DUMMYFUNCTION("""COMPUTED_VALUE"""),1.4967663E7)</f>
        <v>14967663</v>
      </c>
      <c r="C44" s="164" t="str">
        <f>IFERROR(__xludf.DUMMYFUNCTION("""COMPUTED_VALUE"""),"14967663XL")</f>
        <v>14967663XL</v>
      </c>
      <c r="D44" s="164" t="str">
        <f>IFERROR(__xludf.DUMMYFUNCTION("""COMPUTED_VALUE"""),"Черный")</f>
        <v>Черный</v>
      </c>
      <c r="E44" s="164" t="str">
        <f>IFERROR(__xludf.DUMMYFUNCTION("""COMPUTED_VALUE"""),"XL")</f>
        <v>XL</v>
      </c>
      <c r="F44" s="133" t="str">
        <f>IFERROR(__xludf.DUMMYFUNCTION("""COMPUTED_VALUE"""),"MA00306SLMXL")</f>
        <v>MA00306SLMXL</v>
      </c>
      <c r="G44" s="165">
        <f>IFERROR(__xludf.DUMMYFUNCTION("""COMPUTED_VALUE"""),1204.0)</f>
        <v>1204</v>
      </c>
    </row>
    <row r="45" ht="15.75" customHeight="1">
      <c r="A45" s="133" t="str">
        <f>IFERROR(__xludf.DUMMYFUNCTION("""COMPUTED_VALUE"""),"MA00306SLM")</f>
        <v>MA00306SLM</v>
      </c>
      <c r="B45" s="164">
        <f>IFERROR(__xludf.DUMMYFUNCTION("""COMPUTED_VALUE"""),1.4967663E7)</f>
        <v>14967663</v>
      </c>
      <c r="C45" s="164" t="str">
        <f>IFERROR(__xludf.DUMMYFUNCTION("""COMPUTED_VALUE"""),"14967663XXL")</f>
        <v>14967663XXL</v>
      </c>
      <c r="D45" s="164" t="str">
        <f>IFERROR(__xludf.DUMMYFUNCTION("""COMPUTED_VALUE"""),"Черный")</f>
        <v>Черный</v>
      </c>
      <c r="E45" s="164" t="str">
        <f>IFERROR(__xludf.DUMMYFUNCTION("""COMPUTED_VALUE"""),"XXL")</f>
        <v>XXL</v>
      </c>
      <c r="F45" s="133" t="str">
        <f>IFERROR(__xludf.DUMMYFUNCTION("""COMPUTED_VALUE"""),"MA00306SLMXXL")</f>
        <v>MA00306SLMXXL</v>
      </c>
      <c r="G45" s="165">
        <f>IFERROR(__xludf.DUMMYFUNCTION("""COMPUTED_VALUE"""),1204.0)</f>
        <v>1204</v>
      </c>
    </row>
    <row r="46" ht="15.75" customHeight="1">
      <c r="A46" s="133" t="str">
        <f>IFERROR(__xludf.DUMMYFUNCTION("""COMPUTED_VALUE"""),"MA00306SLM")</f>
        <v>MA00306SLM</v>
      </c>
      <c r="B46" s="164">
        <f>IFERROR(__xludf.DUMMYFUNCTION("""COMPUTED_VALUE"""),1.4967663E7)</f>
        <v>14967663</v>
      </c>
      <c r="C46" s="164" t="str">
        <f>IFERROR(__xludf.DUMMYFUNCTION("""COMPUTED_VALUE"""),"14967663XXXL")</f>
        <v>14967663XXXL</v>
      </c>
      <c r="D46" s="164" t="str">
        <f>IFERROR(__xludf.DUMMYFUNCTION("""COMPUTED_VALUE"""),"Черный")</f>
        <v>Черный</v>
      </c>
      <c r="E46" s="164" t="str">
        <f>IFERROR(__xludf.DUMMYFUNCTION("""COMPUTED_VALUE"""),"XXXL")</f>
        <v>XXXL</v>
      </c>
      <c r="F46" s="133" t="str">
        <f>IFERROR(__xludf.DUMMYFUNCTION("""COMPUTED_VALUE"""),"MA00306SLMXXXL")</f>
        <v>MA00306SLMXXXL</v>
      </c>
      <c r="G46" s="165">
        <f>IFERROR(__xludf.DUMMYFUNCTION("""COMPUTED_VALUE"""),1204.0)</f>
        <v>1204</v>
      </c>
    </row>
    <row r="47" ht="15.75" customHeight="1">
      <c r="A47" s="133" t="str">
        <f>IFERROR(__xludf.DUMMYFUNCTION("""COMPUTED_VALUE"""),"BR40355SLW")</f>
        <v>BR40355SLW</v>
      </c>
      <c r="B47" s="164">
        <f>IFERROR(__xludf.DUMMYFUNCTION("""COMPUTED_VALUE"""),1.4069667E7)</f>
        <v>14069667</v>
      </c>
      <c r="C47" s="164" t="str">
        <f>IFERROR(__xludf.DUMMYFUNCTION("""COMPUTED_VALUE"""),"14069667155-168")</f>
        <v>14069667155-168</v>
      </c>
      <c r="D47" s="164" t="str">
        <f>IFERROR(__xludf.DUMMYFUNCTION("""COMPUTED_VALUE"""),"бежевые")</f>
        <v>бежевые</v>
      </c>
      <c r="E47" s="164" t="str">
        <f>IFERROR(__xludf.DUMMYFUNCTION("""COMPUTED_VALUE"""),"155-168")</f>
        <v>155-168</v>
      </c>
      <c r="F47" s="133" t="str">
        <f>IFERROR(__xludf.DUMMYFUNCTION("""COMPUTED_VALUE"""),"BR40355SLW155-168")</f>
        <v>BR40355SLW155-168</v>
      </c>
      <c r="G47" s="165">
        <f>IFERROR(__xludf.DUMMYFUNCTION("""COMPUTED_VALUE"""),790.0)</f>
        <v>790</v>
      </c>
    </row>
    <row r="48" ht="15.75" customHeight="1">
      <c r="A48" s="133" t="str">
        <f>IFERROR(__xludf.DUMMYFUNCTION("""COMPUTED_VALUE"""),"BR40355SLW")</f>
        <v>BR40355SLW</v>
      </c>
      <c r="B48" s="164">
        <f>IFERROR(__xludf.DUMMYFUNCTION("""COMPUTED_VALUE"""),1.4069667E7)</f>
        <v>14069667</v>
      </c>
      <c r="C48" s="164" t="str">
        <f>IFERROR(__xludf.DUMMYFUNCTION("""COMPUTED_VALUE"""),"14069667168-175")</f>
        <v>14069667168-175</v>
      </c>
      <c r="D48" s="164" t="str">
        <f>IFERROR(__xludf.DUMMYFUNCTION("""COMPUTED_VALUE"""),"бежевые")</f>
        <v>бежевые</v>
      </c>
      <c r="E48" s="164" t="str">
        <f>IFERROR(__xludf.DUMMYFUNCTION("""COMPUTED_VALUE"""),"168-175")</f>
        <v>168-175</v>
      </c>
      <c r="F48" s="133" t="str">
        <f>IFERROR(__xludf.DUMMYFUNCTION("""COMPUTED_VALUE"""),"BR40355SLW168-175")</f>
        <v>BR40355SLW168-175</v>
      </c>
      <c r="G48" s="165">
        <f>IFERROR(__xludf.DUMMYFUNCTION("""COMPUTED_VALUE"""),790.0)</f>
        <v>790</v>
      </c>
    </row>
    <row r="49" ht="15.75" customHeight="1">
      <c r="A49" s="133" t="str">
        <f>IFERROR(__xludf.DUMMYFUNCTION("""COMPUTED_VALUE"""),"BR40356SLW")</f>
        <v>BR40356SLW</v>
      </c>
      <c r="B49" s="164">
        <f>IFERROR(__xludf.DUMMYFUNCTION("""COMPUTED_VALUE"""),1.4069668E7)</f>
        <v>14069668</v>
      </c>
      <c r="C49" s="164" t="str">
        <f>IFERROR(__xludf.DUMMYFUNCTION("""COMPUTED_VALUE"""),"14069668155-168")</f>
        <v>14069668155-168</v>
      </c>
      <c r="D49" s="164" t="str">
        <f>IFERROR(__xludf.DUMMYFUNCTION("""COMPUTED_VALUE"""),"Черный")</f>
        <v>Черный</v>
      </c>
      <c r="E49" s="164" t="str">
        <f>IFERROR(__xludf.DUMMYFUNCTION("""COMPUTED_VALUE"""),"155-168")</f>
        <v>155-168</v>
      </c>
      <c r="F49" s="133" t="str">
        <f>IFERROR(__xludf.DUMMYFUNCTION("""COMPUTED_VALUE"""),"BR40356SLW155-168")</f>
        <v>BR40356SLW155-168</v>
      </c>
      <c r="G49" s="165">
        <f>IFERROR(__xludf.DUMMYFUNCTION("""COMPUTED_VALUE"""),964.0)</f>
        <v>964</v>
      </c>
    </row>
    <row r="50" ht="15.75" customHeight="1">
      <c r="A50" s="133" t="str">
        <f>IFERROR(__xludf.DUMMYFUNCTION("""COMPUTED_VALUE"""),"BR40356SLW")</f>
        <v>BR40356SLW</v>
      </c>
      <c r="B50" s="164">
        <f>IFERROR(__xludf.DUMMYFUNCTION("""COMPUTED_VALUE"""),1.4069668E7)</f>
        <v>14069668</v>
      </c>
      <c r="C50" s="164" t="str">
        <f>IFERROR(__xludf.DUMMYFUNCTION("""COMPUTED_VALUE"""),"14069668168-175")</f>
        <v>14069668168-175</v>
      </c>
      <c r="D50" s="164" t="str">
        <f>IFERROR(__xludf.DUMMYFUNCTION("""COMPUTED_VALUE"""),"Черный")</f>
        <v>Черный</v>
      </c>
      <c r="E50" s="164" t="str">
        <f>IFERROR(__xludf.DUMMYFUNCTION("""COMPUTED_VALUE"""),"168-175")</f>
        <v>168-175</v>
      </c>
      <c r="F50" s="133" t="str">
        <f>IFERROR(__xludf.DUMMYFUNCTION("""COMPUTED_VALUE"""),"BR40356SLW168-175")</f>
        <v>BR40356SLW168-175</v>
      </c>
      <c r="G50" s="165">
        <f>IFERROR(__xludf.DUMMYFUNCTION("""COMPUTED_VALUE"""),964.0)</f>
        <v>964</v>
      </c>
    </row>
    <row r="51" ht="15.75" customHeight="1">
      <c r="A51" s="133" t="str">
        <f>IFERROR(__xludf.DUMMYFUNCTION("""COMPUTED_VALUE"""),"PL40358SLW")</f>
        <v>PL40358SLW</v>
      </c>
      <c r="B51" s="164">
        <f>IFERROR(__xludf.DUMMYFUNCTION("""COMPUTED_VALUE"""),1.4620437E7)</f>
        <v>14620437</v>
      </c>
      <c r="C51" s="164" t="str">
        <f>IFERROR(__xludf.DUMMYFUNCTION("""COMPUTED_VALUE"""),"14620437XS")</f>
        <v>14620437XS</v>
      </c>
      <c r="D51" s="164" t="str">
        <f>IFERROR(__xludf.DUMMYFUNCTION("""COMPUTED_VALUE"""),"Темный беж")</f>
        <v>Темный беж</v>
      </c>
      <c r="E51" s="164" t="str">
        <f>IFERROR(__xludf.DUMMYFUNCTION("""COMPUTED_VALUE"""),"XS")</f>
        <v>XS</v>
      </c>
      <c r="F51" s="133" t="str">
        <f>IFERROR(__xludf.DUMMYFUNCTION("""COMPUTED_VALUE"""),"PL40358SLWXS")</f>
        <v>PL40358SLWXS</v>
      </c>
      <c r="G51" s="165">
        <f>IFERROR(__xludf.DUMMYFUNCTION("""COMPUTED_VALUE"""),927.0)</f>
        <v>927</v>
      </c>
    </row>
    <row r="52" ht="15.75" customHeight="1">
      <c r="A52" s="133" t="str">
        <f>IFERROR(__xludf.DUMMYFUNCTION("""COMPUTED_VALUE"""),"PL40358SLW")</f>
        <v>PL40358SLW</v>
      </c>
      <c r="B52" s="164">
        <f>IFERROR(__xludf.DUMMYFUNCTION("""COMPUTED_VALUE"""),1.4620437E7)</f>
        <v>14620437</v>
      </c>
      <c r="C52" s="164" t="str">
        <f>IFERROR(__xludf.DUMMYFUNCTION("""COMPUTED_VALUE"""),"14620437S")</f>
        <v>14620437S</v>
      </c>
      <c r="D52" s="164" t="str">
        <f>IFERROR(__xludf.DUMMYFUNCTION("""COMPUTED_VALUE"""),"Темный беж")</f>
        <v>Темный беж</v>
      </c>
      <c r="E52" s="164" t="str">
        <f>IFERROR(__xludf.DUMMYFUNCTION("""COMPUTED_VALUE"""),"S")</f>
        <v>S</v>
      </c>
      <c r="F52" s="133" t="str">
        <f>IFERROR(__xludf.DUMMYFUNCTION("""COMPUTED_VALUE"""),"PL40358SLWS")</f>
        <v>PL40358SLWS</v>
      </c>
      <c r="G52" s="165">
        <f>IFERROR(__xludf.DUMMYFUNCTION("""COMPUTED_VALUE"""),927.0)</f>
        <v>927</v>
      </c>
    </row>
    <row r="53" ht="15.75" customHeight="1">
      <c r="A53" s="133" t="str">
        <f>IFERROR(__xludf.DUMMYFUNCTION("""COMPUTED_VALUE"""),"PL40358SLW")</f>
        <v>PL40358SLW</v>
      </c>
      <c r="B53" s="164">
        <f>IFERROR(__xludf.DUMMYFUNCTION("""COMPUTED_VALUE"""),1.4620437E7)</f>
        <v>14620437</v>
      </c>
      <c r="C53" s="164" t="str">
        <f>IFERROR(__xludf.DUMMYFUNCTION("""COMPUTED_VALUE"""),"14620437M")</f>
        <v>14620437M</v>
      </c>
      <c r="D53" s="164" t="str">
        <f>IFERROR(__xludf.DUMMYFUNCTION("""COMPUTED_VALUE"""),"Темный беж")</f>
        <v>Темный беж</v>
      </c>
      <c r="E53" s="164" t="str">
        <f>IFERROR(__xludf.DUMMYFUNCTION("""COMPUTED_VALUE"""),"M")</f>
        <v>M</v>
      </c>
      <c r="F53" s="133" t="str">
        <f>IFERROR(__xludf.DUMMYFUNCTION("""COMPUTED_VALUE"""),"PL40358SLWM")</f>
        <v>PL40358SLWM</v>
      </c>
      <c r="G53" s="165">
        <f>IFERROR(__xludf.DUMMYFUNCTION("""COMPUTED_VALUE"""),927.0)</f>
        <v>927</v>
      </c>
    </row>
    <row r="54" ht="15.75" customHeight="1">
      <c r="A54" s="133" t="str">
        <f>IFERROR(__xludf.DUMMYFUNCTION("""COMPUTED_VALUE"""),"PL40358SLW")</f>
        <v>PL40358SLW</v>
      </c>
      <c r="B54" s="164">
        <f>IFERROR(__xludf.DUMMYFUNCTION("""COMPUTED_VALUE"""),1.4620437E7)</f>
        <v>14620437</v>
      </c>
      <c r="C54" s="164" t="str">
        <f>IFERROR(__xludf.DUMMYFUNCTION("""COMPUTED_VALUE"""),"14620437L")</f>
        <v>14620437L</v>
      </c>
      <c r="D54" s="164" t="str">
        <f>IFERROR(__xludf.DUMMYFUNCTION("""COMPUTED_VALUE"""),"Темный беж")</f>
        <v>Темный беж</v>
      </c>
      <c r="E54" s="164" t="str">
        <f>IFERROR(__xludf.DUMMYFUNCTION("""COMPUTED_VALUE"""),"L")</f>
        <v>L</v>
      </c>
      <c r="F54" s="133" t="str">
        <f>IFERROR(__xludf.DUMMYFUNCTION("""COMPUTED_VALUE"""),"PL40358SLWL")</f>
        <v>PL40358SLWL</v>
      </c>
      <c r="G54" s="165">
        <f>IFERROR(__xludf.DUMMYFUNCTION("""COMPUTED_VALUE"""),927.0)</f>
        <v>927</v>
      </c>
    </row>
    <row r="55" ht="15.75" customHeight="1">
      <c r="A55" s="133" t="str">
        <f>IFERROR(__xludf.DUMMYFUNCTION("""COMPUTED_VALUE"""),"PL40358SLW")</f>
        <v>PL40358SLW</v>
      </c>
      <c r="B55" s="164">
        <f>IFERROR(__xludf.DUMMYFUNCTION("""COMPUTED_VALUE"""),1.4620437E7)</f>
        <v>14620437</v>
      </c>
      <c r="C55" s="164" t="str">
        <f>IFERROR(__xludf.DUMMYFUNCTION("""COMPUTED_VALUE"""),"14620437XL")</f>
        <v>14620437XL</v>
      </c>
      <c r="D55" s="164" t="str">
        <f>IFERROR(__xludf.DUMMYFUNCTION("""COMPUTED_VALUE"""),"Темный беж")</f>
        <v>Темный беж</v>
      </c>
      <c r="E55" s="164" t="str">
        <f>IFERROR(__xludf.DUMMYFUNCTION("""COMPUTED_VALUE"""),"XL")</f>
        <v>XL</v>
      </c>
      <c r="F55" s="133" t="str">
        <f>IFERROR(__xludf.DUMMYFUNCTION("""COMPUTED_VALUE"""),"PL40358SLWXL")</f>
        <v>PL40358SLWXL</v>
      </c>
      <c r="G55" s="165">
        <f>IFERROR(__xludf.DUMMYFUNCTION("""COMPUTED_VALUE"""),927.0)</f>
        <v>927</v>
      </c>
    </row>
    <row r="56" ht="15.75" customHeight="1">
      <c r="A56" s="133" t="str">
        <f>IFERROR(__xludf.DUMMYFUNCTION("""COMPUTED_VALUE"""),"PL40359SLW")</f>
        <v>PL40359SLW</v>
      </c>
      <c r="B56" s="164">
        <f>IFERROR(__xludf.DUMMYFUNCTION("""COMPUTED_VALUE"""),1.4620438E7)</f>
        <v>14620438</v>
      </c>
      <c r="C56" s="164" t="str">
        <f>IFERROR(__xludf.DUMMYFUNCTION("""COMPUTED_VALUE"""),"14620438XS")</f>
        <v>14620438XS</v>
      </c>
      <c r="D56" s="164" t="str">
        <f>IFERROR(__xludf.DUMMYFUNCTION("""COMPUTED_VALUE"""),"Черный")</f>
        <v>Черный</v>
      </c>
      <c r="E56" s="164" t="str">
        <f>IFERROR(__xludf.DUMMYFUNCTION("""COMPUTED_VALUE"""),"XS")</f>
        <v>XS</v>
      </c>
      <c r="F56" s="133" t="str">
        <f>IFERROR(__xludf.DUMMYFUNCTION("""COMPUTED_VALUE"""),"PL40359SLWXS")</f>
        <v>PL40359SLWXS</v>
      </c>
      <c r="G56" s="165">
        <f>IFERROR(__xludf.DUMMYFUNCTION("""COMPUTED_VALUE"""),915.0)</f>
        <v>915</v>
      </c>
    </row>
    <row r="57" ht="15.75" customHeight="1">
      <c r="A57" s="133" t="str">
        <f>IFERROR(__xludf.DUMMYFUNCTION("""COMPUTED_VALUE"""),"PL40359SLW")</f>
        <v>PL40359SLW</v>
      </c>
      <c r="B57" s="164">
        <f>IFERROR(__xludf.DUMMYFUNCTION("""COMPUTED_VALUE"""),1.4620438E7)</f>
        <v>14620438</v>
      </c>
      <c r="C57" s="164" t="str">
        <f>IFERROR(__xludf.DUMMYFUNCTION("""COMPUTED_VALUE"""),"14620438S")</f>
        <v>14620438S</v>
      </c>
      <c r="D57" s="164" t="str">
        <f>IFERROR(__xludf.DUMMYFUNCTION("""COMPUTED_VALUE"""),"Черный")</f>
        <v>Черный</v>
      </c>
      <c r="E57" s="164" t="str">
        <f>IFERROR(__xludf.DUMMYFUNCTION("""COMPUTED_VALUE"""),"S")</f>
        <v>S</v>
      </c>
      <c r="F57" s="133" t="str">
        <f>IFERROR(__xludf.DUMMYFUNCTION("""COMPUTED_VALUE"""),"PL40359SLWS")</f>
        <v>PL40359SLWS</v>
      </c>
      <c r="G57" s="165">
        <f>IFERROR(__xludf.DUMMYFUNCTION("""COMPUTED_VALUE"""),915.0)</f>
        <v>915</v>
      </c>
    </row>
    <row r="58" ht="15.75" customHeight="1">
      <c r="A58" s="133" t="str">
        <f>IFERROR(__xludf.DUMMYFUNCTION("""COMPUTED_VALUE"""),"PL40359SLW")</f>
        <v>PL40359SLW</v>
      </c>
      <c r="B58" s="164">
        <f>IFERROR(__xludf.DUMMYFUNCTION("""COMPUTED_VALUE"""),1.4620438E7)</f>
        <v>14620438</v>
      </c>
      <c r="C58" s="164" t="str">
        <f>IFERROR(__xludf.DUMMYFUNCTION("""COMPUTED_VALUE"""),"14620438M")</f>
        <v>14620438M</v>
      </c>
      <c r="D58" s="164" t="str">
        <f>IFERROR(__xludf.DUMMYFUNCTION("""COMPUTED_VALUE"""),"Черный")</f>
        <v>Черный</v>
      </c>
      <c r="E58" s="164" t="str">
        <f>IFERROR(__xludf.DUMMYFUNCTION("""COMPUTED_VALUE"""),"M")</f>
        <v>M</v>
      </c>
      <c r="F58" s="133" t="str">
        <f>IFERROR(__xludf.DUMMYFUNCTION("""COMPUTED_VALUE"""),"PL40359SLWM")</f>
        <v>PL40359SLWM</v>
      </c>
      <c r="G58" s="165">
        <f>IFERROR(__xludf.DUMMYFUNCTION("""COMPUTED_VALUE"""),915.0)</f>
        <v>915</v>
      </c>
    </row>
    <row r="59" ht="15.75" customHeight="1">
      <c r="A59" s="133" t="str">
        <f>IFERROR(__xludf.DUMMYFUNCTION("""COMPUTED_VALUE"""),"PL40359SLW")</f>
        <v>PL40359SLW</v>
      </c>
      <c r="B59" s="164">
        <f>IFERROR(__xludf.DUMMYFUNCTION("""COMPUTED_VALUE"""),1.4620438E7)</f>
        <v>14620438</v>
      </c>
      <c r="C59" s="164" t="str">
        <f>IFERROR(__xludf.DUMMYFUNCTION("""COMPUTED_VALUE"""),"14620438L")</f>
        <v>14620438L</v>
      </c>
      <c r="D59" s="164" t="str">
        <f>IFERROR(__xludf.DUMMYFUNCTION("""COMPUTED_VALUE"""),"Черный")</f>
        <v>Черный</v>
      </c>
      <c r="E59" s="164" t="str">
        <f>IFERROR(__xludf.DUMMYFUNCTION("""COMPUTED_VALUE"""),"L")</f>
        <v>L</v>
      </c>
      <c r="F59" s="133" t="str">
        <f>IFERROR(__xludf.DUMMYFUNCTION("""COMPUTED_VALUE"""),"PL40359SLWL")</f>
        <v>PL40359SLWL</v>
      </c>
      <c r="G59" s="165">
        <f>IFERROR(__xludf.DUMMYFUNCTION("""COMPUTED_VALUE"""),915.0)</f>
        <v>915</v>
      </c>
    </row>
    <row r="60" ht="15.75" customHeight="1">
      <c r="A60" s="133" t="str">
        <f>IFERROR(__xludf.DUMMYFUNCTION("""COMPUTED_VALUE"""),"PL40359SLW")</f>
        <v>PL40359SLW</v>
      </c>
      <c r="B60" s="164">
        <f>IFERROR(__xludf.DUMMYFUNCTION("""COMPUTED_VALUE"""),1.4620438E7)</f>
        <v>14620438</v>
      </c>
      <c r="C60" s="164" t="str">
        <f>IFERROR(__xludf.DUMMYFUNCTION("""COMPUTED_VALUE"""),"14620438XL")</f>
        <v>14620438XL</v>
      </c>
      <c r="D60" s="164" t="str">
        <f>IFERROR(__xludf.DUMMYFUNCTION("""COMPUTED_VALUE"""),"Черный")</f>
        <v>Черный</v>
      </c>
      <c r="E60" s="164" t="str">
        <f>IFERROR(__xludf.DUMMYFUNCTION("""COMPUTED_VALUE"""),"XL")</f>
        <v>XL</v>
      </c>
      <c r="F60" s="133" t="str">
        <f>IFERROR(__xludf.DUMMYFUNCTION("""COMPUTED_VALUE"""),"PL40359SLWXL")</f>
        <v>PL40359SLWXL</v>
      </c>
      <c r="G60" s="165">
        <f>IFERROR(__xludf.DUMMYFUNCTION("""COMPUTED_VALUE"""),915.0)</f>
        <v>915</v>
      </c>
    </row>
    <row r="61" ht="15.75" customHeight="1">
      <c r="A61" s="133" t="str">
        <f>IFERROR(__xludf.DUMMYFUNCTION("""COMPUTED_VALUE"""),"PL40360SLW")</f>
        <v>PL40360SLW</v>
      </c>
      <c r="B61" s="164">
        <f>IFERROR(__xludf.DUMMYFUNCTION("""COMPUTED_VALUE"""),1.4620439E7)</f>
        <v>14620439</v>
      </c>
      <c r="C61" s="164" t="str">
        <f>IFERROR(__xludf.DUMMYFUNCTION("""COMPUTED_VALUE"""),"14620439XS")</f>
        <v>14620439XS</v>
      </c>
      <c r="D61" s="164" t="str">
        <f>IFERROR(__xludf.DUMMYFUNCTION("""COMPUTED_VALUE"""),"Портвейн")</f>
        <v>Портвейн</v>
      </c>
      <c r="E61" s="164" t="str">
        <f>IFERROR(__xludf.DUMMYFUNCTION("""COMPUTED_VALUE"""),"XS")</f>
        <v>XS</v>
      </c>
      <c r="F61" s="133" t="str">
        <f>IFERROR(__xludf.DUMMYFUNCTION("""COMPUTED_VALUE"""),"PL40360SLWXS")</f>
        <v>PL40360SLWXS</v>
      </c>
      <c r="G61" s="165">
        <f>IFERROR(__xludf.DUMMYFUNCTION("""COMPUTED_VALUE"""),942.0)</f>
        <v>942</v>
      </c>
    </row>
    <row r="62" ht="15.75" customHeight="1">
      <c r="A62" s="133" t="str">
        <f>IFERROR(__xludf.DUMMYFUNCTION("""COMPUTED_VALUE"""),"PL40360SLW")</f>
        <v>PL40360SLW</v>
      </c>
      <c r="B62" s="164">
        <f>IFERROR(__xludf.DUMMYFUNCTION("""COMPUTED_VALUE"""),1.4620439E7)</f>
        <v>14620439</v>
      </c>
      <c r="C62" s="164" t="str">
        <f>IFERROR(__xludf.DUMMYFUNCTION("""COMPUTED_VALUE"""),"14620439S")</f>
        <v>14620439S</v>
      </c>
      <c r="D62" s="164" t="str">
        <f>IFERROR(__xludf.DUMMYFUNCTION("""COMPUTED_VALUE"""),"Портвейн")</f>
        <v>Портвейн</v>
      </c>
      <c r="E62" s="164" t="str">
        <f>IFERROR(__xludf.DUMMYFUNCTION("""COMPUTED_VALUE"""),"S")</f>
        <v>S</v>
      </c>
      <c r="F62" s="133" t="str">
        <f>IFERROR(__xludf.DUMMYFUNCTION("""COMPUTED_VALUE"""),"PL40360SLWS")</f>
        <v>PL40360SLWS</v>
      </c>
      <c r="G62" s="165">
        <f>IFERROR(__xludf.DUMMYFUNCTION("""COMPUTED_VALUE"""),942.0)</f>
        <v>942</v>
      </c>
    </row>
    <row r="63" ht="15.75" customHeight="1">
      <c r="A63" s="133" t="str">
        <f>IFERROR(__xludf.DUMMYFUNCTION("""COMPUTED_VALUE"""),"PL40360SLW")</f>
        <v>PL40360SLW</v>
      </c>
      <c r="B63" s="164">
        <f>IFERROR(__xludf.DUMMYFUNCTION("""COMPUTED_VALUE"""),1.4620439E7)</f>
        <v>14620439</v>
      </c>
      <c r="C63" s="164" t="str">
        <f>IFERROR(__xludf.DUMMYFUNCTION("""COMPUTED_VALUE"""),"14620439M")</f>
        <v>14620439M</v>
      </c>
      <c r="D63" s="164" t="str">
        <f>IFERROR(__xludf.DUMMYFUNCTION("""COMPUTED_VALUE"""),"Портвейн")</f>
        <v>Портвейн</v>
      </c>
      <c r="E63" s="164" t="str">
        <f>IFERROR(__xludf.DUMMYFUNCTION("""COMPUTED_VALUE"""),"M")</f>
        <v>M</v>
      </c>
      <c r="F63" s="133" t="str">
        <f>IFERROR(__xludf.DUMMYFUNCTION("""COMPUTED_VALUE"""),"PL40360SLWM")</f>
        <v>PL40360SLWM</v>
      </c>
      <c r="G63" s="165">
        <f>IFERROR(__xludf.DUMMYFUNCTION("""COMPUTED_VALUE"""),942.0)</f>
        <v>942</v>
      </c>
    </row>
    <row r="64" ht="15.75" customHeight="1">
      <c r="A64" s="133" t="str">
        <f>IFERROR(__xludf.DUMMYFUNCTION("""COMPUTED_VALUE"""),"PL40360SLW")</f>
        <v>PL40360SLW</v>
      </c>
      <c r="B64" s="164">
        <f>IFERROR(__xludf.DUMMYFUNCTION("""COMPUTED_VALUE"""),1.4620439E7)</f>
        <v>14620439</v>
      </c>
      <c r="C64" s="164" t="str">
        <f>IFERROR(__xludf.DUMMYFUNCTION("""COMPUTED_VALUE"""),"14620439L")</f>
        <v>14620439L</v>
      </c>
      <c r="D64" s="164" t="str">
        <f>IFERROR(__xludf.DUMMYFUNCTION("""COMPUTED_VALUE"""),"Портвейн")</f>
        <v>Портвейн</v>
      </c>
      <c r="E64" s="164" t="str">
        <f>IFERROR(__xludf.DUMMYFUNCTION("""COMPUTED_VALUE"""),"L")</f>
        <v>L</v>
      </c>
      <c r="F64" s="133" t="str">
        <f>IFERROR(__xludf.DUMMYFUNCTION("""COMPUTED_VALUE"""),"PL40360SLWL")</f>
        <v>PL40360SLWL</v>
      </c>
      <c r="G64" s="165">
        <f>IFERROR(__xludf.DUMMYFUNCTION("""COMPUTED_VALUE"""),942.0)</f>
        <v>942</v>
      </c>
    </row>
    <row r="65" ht="15.75" customHeight="1">
      <c r="A65" s="133" t="str">
        <f>IFERROR(__xludf.DUMMYFUNCTION("""COMPUTED_VALUE"""),"PL40360SLW")</f>
        <v>PL40360SLW</v>
      </c>
      <c r="B65" s="164">
        <f>IFERROR(__xludf.DUMMYFUNCTION("""COMPUTED_VALUE"""),1.4620439E7)</f>
        <v>14620439</v>
      </c>
      <c r="C65" s="164" t="str">
        <f>IFERROR(__xludf.DUMMYFUNCTION("""COMPUTED_VALUE"""),"14620439XL")</f>
        <v>14620439XL</v>
      </c>
      <c r="D65" s="164" t="str">
        <f>IFERROR(__xludf.DUMMYFUNCTION("""COMPUTED_VALUE"""),"Портвейн")</f>
        <v>Портвейн</v>
      </c>
      <c r="E65" s="164" t="str">
        <f>IFERROR(__xludf.DUMMYFUNCTION("""COMPUTED_VALUE"""),"XL")</f>
        <v>XL</v>
      </c>
      <c r="F65" s="133" t="str">
        <f>IFERROR(__xludf.DUMMYFUNCTION("""COMPUTED_VALUE"""),"PL40360SLWXL")</f>
        <v>PL40360SLWXL</v>
      </c>
      <c r="G65" s="165">
        <f>IFERROR(__xludf.DUMMYFUNCTION("""COMPUTED_VALUE"""),942.0)</f>
        <v>942</v>
      </c>
    </row>
    <row r="66" ht="15.75" customHeight="1">
      <c r="A66" s="133" t="str">
        <f>IFERROR(__xludf.DUMMYFUNCTION("""COMPUTED_VALUE"""),"PL40355SLW")</f>
        <v>PL40355SLW</v>
      </c>
      <c r="B66" s="164">
        <f>IFERROR(__xludf.DUMMYFUNCTION("""COMPUTED_VALUE"""),1.4069669E7)</f>
        <v>14069669</v>
      </c>
      <c r="C66" s="164" t="str">
        <f>IFERROR(__xludf.DUMMYFUNCTION("""COMPUTED_VALUE"""),"14069669XS -S")</f>
        <v>14069669XS -S</v>
      </c>
      <c r="D66" s="164" t="str">
        <f>IFERROR(__xludf.DUMMYFUNCTION("""COMPUTED_VALUE"""),"Бордо")</f>
        <v>Бордо</v>
      </c>
      <c r="E66" s="164" t="str">
        <f>IFERROR(__xludf.DUMMYFUNCTION("""COMPUTED_VALUE"""),"XS -S")</f>
        <v>XS -S</v>
      </c>
      <c r="F66" s="133" t="str">
        <f>IFERROR(__xludf.DUMMYFUNCTION("""COMPUTED_VALUE"""),"PL40355SLWXS -S")</f>
        <v>PL40355SLWXS -S</v>
      </c>
      <c r="G66" s="165">
        <f>IFERROR(__xludf.DUMMYFUNCTION("""COMPUTED_VALUE"""),593.0)</f>
        <v>593</v>
      </c>
    </row>
    <row r="67" ht="15.75" customHeight="1">
      <c r="A67" s="133" t="str">
        <f>IFERROR(__xludf.DUMMYFUNCTION("""COMPUTED_VALUE"""),"PL40355SLW")</f>
        <v>PL40355SLW</v>
      </c>
      <c r="B67" s="164">
        <f>IFERROR(__xludf.DUMMYFUNCTION("""COMPUTED_VALUE"""),1.4069669E7)</f>
        <v>14069669</v>
      </c>
      <c r="C67" s="164" t="str">
        <f>IFERROR(__xludf.DUMMYFUNCTION("""COMPUTED_VALUE"""),"14069669M-L")</f>
        <v>14069669M-L</v>
      </c>
      <c r="D67" s="164" t="str">
        <f>IFERROR(__xludf.DUMMYFUNCTION("""COMPUTED_VALUE"""),"Бордо")</f>
        <v>Бордо</v>
      </c>
      <c r="E67" s="164" t="str">
        <f>IFERROR(__xludf.DUMMYFUNCTION("""COMPUTED_VALUE"""),"M-L")</f>
        <v>M-L</v>
      </c>
      <c r="F67" s="133" t="str">
        <f>IFERROR(__xludf.DUMMYFUNCTION("""COMPUTED_VALUE"""),"PL40355SLWM-L")</f>
        <v>PL40355SLWM-L</v>
      </c>
      <c r="G67" s="165">
        <f>IFERROR(__xludf.DUMMYFUNCTION("""COMPUTED_VALUE"""),593.0)</f>
        <v>593</v>
      </c>
    </row>
    <row r="68" ht="15.75" customHeight="1">
      <c r="A68" s="133" t="str">
        <f>IFERROR(__xludf.DUMMYFUNCTION("""COMPUTED_VALUE"""),"PL40355SLW")</f>
        <v>PL40355SLW</v>
      </c>
      <c r="B68" s="164">
        <f>IFERROR(__xludf.DUMMYFUNCTION("""COMPUTED_VALUE"""),1.4069669E7)</f>
        <v>14069669</v>
      </c>
      <c r="C68" s="164" t="str">
        <f>IFERROR(__xludf.DUMMYFUNCTION("""COMPUTED_VALUE"""),"14069669L-XL")</f>
        <v>14069669L-XL</v>
      </c>
      <c r="D68" s="164" t="str">
        <f>IFERROR(__xludf.DUMMYFUNCTION("""COMPUTED_VALUE"""),"Бордо")</f>
        <v>Бордо</v>
      </c>
      <c r="E68" s="164" t="str">
        <f>IFERROR(__xludf.DUMMYFUNCTION("""COMPUTED_VALUE"""),"L-XL")</f>
        <v>L-XL</v>
      </c>
      <c r="F68" s="133" t="str">
        <f>IFERROR(__xludf.DUMMYFUNCTION("""COMPUTED_VALUE"""),"PL40355SLWL-XL")</f>
        <v>PL40355SLWL-XL</v>
      </c>
      <c r="G68" s="165">
        <f>IFERROR(__xludf.DUMMYFUNCTION("""COMPUTED_VALUE"""),593.0)</f>
        <v>593</v>
      </c>
    </row>
    <row r="69" ht="15.75" customHeight="1">
      <c r="A69" s="133" t="str">
        <f>IFERROR(__xludf.DUMMYFUNCTION("""COMPUTED_VALUE"""),"PL40356SLW")</f>
        <v>PL40356SLW</v>
      </c>
      <c r="B69" s="164">
        <f>IFERROR(__xludf.DUMMYFUNCTION("""COMPUTED_VALUE"""),1.406967E7)</f>
        <v>14069670</v>
      </c>
      <c r="C69" s="164" t="str">
        <f>IFERROR(__xludf.DUMMYFUNCTION("""COMPUTED_VALUE"""),"14069670XS -S")</f>
        <v>14069670XS -S</v>
      </c>
      <c r="D69" s="164" t="str">
        <f>IFERROR(__xludf.DUMMYFUNCTION("""COMPUTED_VALUE"""),"Серый меланж")</f>
        <v>Серый меланж</v>
      </c>
      <c r="E69" s="164" t="str">
        <f>IFERROR(__xludf.DUMMYFUNCTION("""COMPUTED_VALUE"""),"XS -S")</f>
        <v>XS -S</v>
      </c>
      <c r="F69" s="133" t="str">
        <f>IFERROR(__xludf.DUMMYFUNCTION("""COMPUTED_VALUE"""),"PL40356SLWXS -S")</f>
        <v>PL40356SLWXS -S</v>
      </c>
      <c r="G69" s="165">
        <f>IFERROR(__xludf.DUMMYFUNCTION("""COMPUTED_VALUE"""),593.0)</f>
        <v>593</v>
      </c>
    </row>
    <row r="70" ht="15.75" customHeight="1">
      <c r="A70" s="133" t="str">
        <f>IFERROR(__xludf.DUMMYFUNCTION("""COMPUTED_VALUE"""),"PL40356SLW")</f>
        <v>PL40356SLW</v>
      </c>
      <c r="B70" s="164">
        <f>IFERROR(__xludf.DUMMYFUNCTION("""COMPUTED_VALUE"""),1.406967E7)</f>
        <v>14069670</v>
      </c>
      <c r="C70" s="164" t="str">
        <f>IFERROR(__xludf.DUMMYFUNCTION("""COMPUTED_VALUE"""),"14069670M-L")</f>
        <v>14069670M-L</v>
      </c>
      <c r="D70" s="164" t="str">
        <f>IFERROR(__xludf.DUMMYFUNCTION("""COMPUTED_VALUE"""),"Серый меланж")</f>
        <v>Серый меланж</v>
      </c>
      <c r="E70" s="164" t="str">
        <f>IFERROR(__xludf.DUMMYFUNCTION("""COMPUTED_VALUE"""),"M-L")</f>
        <v>M-L</v>
      </c>
      <c r="F70" s="133" t="str">
        <f>IFERROR(__xludf.DUMMYFUNCTION("""COMPUTED_VALUE"""),"PL40356SLWM-L")</f>
        <v>PL40356SLWM-L</v>
      </c>
      <c r="G70" s="165">
        <f>IFERROR(__xludf.DUMMYFUNCTION("""COMPUTED_VALUE"""),593.0)</f>
        <v>593</v>
      </c>
    </row>
    <row r="71" ht="15.75" customHeight="1">
      <c r="A71" s="133" t="str">
        <f>IFERROR(__xludf.DUMMYFUNCTION("""COMPUTED_VALUE"""),"PL40356SLW")</f>
        <v>PL40356SLW</v>
      </c>
      <c r="B71" s="164">
        <f>IFERROR(__xludf.DUMMYFUNCTION("""COMPUTED_VALUE"""),1.406967E7)</f>
        <v>14069670</v>
      </c>
      <c r="C71" s="164" t="str">
        <f>IFERROR(__xludf.DUMMYFUNCTION("""COMPUTED_VALUE"""),"14069670L-XL")</f>
        <v>14069670L-XL</v>
      </c>
      <c r="D71" s="164" t="str">
        <f>IFERROR(__xludf.DUMMYFUNCTION("""COMPUTED_VALUE"""),"Серый меланж")</f>
        <v>Серый меланж</v>
      </c>
      <c r="E71" s="164" t="str">
        <f>IFERROR(__xludf.DUMMYFUNCTION("""COMPUTED_VALUE"""),"L-XL")</f>
        <v>L-XL</v>
      </c>
      <c r="F71" s="133" t="str">
        <f>IFERROR(__xludf.DUMMYFUNCTION("""COMPUTED_VALUE"""),"PL40356SLWL-XL")</f>
        <v>PL40356SLWL-XL</v>
      </c>
      <c r="G71" s="165">
        <f>IFERROR(__xludf.DUMMYFUNCTION("""COMPUTED_VALUE"""),593.0)</f>
        <v>593</v>
      </c>
    </row>
    <row r="72" ht="15.75" customHeight="1">
      <c r="A72" s="133" t="str">
        <f>IFERROR(__xludf.DUMMYFUNCTION("""COMPUTED_VALUE"""),"PL40357SLW")</f>
        <v>PL40357SLW</v>
      </c>
      <c r="B72" s="164">
        <f>IFERROR(__xludf.DUMMYFUNCTION("""COMPUTED_VALUE"""),1.4069671E7)</f>
        <v>14069671</v>
      </c>
      <c r="C72" s="164" t="str">
        <f>IFERROR(__xludf.DUMMYFUNCTION("""COMPUTED_VALUE"""),"14069671XS -S")</f>
        <v>14069671XS -S</v>
      </c>
      <c r="D72" s="164" t="str">
        <f>IFERROR(__xludf.DUMMYFUNCTION("""COMPUTED_VALUE"""),"Черный")</f>
        <v>Черный</v>
      </c>
      <c r="E72" s="164" t="str">
        <f>IFERROR(__xludf.DUMMYFUNCTION("""COMPUTED_VALUE"""),"XS -S")</f>
        <v>XS -S</v>
      </c>
      <c r="F72" s="133" t="str">
        <f>IFERROR(__xludf.DUMMYFUNCTION("""COMPUTED_VALUE"""),"PL40357SLWXS -S")</f>
        <v>PL40357SLWXS -S</v>
      </c>
      <c r="G72" s="165">
        <f>IFERROR(__xludf.DUMMYFUNCTION("""COMPUTED_VALUE"""),593.0)</f>
        <v>593</v>
      </c>
    </row>
    <row r="73" ht="15.75" customHeight="1">
      <c r="A73" s="133" t="str">
        <f>IFERROR(__xludf.DUMMYFUNCTION("""COMPUTED_VALUE"""),"PL40357SLW")</f>
        <v>PL40357SLW</v>
      </c>
      <c r="B73" s="164">
        <f>IFERROR(__xludf.DUMMYFUNCTION("""COMPUTED_VALUE"""),1.4069671E7)</f>
        <v>14069671</v>
      </c>
      <c r="C73" s="164" t="str">
        <f>IFERROR(__xludf.DUMMYFUNCTION("""COMPUTED_VALUE"""),"14069671M-L")</f>
        <v>14069671M-L</v>
      </c>
      <c r="D73" s="164" t="str">
        <f>IFERROR(__xludf.DUMMYFUNCTION("""COMPUTED_VALUE"""),"Черный")</f>
        <v>Черный</v>
      </c>
      <c r="E73" s="164" t="str">
        <f>IFERROR(__xludf.DUMMYFUNCTION("""COMPUTED_VALUE"""),"M-L")</f>
        <v>M-L</v>
      </c>
      <c r="F73" s="133" t="str">
        <f>IFERROR(__xludf.DUMMYFUNCTION("""COMPUTED_VALUE"""),"PL40357SLWM-L")</f>
        <v>PL40357SLWM-L</v>
      </c>
      <c r="G73" s="165">
        <f>IFERROR(__xludf.DUMMYFUNCTION("""COMPUTED_VALUE"""),593.0)</f>
        <v>593</v>
      </c>
    </row>
    <row r="74" ht="15.75" customHeight="1">
      <c r="A74" s="133" t="str">
        <f>IFERROR(__xludf.DUMMYFUNCTION("""COMPUTED_VALUE"""),"PL40357SLW")</f>
        <v>PL40357SLW</v>
      </c>
      <c r="B74" s="164">
        <f>IFERROR(__xludf.DUMMYFUNCTION("""COMPUTED_VALUE"""),1.4069671E7)</f>
        <v>14069671</v>
      </c>
      <c r="C74" s="164" t="str">
        <f>IFERROR(__xludf.DUMMYFUNCTION("""COMPUTED_VALUE"""),"14069671L-XL")</f>
        <v>14069671L-XL</v>
      </c>
      <c r="D74" s="164" t="str">
        <f>IFERROR(__xludf.DUMMYFUNCTION("""COMPUTED_VALUE"""),"Черный")</f>
        <v>Черный</v>
      </c>
      <c r="E74" s="164" t="str">
        <f>IFERROR(__xludf.DUMMYFUNCTION("""COMPUTED_VALUE"""),"L-XL")</f>
        <v>L-XL</v>
      </c>
      <c r="F74" s="133" t="str">
        <f>IFERROR(__xludf.DUMMYFUNCTION("""COMPUTED_VALUE"""),"PL40357SLWL-XL")</f>
        <v>PL40357SLWL-XL</v>
      </c>
      <c r="G74" s="165">
        <f>IFERROR(__xludf.DUMMYFUNCTION("""COMPUTED_VALUE"""),593.0)</f>
        <v>593</v>
      </c>
    </row>
    <row r="75" ht="15.75" customHeight="1">
      <c r="A75" s="133" t="str">
        <f>IFERROR(__xludf.DUMMYFUNCTION("""COMPUTED_VALUE"""),"V41021V10020W")</f>
        <v>V41021V10020W</v>
      </c>
      <c r="B75" s="164">
        <f>IFERROR(__xludf.DUMMYFUNCTION("""COMPUTED_VALUE"""),1.1210354E7)</f>
        <v>11210354</v>
      </c>
      <c r="C75" s="164" t="str">
        <f>IFERROR(__xludf.DUMMYFUNCTION("""COMPUTED_VALUE"""),"11210354XXS")</f>
        <v>11210354XXS</v>
      </c>
      <c r="D75" s="164" t="str">
        <f>IFERROR(__xludf.DUMMYFUNCTION("""COMPUTED_VALUE"""),"XXS")</f>
        <v>XXS</v>
      </c>
      <c r="E75" s="164" t="str">
        <f>IFERROR(__xludf.DUMMYFUNCTION("""COMPUTED_VALUE"""),"XXS")</f>
        <v>XXS</v>
      </c>
      <c r="F75" s="133" t="str">
        <f>IFERROR(__xludf.DUMMYFUNCTION("""COMPUTED_VALUE"""),"V10020WXXS")</f>
        <v>V10020WXXS</v>
      </c>
      <c r="G75" s="165">
        <f>IFERROR(__xludf.DUMMYFUNCTION("""COMPUTED_VALUE"""),1736.0)</f>
        <v>1736</v>
      </c>
    </row>
    <row r="76" ht="15.75" customHeight="1">
      <c r="A76" s="133" t="str">
        <f>IFERROR(__xludf.DUMMYFUNCTION("""COMPUTED_VALUE"""),"V41021V10020W")</f>
        <v>V41021V10020W</v>
      </c>
      <c r="B76" s="164">
        <f>IFERROR(__xludf.DUMMYFUNCTION("""COMPUTED_VALUE"""),1.1210354E7)</f>
        <v>11210354</v>
      </c>
      <c r="C76" s="164" t="str">
        <f>IFERROR(__xludf.DUMMYFUNCTION("""COMPUTED_VALUE"""),"11210354XS")</f>
        <v>11210354XS</v>
      </c>
      <c r="D76" s="164" t="str">
        <f>IFERROR(__xludf.DUMMYFUNCTION("""COMPUTED_VALUE"""),"XS")</f>
        <v>XS</v>
      </c>
      <c r="E76" s="164" t="str">
        <f>IFERROR(__xludf.DUMMYFUNCTION("""COMPUTED_VALUE"""),"XS")</f>
        <v>XS</v>
      </c>
      <c r="F76" s="133" t="str">
        <f>IFERROR(__xludf.DUMMYFUNCTION("""COMPUTED_VALUE"""),"V10020WXS")</f>
        <v>V10020WXS</v>
      </c>
      <c r="G76" s="165">
        <f>IFERROR(__xludf.DUMMYFUNCTION("""COMPUTED_VALUE"""),1736.0)</f>
        <v>1736</v>
      </c>
    </row>
    <row r="77" ht="15.75" customHeight="1">
      <c r="A77" s="133" t="str">
        <f>IFERROR(__xludf.DUMMYFUNCTION("""COMPUTED_VALUE"""),"V41021V10020W")</f>
        <v>V41021V10020W</v>
      </c>
      <c r="B77" s="164">
        <f>IFERROR(__xludf.DUMMYFUNCTION("""COMPUTED_VALUE"""),1.1210354E7)</f>
        <v>11210354</v>
      </c>
      <c r="C77" s="164" t="str">
        <f>IFERROR(__xludf.DUMMYFUNCTION("""COMPUTED_VALUE"""),"11210354S")</f>
        <v>11210354S</v>
      </c>
      <c r="D77" s="164" t="str">
        <f>IFERROR(__xludf.DUMMYFUNCTION("""COMPUTED_VALUE"""),"S")</f>
        <v>S</v>
      </c>
      <c r="E77" s="164" t="str">
        <f>IFERROR(__xludf.DUMMYFUNCTION("""COMPUTED_VALUE"""),"S")</f>
        <v>S</v>
      </c>
      <c r="F77" s="133" t="str">
        <f>IFERROR(__xludf.DUMMYFUNCTION("""COMPUTED_VALUE"""),"V10020WS")</f>
        <v>V10020WS</v>
      </c>
      <c r="G77" s="165">
        <f>IFERROR(__xludf.DUMMYFUNCTION("""COMPUTED_VALUE"""),1736.0)</f>
        <v>1736</v>
      </c>
    </row>
    <row r="78" ht="15.75" customHeight="1">
      <c r="A78" s="133" t="str">
        <f>IFERROR(__xludf.DUMMYFUNCTION("""COMPUTED_VALUE"""),"V41021V10020W")</f>
        <v>V41021V10020W</v>
      </c>
      <c r="B78" s="164">
        <f>IFERROR(__xludf.DUMMYFUNCTION("""COMPUTED_VALUE"""),1.1210354E7)</f>
        <v>11210354</v>
      </c>
      <c r="C78" s="164" t="str">
        <f>IFERROR(__xludf.DUMMYFUNCTION("""COMPUTED_VALUE"""),"11210354M")</f>
        <v>11210354M</v>
      </c>
      <c r="D78" s="164" t="str">
        <f>IFERROR(__xludf.DUMMYFUNCTION("""COMPUTED_VALUE"""),"M")</f>
        <v>M</v>
      </c>
      <c r="E78" s="164" t="str">
        <f>IFERROR(__xludf.DUMMYFUNCTION("""COMPUTED_VALUE"""),"M")</f>
        <v>M</v>
      </c>
      <c r="F78" s="133" t="str">
        <f>IFERROR(__xludf.DUMMYFUNCTION("""COMPUTED_VALUE"""),"V10020WM")</f>
        <v>V10020WM</v>
      </c>
      <c r="G78" s="165">
        <f>IFERROR(__xludf.DUMMYFUNCTION("""COMPUTED_VALUE"""),1736.0)</f>
        <v>1736</v>
      </c>
    </row>
    <row r="79" ht="15.75" customHeight="1">
      <c r="A79" s="133" t="str">
        <f>IFERROR(__xludf.DUMMYFUNCTION("""COMPUTED_VALUE"""),"V41021V10020W")</f>
        <v>V41021V10020W</v>
      </c>
      <c r="B79" s="164">
        <f>IFERROR(__xludf.DUMMYFUNCTION("""COMPUTED_VALUE"""),1.1210354E7)</f>
        <v>11210354</v>
      </c>
      <c r="C79" s="164" t="str">
        <f>IFERROR(__xludf.DUMMYFUNCTION("""COMPUTED_VALUE"""),"11210354L")</f>
        <v>11210354L</v>
      </c>
      <c r="D79" s="164" t="str">
        <f>IFERROR(__xludf.DUMMYFUNCTION("""COMPUTED_VALUE"""),"L")</f>
        <v>L</v>
      </c>
      <c r="E79" s="164" t="str">
        <f>IFERROR(__xludf.DUMMYFUNCTION("""COMPUTED_VALUE"""),"L")</f>
        <v>L</v>
      </c>
      <c r="F79" s="133" t="str">
        <f>IFERROR(__xludf.DUMMYFUNCTION("""COMPUTED_VALUE"""),"V10020WL")</f>
        <v>V10020WL</v>
      </c>
      <c r="G79" s="165">
        <f>IFERROR(__xludf.DUMMYFUNCTION("""COMPUTED_VALUE"""),1736.0)</f>
        <v>1736</v>
      </c>
    </row>
    <row r="80" ht="15.75" customHeight="1">
      <c r="A80" s="133" t="str">
        <f>IFERROR(__xludf.DUMMYFUNCTION("""COMPUTED_VALUE"""),"V41021V10020W")</f>
        <v>V41021V10020W</v>
      </c>
      <c r="B80" s="164">
        <f>IFERROR(__xludf.DUMMYFUNCTION("""COMPUTED_VALUE"""),1.1210354E7)</f>
        <v>11210354</v>
      </c>
      <c r="C80" s="164" t="str">
        <f>IFERROR(__xludf.DUMMYFUNCTION("""COMPUTED_VALUE"""),"11210354XL")</f>
        <v>11210354XL</v>
      </c>
      <c r="D80" s="164" t="str">
        <f>IFERROR(__xludf.DUMMYFUNCTION("""COMPUTED_VALUE"""),"XL")</f>
        <v>XL</v>
      </c>
      <c r="E80" s="164" t="str">
        <f>IFERROR(__xludf.DUMMYFUNCTION("""COMPUTED_VALUE"""),"XL")</f>
        <v>XL</v>
      </c>
      <c r="F80" s="133" t="str">
        <f>IFERROR(__xludf.DUMMYFUNCTION("""COMPUTED_VALUE"""),"V10020WXL")</f>
        <v>V10020WXL</v>
      </c>
      <c r="G80" s="165">
        <f>IFERROR(__xludf.DUMMYFUNCTION("""COMPUTED_VALUE"""),1736.0)</f>
        <v>1736</v>
      </c>
    </row>
    <row r="81" ht="15.75" customHeight="1">
      <c r="A81" s="133" t="str">
        <f>IFERROR(__xludf.DUMMYFUNCTION("""COMPUTED_VALUE"""),"V41021V10020W")</f>
        <v>V41021V10020W</v>
      </c>
      <c r="B81" s="164">
        <f>IFERROR(__xludf.DUMMYFUNCTION("""COMPUTED_VALUE"""),1.1210354E7)</f>
        <v>11210354</v>
      </c>
      <c r="C81" s="164" t="str">
        <f>IFERROR(__xludf.DUMMYFUNCTION("""COMPUTED_VALUE"""),"11210354XXL")</f>
        <v>11210354XXL</v>
      </c>
      <c r="D81" s="164" t="str">
        <f>IFERROR(__xludf.DUMMYFUNCTION("""COMPUTED_VALUE"""),"XXL")</f>
        <v>XXL</v>
      </c>
      <c r="E81" s="164" t="str">
        <f>IFERROR(__xludf.DUMMYFUNCTION("""COMPUTED_VALUE"""),"XXL")</f>
        <v>XXL</v>
      </c>
      <c r="F81" s="133" t="str">
        <f>IFERROR(__xludf.DUMMYFUNCTION("""COMPUTED_VALUE"""),"V10020WXXL")</f>
        <v>V10020WXXL</v>
      </c>
      <c r="G81" s="165">
        <f>IFERROR(__xludf.DUMMYFUNCTION("""COMPUTED_VALUE"""),1736.0)</f>
        <v>1736</v>
      </c>
    </row>
    <row r="82" ht="15.75" customHeight="1">
      <c r="A82" s="133" t="str">
        <f>IFERROR(__xludf.DUMMYFUNCTION("""COMPUTED_VALUE"""),"V41021V10020W")</f>
        <v>V41021V10020W</v>
      </c>
      <c r="B82" s="164">
        <f>IFERROR(__xludf.DUMMYFUNCTION("""COMPUTED_VALUE"""),1.1210354E7)</f>
        <v>11210354</v>
      </c>
      <c r="C82" s="164" t="str">
        <f>IFERROR(__xludf.DUMMYFUNCTION("""COMPUTED_VALUE"""),"11210354XXXL")</f>
        <v>11210354XXXL</v>
      </c>
      <c r="D82" s="164" t="str">
        <f>IFERROR(__xludf.DUMMYFUNCTION("""COMPUTED_VALUE"""),"XXXL")</f>
        <v>XXXL</v>
      </c>
      <c r="E82" s="164" t="str">
        <f>IFERROR(__xludf.DUMMYFUNCTION("""COMPUTED_VALUE"""),"XXXL")</f>
        <v>XXXL</v>
      </c>
      <c r="F82" s="133" t="str">
        <f>IFERROR(__xludf.DUMMYFUNCTION("""COMPUTED_VALUE"""),"V10020WXXXL")</f>
        <v>V10020WXXXL</v>
      </c>
      <c r="G82" s="165">
        <f>IFERROR(__xludf.DUMMYFUNCTION("""COMPUTED_VALUE"""),1736.0)</f>
        <v>1736</v>
      </c>
    </row>
    <row r="83" ht="15.75" customHeight="1">
      <c r="A83" s="133" t="str">
        <f>IFERROR(__xludf.DUMMYFUNCTION("""COMPUTED_VALUE"""),"V20020W")</f>
        <v>V20020W</v>
      </c>
      <c r="B83" s="164">
        <f>IFERROR(__xludf.DUMMYFUNCTION("""COMPUTED_VALUE"""),1.1210355E7)</f>
        <v>11210355</v>
      </c>
      <c r="C83" s="164" t="str">
        <f>IFERROR(__xludf.DUMMYFUNCTION("""COMPUTED_VALUE"""),"11210355XXS")</f>
        <v>11210355XXS</v>
      </c>
      <c r="D83" s="164" t="str">
        <f>IFERROR(__xludf.DUMMYFUNCTION("""COMPUTED_VALUE"""),"XXS")</f>
        <v>XXS</v>
      </c>
      <c r="E83" s="164" t="str">
        <f>IFERROR(__xludf.DUMMYFUNCTION("""COMPUTED_VALUE"""),"XXS")</f>
        <v>XXS</v>
      </c>
      <c r="F83" s="133" t="str">
        <f>IFERROR(__xludf.DUMMYFUNCTION("""COMPUTED_VALUE"""),"V20020WXXS")</f>
        <v>V20020WXXS</v>
      </c>
      <c r="G83" s="165">
        <f>IFERROR(__xludf.DUMMYFUNCTION("""COMPUTED_VALUE"""),1738.0)</f>
        <v>1738</v>
      </c>
    </row>
    <row r="84" ht="15.75" customHeight="1">
      <c r="A84" s="133" t="str">
        <f>IFERROR(__xludf.DUMMYFUNCTION("""COMPUTED_VALUE"""),"V20020W")</f>
        <v>V20020W</v>
      </c>
      <c r="B84" s="164">
        <f>IFERROR(__xludf.DUMMYFUNCTION("""COMPUTED_VALUE"""),1.1210355E7)</f>
        <v>11210355</v>
      </c>
      <c r="C84" s="164" t="str">
        <f>IFERROR(__xludf.DUMMYFUNCTION("""COMPUTED_VALUE"""),"11210355XS")</f>
        <v>11210355XS</v>
      </c>
      <c r="D84" s="164" t="str">
        <f>IFERROR(__xludf.DUMMYFUNCTION("""COMPUTED_VALUE"""),"XS")</f>
        <v>XS</v>
      </c>
      <c r="E84" s="164" t="str">
        <f>IFERROR(__xludf.DUMMYFUNCTION("""COMPUTED_VALUE"""),"XS")</f>
        <v>XS</v>
      </c>
      <c r="F84" s="133" t="str">
        <f>IFERROR(__xludf.DUMMYFUNCTION("""COMPUTED_VALUE"""),"V20020WXS")</f>
        <v>V20020WXS</v>
      </c>
      <c r="G84" s="165">
        <f>IFERROR(__xludf.DUMMYFUNCTION("""COMPUTED_VALUE"""),1738.0)</f>
        <v>1738</v>
      </c>
    </row>
    <row r="85" ht="15.75" customHeight="1">
      <c r="A85" s="133" t="str">
        <f>IFERROR(__xludf.DUMMYFUNCTION("""COMPUTED_VALUE"""),"V20020W")</f>
        <v>V20020W</v>
      </c>
      <c r="B85" s="164">
        <f>IFERROR(__xludf.DUMMYFUNCTION("""COMPUTED_VALUE"""),1.1210355E7)</f>
        <v>11210355</v>
      </c>
      <c r="C85" s="164" t="str">
        <f>IFERROR(__xludf.DUMMYFUNCTION("""COMPUTED_VALUE"""),"11210355S")</f>
        <v>11210355S</v>
      </c>
      <c r="D85" s="164" t="str">
        <f>IFERROR(__xludf.DUMMYFUNCTION("""COMPUTED_VALUE"""),"S")</f>
        <v>S</v>
      </c>
      <c r="E85" s="164" t="str">
        <f>IFERROR(__xludf.DUMMYFUNCTION("""COMPUTED_VALUE"""),"S")</f>
        <v>S</v>
      </c>
      <c r="F85" s="133" t="str">
        <f>IFERROR(__xludf.DUMMYFUNCTION("""COMPUTED_VALUE"""),"V20020WS")</f>
        <v>V20020WS</v>
      </c>
      <c r="G85" s="165">
        <f>IFERROR(__xludf.DUMMYFUNCTION("""COMPUTED_VALUE"""),1738.0)</f>
        <v>1738</v>
      </c>
    </row>
    <row r="86" ht="15.75" customHeight="1">
      <c r="A86" s="133" t="str">
        <f>IFERROR(__xludf.DUMMYFUNCTION("""COMPUTED_VALUE"""),"V20020W")</f>
        <v>V20020W</v>
      </c>
      <c r="B86" s="164">
        <f>IFERROR(__xludf.DUMMYFUNCTION("""COMPUTED_VALUE"""),1.1210355E7)</f>
        <v>11210355</v>
      </c>
      <c r="C86" s="164" t="str">
        <f>IFERROR(__xludf.DUMMYFUNCTION("""COMPUTED_VALUE"""),"11210355M")</f>
        <v>11210355M</v>
      </c>
      <c r="D86" s="164" t="str">
        <f>IFERROR(__xludf.DUMMYFUNCTION("""COMPUTED_VALUE"""),"M")</f>
        <v>M</v>
      </c>
      <c r="E86" s="164" t="str">
        <f>IFERROR(__xludf.DUMMYFUNCTION("""COMPUTED_VALUE"""),"M")</f>
        <v>M</v>
      </c>
      <c r="F86" s="133" t="str">
        <f>IFERROR(__xludf.DUMMYFUNCTION("""COMPUTED_VALUE"""),"V20020WM")</f>
        <v>V20020WM</v>
      </c>
      <c r="G86" s="165">
        <f>IFERROR(__xludf.DUMMYFUNCTION("""COMPUTED_VALUE"""),1738.0)</f>
        <v>1738</v>
      </c>
    </row>
    <row r="87" ht="15.75" customHeight="1">
      <c r="A87" s="133" t="str">
        <f>IFERROR(__xludf.DUMMYFUNCTION("""COMPUTED_VALUE"""),"V20020W")</f>
        <v>V20020W</v>
      </c>
      <c r="B87" s="164">
        <f>IFERROR(__xludf.DUMMYFUNCTION("""COMPUTED_VALUE"""),1.1210355E7)</f>
        <v>11210355</v>
      </c>
      <c r="C87" s="164" t="str">
        <f>IFERROR(__xludf.DUMMYFUNCTION("""COMPUTED_VALUE"""),"11210355L")</f>
        <v>11210355L</v>
      </c>
      <c r="D87" s="164" t="str">
        <f>IFERROR(__xludf.DUMMYFUNCTION("""COMPUTED_VALUE"""),"L")</f>
        <v>L</v>
      </c>
      <c r="E87" s="164" t="str">
        <f>IFERROR(__xludf.DUMMYFUNCTION("""COMPUTED_VALUE"""),"L")</f>
        <v>L</v>
      </c>
      <c r="F87" s="133" t="str">
        <f>IFERROR(__xludf.DUMMYFUNCTION("""COMPUTED_VALUE"""),"V20020WL")</f>
        <v>V20020WL</v>
      </c>
      <c r="G87" s="165">
        <f>IFERROR(__xludf.DUMMYFUNCTION("""COMPUTED_VALUE"""),1738.0)</f>
        <v>1738</v>
      </c>
    </row>
    <row r="88" ht="15.75" customHeight="1">
      <c r="A88" s="133" t="str">
        <f>IFERROR(__xludf.DUMMYFUNCTION("""COMPUTED_VALUE"""),"V20020W")</f>
        <v>V20020W</v>
      </c>
      <c r="B88" s="164">
        <f>IFERROR(__xludf.DUMMYFUNCTION("""COMPUTED_VALUE"""),1.1210355E7)</f>
        <v>11210355</v>
      </c>
      <c r="C88" s="164" t="str">
        <f>IFERROR(__xludf.DUMMYFUNCTION("""COMPUTED_VALUE"""),"11210355XL")</f>
        <v>11210355XL</v>
      </c>
      <c r="D88" s="164" t="str">
        <f>IFERROR(__xludf.DUMMYFUNCTION("""COMPUTED_VALUE"""),"XL")</f>
        <v>XL</v>
      </c>
      <c r="E88" s="164" t="str">
        <f>IFERROR(__xludf.DUMMYFUNCTION("""COMPUTED_VALUE"""),"XL")</f>
        <v>XL</v>
      </c>
      <c r="F88" s="133" t="str">
        <f>IFERROR(__xludf.DUMMYFUNCTION("""COMPUTED_VALUE"""),"V20020WXL")</f>
        <v>V20020WXL</v>
      </c>
      <c r="G88" s="165">
        <f>IFERROR(__xludf.DUMMYFUNCTION("""COMPUTED_VALUE"""),1738.0)</f>
        <v>1738</v>
      </c>
    </row>
    <row r="89" ht="15.75" customHeight="1">
      <c r="A89" s="133" t="str">
        <f>IFERROR(__xludf.DUMMYFUNCTION("""COMPUTED_VALUE"""),"V20020W")</f>
        <v>V20020W</v>
      </c>
      <c r="B89" s="164">
        <f>IFERROR(__xludf.DUMMYFUNCTION("""COMPUTED_VALUE"""),1.1210355E7)</f>
        <v>11210355</v>
      </c>
      <c r="C89" s="164" t="str">
        <f>IFERROR(__xludf.DUMMYFUNCTION("""COMPUTED_VALUE"""),"11210355XXL")</f>
        <v>11210355XXL</v>
      </c>
      <c r="D89" s="164" t="str">
        <f>IFERROR(__xludf.DUMMYFUNCTION("""COMPUTED_VALUE"""),"XXL")</f>
        <v>XXL</v>
      </c>
      <c r="E89" s="164" t="str">
        <f>IFERROR(__xludf.DUMMYFUNCTION("""COMPUTED_VALUE"""),"XXL")</f>
        <v>XXL</v>
      </c>
      <c r="F89" s="133" t="str">
        <f>IFERROR(__xludf.DUMMYFUNCTION("""COMPUTED_VALUE"""),"V20020WXXL")</f>
        <v>V20020WXXL</v>
      </c>
      <c r="G89" s="165">
        <f>IFERROR(__xludf.DUMMYFUNCTION("""COMPUTED_VALUE"""),1738.0)</f>
        <v>1738</v>
      </c>
    </row>
    <row r="90" ht="15.75" customHeight="1">
      <c r="A90" s="133" t="str">
        <f>IFERROR(__xludf.DUMMYFUNCTION("""COMPUTED_VALUE"""),"V20020W")</f>
        <v>V20020W</v>
      </c>
      <c r="B90" s="164">
        <f>IFERROR(__xludf.DUMMYFUNCTION("""COMPUTED_VALUE"""),1.1210355E7)</f>
        <v>11210355</v>
      </c>
      <c r="C90" s="164" t="str">
        <f>IFERROR(__xludf.DUMMYFUNCTION("""COMPUTED_VALUE"""),"11210355XXXL")</f>
        <v>11210355XXXL</v>
      </c>
      <c r="D90" s="164" t="str">
        <f>IFERROR(__xludf.DUMMYFUNCTION("""COMPUTED_VALUE"""),"XXXL")</f>
        <v>XXXL</v>
      </c>
      <c r="E90" s="164" t="str">
        <f>IFERROR(__xludf.DUMMYFUNCTION("""COMPUTED_VALUE"""),"XXXL")</f>
        <v>XXXL</v>
      </c>
      <c r="F90" s="133" t="str">
        <f>IFERROR(__xludf.DUMMYFUNCTION("""COMPUTED_VALUE"""),"V20020WXXXL")</f>
        <v>V20020WXXXL</v>
      </c>
      <c r="G90" s="165">
        <f>IFERROR(__xludf.DUMMYFUNCTION("""COMPUTED_VALUE"""),1738.0)</f>
        <v>1738</v>
      </c>
    </row>
    <row r="91" ht="15.75" customHeight="1">
      <c r="A91" s="133" t="str">
        <f>IFERROR(__xludf.DUMMYFUNCTION("""COMPUTED_VALUE"""),"V30020W")</f>
        <v>V30020W</v>
      </c>
      <c r="B91" s="164">
        <f>IFERROR(__xludf.DUMMYFUNCTION("""COMPUTED_VALUE"""),1.1210356E7)</f>
        <v>11210356</v>
      </c>
      <c r="C91" s="164" t="str">
        <f>IFERROR(__xludf.DUMMYFUNCTION("""COMPUTED_VALUE"""),"11210356XXS")</f>
        <v>11210356XXS</v>
      </c>
      <c r="D91" s="164" t="str">
        <f>IFERROR(__xludf.DUMMYFUNCTION("""COMPUTED_VALUE"""),"XXS")</f>
        <v>XXS</v>
      </c>
      <c r="E91" s="164" t="str">
        <f>IFERROR(__xludf.DUMMYFUNCTION("""COMPUTED_VALUE"""),"XXS")</f>
        <v>XXS</v>
      </c>
      <c r="F91" s="133" t="str">
        <f>IFERROR(__xludf.DUMMYFUNCTION("""COMPUTED_VALUE"""),"V30020WXXS")</f>
        <v>V30020WXXS</v>
      </c>
      <c r="G91" s="165">
        <f>IFERROR(__xludf.DUMMYFUNCTION("""COMPUTED_VALUE"""),1736.0)</f>
        <v>1736</v>
      </c>
    </row>
    <row r="92" ht="15.75" customHeight="1">
      <c r="A92" s="133" t="str">
        <f>IFERROR(__xludf.DUMMYFUNCTION("""COMPUTED_VALUE"""),"V30020W")</f>
        <v>V30020W</v>
      </c>
      <c r="B92" s="164">
        <f>IFERROR(__xludf.DUMMYFUNCTION("""COMPUTED_VALUE"""),1.1210356E7)</f>
        <v>11210356</v>
      </c>
      <c r="C92" s="164" t="str">
        <f>IFERROR(__xludf.DUMMYFUNCTION("""COMPUTED_VALUE"""),"11210356XS")</f>
        <v>11210356XS</v>
      </c>
      <c r="D92" s="164" t="str">
        <f>IFERROR(__xludf.DUMMYFUNCTION("""COMPUTED_VALUE"""),"XS")</f>
        <v>XS</v>
      </c>
      <c r="E92" s="164" t="str">
        <f>IFERROR(__xludf.DUMMYFUNCTION("""COMPUTED_VALUE"""),"XS")</f>
        <v>XS</v>
      </c>
      <c r="F92" s="133" t="str">
        <f>IFERROR(__xludf.DUMMYFUNCTION("""COMPUTED_VALUE"""),"V30020WXS")</f>
        <v>V30020WXS</v>
      </c>
      <c r="G92" s="165">
        <f>IFERROR(__xludf.DUMMYFUNCTION("""COMPUTED_VALUE"""),1736.0)</f>
        <v>1736</v>
      </c>
    </row>
    <row r="93" ht="15.75" customHeight="1">
      <c r="A93" s="133" t="str">
        <f>IFERROR(__xludf.DUMMYFUNCTION("""COMPUTED_VALUE"""),"V30020W")</f>
        <v>V30020W</v>
      </c>
      <c r="B93" s="164">
        <f>IFERROR(__xludf.DUMMYFUNCTION("""COMPUTED_VALUE"""),1.1210356E7)</f>
        <v>11210356</v>
      </c>
      <c r="C93" s="164" t="str">
        <f>IFERROR(__xludf.DUMMYFUNCTION("""COMPUTED_VALUE"""),"11210356S")</f>
        <v>11210356S</v>
      </c>
      <c r="D93" s="164" t="str">
        <f>IFERROR(__xludf.DUMMYFUNCTION("""COMPUTED_VALUE"""),"S")</f>
        <v>S</v>
      </c>
      <c r="E93" s="164" t="str">
        <f>IFERROR(__xludf.DUMMYFUNCTION("""COMPUTED_VALUE"""),"S")</f>
        <v>S</v>
      </c>
      <c r="F93" s="133" t="str">
        <f>IFERROR(__xludf.DUMMYFUNCTION("""COMPUTED_VALUE"""),"V30020WS")</f>
        <v>V30020WS</v>
      </c>
      <c r="G93" s="165">
        <f>IFERROR(__xludf.DUMMYFUNCTION("""COMPUTED_VALUE"""),1736.0)</f>
        <v>1736</v>
      </c>
    </row>
    <row r="94" ht="15.75" customHeight="1">
      <c r="A94" s="133" t="str">
        <f>IFERROR(__xludf.DUMMYFUNCTION("""COMPUTED_VALUE"""),"V30020W")</f>
        <v>V30020W</v>
      </c>
      <c r="B94" s="164">
        <f>IFERROR(__xludf.DUMMYFUNCTION("""COMPUTED_VALUE"""),1.1210356E7)</f>
        <v>11210356</v>
      </c>
      <c r="C94" s="164" t="str">
        <f>IFERROR(__xludf.DUMMYFUNCTION("""COMPUTED_VALUE"""),"11210356M")</f>
        <v>11210356M</v>
      </c>
      <c r="D94" s="164" t="str">
        <f>IFERROR(__xludf.DUMMYFUNCTION("""COMPUTED_VALUE"""),"M")</f>
        <v>M</v>
      </c>
      <c r="E94" s="164" t="str">
        <f>IFERROR(__xludf.DUMMYFUNCTION("""COMPUTED_VALUE"""),"M")</f>
        <v>M</v>
      </c>
      <c r="F94" s="133" t="str">
        <f>IFERROR(__xludf.DUMMYFUNCTION("""COMPUTED_VALUE"""),"V30020WM")</f>
        <v>V30020WM</v>
      </c>
      <c r="G94" s="165">
        <f>IFERROR(__xludf.DUMMYFUNCTION("""COMPUTED_VALUE"""),1736.0)</f>
        <v>1736</v>
      </c>
    </row>
    <row r="95" ht="15.75" customHeight="1">
      <c r="A95" s="133" t="str">
        <f>IFERROR(__xludf.DUMMYFUNCTION("""COMPUTED_VALUE"""),"V30020W")</f>
        <v>V30020W</v>
      </c>
      <c r="B95" s="164">
        <f>IFERROR(__xludf.DUMMYFUNCTION("""COMPUTED_VALUE"""),1.1210356E7)</f>
        <v>11210356</v>
      </c>
      <c r="C95" s="164" t="str">
        <f>IFERROR(__xludf.DUMMYFUNCTION("""COMPUTED_VALUE"""),"11210356L")</f>
        <v>11210356L</v>
      </c>
      <c r="D95" s="164" t="str">
        <f>IFERROR(__xludf.DUMMYFUNCTION("""COMPUTED_VALUE"""),"L")</f>
        <v>L</v>
      </c>
      <c r="E95" s="164" t="str">
        <f>IFERROR(__xludf.DUMMYFUNCTION("""COMPUTED_VALUE"""),"L")</f>
        <v>L</v>
      </c>
      <c r="F95" s="133" t="str">
        <f>IFERROR(__xludf.DUMMYFUNCTION("""COMPUTED_VALUE"""),"V30020WL")</f>
        <v>V30020WL</v>
      </c>
      <c r="G95" s="165">
        <f>IFERROR(__xludf.DUMMYFUNCTION("""COMPUTED_VALUE"""),1736.0)</f>
        <v>1736</v>
      </c>
    </row>
    <row r="96" ht="15.75" customHeight="1">
      <c r="A96" s="133" t="str">
        <f>IFERROR(__xludf.DUMMYFUNCTION("""COMPUTED_VALUE"""),"V30020W")</f>
        <v>V30020W</v>
      </c>
      <c r="B96" s="164">
        <f>IFERROR(__xludf.DUMMYFUNCTION("""COMPUTED_VALUE"""),1.1210356E7)</f>
        <v>11210356</v>
      </c>
      <c r="C96" s="164" t="str">
        <f>IFERROR(__xludf.DUMMYFUNCTION("""COMPUTED_VALUE"""),"11210356XL")</f>
        <v>11210356XL</v>
      </c>
      <c r="D96" s="164" t="str">
        <f>IFERROR(__xludf.DUMMYFUNCTION("""COMPUTED_VALUE"""),"XL")</f>
        <v>XL</v>
      </c>
      <c r="E96" s="164" t="str">
        <f>IFERROR(__xludf.DUMMYFUNCTION("""COMPUTED_VALUE"""),"XL")</f>
        <v>XL</v>
      </c>
      <c r="F96" s="133" t="str">
        <f>IFERROR(__xludf.DUMMYFUNCTION("""COMPUTED_VALUE"""),"V30020WXL")</f>
        <v>V30020WXL</v>
      </c>
      <c r="G96" s="165">
        <f>IFERROR(__xludf.DUMMYFUNCTION("""COMPUTED_VALUE"""),1736.0)</f>
        <v>1736</v>
      </c>
    </row>
    <row r="97" ht="15.75" customHeight="1">
      <c r="A97" s="133" t="str">
        <f>IFERROR(__xludf.DUMMYFUNCTION("""COMPUTED_VALUE"""),"V30020W")</f>
        <v>V30020W</v>
      </c>
      <c r="B97" s="164">
        <f>IFERROR(__xludf.DUMMYFUNCTION("""COMPUTED_VALUE"""),1.1210356E7)</f>
        <v>11210356</v>
      </c>
      <c r="C97" s="164" t="str">
        <f>IFERROR(__xludf.DUMMYFUNCTION("""COMPUTED_VALUE"""),"11210356XXL")</f>
        <v>11210356XXL</v>
      </c>
      <c r="D97" s="164" t="str">
        <f>IFERROR(__xludf.DUMMYFUNCTION("""COMPUTED_VALUE"""),"XXL")</f>
        <v>XXL</v>
      </c>
      <c r="E97" s="164" t="str">
        <f>IFERROR(__xludf.DUMMYFUNCTION("""COMPUTED_VALUE"""),"XXL")</f>
        <v>XXL</v>
      </c>
      <c r="F97" s="133" t="str">
        <f>IFERROR(__xludf.DUMMYFUNCTION("""COMPUTED_VALUE"""),"V30020WXXL")</f>
        <v>V30020WXXL</v>
      </c>
      <c r="G97" s="165">
        <f>IFERROR(__xludf.DUMMYFUNCTION("""COMPUTED_VALUE"""),1736.0)</f>
        <v>1736</v>
      </c>
    </row>
    <row r="98" ht="15.75" customHeight="1">
      <c r="A98" s="133" t="str">
        <f>IFERROR(__xludf.DUMMYFUNCTION("""COMPUTED_VALUE"""),"V30020W")</f>
        <v>V30020W</v>
      </c>
      <c r="B98" s="164">
        <f>IFERROR(__xludf.DUMMYFUNCTION("""COMPUTED_VALUE"""),1.1210356E7)</f>
        <v>11210356</v>
      </c>
      <c r="C98" s="164" t="str">
        <f>IFERROR(__xludf.DUMMYFUNCTION("""COMPUTED_VALUE"""),"11210356XXXL")</f>
        <v>11210356XXXL</v>
      </c>
      <c r="D98" s="164" t="str">
        <f>IFERROR(__xludf.DUMMYFUNCTION("""COMPUTED_VALUE"""),"XXXL")</f>
        <v>XXXL</v>
      </c>
      <c r="E98" s="164" t="str">
        <f>IFERROR(__xludf.DUMMYFUNCTION("""COMPUTED_VALUE"""),"XXXL")</f>
        <v>XXXL</v>
      </c>
      <c r="F98" s="133" t="str">
        <f>IFERROR(__xludf.DUMMYFUNCTION("""COMPUTED_VALUE"""),"V30020WXXXL")</f>
        <v>V30020WXXXL</v>
      </c>
      <c r="G98" s="165">
        <f>IFERROR(__xludf.DUMMYFUNCTION("""COMPUTED_VALUE"""),1736.0)</f>
        <v>1736</v>
      </c>
    </row>
    <row r="99" ht="15.75" customHeight="1">
      <c r="A99" s="133" t="str">
        <f>IFERROR(__xludf.DUMMYFUNCTION("""COMPUTED_VALUE"""),"V41021V41026SLW")</f>
        <v>V41021V41026SLW</v>
      </c>
      <c r="B99" s="164">
        <f>IFERROR(__xludf.DUMMYFUNCTION("""COMPUTED_VALUE"""),1.4930914E7)</f>
        <v>14930914</v>
      </c>
      <c r="C99" s="164" t="str">
        <f>IFERROR(__xludf.DUMMYFUNCTION("""COMPUTED_VALUE"""),"14930914XXS")</f>
        <v>14930914XXS</v>
      </c>
      <c r="D99" s="164" t="str">
        <f>IFERROR(__xludf.DUMMYFUNCTION("""COMPUTED_VALUE"""),"XXS")</f>
        <v>XXS</v>
      </c>
      <c r="E99" s="164" t="str">
        <f>IFERROR(__xludf.DUMMYFUNCTION("""COMPUTED_VALUE"""),"XXS")</f>
        <v>XXS</v>
      </c>
      <c r="F99" s="133" t="str">
        <f>IFERROR(__xludf.DUMMYFUNCTION("""COMPUTED_VALUE"""),"V41026SLWXXS")</f>
        <v>V41026SLWXXS</v>
      </c>
      <c r="G99" s="165">
        <f>IFERROR(__xludf.DUMMYFUNCTION("""COMPUTED_VALUE"""),1728.0)</f>
        <v>1728</v>
      </c>
    </row>
    <row r="100" ht="15.75" customHeight="1">
      <c r="A100" s="133" t="str">
        <f>IFERROR(__xludf.DUMMYFUNCTION("""COMPUTED_VALUE"""),"V41021V41026SLW")</f>
        <v>V41021V41026SLW</v>
      </c>
      <c r="B100" s="164">
        <f>IFERROR(__xludf.DUMMYFUNCTION("""COMPUTED_VALUE"""),1.4930914E7)</f>
        <v>14930914</v>
      </c>
      <c r="C100" s="164" t="str">
        <f>IFERROR(__xludf.DUMMYFUNCTION("""COMPUTED_VALUE"""),"14930914XS")</f>
        <v>14930914XS</v>
      </c>
      <c r="D100" s="164" t="str">
        <f>IFERROR(__xludf.DUMMYFUNCTION("""COMPUTED_VALUE"""),"XS")</f>
        <v>XS</v>
      </c>
      <c r="E100" s="164" t="str">
        <f>IFERROR(__xludf.DUMMYFUNCTION("""COMPUTED_VALUE"""),"XS")</f>
        <v>XS</v>
      </c>
      <c r="F100" s="133" t="str">
        <f>IFERROR(__xludf.DUMMYFUNCTION("""COMPUTED_VALUE"""),"V41026SLWXS")</f>
        <v>V41026SLWXS</v>
      </c>
      <c r="G100" s="165">
        <f>IFERROR(__xludf.DUMMYFUNCTION("""COMPUTED_VALUE"""),1728.0)</f>
        <v>1728</v>
      </c>
    </row>
    <row r="101" ht="15.75" customHeight="1">
      <c r="A101" s="133" t="str">
        <f>IFERROR(__xludf.DUMMYFUNCTION("""COMPUTED_VALUE"""),"V41021V41026SLW")</f>
        <v>V41021V41026SLW</v>
      </c>
      <c r="B101" s="164">
        <f>IFERROR(__xludf.DUMMYFUNCTION("""COMPUTED_VALUE"""),1.4930914E7)</f>
        <v>14930914</v>
      </c>
      <c r="C101" s="164" t="str">
        <f>IFERROR(__xludf.DUMMYFUNCTION("""COMPUTED_VALUE"""),"14930914S")</f>
        <v>14930914S</v>
      </c>
      <c r="D101" s="164" t="str">
        <f>IFERROR(__xludf.DUMMYFUNCTION("""COMPUTED_VALUE"""),"S")</f>
        <v>S</v>
      </c>
      <c r="E101" s="164" t="str">
        <f>IFERROR(__xludf.DUMMYFUNCTION("""COMPUTED_VALUE"""),"S")</f>
        <v>S</v>
      </c>
      <c r="F101" s="133" t="str">
        <f>IFERROR(__xludf.DUMMYFUNCTION("""COMPUTED_VALUE"""),"V41026SLWS")</f>
        <v>V41026SLWS</v>
      </c>
      <c r="G101" s="165">
        <f>IFERROR(__xludf.DUMMYFUNCTION("""COMPUTED_VALUE"""),1728.0)</f>
        <v>1728</v>
      </c>
    </row>
    <row r="102" ht="15.75" customHeight="1">
      <c r="A102" s="133" t="str">
        <f>IFERROR(__xludf.DUMMYFUNCTION("""COMPUTED_VALUE"""),"V41021V41026SLW")</f>
        <v>V41021V41026SLW</v>
      </c>
      <c r="B102" s="164">
        <f>IFERROR(__xludf.DUMMYFUNCTION("""COMPUTED_VALUE"""),1.4930914E7)</f>
        <v>14930914</v>
      </c>
      <c r="C102" s="164" t="str">
        <f>IFERROR(__xludf.DUMMYFUNCTION("""COMPUTED_VALUE"""),"14930914M")</f>
        <v>14930914M</v>
      </c>
      <c r="D102" s="164" t="str">
        <f>IFERROR(__xludf.DUMMYFUNCTION("""COMPUTED_VALUE"""),"M")</f>
        <v>M</v>
      </c>
      <c r="E102" s="164" t="str">
        <f>IFERROR(__xludf.DUMMYFUNCTION("""COMPUTED_VALUE"""),"M")</f>
        <v>M</v>
      </c>
      <c r="F102" s="133" t="str">
        <f>IFERROR(__xludf.DUMMYFUNCTION("""COMPUTED_VALUE"""),"V41026SLWM")</f>
        <v>V41026SLWM</v>
      </c>
      <c r="G102" s="165">
        <f>IFERROR(__xludf.DUMMYFUNCTION("""COMPUTED_VALUE"""),1728.0)</f>
        <v>1728</v>
      </c>
    </row>
    <row r="103" ht="15.75" customHeight="1">
      <c r="A103" s="133" t="str">
        <f>IFERROR(__xludf.DUMMYFUNCTION("""COMPUTED_VALUE"""),"V41021V41026SLW")</f>
        <v>V41021V41026SLW</v>
      </c>
      <c r="B103" s="164">
        <f>IFERROR(__xludf.DUMMYFUNCTION("""COMPUTED_VALUE"""),1.4930914E7)</f>
        <v>14930914</v>
      </c>
      <c r="C103" s="164" t="str">
        <f>IFERROR(__xludf.DUMMYFUNCTION("""COMPUTED_VALUE"""),"14930914L")</f>
        <v>14930914L</v>
      </c>
      <c r="D103" s="164" t="str">
        <f>IFERROR(__xludf.DUMMYFUNCTION("""COMPUTED_VALUE"""),"L")</f>
        <v>L</v>
      </c>
      <c r="E103" s="164" t="str">
        <f>IFERROR(__xludf.DUMMYFUNCTION("""COMPUTED_VALUE"""),"L")</f>
        <v>L</v>
      </c>
      <c r="F103" s="133" t="str">
        <f>IFERROR(__xludf.DUMMYFUNCTION("""COMPUTED_VALUE"""),"V41026SLWL")</f>
        <v>V41026SLWL</v>
      </c>
      <c r="G103" s="165">
        <f>IFERROR(__xludf.DUMMYFUNCTION("""COMPUTED_VALUE"""),1728.0)</f>
        <v>1728</v>
      </c>
    </row>
    <row r="104" ht="15.75" customHeight="1">
      <c r="A104" s="133" t="str">
        <f>IFERROR(__xludf.DUMMYFUNCTION("""COMPUTED_VALUE"""),"V41021V41026SLW")</f>
        <v>V41021V41026SLW</v>
      </c>
      <c r="B104" s="164">
        <f>IFERROR(__xludf.DUMMYFUNCTION("""COMPUTED_VALUE"""),1.4930914E7)</f>
        <v>14930914</v>
      </c>
      <c r="C104" s="164" t="str">
        <f>IFERROR(__xludf.DUMMYFUNCTION("""COMPUTED_VALUE"""),"14930914XL")</f>
        <v>14930914XL</v>
      </c>
      <c r="D104" s="164" t="str">
        <f>IFERROR(__xludf.DUMMYFUNCTION("""COMPUTED_VALUE"""),"XL")</f>
        <v>XL</v>
      </c>
      <c r="E104" s="164" t="str">
        <f>IFERROR(__xludf.DUMMYFUNCTION("""COMPUTED_VALUE"""),"XL")</f>
        <v>XL</v>
      </c>
      <c r="F104" s="133" t="str">
        <f>IFERROR(__xludf.DUMMYFUNCTION("""COMPUTED_VALUE"""),"V41026SLWXL")</f>
        <v>V41026SLWXL</v>
      </c>
      <c r="G104" s="165">
        <f>IFERROR(__xludf.DUMMYFUNCTION("""COMPUTED_VALUE"""),1728.0)</f>
        <v>1728</v>
      </c>
    </row>
    <row r="105" ht="15.75" customHeight="1">
      <c r="A105" s="133" t="str">
        <f>IFERROR(__xludf.DUMMYFUNCTION("""COMPUTED_VALUE"""),"V41021V41026SLW")</f>
        <v>V41021V41026SLW</v>
      </c>
      <c r="B105" s="164">
        <f>IFERROR(__xludf.DUMMYFUNCTION("""COMPUTED_VALUE"""),1.4930914E7)</f>
        <v>14930914</v>
      </c>
      <c r="C105" s="164" t="str">
        <f>IFERROR(__xludf.DUMMYFUNCTION("""COMPUTED_VALUE"""),"14930914XXL")</f>
        <v>14930914XXL</v>
      </c>
      <c r="D105" s="164" t="str">
        <f>IFERROR(__xludf.DUMMYFUNCTION("""COMPUTED_VALUE"""),"XXL")</f>
        <v>XXL</v>
      </c>
      <c r="E105" s="164" t="str">
        <f>IFERROR(__xludf.DUMMYFUNCTION("""COMPUTED_VALUE"""),"XXL")</f>
        <v>XXL</v>
      </c>
      <c r="F105" s="133" t="str">
        <f>IFERROR(__xludf.DUMMYFUNCTION("""COMPUTED_VALUE"""),"V41026SLWXXL")</f>
        <v>V41026SLWXXL</v>
      </c>
      <c r="G105" s="165">
        <f>IFERROR(__xludf.DUMMYFUNCTION("""COMPUTED_VALUE"""),1728.0)</f>
        <v>1728</v>
      </c>
    </row>
    <row r="106" ht="15.75" customHeight="1">
      <c r="A106" s="133" t="str">
        <f>IFERROR(__xludf.DUMMYFUNCTION("""COMPUTED_VALUE"""),"V41021V41026SLW")</f>
        <v>V41021V41026SLW</v>
      </c>
      <c r="B106" s="164">
        <f>IFERROR(__xludf.DUMMYFUNCTION("""COMPUTED_VALUE"""),1.4930914E7)</f>
        <v>14930914</v>
      </c>
      <c r="C106" s="164" t="str">
        <f>IFERROR(__xludf.DUMMYFUNCTION("""COMPUTED_VALUE"""),"14930914XXXL")</f>
        <v>14930914XXXL</v>
      </c>
      <c r="D106" s="164" t="str">
        <f>IFERROR(__xludf.DUMMYFUNCTION("""COMPUTED_VALUE"""),"XXXL")</f>
        <v>XXXL</v>
      </c>
      <c r="E106" s="164" t="str">
        <f>IFERROR(__xludf.DUMMYFUNCTION("""COMPUTED_VALUE"""),"XXXL")</f>
        <v>XXXL</v>
      </c>
      <c r="F106" s="133" t="str">
        <f>IFERROR(__xludf.DUMMYFUNCTION("""COMPUTED_VALUE"""),"V41026SLWXXXL")</f>
        <v>V41026SLWXXXL</v>
      </c>
      <c r="G106" s="165">
        <f>IFERROR(__xludf.DUMMYFUNCTION("""COMPUTED_VALUE"""),1728.0)</f>
        <v>1728</v>
      </c>
    </row>
    <row r="107" ht="15.75" customHeight="1">
      <c r="A107" s="133" t="str">
        <f>IFERROR(__xludf.DUMMYFUNCTION("""COMPUTED_VALUE"""),"V41021SLW")</f>
        <v>V41021SLW</v>
      </c>
      <c r="B107" s="164">
        <f>IFERROR(__xludf.DUMMYFUNCTION("""COMPUTED_VALUE"""),1.4930909E7)</f>
        <v>14930909</v>
      </c>
      <c r="C107" s="164" t="str">
        <f>IFERROR(__xludf.DUMMYFUNCTION("""COMPUTED_VALUE"""),"14930909XXS")</f>
        <v>14930909XXS</v>
      </c>
      <c r="D107" s="164" t="str">
        <f>IFERROR(__xludf.DUMMYFUNCTION("""COMPUTED_VALUE"""),"XXS")</f>
        <v>XXS</v>
      </c>
      <c r="E107" s="164" t="str">
        <f>IFERROR(__xludf.DUMMYFUNCTION("""COMPUTED_VALUE"""),"XXS")</f>
        <v>XXS</v>
      </c>
      <c r="F107" s="133" t="str">
        <f>IFERROR(__xludf.DUMMYFUNCTION("""COMPUTED_VALUE"""),"V41021SLWXXS")</f>
        <v>V41021SLWXXS</v>
      </c>
      <c r="G107" s="165">
        <f>IFERROR(__xludf.DUMMYFUNCTION("""COMPUTED_VALUE"""),1733.0)</f>
        <v>1733</v>
      </c>
    </row>
    <row r="108" ht="15.75" customHeight="1">
      <c r="A108" s="133" t="str">
        <f>IFERROR(__xludf.DUMMYFUNCTION("""COMPUTED_VALUE"""),"V41021SLW")</f>
        <v>V41021SLW</v>
      </c>
      <c r="B108" s="164">
        <f>IFERROR(__xludf.DUMMYFUNCTION("""COMPUTED_VALUE"""),1.4930909E7)</f>
        <v>14930909</v>
      </c>
      <c r="C108" s="164" t="str">
        <f>IFERROR(__xludf.DUMMYFUNCTION("""COMPUTED_VALUE"""),"14930909XS")</f>
        <v>14930909XS</v>
      </c>
      <c r="D108" s="164" t="str">
        <f>IFERROR(__xludf.DUMMYFUNCTION("""COMPUTED_VALUE"""),"XS")</f>
        <v>XS</v>
      </c>
      <c r="E108" s="164" t="str">
        <f>IFERROR(__xludf.DUMMYFUNCTION("""COMPUTED_VALUE"""),"XS")</f>
        <v>XS</v>
      </c>
      <c r="F108" s="133" t="str">
        <f>IFERROR(__xludf.DUMMYFUNCTION("""COMPUTED_VALUE"""),"V41021SLWXS")</f>
        <v>V41021SLWXS</v>
      </c>
      <c r="G108" s="165">
        <f>IFERROR(__xludf.DUMMYFUNCTION("""COMPUTED_VALUE"""),1733.0)</f>
        <v>1733</v>
      </c>
    </row>
    <row r="109" ht="15.75" customHeight="1">
      <c r="A109" s="133" t="str">
        <f>IFERROR(__xludf.DUMMYFUNCTION("""COMPUTED_VALUE"""),"V41021SLW")</f>
        <v>V41021SLW</v>
      </c>
      <c r="B109" s="164">
        <f>IFERROR(__xludf.DUMMYFUNCTION("""COMPUTED_VALUE"""),1.4930909E7)</f>
        <v>14930909</v>
      </c>
      <c r="C109" s="164" t="str">
        <f>IFERROR(__xludf.DUMMYFUNCTION("""COMPUTED_VALUE"""),"14930909S")</f>
        <v>14930909S</v>
      </c>
      <c r="D109" s="164" t="str">
        <f>IFERROR(__xludf.DUMMYFUNCTION("""COMPUTED_VALUE"""),"S")</f>
        <v>S</v>
      </c>
      <c r="E109" s="164" t="str">
        <f>IFERROR(__xludf.DUMMYFUNCTION("""COMPUTED_VALUE"""),"S")</f>
        <v>S</v>
      </c>
      <c r="F109" s="133" t="str">
        <f>IFERROR(__xludf.DUMMYFUNCTION("""COMPUTED_VALUE"""),"V41021SLWS")</f>
        <v>V41021SLWS</v>
      </c>
      <c r="G109" s="165">
        <f>IFERROR(__xludf.DUMMYFUNCTION("""COMPUTED_VALUE"""),1733.0)</f>
        <v>1733</v>
      </c>
    </row>
    <row r="110" ht="15.75" customHeight="1">
      <c r="A110" s="133" t="str">
        <f>IFERROR(__xludf.DUMMYFUNCTION("""COMPUTED_VALUE"""),"V41021SLW")</f>
        <v>V41021SLW</v>
      </c>
      <c r="B110" s="164">
        <f>IFERROR(__xludf.DUMMYFUNCTION("""COMPUTED_VALUE"""),1.4930909E7)</f>
        <v>14930909</v>
      </c>
      <c r="C110" s="164" t="str">
        <f>IFERROR(__xludf.DUMMYFUNCTION("""COMPUTED_VALUE"""),"14930909M")</f>
        <v>14930909M</v>
      </c>
      <c r="D110" s="164" t="str">
        <f>IFERROR(__xludf.DUMMYFUNCTION("""COMPUTED_VALUE"""),"M")</f>
        <v>M</v>
      </c>
      <c r="E110" s="164" t="str">
        <f>IFERROR(__xludf.DUMMYFUNCTION("""COMPUTED_VALUE"""),"M")</f>
        <v>M</v>
      </c>
      <c r="F110" s="133" t="str">
        <f>IFERROR(__xludf.DUMMYFUNCTION("""COMPUTED_VALUE"""),"V41021SLWM")</f>
        <v>V41021SLWM</v>
      </c>
      <c r="G110" s="165">
        <f>IFERROR(__xludf.DUMMYFUNCTION("""COMPUTED_VALUE"""),1733.0)</f>
        <v>1733</v>
      </c>
    </row>
    <row r="111" ht="15.75" customHeight="1">
      <c r="A111" s="133" t="str">
        <f>IFERROR(__xludf.DUMMYFUNCTION("""COMPUTED_VALUE"""),"V41021SLW")</f>
        <v>V41021SLW</v>
      </c>
      <c r="B111" s="164">
        <f>IFERROR(__xludf.DUMMYFUNCTION("""COMPUTED_VALUE"""),1.4930909E7)</f>
        <v>14930909</v>
      </c>
      <c r="C111" s="164" t="str">
        <f>IFERROR(__xludf.DUMMYFUNCTION("""COMPUTED_VALUE"""),"14930909L")</f>
        <v>14930909L</v>
      </c>
      <c r="D111" s="164" t="str">
        <f>IFERROR(__xludf.DUMMYFUNCTION("""COMPUTED_VALUE"""),"L")</f>
        <v>L</v>
      </c>
      <c r="E111" s="164" t="str">
        <f>IFERROR(__xludf.DUMMYFUNCTION("""COMPUTED_VALUE"""),"L")</f>
        <v>L</v>
      </c>
      <c r="F111" s="133" t="str">
        <f>IFERROR(__xludf.DUMMYFUNCTION("""COMPUTED_VALUE"""),"V41021SLWL")</f>
        <v>V41021SLWL</v>
      </c>
      <c r="G111" s="165">
        <f>IFERROR(__xludf.DUMMYFUNCTION("""COMPUTED_VALUE"""),1733.0)</f>
        <v>1733</v>
      </c>
    </row>
    <row r="112" ht="15.75" customHeight="1">
      <c r="A112" s="133" t="str">
        <f>IFERROR(__xludf.DUMMYFUNCTION("""COMPUTED_VALUE"""),"V41021SLW")</f>
        <v>V41021SLW</v>
      </c>
      <c r="B112" s="164">
        <f>IFERROR(__xludf.DUMMYFUNCTION("""COMPUTED_VALUE"""),1.4930909E7)</f>
        <v>14930909</v>
      </c>
      <c r="C112" s="164" t="str">
        <f>IFERROR(__xludf.DUMMYFUNCTION("""COMPUTED_VALUE"""),"14930909XL")</f>
        <v>14930909XL</v>
      </c>
      <c r="D112" s="164" t="str">
        <f>IFERROR(__xludf.DUMMYFUNCTION("""COMPUTED_VALUE"""),"XL")</f>
        <v>XL</v>
      </c>
      <c r="E112" s="164" t="str">
        <f>IFERROR(__xludf.DUMMYFUNCTION("""COMPUTED_VALUE"""),"XL")</f>
        <v>XL</v>
      </c>
      <c r="F112" s="133" t="str">
        <f>IFERROR(__xludf.DUMMYFUNCTION("""COMPUTED_VALUE"""),"V41021SLWXL")</f>
        <v>V41021SLWXL</v>
      </c>
      <c r="G112" s="165">
        <f>IFERROR(__xludf.DUMMYFUNCTION("""COMPUTED_VALUE"""),1733.0)</f>
        <v>1733</v>
      </c>
    </row>
    <row r="113" ht="15.75" customHeight="1">
      <c r="A113" s="133" t="str">
        <f>IFERROR(__xludf.DUMMYFUNCTION("""COMPUTED_VALUE"""),"V41021SLW")</f>
        <v>V41021SLW</v>
      </c>
      <c r="B113" s="164">
        <f>IFERROR(__xludf.DUMMYFUNCTION("""COMPUTED_VALUE"""),1.4930909E7)</f>
        <v>14930909</v>
      </c>
      <c r="C113" s="164" t="str">
        <f>IFERROR(__xludf.DUMMYFUNCTION("""COMPUTED_VALUE"""),"14930909XXL")</f>
        <v>14930909XXL</v>
      </c>
      <c r="D113" s="164" t="str">
        <f>IFERROR(__xludf.DUMMYFUNCTION("""COMPUTED_VALUE"""),"XXL")</f>
        <v>XXL</v>
      </c>
      <c r="E113" s="164" t="str">
        <f>IFERROR(__xludf.DUMMYFUNCTION("""COMPUTED_VALUE"""),"XXL")</f>
        <v>XXL</v>
      </c>
      <c r="F113" s="133" t="str">
        <f>IFERROR(__xludf.DUMMYFUNCTION("""COMPUTED_VALUE"""),"V41021SLWXXL")</f>
        <v>V41021SLWXXL</v>
      </c>
      <c r="G113" s="165">
        <f>IFERROR(__xludf.DUMMYFUNCTION("""COMPUTED_VALUE"""),1733.0)</f>
        <v>1733</v>
      </c>
    </row>
    <row r="114" ht="15.75" customHeight="1">
      <c r="A114" s="133" t="str">
        <f>IFERROR(__xludf.DUMMYFUNCTION("""COMPUTED_VALUE"""),"V41021SLW")</f>
        <v>V41021SLW</v>
      </c>
      <c r="B114" s="164">
        <f>IFERROR(__xludf.DUMMYFUNCTION("""COMPUTED_VALUE"""),1.4930909E7)</f>
        <v>14930909</v>
      </c>
      <c r="C114" s="164" t="str">
        <f>IFERROR(__xludf.DUMMYFUNCTION("""COMPUTED_VALUE"""),"14930909XXXL")</f>
        <v>14930909XXXL</v>
      </c>
      <c r="D114" s="164" t="str">
        <f>IFERROR(__xludf.DUMMYFUNCTION("""COMPUTED_VALUE"""),"XXXL")</f>
        <v>XXXL</v>
      </c>
      <c r="E114" s="164" t="str">
        <f>IFERROR(__xludf.DUMMYFUNCTION("""COMPUTED_VALUE"""),"XXXL")</f>
        <v>XXXL</v>
      </c>
      <c r="F114" s="133" t="str">
        <f>IFERROR(__xludf.DUMMYFUNCTION("""COMPUTED_VALUE"""),"V41021SLWXXXL")</f>
        <v>V41021SLWXXXL</v>
      </c>
      <c r="G114" s="165">
        <f>IFERROR(__xludf.DUMMYFUNCTION("""COMPUTED_VALUE"""),1733.0)</f>
        <v>1733</v>
      </c>
    </row>
    <row r="115" ht="15.75" customHeight="1">
      <c r="A115" s="133" t="str">
        <f>IFERROR(__xludf.DUMMYFUNCTION("""COMPUTED_VALUE"""),"V41023SLW")</f>
        <v>V41023SLW</v>
      </c>
      <c r="B115" s="164">
        <f>IFERROR(__xludf.DUMMYFUNCTION("""COMPUTED_VALUE"""),1.4930911E7)</f>
        <v>14930911</v>
      </c>
      <c r="C115" s="164" t="str">
        <f>IFERROR(__xludf.DUMMYFUNCTION("""COMPUTED_VALUE"""),"14930911XXS")</f>
        <v>14930911XXS</v>
      </c>
      <c r="D115" s="164" t="str">
        <f>IFERROR(__xludf.DUMMYFUNCTION("""COMPUTED_VALUE"""),"XXS")</f>
        <v>XXS</v>
      </c>
      <c r="E115" s="164" t="str">
        <f>IFERROR(__xludf.DUMMYFUNCTION("""COMPUTED_VALUE"""),"XXS")</f>
        <v>XXS</v>
      </c>
      <c r="F115" s="133" t="str">
        <f>IFERROR(__xludf.DUMMYFUNCTION("""COMPUTED_VALUE"""),"V41023SLWXXS")</f>
        <v>V41023SLWXXS</v>
      </c>
      <c r="G115" s="165">
        <f>IFERROR(__xludf.DUMMYFUNCTION("""COMPUTED_VALUE"""),1788.0)</f>
        <v>1788</v>
      </c>
    </row>
    <row r="116" ht="15.75" customHeight="1">
      <c r="A116" s="133" t="str">
        <f>IFERROR(__xludf.DUMMYFUNCTION("""COMPUTED_VALUE"""),"V41023SLW")</f>
        <v>V41023SLW</v>
      </c>
      <c r="B116" s="164">
        <f>IFERROR(__xludf.DUMMYFUNCTION("""COMPUTED_VALUE"""),1.4930911E7)</f>
        <v>14930911</v>
      </c>
      <c r="C116" s="164" t="str">
        <f>IFERROR(__xludf.DUMMYFUNCTION("""COMPUTED_VALUE"""),"14930911XS")</f>
        <v>14930911XS</v>
      </c>
      <c r="D116" s="164" t="str">
        <f>IFERROR(__xludf.DUMMYFUNCTION("""COMPUTED_VALUE"""),"XS")</f>
        <v>XS</v>
      </c>
      <c r="E116" s="164" t="str">
        <f>IFERROR(__xludf.DUMMYFUNCTION("""COMPUTED_VALUE"""),"XS")</f>
        <v>XS</v>
      </c>
      <c r="F116" s="133" t="str">
        <f>IFERROR(__xludf.DUMMYFUNCTION("""COMPUTED_VALUE"""),"V41023SLWXS")</f>
        <v>V41023SLWXS</v>
      </c>
      <c r="G116" s="165">
        <f>IFERROR(__xludf.DUMMYFUNCTION("""COMPUTED_VALUE"""),1788.0)</f>
        <v>1788</v>
      </c>
    </row>
    <row r="117" ht="15.75" customHeight="1">
      <c r="A117" s="133" t="str">
        <f>IFERROR(__xludf.DUMMYFUNCTION("""COMPUTED_VALUE"""),"V41023SLW")</f>
        <v>V41023SLW</v>
      </c>
      <c r="B117" s="164">
        <f>IFERROR(__xludf.DUMMYFUNCTION("""COMPUTED_VALUE"""),1.4930911E7)</f>
        <v>14930911</v>
      </c>
      <c r="C117" s="164" t="str">
        <f>IFERROR(__xludf.DUMMYFUNCTION("""COMPUTED_VALUE"""),"14930911S")</f>
        <v>14930911S</v>
      </c>
      <c r="D117" s="164" t="str">
        <f>IFERROR(__xludf.DUMMYFUNCTION("""COMPUTED_VALUE"""),"S")</f>
        <v>S</v>
      </c>
      <c r="E117" s="164" t="str">
        <f>IFERROR(__xludf.DUMMYFUNCTION("""COMPUTED_VALUE"""),"S")</f>
        <v>S</v>
      </c>
      <c r="F117" s="133" t="str">
        <f>IFERROR(__xludf.DUMMYFUNCTION("""COMPUTED_VALUE"""),"V41023SLWS")</f>
        <v>V41023SLWS</v>
      </c>
      <c r="G117" s="165">
        <f>IFERROR(__xludf.DUMMYFUNCTION("""COMPUTED_VALUE"""),1788.0)</f>
        <v>1788</v>
      </c>
    </row>
    <row r="118" ht="15.75" customHeight="1">
      <c r="A118" s="133" t="str">
        <f>IFERROR(__xludf.DUMMYFUNCTION("""COMPUTED_VALUE"""),"V41023SLW")</f>
        <v>V41023SLW</v>
      </c>
      <c r="B118" s="164">
        <f>IFERROR(__xludf.DUMMYFUNCTION("""COMPUTED_VALUE"""),1.4930911E7)</f>
        <v>14930911</v>
      </c>
      <c r="C118" s="164" t="str">
        <f>IFERROR(__xludf.DUMMYFUNCTION("""COMPUTED_VALUE"""),"14930911M")</f>
        <v>14930911M</v>
      </c>
      <c r="D118" s="164" t="str">
        <f>IFERROR(__xludf.DUMMYFUNCTION("""COMPUTED_VALUE"""),"M")</f>
        <v>M</v>
      </c>
      <c r="E118" s="164" t="str">
        <f>IFERROR(__xludf.DUMMYFUNCTION("""COMPUTED_VALUE"""),"M")</f>
        <v>M</v>
      </c>
      <c r="F118" s="133" t="str">
        <f>IFERROR(__xludf.DUMMYFUNCTION("""COMPUTED_VALUE"""),"V41023SLWM")</f>
        <v>V41023SLWM</v>
      </c>
      <c r="G118" s="165">
        <f>IFERROR(__xludf.DUMMYFUNCTION("""COMPUTED_VALUE"""),1788.0)</f>
        <v>1788</v>
      </c>
    </row>
    <row r="119" ht="15.75" customHeight="1">
      <c r="A119" s="133" t="str">
        <f>IFERROR(__xludf.DUMMYFUNCTION("""COMPUTED_VALUE"""),"V41023SLW")</f>
        <v>V41023SLW</v>
      </c>
      <c r="B119" s="164">
        <f>IFERROR(__xludf.DUMMYFUNCTION("""COMPUTED_VALUE"""),1.4930911E7)</f>
        <v>14930911</v>
      </c>
      <c r="C119" s="164" t="str">
        <f>IFERROR(__xludf.DUMMYFUNCTION("""COMPUTED_VALUE"""),"14930911L")</f>
        <v>14930911L</v>
      </c>
      <c r="D119" s="164" t="str">
        <f>IFERROR(__xludf.DUMMYFUNCTION("""COMPUTED_VALUE"""),"L")</f>
        <v>L</v>
      </c>
      <c r="E119" s="164" t="str">
        <f>IFERROR(__xludf.DUMMYFUNCTION("""COMPUTED_VALUE"""),"L")</f>
        <v>L</v>
      </c>
      <c r="F119" s="133" t="str">
        <f>IFERROR(__xludf.DUMMYFUNCTION("""COMPUTED_VALUE"""),"V41023SLWL")</f>
        <v>V41023SLWL</v>
      </c>
      <c r="G119" s="165">
        <f>IFERROR(__xludf.DUMMYFUNCTION("""COMPUTED_VALUE"""),1788.0)</f>
        <v>1788</v>
      </c>
    </row>
    <row r="120" ht="15.75" customHeight="1">
      <c r="A120" s="133" t="str">
        <f>IFERROR(__xludf.DUMMYFUNCTION("""COMPUTED_VALUE"""),"V41023SLW")</f>
        <v>V41023SLW</v>
      </c>
      <c r="B120" s="164">
        <f>IFERROR(__xludf.DUMMYFUNCTION("""COMPUTED_VALUE"""),1.4930911E7)</f>
        <v>14930911</v>
      </c>
      <c r="C120" s="164" t="str">
        <f>IFERROR(__xludf.DUMMYFUNCTION("""COMPUTED_VALUE"""),"14930911XL")</f>
        <v>14930911XL</v>
      </c>
      <c r="D120" s="164" t="str">
        <f>IFERROR(__xludf.DUMMYFUNCTION("""COMPUTED_VALUE"""),"XL")</f>
        <v>XL</v>
      </c>
      <c r="E120" s="164" t="str">
        <f>IFERROR(__xludf.DUMMYFUNCTION("""COMPUTED_VALUE"""),"XL")</f>
        <v>XL</v>
      </c>
      <c r="F120" s="133" t="str">
        <f>IFERROR(__xludf.DUMMYFUNCTION("""COMPUTED_VALUE"""),"V41023SLWXL")</f>
        <v>V41023SLWXL</v>
      </c>
      <c r="G120" s="165">
        <f>IFERROR(__xludf.DUMMYFUNCTION("""COMPUTED_VALUE"""),1788.0)</f>
        <v>1788</v>
      </c>
    </row>
    <row r="121" ht="15.75" customHeight="1">
      <c r="A121" s="133" t="str">
        <f>IFERROR(__xludf.DUMMYFUNCTION("""COMPUTED_VALUE"""),"V41023SLW")</f>
        <v>V41023SLW</v>
      </c>
      <c r="B121" s="164">
        <f>IFERROR(__xludf.DUMMYFUNCTION("""COMPUTED_VALUE"""),1.4930911E7)</f>
        <v>14930911</v>
      </c>
      <c r="C121" s="164" t="str">
        <f>IFERROR(__xludf.DUMMYFUNCTION("""COMPUTED_VALUE"""),"14930911XXL")</f>
        <v>14930911XXL</v>
      </c>
      <c r="D121" s="164" t="str">
        <f>IFERROR(__xludf.DUMMYFUNCTION("""COMPUTED_VALUE"""),"XXL")</f>
        <v>XXL</v>
      </c>
      <c r="E121" s="164" t="str">
        <f>IFERROR(__xludf.DUMMYFUNCTION("""COMPUTED_VALUE"""),"XXL")</f>
        <v>XXL</v>
      </c>
      <c r="F121" s="133" t="str">
        <f>IFERROR(__xludf.DUMMYFUNCTION("""COMPUTED_VALUE"""),"V41023SLWXXL")</f>
        <v>V41023SLWXXL</v>
      </c>
      <c r="G121" s="165">
        <f>IFERROR(__xludf.DUMMYFUNCTION("""COMPUTED_VALUE"""),1788.0)</f>
        <v>1788</v>
      </c>
    </row>
    <row r="122" ht="15.75" customHeight="1">
      <c r="A122" s="133" t="str">
        <f>IFERROR(__xludf.DUMMYFUNCTION("""COMPUTED_VALUE"""),"V41023SLW")</f>
        <v>V41023SLW</v>
      </c>
      <c r="B122" s="164">
        <f>IFERROR(__xludf.DUMMYFUNCTION("""COMPUTED_VALUE"""),1.4930911E7)</f>
        <v>14930911</v>
      </c>
      <c r="C122" s="164" t="str">
        <f>IFERROR(__xludf.DUMMYFUNCTION("""COMPUTED_VALUE"""),"14930911XXXL")</f>
        <v>14930911XXXL</v>
      </c>
      <c r="D122" s="164" t="str">
        <f>IFERROR(__xludf.DUMMYFUNCTION("""COMPUTED_VALUE"""),"XXXL")</f>
        <v>XXXL</v>
      </c>
      <c r="E122" s="164" t="str">
        <f>IFERROR(__xludf.DUMMYFUNCTION("""COMPUTED_VALUE"""),"XXXL")</f>
        <v>XXXL</v>
      </c>
      <c r="F122" s="133" t="str">
        <f>IFERROR(__xludf.DUMMYFUNCTION("""COMPUTED_VALUE"""),"V41023SLWXXXL")</f>
        <v>V41023SLWXXXL</v>
      </c>
      <c r="G122" s="165">
        <f>IFERROR(__xludf.DUMMYFUNCTION("""COMPUTED_VALUE"""),1788.0)</f>
        <v>1788</v>
      </c>
    </row>
    <row r="123" ht="15.75" customHeight="1">
      <c r="A123" s="133" t="str">
        <f>IFERROR(__xludf.DUMMYFUNCTION("""COMPUTED_VALUE"""),"V41024SLW")</f>
        <v>V41024SLW</v>
      </c>
      <c r="B123" s="164">
        <f>IFERROR(__xludf.DUMMYFUNCTION("""COMPUTED_VALUE"""),1.4930912E7)</f>
        <v>14930912</v>
      </c>
      <c r="C123" s="164" t="str">
        <f>IFERROR(__xludf.DUMMYFUNCTION("""COMPUTED_VALUE"""),"14930912XXS")</f>
        <v>14930912XXS</v>
      </c>
      <c r="D123" s="164" t="str">
        <f>IFERROR(__xludf.DUMMYFUNCTION("""COMPUTED_VALUE"""),"XXS")</f>
        <v>XXS</v>
      </c>
      <c r="E123" s="164" t="str">
        <f>IFERROR(__xludf.DUMMYFUNCTION("""COMPUTED_VALUE"""),"XXS")</f>
        <v>XXS</v>
      </c>
      <c r="F123" s="133" t="str">
        <f>IFERROR(__xludf.DUMMYFUNCTION("""COMPUTED_VALUE"""),"V41024SLWXXS")</f>
        <v>V41024SLWXXS</v>
      </c>
      <c r="G123" s="165">
        <f>IFERROR(__xludf.DUMMYFUNCTION("""COMPUTED_VALUE"""),1796.0)</f>
        <v>1796</v>
      </c>
    </row>
    <row r="124" ht="15.75" customHeight="1">
      <c r="A124" s="133" t="str">
        <f>IFERROR(__xludf.DUMMYFUNCTION("""COMPUTED_VALUE"""),"V41024SLW")</f>
        <v>V41024SLW</v>
      </c>
      <c r="B124" s="164">
        <f>IFERROR(__xludf.DUMMYFUNCTION("""COMPUTED_VALUE"""),1.4930912E7)</f>
        <v>14930912</v>
      </c>
      <c r="C124" s="164" t="str">
        <f>IFERROR(__xludf.DUMMYFUNCTION("""COMPUTED_VALUE"""),"14930912XS")</f>
        <v>14930912XS</v>
      </c>
      <c r="D124" s="164" t="str">
        <f>IFERROR(__xludf.DUMMYFUNCTION("""COMPUTED_VALUE"""),"XS")</f>
        <v>XS</v>
      </c>
      <c r="E124" s="164" t="str">
        <f>IFERROR(__xludf.DUMMYFUNCTION("""COMPUTED_VALUE"""),"XS")</f>
        <v>XS</v>
      </c>
      <c r="F124" s="133" t="str">
        <f>IFERROR(__xludf.DUMMYFUNCTION("""COMPUTED_VALUE"""),"V41024SLWXS")</f>
        <v>V41024SLWXS</v>
      </c>
      <c r="G124" s="165">
        <f>IFERROR(__xludf.DUMMYFUNCTION("""COMPUTED_VALUE"""),1796.0)</f>
        <v>1796</v>
      </c>
    </row>
    <row r="125" ht="15.75" customHeight="1">
      <c r="A125" s="133" t="str">
        <f>IFERROR(__xludf.DUMMYFUNCTION("""COMPUTED_VALUE"""),"V41024SLW")</f>
        <v>V41024SLW</v>
      </c>
      <c r="B125" s="164">
        <f>IFERROR(__xludf.DUMMYFUNCTION("""COMPUTED_VALUE"""),1.4930912E7)</f>
        <v>14930912</v>
      </c>
      <c r="C125" s="164" t="str">
        <f>IFERROR(__xludf.DUMMYFUNCTION("""COMPUTED_VALUE"""),"14930912S")</f>
        <v>14930912S</v>
      </c>
      <c r="D125" s="164" t="str">
        <f>IFERROR(__xludf.DUMMYFUNCTION("""COMPUTED_VALUE"""),"S")</f>
        <v>S</v>
      </c>
      <c r="E125" s="164" t="str">
        <f>IFERROR(__xludf.DUMMYFUNCTION("""COMPUTED_VALUE"""),"S")</f>
        <v>S</v>
      </c>
      <c r="F125" s="133" t="str">
        <f>IFERROR(__xludf.DUMMYFUNCTION("""COMPUTED_VALUE"""),"V41024SLWS")</f>
        <v>V41024SLWS</v>
      </c>
      <c r="G125" s="165">
        <f>IFERROR(__xludf.DUMMYFUNCTION("""COMPUTED_VALUE"""),1796.0)</f>
        <v>1796</v>
      </c>
    </row>
    <row r="126" ht="15.75" customHeight="1">
      <c r="A126" s="133" t="str">
        <f>IFERROR(__xludf.DUMMYFUNCTION("""COMPUTED_VALUE"""),"V41024SLW")</f>
        <v>V41024SLW</v>
      </c>
      <c r="B126" s="164">
        <f>IFERROR(__xludf.DUMMYFUNCTION("""COMPUTED_VALUE"""),1.4930912E7)</f>
        <v>14930912</v>
      </c>
      <c r="C126" s="164" t="str">
        <f>IFERROR(__xludf.DUMMYFUNCTION("""COMPUTED_VALUE"""),"14930912M")</f>
        <v>14930912M</v>
      </c>
      <c r="D126" s="164" t="str">
        <f>IFERROR(__xludf.DUMMYFUNCTION("""COMPUTED_VALUE"""),"M")</f>
        <v>M</v>
      </c>
      <c r="E126" s="164" t="str">
        <f>IFERROR(__xludf.DUMMYFUNCTION("""COMPUTED_VALUE"""),"M")</f>
        <v>M</v>
      </c>
      <c r="F126" s="133" t="str">
        <f>IFERROR(__xludf.DUMMYFUNCTION("""COMPUTED_VALUE"""),"V41024SLWM")</f>
        <v>V41024SLWM</v>
      </c>
      <c r="G126" s="165">
        <f>IFERROR(__xludf.DUMMYFUNCTION("""COMPUTED_VALUE"""),1796.0)</f>
        <v>1796</v>
      </c>
    </row>
    <row r="127" ht="15.75" customHeight="1">
      <c r="A127" s="133" t="str">
        <f>IFERROR(__xludf.DUMMYFUNCTION("""COMPUTED_VALUE"""),"V41024SLW")</f>
        <v>V41024SLW</v>
      </c>
      <c r="B127" s="164">
        <f>IFERROR(__xludf.DUMMYFUNCTION("""COMPUTED_VALUE"""),1.4930912E7)</f>
        <v>14930912</v>
      </c>
      <c r="C127" s="164" t="str">
        <f>IFERROR(__xludf.DUMMYFUNCTION("""COMPUTED_VALUE"""),"14930912L")</f>
        <v>14930912L</v>
      </c>
      <c r="D127" s="164" t="str">
        <f>IFERROR(__xludf.DUMMYFUNCTION("""COMPUTED_VALUE"""),"L")</f>
        <v>L</v>
      </c>
      <c r="E127" s="164" t="str">
        <f>IFERROR(__xludf.DUMMYFUNCTION("""COMPUTED_VALUE"""),"L")</f>
        <v>L</v>
      </c>
      <c r="F127" s="133" t="str">
        <f>IFERROR(__xludf.DUMMYFUNCTION("""COMPUTED_VALUE"""),"V41024SLWL")</f>
        <v>V41024SLWL</v>
      </c>
      <c r="G127" s="165">
        <f>IFERROR(__xludf.DUMMYFUNCTION("""COMPUTED_VALUE"""),1796.0)</f>
        <v>1796</v>
      </c>
    </row>
    <row r="128" ht="15.75" customHeight="1">
      <c r="A128" s="133" t="str">
        <f>IFERROR(__xludf.DUMMYFUNCTION("""COMPUTED_VALUE"""),"V41024SLW")</f>
        <v>V41024SLW</v>
      </c>
      <c r="B128" s="164">
        <f>IFERROR(__xludf.DUMMYFUNCTION("""COMPUTED_VALUE"""),1.4930912E7)</f>
        <v>14930912</v>
      </c>
      <c r="C128" s="164" t="str">
        <f>IFERROR(__xludf.DUMMYFUNCTION("""COMPUTED_VALUE"""),"14930912XL")</f>
        <v>14930912XL</v>
      </c>
      <c r="D128" s="164" t="str">
        <f>IFERROR(__xludf.DUMMYFUNCTION("""COMPUTED_VALUE"""),"XL")</f>
        <v>XL</v>
      </c>
      <c r="E128" s="164" t="str">
        <f>IFERROR(__xludf.DUMMYFUNCTION("""COMPUTED_VALUE"""),"XL")</f>
        <v>XL</v>
      </c>
      <c r="F128" s="133" t="str">
        <f>IFERROR(__xludf.DUMMYFUNCTION("""COMPUTED_VALUE"""),"V41024SLWXL")</f>
        <v>V41024SLWXL</v>
      </c>
      <c r="G128" s="165">
        <f>IFERROR(__xludf.DUMMYFUNCTION("""COMPUTED_VALUE"""),1796.0)</f>
        <v>1796</v>
      </c>
    </row>
    <row r="129" ht="15.75" customHeight="1">
      <c r="A129" s="133" t="str">
        <f>IFERROR(__xludf.DUMMYFUNCTION("""COMPUTED_VALUE"""),"V41024SLW")</f>
        <v>V41024SLW</v>
      </c>
      <c r="B129" s="164">
        <f>IFERROR(__xludf.DUMMYFUNCTION("""COMPUTED_VALUE"""),1.4930912E7)</f>
        <v>14930912</v>
      </c>
      <c r="C129" s="164" t="str">
        <f>IFERROR(__xludf.DUMMYFUNCTION("""COMPUTED_VALUE"""),"14930912XXL")</f>
        <v>14930912XXL</v>
      </c>
      <c r="D129" s="164" t="str">
        <f>IFERROR(__xludf.DUMMYFUNCTION("""COMPUTED_VALUE"""),"XXL")</f>
        <v>XXL</v>
      </c>
      <c r="E129" s="164" t="str">
        <f>IFERROR(__xludf.DUMMYFUNCTION("""COMPUTED_VALUE"""),"XXL")</f>
        <v>XXL</v>
      </c>
      <c r="F129" s="133" t="str">
        <f>IFERROR(__xludf.DUMMYFUNCTION("""COMPUTED_VALUE"""),"V41024SLWXXL")</f>
        <v>V41024SLWXXL</v>
      </c>
      <c r="G129" s="165">
        <f>IFERROR(__xludf.DUMMYFUNCTION("""COMPUTED_VALUE"""),1796.0)</f>
        <v>1796</v>
      </c>
    </row>
    <row r="130" ht="15.75" customHeight="1">
      <c r="A130" s="133" t="str">
        <f>IFERROR(__xludf.DUMMYFUNCTION("""COMPUTED_VALUE"""),"V41024SLW")</f>
        <v>V41024SLW</v>
      </c>
      <c r="B130" s="164">
        <f>IFERROR(__xludf.DUMMYFUNCTION("""COMPUTED_VALUE"""),1.4930912E7)</f>
        <v>14930912</v>
      </c>
      <c r="C130" s="164" t="str">
        <f>IFERROR(__xludf.DUMMYFUNCTION("""COMPUTED_VALUE"""),"14930912XXXL")</f>
        <v>14930912XXXL</v>
      </c>
      <c r="D130" s="164" t="str">
        <f>IFERROR(__xludf.DUMMYFUNCTION("""COMPUTED_VALUE"""),"XXXL")</f>
        <v>XXXL</v>
      </c>
      <c r="E130" s="164" t="str">
        <f>IFERROR(__xludf.DUMMYFUNCTION("""COMPUTED_VALUE"""),"XXXL")</f>
        <v>XXXL</v>
      </c>
      <c r="F130" s="133" t="str">
        <f>IFERROR(__xludf.DUMMYFUNCTION("""COMPUTED_VALUE"""),"V41024SLWXXXL")</f>
        <v>V41024SLWXXXL</v>
      </c>
      <c r="G130" s="165">
        <f>IFERROR(__xludf.DUMMYFUNCTION("""COMPUTED_VALUE"""),1796.0)</f>
        <v>1796</v>
      </c>
    </row>
    <row r="131" ht="15.75" customHeight="1">
      <c r="A131" s="133" t="str">
        <f>IFERROR(__xludf.DUMMYFUNCTION("""COMPUTED_VALUE"""),"V41022SLW")</f>
        <v>V41022SLW</v>
      </c>
      <c r="B131" s="164">
        <f>IFERROR(__xludf.DUMMYFUNCTION("""COMPUTED_VALUE"""),1.493091E7)</f>
        <v>14930910</v>
      </c>
      <c r="C131" s="164" t="str">
        <f>IFERROR(__xludf.DUMMYFUNCTION("""COMPUTED_VALUE"""),"14930910XXS")</f>
        <v>14930910XXS</v>
      </c>
      <c r="D131" s="164" t="str">
        <f>IFERROR(__xludf.DUMMYFUNCTION("""COMPUTED_VALUE"""),"XXS")</f>
        <v>XXS</v>
      </c>
      <c r="E131" s="164" t="str">
        <f>IFERROR(__xludf.DUMMYFUNCTION("""COMPUTED_VALUE"""),"XXS")</f>
        <v>XXS</v>
      </c>
      <c r="F131" s="133" t="str">
        <f>IFERROR(__xludf.DUMMYFUNCTION("""COMPUTED_VALUE"""),"V41022SLWXXS")</f>
        <v>V41022SLWXXS</v>
      </c>
      <c r="G131" s="165">
        <f>IFERROR(__xludf.DUMMYFUNCTION("""COMPUTED_VALUE"""),1788.0)</f>
        <v>1788</v>
      </c>
    </row>
    <row r="132" ht="15.75" customHeight="1">
      <c r="A132" s="133" t="str">
        <f>IFERROR(__xludf.DUMMYFUNCTION("""COMPUTED_VALUE"""),"V41022SLW")</f>
        <v>V41022SLW</v>
      </c>
      <c r="B132" s="164">
        <f>IFERROR(__xludf.DUMMYFUNCTION("""COMPUTED_VALUE"""),1.493091E7)</f>
        <v>14930910</v>
      </c>
      <c r="C132" s="164" t="str">
        <f>IFERROR(__xludf.DUMMYFUNCTION("""COMPUTED_VALUE"""),"14930910XS")</f>
        <v>14930910XS</v>
      </c>
      <c r="D132" s="164" t="str">
        <f>IFERROR(__xludf.DUMMYFUNCTION("""COMPUTED_VALUE"""),"XS")</f>
        <v>XS</v>
      </c>
      <c r="E132" s="164" t="str">
        <f>IFERROR(__xludf.DUMMYFUNCTION("""COMPUTED_VALUE"""),"XS")</f>
        <v>XS</v>
      </c>
      <c r="F132" s="133" t="str">
        <f>IFERROR(__xludf.DUMMYFUNCTION("""COMPUTED_VALUE"""),"V41022SLWXS")</f>
        <v>V41022SLWXS</v>
      </c>
      <c r="G132" s="165">
        <f>IFERROR(__xludf.DUMMYFUNCTION("""COMPUTED_VALUE"""),1788.0)</f>
        <v>1788</v>
      </c>
    </row>
    <row r="133" ht="15.75" customHeight="1">
      <c r="A133" s="133" t="str">
        <f>IFERROR(__xludf.DUMMYFUNCTION("""COMPUTED_VALUE"""),"V41022SLW")</f>
        <v>V41022SLW</v>
      </c>
      <c r="B133" s="164">
        <f>IFERROR(__xludf.DUMMYFUNCTION("""COMPUTED_VALUE"""),1.493091E7)</f>
        <v>14930910</v>
      </c>
      <c r="C133" s="164" t="str">
        <f>IFERROR(__xludf.DUMMYFUNCTION("""COMPUTED_VALUE"""),"14930910S")</f>
        <v>14930910S</v>
      </c>
      <c r="D133" s="164" t="str">
        <f>IFERROR(__xludf.DUMMYFUNCTION("""COMPUTED_VALUE"""),"S")</f>
        <v>S</v>
      </c>
      <c r="E133" s="164" t="str">
        <f>IFERROR(__xludf.DUMMYFUNCTION("""COMPUTED_VALUE"""),"S")</f>
        <v>S</v>
      </c>
      <c r="F133" s="133" t="str">
        <f>IFERROR(__xludf.DUMMYFUNCTION("""COMPUTED_VALUE"""),"V41022SLWS")</f>
        <v>V41022SLWS</v>
      </c>
      <c r="G133" s="165">
        <f>IFERROR(__xludf.DUMMYFUNCTION("""COMPUTED_VALUE"""),1788.0)</f>
        <v>1788</v>
      </c>
    </row>
    <row r="134" ht="15.75" customHeight="1">
      <c r="A134" s="133" t="str">
        <f>IFERROR(__xludf.DUMMYFUNCTION("""COMPUTED_VALUE"""),"V41022SLW")</f>
        <v>V41022SLW</v>
      </c>
      <c r="B134" s="164">
        <f>IFERROR(__xludf.DUMMYFUNCTION("""COMPUTED_VALUE"""),1.493091E7)</f>
        <v>14930910</v>
      </c>
      <c r="C134" s="164" t="str">
        <f>IFERROR(__xludf.DUMMYFUNCTION("""COMPUTED_VALUE"""),"14930910M")</f>
        <v>14930910M</v>
      </c>
      <c r="D134" s="164" t="str">
        <f>IFERROR(__xludf.DUMMYFUNCTION("""COMPUTED_VALUE"""),"M")</f>
        <v>M</v>
      </c>
      <c r="E134" s="164" t="str">
        <f>IFERROR(__xludf.DUMMYFUNCTION("""COMPUTED_VALUE"""),"M")</f>
        <v>M</v>
      </c>
      <c r="F134" s="133" t="str">
        <f>IFERROR(__xludf.DUMMYFUNCTION("""COMPUTED_VALUE"""),"V41022SLWM")</f>
        <v>V41022SLWM</v>
      </c>
      <c r="G134" s="165">
        <f>IFERROR(__xludf.DUMMYFUNCTION("""COMPUTED_VALUE"""),1788.0)</f>
        <v>1788</v>
      </c>
    </row>
    <row r="135" ht="15.75" customHeight="1">
      <c r="A135" s="133" t="str">
        <f>IFERROR(__xludf.DUMMYFUNCTION("""COMPUTED_VALUE"""),"V41022SLW")</f>
        <v>V41022SLW</v>
      </c>
      <c r="B135" s="164">
        <f>IFERROR(__xludf.DUMMYFUNCTION("""COMPUTED_VALUE"""),1.493091E7)</f>
        <v>14930910</v>
      </c>
      <c r="C135" s="164" t="str">
        <f>IFERROR(__xludf.DUMMYFUNCTION("""COMPUTED_VALUE"""),"14930910L")</f>
        <v>14930910L</v>
      </c>
      <c r="D135" s="164" t="str">
        <f>IFERROR(__xludf.DUMMYFUNCTION("""COMPUTED_VALUE"""),"L")</f>
        <v>L</v>
      </c>
      <c r="E135" s="164" t="str">
        <f>IFERROR(__xludf.DUMMYFUNCTION("""COMPUTED_VALUE"""),"L")</f>
        <v>L</v>
      </c>
      <c r="F135" s="133" t="str">
        <f>IFERROR(__xludf.DUMMYFUNCTION("""COMPUTED_VALUE"""),"V41022SLWL")</f>
        <v>V41022SLWL</v>
      </c>
      <c r="G135" s="165">
        <f>IFERROR(__xludf.DUMMYFUNCTION("""COMPUTED_VALUE"""),1788.0)</f>
        <v>1788</v>
      </c>
    </row>
    <row r="136" ht="15.75" customHeight="1">
      <c r="A136" s="133" t="str">
        <f>IFERROR(__xludf.DUMMYFUNCTION("""COMPUTED_VALUE"""),"V41022SLW")</f>
        <v>V41022SLW</v>
      </c>
      <c r="B136" s="164">
        <f>IFERROR(__xludf.DUMMYFUNCTION("""COMPUTED_VALUE"""),1.493091E7)</f>
        <v>14930910</v>
      </c>
      <c r="C136" s="164" t="str">
        <f>IFERROR(__xludf.DUMMYFUNCTION("""COMPUTED_VALUE"""),"14930910XL")</f>
        <v>14930910XL</v>
      </c>
      <c r="D136" s="164" t="str">
        <f>IFERROR(__xludf.DUMMYFUNCTION("""COMPUTED_VALUE"""),"XL")</f>
        <v>XL</v>
      </c>
      <c r="E136" s="164" t="str">
        <f>IFERROR(__xludf.DUMMYFUNCTION("""COMPUTED_VALUE"""),"XL")</f>
        <v>XL</v>
      </c>
      <c r="F136" s="133" t="str">
        <f>IFERROR(__xludf.DUMMYFUNCTION("""COMPUTED_VALUE"""),"V41022SLWXL")</f>
        <v>V41022SLWXL</v>
      </c>
      <c r="G136" s="165">
        <f>IFERROR(__xludf.DUMMYFUNCTION("""COMPUTED_VALUE"""),1788.0)</f>
        <v>1788</v>
      </c>
    </row>
    <row r="137" ht="15.75" customHeight="1">
      <c r="A137" s="133" t="str">
        <f>IFERROR(__xludf.DUMMYFUNCTION("""COMPUTED_VALUE"""),"V41022SLW")</f>
        <v>V41022SLW</v>
      </c>
      <c r="B137" s="164">
        <f>IFERROR(__xludf.DUMMYFUNCTION("""COMPUTED_VALUE"""),1.493091E7)</f>
        <v>14930910</v>
      </c>
      <c r="C137" s="164" t="str">
        <f>IFERROR(__xludf.DUMMYFUNCTION("""COMPUTED_VALUE"""),"14930910XXL")</f>
        <v>14930910XXL</v>
      </c>
      <c r="D137" s="164" t="str">
        <f>IFERROR(__xludf.DUMMYFUNCTION("""COMPUTED_VALUE"""),"XXL")</f>
        <v>XXL</v>
      </c>
      <c r="E137" s="164" t="str">
        <f>IFERROR(__xludf.DUMMYFUNCTION("""COMPUTED_VALUE"""),"XXL")</f>
        <v>XXL</v>
      </c>
      <c r="F137" s="133" t="str">
        <f>IFERROR(__xludf.DUMMYFUNCTION("""COMPUTED_VALUE"""),"V41022SLWXXL")</f>
        <v>V41022SLWXXL</v>
      </c>
      <c r="G137" s="165">
        <f>IFERROR(__xludf.DUMMYFUNCTION("""COMPUTED_VALUE"""),1788.0)</f>
        <v>1788</v>
      </c>
    </row>
    <row r="138" ht="15.75" customHeight="1">
      <c r="A138" s="133" t="str">
        <f>IFERROR(__xludf.DUMMYFUNCTION("""COMPUTED_VALUE"""),"V41022SLW")</f>
        <v>V41022SLW</v>
      </c>
      <c r="B138" s="164">
        <f>IFERROR(__xludf.DUMMYFUNCTION("""COMPUTED_VALUE"""),1.493091E7)</f>
        <v>14930910</v>
      </c>
      <c r="C138" s="164" t="str">
        <f>IFERROR(__xludf.DUMMYFUNCTION("""COMPUTED_VALUE"""),"14930910XXXL")</f>
        <v>14930910XXXL</v>
      </c>
      <c r="D138" s="164" t="str">
        <f>IFERROR(__xludf.DUMMYFUNCTION("""COMPUTED_VALUE"""),"XXXL")</f>
        <v>XXXL</v>
      </c>
      <c r="E138" s="164" t="str">
        <f>IFERROR(__xludf.DUMMYFUNCTION("""COMPUTED_VALUE"""),"XXXL")</f>
        <v>XXXL</v>
      </c>
      <c r="F138" s="133" t="str">
        <f>IFERROR(__xludf.DUMMYFUNCTION("""COMPUTED_VALUE"""),"V41022SLWXXXL")</f>
        <v>V41022SLWXXXL</v>
      </c>
      <c r="G138" s="165">
        <f>IFERROR(__xludf.DUMMYFUNCTION("""COMPUTED_VALUE"""),1788.0)</f>
        <v>1788</v>
      </c>
    </row>
    <row r="139" ht="15.75" customHeight="1">
      <c r="A139" s="133" t="str">
        <f>IFERROR(__xludf.DUMMYFUNCTION("""COMPUTED_VALUE"""),"V41025SLW")</f>
        <v>V41025SLW</v>
      </c>
      <c r="B139" s="164">
        <f>IFERROR(__xludf.DUMMYFUNCTION("""COMPUTED_VALUE"""),1.4930913E7)</f>
        <v>14930913</v>
      </c>
      <c r="C139" s="164" t="str">
        <f>IFERROR(__xludf.DUMMYFUNCTION("""COMPUTED_VALUE"""),"14930913XXS")</f>
        <v>14930913XXS</v>
      </c>
      <c r="D139" s="164" t="str">
        <f>IFERROR(__xludf.DUMMYFUNCTION("""COMPUTED_VALUE"""),"XXS")</f>
        <v>XXS</v>
      </c>
      <c r="E139" s="164" t="str">
        <f>IFERROR(__xludf.DUMMYFUNCTION("""COMPUTED_VALUE"""),"XXS")</f>
        <v>XXS</v>
      </c>
      <c r="F139" s="133" t="str">
        <f>IFERROR(__xludf.DUMMYFUNCTION("""COMPUTED_VALUE"""),"V41025SLWXXS")</f>
        <v>V41025SLWXXS</v>
      </c>
      <c r="G139" s="165">
        <f>IFERROR(__xludf.DUMMYFUNCTION("""COMPUTED_VALUE"""),1788.0)</f>
        <v>1788</v>
      </c>
    </row>
    <row r="140" ht="15.75" customHeight="1">
      <c r="A140" s="133" t="str">
        <f>IFERROR(__xludf.DUMMYFUNCTION("""COMPUTED_VALUE"""),"V41025SLW")</f>
        <v>V41025SLW</v>
      </c>
      <c r="B140" s="164">
        <f>IFERROR(__xludf.DUMMYFUNCTION("""COMPUTED_VALUE"""),1.4930913E7)</f>
        <v>14930913</v>
      </c>
      <c r="C140" s="164" t="str">
        <f>IFERROR(__xludf.DUMMYFUNCTION("""COMPUTED_VALUE"""),"14930913XS")</f>
        <v>14930913XS</v>
      </c>
      <c r="D140" s="164" t="str">
        <f>IFERROR(__xludf.DUMMYFUNCTION("""COMPUTED_VALUE"""),"XS")</f>
        <v>XS</v>
      </c>
      <c r="E140" s="164" t="str">
        <f>IFERROR(__xludf.DUMMYFUNCTION("""COMPUTED_VALUE"""),"XS")</f>
        <v>XS</v>
      </c>
      <c r="F140" s="133" t="str">
        <f>IFERROR(__xludf.DUMMYFUNCTION("""COMPUTED_VALUE"""),"V41025SLWXS")</f>
        <v>V41025SLWXS</v>
      </c>
      <c r="G140" s="165">
        <f>IFERROR(__xludf.DUMMYFUNCTION("""COMPUTED_VALUE"""),1788.0)</f>
        <v>1788</v>
      </c>
    </row>
    <row r="141" ht="15.75" customHeight="1">
      <c r="A141" s="133" t="str">
        <f>IFERROR(__xludf.DUMMYFUNCTION("""COMPUTED_VALUE"""),"V41025SLW")</f>
        <v>V41025SLW</v>
      </c>
      <c r="B141" s="164">
        <f>IFERROR(__xludf.DUMMYFUNCTION("""COMPUTED_VALUE"""),1.4930913E7)</f>
        <v>14930913</v>
      </c>
      <c r="C141" s="164" t="str">
        <f>IFERROR(__xludf.DUMMYFUNCTION("""COMPUTED_VALUE"""),"14930913S")</f>
        <v>14930913S</v>
      </c>
      <c r="D141" s="164" t="str">
        <f>IFERROR(__xludf.DUMMYFUNCTION("""COMPUTED_VALUE"""),"S")</f>
        <v>S</v>
      </c>
      <c r="E141" s="164" t="str">
        <f>IFERROR(__xludf.DUMMYFUNCTION("""COMPUTED_VALUE"""),"S")</f>
        <v>S</v>
      </c>
      <c r="F141" s="133" t="str">
        <f>IFERROR(__xludf.DUMMYFUNCTION("""COMPUTED_VALUE"""),"V41025SLWS")</f>
        <v>V41025SLWS</v>
      </c>
      <c r="G141" s="165">
        <f>IFERROR(__xludf.DUMMYFUNCTION("""COMPUTED_VALUE"""),1788.0)</f>
        <v>1788</v>
      </c>
    </row>
    <row r="142" ht="15.75" customHeight="1">
      <c r="A142" s="133" t="str">
        <f>IFERROR(__xludf.DUMMYFUNCTION("""COMPUTED_VALUE"""),"V41025SLW")</f>
        <v>V41025SLW</v>
      </c>
      <c r="B142" s="164">
        <f>IFERROR(__xludf.DUMMYFUNCTION("""COMPUTED_VALUE"""),1.4930913E7)</f>
        <v>14930913</v>
      </c>
      <c r="C142" s="164" t="str">
        <f>IFERROR(__xludf.DUMMYFUNCTION("""COMPUTED_VALUE"""),"14930913M")</f>
        <v>14930913M</v>
      </c>
      <c r="D142" s="164" t="str">
        <f>IFERROR(__xludf.DUMMYFUNCTION("""COMPUTED_VALUE"""),"M")</f>
        <v>M</v>
      </c>
      <c r="E142" s="164" t="str">
        <f>IFERROR(__xludf.DUMMYFUNCTION("""COMPUTED_VALUE"""),"M")</f>
        <v>M</v>
      </c>
      <c r="F142" s="133" t="str">
        <f>IFERROR(__xludf.DUMMYFUNCTION("""COMPUTED_VALUE"""),"V41025SLWM")</f>
        <v>V41025SLWM</v>
      </c>
      <c r="G142" s="165">
        <f>IFERROR(__xludf.DUMMYFUNCTION("""COMPUTED_VALUE"""),1788.0)</f>
        <v>1788</v>
      </c>
    </row>
    <row r="143" ht="15.75" customHeight="1">
      <c r="A143" s="133" t="str">
        <f>IFERROR(__xludf.DUMMYFUNCTION("""COMPUTED_VALUE"""),"V41025SLW")</f>
        <v>V41025SLW</v>
      </c>
      <c r="B143" s="164">
        <f>IFERROR(__xludf.DUMMYFUNCTION("""COMPUTED_VALUE"""),1.4930913E7)</f>
        <v>14930913</v>
      </c>
      <c r="C143" s="164" t="str">
        <f>IFERROR(__xludf.DUMMYFUNCTION("""COMPUTED_VALUE"""),"14930913L")</f>
        <v>14930913L</v>
      </c>
      <c r="D143" s="164" t="str">
        <f>IFERROR(__xludf.DUMMYFUNCTION("""COMPUTED_VALUE"""),"L")</f>
        <v>L</v>
      </c>
      <c r="E143" s="164" t="str">
        <f>IFERROR(__xludf.DUMMYFUNCTION("""COMPUTED_VALUE"""),"L")</f>
        <v>L</v>
      </c>
      <c r="F143" s="133" t="str">
        <f>IFERROR(__xludf.DUMMYFUNCTION("""COMPUTED_VALUE"""),"V41025SLWL")</f>
        <v>V41025SLWL</v>
      </c>
      <c r="G143" s="165">
        <f>IFERROR(__xludf.DUMMYFUNCTION("""COMPUTED_VALUE"""),1788.0)</f>
        <v>1788</v>
      </c>
    </row>
    <row r="144" ht="15.75" customHeight="1">
      <c r="A144" s="133" t="str">
        <f>IFERROR(__xludf.DUMMYFUNCTION("""COMPUTED_VALUE"""),"V41025SLW")</f>
        <v>V41025SLW</v>
      </c>
      <c r="B144" s="164">
        <f>IFERROR(__xludf.DUMMYFUNCTION("""COMPUTED_VALUE"""),1.4930913E7)</f>
        <v>14930913</v>
      </c>
      <c r="C144" s="164" t="str">
        <f>IFERROR(__xludf.DUMMYFUNCTION("""COMPUTED_VALUE"""),"14930913XL")</f>
        <v>14930913XL</v>
      </c>
      <c r="D144" s="164" t="str">
        <f>IFERROR(__xludf.DUMMYFUNCTION("""COMPUTED_VALUE"""),"XL")</f>
        <v>XL</v>
      </c>
      <c r="E144" s="164" t="str">
        <f>IFERROR(__xludf.DUMMYFUNCTION("""COMPUTED_VALUE"""),"XL")</f>
        <v>XL</v>
      </c>
      <c r="F144" s="133" t="str">
        <f>IFERROR(__xludf.DUMMYFUNCTION("""COMPUTED_VALUE"""),"V41025SLWXL")</f>
        <v>V41025SLWXL</v>
      </c>
      <c r="G144" s="165">
        <f>IFERROR(__xludf.DUMMYFUNCTION("""COMPUTED_VALUE"""),1788.0)</f>
        <v>1788</v>
      </c>
    </row>
    <row r="145" ht="15.75" customHeight="1">
      <c r="A145" s="133" t="str">
        <f>IFERROR(__xludf.DUMMYFUNCTION("""COMPUTED_VALUE"""),"V41025SLW")</f>
        <v>V41025SLW</v>
      </c>
      <c r="B145" s="164">
        <f>IFERROR(__xludf.DUMMYFUNCTION("""COMPUTED_VALUE"""),1.4930913E7)</f>
        <v>14930913</v>
      </c>
      <c r="C145" s="164" t="str">
        <f>IFERROR(__xludf.DUMMYFUNCTION("""COMPUTED_VALUE"""),"14930913XXL")</f>
        <v>14930913XXL</v>
      </c>
      <c r="D145" s="164" t="str">
        <f>IFERROR(__xludf.DUMMYFUNCTION("""COMPUTED_VALUE"""),"XXL")</f>
        <v>XXL</v>
      </c>
      <c r="E145" s="164" t="str">
        <f>IFERROR(__xludf.DUMMYFUNCTION("""COMPUTED_VALUE"""),"XXL")</f>
        <v>XXL</v>
      </c>
      <c r="F145" s="133" t="str">
        <f>IFERROR(__xludf.DUMMYFUNCTION("""COMPUTED_VALUE"""),"V41025SLWXXL")</f>
        <v>V41025SLWXXL</v>
      </c>
      <c r="G145" s="165">
        <f>IFERROR(__xludf.DUMMYFUNCTION("""COMPUTED_VALUE"""),1788.0)</f>
        <v>1788</v>
      </c>
    </row>
    <row r="146" ht="15.75" customHeight="1">
      <c r="A146" s="133" t="str">
        <f>IFERROR(__xludf.DUMMYFUNCTION("""COMPUTED_VALUE"""),"V41025SLW")</f>
        <v>V41025SLW</v>
      </c>
      <c r="B146" s="164">
        <f>IFERROR(__xludf.DUMMYFUNCTION("""COMPUTED_VALUE"""),1.4930913E7)</f>
        <v>14930913</v>
      </c>
      <c r="C146" s="164" t="str">
        <f>IFERROR(__xludf.DUMMYFUNCTION("""COMPUTED_VALUE"""),"14930913XXXL")</f>
        <v>14930913XXXL</v>
      </c>
      <c r="D146" s="164" t="str">
        <f>IFERROR(__xludf.DUMMYFUNCTION("""COMPUTED_VALUE"""),"XXXL")</f>
        <v>XXXL</v>
      </c>
      <c r="E146" s="164" t="str">
        <f>IFERROR(__xludf.DUMMYFUNCTION("""COMPUTED_VALUE"""),"XXXL")</f>
        <v>XXXL</v>
      </c>
      <c r="F146" s="133" t="str">
        <f>IFERROR(__xludf.DUMMYFUNCTION("""COMPUTED_VALUE"""),"V41025SLWXXXL")</f>
        <v>V41025SLWXXXL</v>
      </c>
      <c r="G146" s="165">
        <f>IFERROR(__xludf.DUMMYFUNCTION("""COMPUTED_VALUE"""),1788.0)</f>
        <v>1788</v>
      </c>
    </row>
    <row r="147" ht="15.75" customHeight="1">
      <c r="A147" s="133" t="str">
        <f>IFERROR(__xludf.DUMMYFUNCTION("""COMPUTED_VALUE"""),"V40020M")</f>
        <v>V40020M</v>
      </c>
      <c r="B147" s="164">
        <f>IFERROR(__xludf.DUMMYFUNCTION("""COMPUTED_VALUE"""),1.1210357E7)</f>
        <v>11210357</v>
      </c>
      <c r="C147" s="164" t="str">
        <f>IFERROR(__xludf.DUMMYFUNCTION("""COMPUTED_VALUE"""),"11210357S")</f>
        <v>11210357S</v>
      </c>
      <c r="D147" s="164" t="str">
        <f>IFERROR(__xludf.DUMMYFUNCTION("""COMPUTED_VALUE"""),"S")</f>
        <v>S</v>
      </c>
      <c r="E147" s="164" t="str">
        <f>IFERROR(__xludf.DUMMYFUNCTION("""COMPUTED_VALUE"""),"S")</f>
        <v>S</v>
      </c>
      <c r="F147" s="133" t="str">
        <f>IFERROR(__xludf.DUMMYFUNCTION("""COMPUTED_VALUE"""),"V40020MS")</f>
        <v>V40020MS</v>
      </c>
      <c r="G147" s="165">
        <f>IFERROR(__xludf.DUMMYFUNCTION("""COMPUTED_VALUE"""),1736.0)</f>
        <v>1736</v>
      </c>
    </row>
    <row r="148" ht="15.75" customHeight="1">
      <c r="A148" s="133" t="str">
        <f>IFERROR(__xludf.DUMMYFUNCTION("""COMPUTED_VALUE"""),"V40020M")</f>
        <v>V40020M</v>
      </c>
      <c r="B148" s="164">
        <f>IFERROR(__xludf.DUMMYFUNCTION("""COMPUTED_VALUE"""),1.1210357E7)</f>
        <v>11210357</v>
      </c>
      <c r="C148" s="164" t="str">
        <f>IFERROR(__xludf.DUMMYFUNCTION("""COMPUTED_VALUE"""),"11210357M")</f>
        <v>11210357M</v>
      </c>
      <c r="D148" s="164" t="str">
        <f>IFERROR(__xludf.DUMMYFUNCTION("""COMPUTED_VALUE"""),"M")</f>
        <v>M</v>
      </c>
      <c r="E148" s="164" t="str">
        <f>IFERROR(__xludf.DUMMYFUNCTION("""COMPUTED_VALUE"""),"M")</f>
        <v>M</v>
      </c>
      <c r="F148" s="133" t="str">
        <f>IFERROR(__xludf.DUMMYFUNCTION("""COMPUTED_VALUE"""),"V40020MM")</f>
        <v>V40020MM</v>
      </c>
      <c r="G148" s="165">
        <f>IFERROR(__xludf.DUMMYFUNCTION("""COMPUTED_VALUE"""),1736.0)</f>
        <v>1736</v>
      </c>
    </row>
    <row r="149" ht="15.75" customHeight="1">
      <c r="A149" s="133" t="str">
        <f>IFERROR(__xludf.DUMMYFUNCTION("""COMPUTED_VALUE"""),"V40020M")</f>
        <v>V40020M</v>
      </c>
      <c r="B149" s="164">
        <f>IFERROR(__xludf.DUMMYFUNCTION("""COMPUTED_VALUE"""),1.1210357E7)</f>
        <v>11210357</v>
      </c>
      <c r="C149" s="164" t="str">
        <f>IFERROR(__xludf.DUMMYFUNCTION("""COMPUTED_VALUE"""),"11210357L")</f>
        <v>11210357L</v>
      </c>
      <c r="D149" s="164" t="str">
        <f>IFERROR(__xludf.DUMMYFUNCTION("""COMPUTED_VALUE"""),"L")</f>
        <v>L</v>
      </c>
      <c r="E149" s="164" t="str">
        <f>IFERROR(__xludf.DUMMYFUNCTION("""COMPUTED_VALUE"""),"L")</f>
        <v>L</v>
      </c>
      <c r="F149" s="133" t="str">
        <f>IFERROR(__xludf.DUMMYFUNCTION("""COMPUTED_VALUE"""),"V40020ML")</f>
        <v>V40020ML</v>
      </c>
      <c r="G149" s="165">
        <f>IFERROR(__xludf.DUMMYFUNCTION("""COMPUTED_VALUE"""),1736.0)</f>
        <v>1736</v>
      </c>
    </row>
    <row r="150" ht="15.75" customHeight="1">
      <c r="A150" s="133" t="str">
        <f>IFERROR(__xludf.DUMMYFUNCTION("""COMPUTED_VALUE"""),"V40020M")</f>
        <v>V40020M</v>
      </c>
      <c r="B150" s="164">
        <f>IFERROR(__xludf.DUMMYFUNCTION("""COMPUTED_VALUE"""),1.1210357E7)</f>
        <v>11210357</v>
      </c>
      <c r="C150" s="164" t="str">
        <f>IFERROR(__xludf.DUMMYFUNCTION("""COMPUTED_VALUE"""),"11210357XL")</f>
        <v>11210357XL</v>
      </c>
      <c r="D150" s="164" t="str">
        <f>IFERROR(__xludf.DUMMYFUNCTION("""COMPUTED_VALUE"""),"XL")</f>
        <v>XL</v>
      </c>
      <c r="E150" s="164" t="str">
        <f>IFERROR(__xludf.DUMMYFUNCTION("""COMPUTED_VALUE"""),"XL")</f>
        <v>XL</v>
      </c>
      <c r="F150" s="133" t="str">
        <f>IFERROR(__xludf.DUMMYFUNCTION("""COMPUTED_VALUE"""),"V40020MXL")</f>
        <v>V40020MXL</v>
      </c>
      <c r="G150" s="165">
        <f>IFERROR(__xludf.DUMMYFUNCTION("""COMPUTED_VALUE"""),1736.0)</f>
        <v>1736</v>
      </c>
    </row>
    <row r="151" ht="15.75" customHeight="1">
      <c r="A151" s="133" t="str">
        <f>IFERROR(__xludf.DUMMYFUNCTION("""COMPUTED_VALUE"""),"V40020M")</f>
        <v>V40020M</v>
      </c>
      <c r="B151" s="164">
        <f>IFERROR(__xludf.DUMMYFUNCTION("""COMPUTED_VALUE"""),1.1210357E7)</f>
        <v>11210357</v>
      </c>
      <c r="C151" s="164" t="str">
        <f>IFERROR(__xludf.DUMMYFUNCTION("""COMPUTED_VALUE"""),"11210357XXL")</f>
        <v>11210357XXL</v>
      </c>
      <c r="D151" s="164" t="str">
        <f>IFERROR(__xludf.DUMMYFUNCTION("""COMPUTED_VALUE"""),"XXL")</f>
        <v>XXL</v>
      </c>
      <c r="E151" s="164" t="str">
        <f>IFERROR(__xludf.DUMMYFUNCTION("""COMPUTED_VALUE"""),"XXL")</f>
        <v>XXL</v>
      </c>
      <c r="F151" s="133" t="str">
        <f>IFERROR(__xludf.DUMMYFUNCTION("""COMPUTED_VALUE"""),"V40020MXXL")</f>
        <v>V40020MXXL</v>
      </c>
      <c r="G151" s="165">
        <f>IFERROR(__xludf.DUMMYFUNCTION("""COMPUTED_VALUE"""),1736.0)</f>
        <v>1736</v>
      </c>
    </row>
    <row r="152" ht="15.75" customHeight="1">
      <c r="A152" s="133" t="str">
        <f>IFERROR(__xludf.DUMMYFUNCTION("""COMPUTED_VALUE"""),"V40020M")</f>
        <v>V40020M</v>
      </c>
      <c r="B152" s="164">
        <f>IFERROR(__xludf.DUMMYFUNCTION("""COMPUTED_VALUE"""),1.1210357E7)</f>
        <v>11210357</v>
      </c>
      <c r="C152" s="164" t="str">
        <f>IFERROR(__xludf.DUMMYFUNCTION("""COMPUTED_VALUE"""),"11210357XXXL")</f>
        <v>11210357XXXL</v>
      </c>
      <c r="D152" s="164" t="str">
        <f>IFERROR(__xludf.DUMMYFUNCTION("""COMPUTED_VALUE"""),"XXXL")</f>
        <v>XXXL</v>
      </c>
      <c r="E152" s="164" t="str">
        <f>IFERROR(__xludf.DUMMYFUNCTION("""COMPUTED_VALUE"""),"XXXL")</f>
        <v>XXXL</v>
      </c>
      <c r="F152" s="133" t="str">
        <f>IFERROR(__xludf.DUMMYFUNCTION("""COMPUTED_VALUE"""),"V40020MXXXL")</f>
        <v>V40020MXXXL</v>
      </c>
      <c r="G152" s="165">
        <f>IFERROR(__xludf.DUMMYFUNCTION("""COMPUTED_VALUE"""),1736.0)</f>
        <v>1736</v>
      </c>
    </row>
    <row r="153" ht="15.75" customHeight="1">
      <c r="A153" s="133" t="str">
        <f>IFERROR(__xludf.DUMMYFUNCTION("""COMPUTED_VALUE"""),"V40020M")</f>
        <v>V40020M</v>
      </c>
      <c r="B153" s="164">
        <f>IFERROR(__xludf.DUMMYFUNCTION("""COMPUTED_VALUE"""),1.1210357E7)</f>
        <v>11210357</v>
      </c>
      <c r="C153" s="164" t="str">
        <f>IFERROR(__xludf.DUMMYFUNCTION("""COMPUTED_VALUE"""),"11210357XXXXL")</f>
        <v>11210357XXXXL</v>
      </c>
      <c r="D153" s="164" t="str">
        <f>IFERROR(__xludf.DUMMYFUNCTION("""COMPUTED_VALUE"""),"XXXXL")</f>
        <v>XXXXL</v>
      </c>
      <c r="E153" s="164" t="str">
        <f>IFERROR(__xludf.DUMMYFUNCTION("""COMPUTED_VALUE"""),"XXXXL")</f>
        <v>XXXXL</v>
      </c>
      <c r="F153" s="133" t="str">
        <f>IFERROR(__xludf.DUMMYFUNCTION("""COMPUTED_VALUE"""),"V40020MXXXXL")</f>
        <v>V40020MXXXXL</v>
      </c>
      <c r="G153" s="165">
        <f>IFERROR(__xludf.DUMMYFUNCTION("""COMPUTED_VALUE"""),1736.0)</f>
        <v>1736</v>
      </c>
    </row>
    <row r="154" ht="15.75" customHeight="1">
      <c r="A154" s="133" t="str">
        <f>IFERROR(__xludf.DUMMYFUNCTION("""COMPUTED_VALUE"""),"V40020M")</f>
        <v>V40020M</v>
      </c>
      <c r="B154" s="164">
        <f>IFERROR(__xludf.DUMMYFUNCTION("""COMPUTED_VALUE"""),1.1210357E7)</f>
        <v>11210357</v>
      </c>
      <c r="C154" s="164" t="str">
        <f>IFERROR(__xludf.DUMMYFUNCTION("""COMPUTED_VALUE"""),"11210357XXXXXL")</f>
        <v>11210357XXXXXL</v>
      </c>
      <c r="D154" s="164" t="str">
        <f>IFERROR(__xludf.DUMMYFUNCTION("""COMPUTED_VALUE"""),"XXXXXL")</f>
        <v>XXXXXL</v>
      </c>
      <c r="E154" s="164" t="str">
        <f>IFERROR(__xludf.DUMMYFUNCTION("""COMPUTED_VALUE"""),"XXXXXL")</f>
        <v>XXXXXL</v>
      </c>
      <c r="F154" s="133" t="str">
        <f>IFERROR(__xludf.DUMMYFUNCTION("""COMPUTED_VALUE"""),"V40020MXXXXXL")</f>
        <v>V40020MXXXXXL</v>
      </c>
      <c r="G154" s="165">
        <f>IFERROR(__xludf.DUMMYFUNCTION("""COMPUTED_VALUE"""),1736.0)</f>
        <v>1736</v>
      </c>
    </row>
    <row r="155" ht="15.75" customHeight="1">
      <c r="A155" s="133" t="str">
        <f>IFERROR(__xludf.DUMMYFUNCTION("""COMPUTED_VALUE"""),"V50020M")</f>
        <v>V50020M</v>
      </c>
      <c r="B155" s="164">
        <f>IFERROR(__xludf.DUMMYFUNCTION("""COMPUTED_VALUE"""),1.1210358E7)</f>
        <v>11210358</v>
      </c>
      <c r="C155" s="164" t="str">
        <f>IFERROR(__xludf.DUMMYFUNCTION("""COMPUTED_VALUE"""),"11210358S")</f>
        <v>11210358S</v>
      </c>
      <c r="D155" s="164" t="str">
        <f>IFERROR(__xludf.DUMMYFUNCTION("""COMPUTED_VALUE"""),"S")</f>
        <v>S</v>
      </c>
      <c r="E155" s="164" t="str">
        <f>IFERROR(__xludf.DUMMYFUNCTION("""COMPUTED_VALUE"""),"S")</f>
        <v>S</v>
      </c>
      <c r="F155" s="133" t="str">
        <f>IFERROR(__xludf.DUMMYFUNCTION("""COMPUTED_VALUE"""),"V50020MS")</f>
        <v>V50020MS</v>
      </c>
      <c r="G155" s="165">
        <f>IFERROR(__xludf.DUMMYFUNCTION("""COMPUTED_VALUE"""),1733.0)</f>
        <v>1733</v>
      </c>
    </row>
    <row r="156" ht="15.75" customHeight="1">
      <c r="A156" s="133" t="str">
        <f>IFERROR(__xludf.DUMMYFUNCTION("""COMPUTED_VALUE"""),"V50020M")</f>
        <v>V50020M</v>
      </c>
      <c r="B156" s="164">
        <f>IFERROR(__xludf.DUMMYFUNCTION("""COMPUTED_VALUE"""),1.1210358E7)</f>
        <v>11210358</v>
      </c>
      <c r="C156" s="164" t="str">
        <f>IFERROR(__xludf.DUMMYFUNCTION("""COMPUTED_VALUE"""),"11210358M")</f>
        <v>11210358M</v>
      </c>
      <c r="D156" s="164" t="str">
        <f>IFERROR(__xludf.DUMMYFUNCTION("""COMPUTED_VALUE"""),"M")</f>
        <v>M</v>
      </c>
      <c r="E156" s="164" t="str">
        <f>IFERROR(__xludf.DUMMYFUNCTION("""COMPUTED_VALUE"""),"M")</f>
        <v>M</v>
      </c>
      <c r="F156" s="133" t="str">
        <f>IFERROR(__xludf.DUMMYFUNCTION("""COMPUTED_VALUE"""),"V50020MM")</f>
        <v>V50020MM</v>
      </c>
      <c r="G156" s="165">
        <f>IFERROR(__xludf.DUMMYFUNCTION("""COMPUTED_VALUE"""),1733.0)</f>
        <v>1733</v>
      </c>
    </row>
    <row r="157" ht="15.75" customHeight="1">
      <c r="A157" s="133" t="str">
        <f>IFERROR(__xludf.DUMMYFUNCTION("""COMPUTED_VALUE"""),"V50020M")</f>
        <v>V50020M</v>
      </c>
      <c r="B157" s="164">
        <f>IFERROR(__xludf.DUMMYFUNCTION("""COMPUTED_VALUE"""),1.1210358E7)</f>
        <v>11210358</v>
      </c>
      <c r="C157" s="164" t="str">
        <f>IFERROR(__xludf.DUMMYFUNCTION("""COMPUTED_VALUE"""),"11210358L")</f>
        <v>11210358L</v>
      </c>
      <c r="D157" s="164" t="str">
        <f>IFERROR(__xludf.DUMMYFUNCTION("""COMPUTED_VALUE"""),"L")</f>
        <v>L</v>
      </c>
      <c r="E157" s="164" t="str">
        <f>IFERROR(__xludf.DUMMYFUNCTION("""COMPUTED_VALUE"""),"L")</f>
        <v>L</v>
      </c>
      <c r="F157" s="133" t="str">
        <f>IFERROR(__xludf.DUMMYFUNCTION("""COMPUTED_VALUE"""),"V50020ML")</f>
        <v>V50020ML</v>
      </c>
      <c r="G157" s="165">
        <f>IFERROR(__xludf.DUMMYFUNCTION("""COMPUTED_VALUE"""),1733.0)</f>
        <v>1733</v>
      </c>
    </row>
    <row r="158" ht="15.75" customHeight="1">
      <c r="A158" s="133" t="str">
        <f>IFERROR(__xludf.DUMMYFUNCTION("""COMPUTED_VALUE"""),"V50020M")</f>
        <v>V50020M</v>
      </c>
      <c r="B158" s="164">
        <f>IFERROR(__xludf.DUMMYFUNCTION("""COMPUTED_VALUE"""),1.1210358E7)</f>
        <v>11210358</v>
      </c>
      <c r="C158" s="164" t="str">
        <f>IFERROR(__xludf.DUMMYFUNCTION("""COMPUTED_VALUE"""),"11210358XL")</f>
        <v>11210358XL</v>
      </c>
      <c r="D158" s="164" t="str">
        <f>IFERROR(__xludf.DUMMYFUNCTION("""COMPUTED_VALUE"""),"XL")</f>
        <v>XL</v>
      </c>
      <c r="E158" s="164" t="str">
        <f>IFERROR(__xludf.DUMMYFUNCTION("""COMPUTED_VALUE"""),"XL")</f>
        <v>XL</v>
      </c>
      <c r="F158" s="133" t="str">
        <f>IFERROR(__xludf.DUMMYFUNCTION("""COMPUTED_VALUE"""),"V50020MXL")</f>
        <v>V50020MXL</v>
      </c>
      <c r="G158" s="165">
        <f>IFERROR(__xludf.DUMMYFUNCTION("""COMPUTED_VALUE"""),1733.0)</f>
        <v>1733</v>
      </c>
    </row>
    <row r="159" ht="15.75" customHeight="1">
      <c r="A159" s="133" t="str">
        <f>IFERROR(__xludf.DUMMYFUNCTION("""COMPUTED_VALUE"""),"V50020M")</f>
        <v>V50020M</v>
      </c>
      <c r="B159" s="164">
        <f>IFERROR(__xludf.DUMMYFUNCTION("""COMPUTED_VALUE"""),1.1210358E7)</f>
        <v>11210358</v>
      </c>
      <c r="C159" s="164" t="str">
        <f>IFERROR(__xludf.DUMMYFUNCTION("""COMPUTED_VALUE"""),"11210358XXL")</f>
        <v>11210358XXL</v>
      </c>
      <c r="D159" s="164" t="str">
        <f>IFERROR(__xludf.DUMMYFUNCTION("""COMPUTED_VALUE"""),"XXL")</f>
        <v>XXL</v>
      </c>
      <c r="E159" s="164" t="str">
        <f>IFERROR(__xludf.DUMMYFUNCTION("""COMPUTED_VALUE"""),"XXL")</f>
        <v>XXL</v>
      </c>
      <c r="F159" s="133" t="str">
        <f>IFERROR(__xludf.DUMMYFUNCTION("""COMPUTED_VALUE"""),"V50020MXXL")</f>
        <v>V50020MXXL</v>
      </c>
      <c r="G159" s="165">
        <f>IFERROR(__xludf.DUMMYFUNCTION("""COMPUTED_VALUE"""),1733.0)</f>
        <v>1733</v>
      </c>
    </row>
    <row r="160" ht="15.75" customHeight="1">
      <c r="A160" s="133" t="str">
        <f>IFERROR(__xludf.DUMMYFUNCTION("""COMPUTED_VALUE"""),"V50020M")</f>
        <v>V50020M</v>
      </c>
      <c r="B160" s="164">
        <f>IFERROR(__xludf.DUMMYFUNCTION("""COMPUTED_VALUE"""),1.1210358E7)</f>
        <v>11210358</v>
      </c>
      <c r="C160" s="164" t="str">
        <f>IFERROR(__xludf.DUMMYFUNCTION("""COMPUTED_VALUE"""),"11210358XXXL")</f>
        <v>11210358XXXL</v>
      </c>
      <c r="D160" s="164" t="str">
        <f>IFERROR(__xludf.DUMMYFUNCTION("""COMPUTED_VALUE"""),"XXXL")</f>
        <v>XXXL</v>
      </c>
      <c r="E160" s="164" t="str">
        <f>IFERROR(__xludf.DUMMYFUNCTION("""COMPUTED_VALUE"""),"XXXL")</f>
        <v>XXXL</v>
      </c>
      <c r="F160" s="133" t="str">
        <f>IFERROR(__xludf.DUMMYFUNCTION("""COMPUTED_VALUE"""),"V50020MXXXL")</f>
        <v>V50020MXXXL</v>
      </c>
      <c r="G160" s="165">
        <f>IFERROR(__xludf.DUMMYFUNCTION("""COMPUTED_VALUE"""),1733.0)</f>
        <v>1733</v>
      </c>
    </row>
    <row r="161" ht="15.75" customHeight="1">
      <c r="A161" s="133" t="str">
        <f>IFERROR(__xludf.DUMMYFUNCTION("""COMPUTED_VALUE"""),"V50020M")</f>
        <v>V50020M</v>
      </c>
      <c r="B161" s="164">
        <f>IFERROR(__xludf.DUMMYFUNCTION("""COMPUTED_VALUE"""),1.1210358E7)</f>
        <v>11210358</v>
      </c>
      <c r="C161" s="164" t="str">
        <f>IFERROR(__xludf.DUMMYFUNCTION("""COMPUTED_VALUE"""),"11210358XXXXL")</f>
        <v>11210358XXXXL</v>
      </c>
      <c r="D161" s="164" t="str">
        <f>IFERROR(__xludf.DUMMYFUNCTION("""COMPUTED_VALUE"""),"XXXXL")</f>
        <v>XXXXL</v>
      </c>
      <c r="E161" s="164" t="str">
        <f>IFERROR(__xludf.DUMMYFUNCTION("""COMPUTED_VALUE"""),"XXXXL")</f>
        <v>XXXXL</v>
      </c>
      <c r="F161" s="133" t="str">
        <f>IFERROR(__xludf.DUMMYFUNCTION("""COMPUTED_VALUE"""),"V50020MXXXXL")</f>
        <v>V50020MXXXXL</v>
      </c>
      <c r="G161" s="165">
        <f>IFERROR(__xludf.DUMMYFUNCTION("""COMPUTED_VALUE"""),1733.0)</f>
        <v>1733</v>
      </c>
    </row>
    <row r="162" ht="15.75" customHeight="1">
      <c r="A162" s="133" t="str">
        <f>IFERROR(__xludf.DUMMYFUNCTION("""COMPUTED_VALUE"""),"V50020M")</f>
        <v>V50020M</v>
      </c>
      <c r="B162" s="164">
        <f>IFERROR(__xludf.DUMMYFUNCTION("""COMPUTED_VALUE"""),1.1210358E7)</f>
        <v>11210358</v>
      </c>
      <c r="C162" s="164" t="str">
        <f>IFERROR(__xludf.DUMMYFUNCTION("""COMPUTED_VALUE"""),"11210358XXXXXL")</f>
        <v>11210358XXXXXL</v>
      </c>
      <c r="D162" s="164" t="str">
        <f>IFERROR(__xludf.DUMMYFUNCTION("""COMPUTED_VALUE"""),"XXXXXL")</f>
        <v>XXXXXL</v>
      </c>
      <c r="E162" s="164" t="str">
        <f>IFERROR(__xludf.DUMMYFUNCTION("""COMPUTED_VALUE"""),"XXXXXL")</f>
        <v>XXXXXL</v>
      </c>
      <c r="F162" s="133" t="str">
        <f>IFERROR(__xludf.DUMMYFUNCTION("""COMPUTED_VALUE"""),"V50020MXXXXXL")</f>
        <v>V50020MXXXXXL</v>
      </c>
      <c r="G162" s="165">
        <f>IFERROR(__xludf.DUMMYFUNCTION("""COMPUTED_VALUE"""),1733.0)</f>
        <v>1733</v>
      </c>
    </row>
    <row r="163" ht="15.75" customHeight="1">
      <c r="A163" s="133" t="str">
        <f>IFERROR(__xludf.DUMMYFUNCTION("""COMPUTED_VALUE"""),"V60020M")</f>
        <v>V60020M</v>
      </c>
      <c r="B163" s="164">
        <f>IFERROR(__xludf.DUMMYFUNCTION("""COMPUTED_VALUE"""),1.1210359E7)</f>
        <v>11210359</v>
      </c>
      <c r="C163" s="164" t="str">
        <f>IFERROR(__xludf.DUMMYFUNCTION("""COMPUTED_VALUE"""),"11210359S")</f>
        <v>11210359S</v>
      </c>
      <c r="D163" s="164" t="str">
        <f>IFERROR(__xludf.DUMMYFUNCTION("""COMPUTED_VALUE"""),"S")</f>
        <v>S</v>
      </c>
      <c r="E163" s="164" t="str">
        <f>IFERROR(__xludf.DUMMYFUNCTION("""COMPUTED_VALUE"""),"S")</f>
        <v>S</v>
      </c>
      <c r="F163" s="133" t="str">
        <f>IFERROR(__xludf.DUMMYFUNCTION("""COMPUTED_VALUE"""),"V60020MS")</f>
        <v>V60020MS</v>
      </c>
      <c r="G163" s="165">
        <f>IFERROR(__xludf.DUMMYFUNCTION("""COMPUTED_VALUE"""),1736.0)</f>
        <v>1736</v>
      </c>
    </row>
    <row r="164" ht="15.75" customHeight="1">
      <c r="A164" s="133" t="str">
        <f>IFERROR(__xludf.DUMMYFUNCTION("""COMPUTED_VALUE"""),"V60020M")</f>
        <v>V60020M</v>
      </c>
      <c r="B164" s="164">
        <f>IFERROR(__xludf.DUMMYFUNCTION("""COMPUTED_VALUE"""),1.1210359E7)</f>
        <v>11210359</v>
      </c>
      <c r="C164" s="164" t="str">
        <f>IFERROR(__xludf.DUMMYFUNCTION("""COMPUTED_VALUE"""),"11210359M")</f>
        <v>11210359M</v>
      </c>
      <c r="D164" s="164" t="str">
        <f>IFERROR(__xludf.DUMMYFUNCTION("""COMPUTED_VALUE"""),"M")</f>
        <v>M</v>
      </c>
      <c r="E164" s="164" t="str">
        <f>IFERROR(__xludf.DUMMYFUNCTION("""COMPUTED_VALUE"""),"M")</f>
        <v>M</v>
      </c>
      <c r="F164" s="133" t="str">
        <f>IFERROR(__xludf.DUMMYFUNCTION("""COMPUTED_VALUE"""),"V60020MM")</f>
        <v>V60020MM</v>
      </c>
      <c r="G164" s="165">
        <f>IFERROR(__xludf.DUMMYFUNCTION("""COMPUTED_VALUE"""),1736.0)</f>
        <v>1736</v>
      </c>
    </row>
    <row r="165" ht="15.75" customHeight="1">
      <c r="A165" s="133" t="str">
        <f>IFERROR(__xludf.DUMMYFUNCTION("""COMPUTED_VALUE"""),"V60020M")</f>
        <v>V60020M</v>
      </c>
      <c r="B165" s="164">
        <f>IFERROR(__xludf.DUMMYFUNCTION("""COMPUTED_VALUE"""),1.1210359E7)</f>
        <v>11210359</v>
      </c>
      <c r="C165" s="164" t="str">
        <f>IFERROR(__xludf.DUMMYFUNCTION("""COMPUTED_VALUE"""),"11210359L")</f>
        <v>11210359L</v>
      </c>
      <c r="D165" s="164" t="str">
        <f>IFERROR(__xludf.DUMMYFUNCTION("""COMPUTED_VALUE"""),"L")</f>
        <v>L</v>
      </c>
      <c r="E165" s="164" t="str">
        <f>IFERROR(__xludf.DUMMYFUNCTION("""COMPUTED_VALUE"""),"L")</f>
        <v>L</v>
      </c>
      <c r="F165" s="133" t="str">
        <f>IFERROR(__xludf.DUMMYFUNCTION("""COMPUTED_VALUE"""),"V60020ML")</f>
        <v>V60020ML</v>
      </c>
      <c r="G165" s="165">
        <f>IFERROR(__xludf.DUMMYFUNCTION("""COMPUTED_VALUE"""),1736.0)</f>
        <v>1736</v>
      </c>
    </row>
    <row r="166" ht="15.75" customHeight="1">
      <c r="A166" s="133" t="str">
        <f>IFERROR(__xludf.DUMMYFUNCTION("""COMPUTED_VALUE"""),"V60020M")</f>
        <v>V60020M</v>
      </c>
      <c r="B166" s="164">
        <f>IFERROR(__xludf.DUMMYFUNCTION("""COMPUTED_VALUE"""),1.1210359E7)</f>
        <v>11210359</v>
      </c>
      <c r="C166" s="164" t="str">
        <f>IFERROR(__xludf.DUMMYFUNCTION("""COMPUTED_VALUE"""),"11210359XL")</f>
        <v>11210359XL</v>
      </c>
      <c r="D166" s="164" t="str">
        <f>IFERROR(__xludf.DUMMYFUNCTION("""COMPUTED_VALUE"""),"XL")</f>
        <v>XL</v>
      </c>
      <c r="E166" s="164" t="str">
        <f>IFERROR(__xludf.DUMMYFUNCTION("""COMPUTED_VALUE"""),"XL")</f>
        <v>XL</v>
      </c>
      <c r="F166" s="133" t="str">
        <f>IFERROR(__xludf.DUMMYFUNCTION("""COMPUTED_VALUE"""),"V60020MXL")</f>
        <v>V60020MXL</v>
      </c>
      <c r="G166" s="165">
        <f>IFERROR(__xludf.DUMMYFUNCTION("""COMPUTED_VALUE"""),1736.0)</f>
        <v>1736</v>
      </c>
    </row>
    <row r="167" ht="15.75" customHeight="1">
      <c r="A167" s="133" t="str">
        <f>IFERROR(__xludf.DUMMYFUNCTION("""COMPUTED_VALUE"""),"V60020M")</f>
        <v>V60020M</v>
      </c>
      <c r="B167" s="164">
        <f>IFERROR(__xludf.DUMMYFUNCTION("""COMPUTED_VALUE"""),1.1210359E7)</f>
        <v>11210359</v>
      </c>
      <c r="C167" s="164" t="str">
        <f>IFERROR(__xludf.DUMMYFUNCTION("""COMPUTED_VALUE"""),"11210359XXL")</f>
        <v>11210359XXL</v>
      </c>
      <c r="D167" s="164" t="str">
        <f>IFERROR(__xludf.DUMMYFUNCTION("""COMPUTED_VALUE"""),"XXL")</f>
        <v>XXL</v>
      </c>
      <c r="E167" s="164" t="str">
        <f>IFERROR(__xludf.DUMMYFUNCTION("""COMPUTED_VALUE"""),"XXL")</f>
        <v>XXL</v>
      </c>
      <c r="F167" s="133" t="str">
        <f>IFERROR(__xludf.DUMMYFUNCTION("""COMPUTED_VALUE"""),"V60020MXXL")</f>
        <v>V60020MXXL</v>
      </c>
      <c r="G167" s="165">
        <f>IFERROR(__xludf.DUMMYFUNCTION("""COMPUTED_VALUE"""),1736.0)</f>
        <v>1736</v>
      </c>
    </row>
    <row r="168" ht="15.75" customHeight="1">
      <c r="A168" s="133" t="str">
        <f>IFERROR(__xludf.DUMMYFUNCTION("""COMPUTED_VALUE"""),"V60020M")</f>
        <v>V60020M</v>
      </c>
      <c r="B168" s="164">
        <f>IFERROR(__xludf.DUMMYFUNCTION("""COMPUTED_VALUE"""),1.1210359E7)</f>
        <v>11210359</v>
      </c>
      <c r="C168" s="164" t="str">
        <f>IFERROR(__xludf.DUMMYFUNCTION("""COMPUTED_VALUE"""),"11210359XXXL")</f>
        <v>11210359XXXL</v>
      </c>
      <c r="D168" s="164" t="str">
        <f>IFERROR(__xludf.DUMMYFUNCTION("""COMPUTED_VALUE"""),"XXXL")</f>
        <v>XXXL</v>
      </c>
      <c r="E168" s="164" t="str">
        <f>IFERROR(__xludf.DUMMYFUNCTION("""COMPUTED_VALUE"""),"XXXL")</f>
        <v>XXXL</v>
      </c>
      <c r="F168" s="133" t="str">
        <f>IFERROR(__xludf.DUMMYFUNCTION("""COMPUTED_VALUE"""),"V60020MXXXL")</f>
        <v>V60020MXXXL</v>
      </c>
      <c r="G168" s="165">
        <f>IFERROR(__xludf.DUMMYFUNCTION("""COMPUTED_VALUE"""),1736.0)</f>
        <v>1736</v>
      </c>
    </row>
    <row r="169" ht="15.75" customHeight="1">
      <c r="A169" s="133" t="str">
        <f>IFERROR(__xludf.DUMMYFUNCTION("""COMPUTED_VALUE"""),"V60020M")</f>
        <v>V60020M</v>
      </c>
      <c r="B169" s="164">
        <f>IFERROR(__xludf.DUMMYFUNCTION("""COMPUTED_VALUE"""),1.1210359E7)</f>
        <v>11210359</v>
      </c>
      <c r="C169" s="164" t="str">
        <f>IFERROR(__xludf.DUMMYFUNCTION("""COMPUTED_VALUE"""),"11210359XXXXL")</f>
        <v>11210359XXXXL</v>
      </c>
      <c r="D169" s="164" t="str">
        <f>IFERROR(__xludf.DUMMYFUNCTION("""COMPUTED_VALUE"""),"XXXXL")</f>
        <v>XXXXL</v>
      </c>
      <c r="E169" s="164" t="str">
        <f>IFERROR(__xludf.DUMMYFUNCTION("""COMPUTED_VALUE"""),"XXXXL")</f>
        <v>XXXXL</v>
      </c>
      <c r="F169" s="133" t="str">
        <f>IFERROR(__xludf.DUMMYFUNCTION("""COMPUTED_VALUE"""),"V60020MXXXXL")</f>
        <v>V60020MXXXXL</v>
      </c>
      <c r="G169" s="165">
        <f>IFERROR(__xludf.DUMMYFUNCTION("""COMPUTED_VALUE"""),1736.0)</f>
        <v>1736</v>
      </c>
    </row>
    <row r="170" ht="15.75" customHeight="1">
      <c r="A170" s="133" t="str">
        <f>IFERROR(__xludf.DUMMYFUNCTION("""COMPUTED_VALUE"""),"V60020M")</f>
        <v>V60020M</v>
      </c>
      <c r="B170" s="164">
        <f>IFERROR(__xludf.DUMMYFUNCTION("""COMPUTED_VALUE"""),1.1210359E7)</f>
        <v>11210359</v>
      </c>
      <c r="C170" s="164" t="str">
        <f>IFERROR(__xludf.DUMMYFUNCTION("""COMPUTED_VALUE"""),"11210359XXXXXL")</f>
        <v>11210359XXXXXL</v>
      </c>
      <c r="D170" s="164" t="str">
        <f>IFERROR(__xludf.DUMMYFUNCTION("""COMPUTED_VALUE"""),"XXXXXL")</f>
        <v>XXXXXL</v>
      </c>
      <c r="E170" s="164" t="str">
        <f>IFERROR(__xludf.DUMMYFUNCTION("""COMPUTED_VALUE"""),"XXXXXL")</f>
        <v>XXXXXL</v>
      </c>
      <c r="F170" s="133" t="str">
        <f>IFERROR(__xludf.DUMMYFUNCTION("""COMPUTED_VALUE"""),"V60020MXXXXXL")</f>
        <v>V60020MXXXXXL</v>
      </c>
      <c r="G170" s="165">
        <f>IFERROR(__xludf.DUMMYFUNCTION("""COMPUTED_VALUE"""),1736.0)</f>
        <v>1736</v>
      </c>
    </row>
    <row r="171" ht="15.75" customHeight="1">
      <c r="A171" s="133" t="str">
        <f>IFERROR(__xludf.DUMMYFUNCTION("""COMPUTED_VALUE"""),"V40021SLML")</f>
        <v>V40021SLML</v>
      </c>
      <c r="B171" s="164">
        <f>IFERROR(__xludf.DUMMYFUNCTION("""COMPUTED_VALUE"""),1.4936013E7)</f>
        <v>14936013</v>
      </c>
      <c r="C171" s="164" t="str">
        <f>IFERROR(__xludf.DUMMYFUNCTION("""COMPUTED_VALUE"""),"14936013S")</f>
        <v>14936013S</v>
      </c>
      <c r="D171" s="164" t="str">
        <f>IFERROR(__xludf.DUMMYFUNCTION("""COMPUTED_VALUE"""),"S")</f>
        <v>S</v>
      </c>
      <c r="E171" s="164" t="str">
        <f>IFERROR(__xludf.DUMMYFUNCTION("""COMPUTED_VALUE"""),"S")</f>
        <v>S</v>
      </c>
      <c r="F171" s="133" t="str">
        <f>IFERROR(__xludf.DUMMYFUNCTION("""COMPUTED_VALUE"""),"V40021SLMLS")</f>
        <v>V40021SLMLS</v>
      </c>
      <c r="G171" s="165">
        <f>IFERROR(__xludf.DUMMYFUNCTION("""COMPUTED_VALUE"""),1728.0)</f>
        <v>1728</v>
      </c>
    </row>
    <row r="172" ht="15.75" customHeight="1">
      <c r="A172" s="133" t="str">
        <f>IFERROR(__xludf.DUMMYFUNCTION("""COMPUTED_VALUE"""),"V40021SLML")</f>
        <v>V40021SLML</v>
      </c>
      <c r="B172" s="164">
        <f>IFERROR(__xludf.DUMMYFUNCTION("""COMPUTED_VALUE"""),1.4936013E7)</f>
        <v>14936013</v>
      </c>
      <c r="C172" s="164" t="str">
        <f>IFERROR(__xludf.DUMMYFUNCTION("""COMPUTED_VALUE"""),"14936013M")</f>
        <v>14936013M</v>
      </c>
      <c r="D172" s="164" t="str">
        <f>IFERROR(__xludf.DUMMYFUNCTION("""COMPUTED_VALUE"""),"M")</f>
        <v>M</v>
      </c>
      <c r="E172" s="164" t="str">
        <f>IFERROR(__xludf.DUMMYFUNCTION("""COMPUTED_VALUE"""),"M")</f>
        <v>M</v>
      </c>
      <c r="F172" s="133" t="str">
        <f>IFERROR(__xludf.DUMMYFUNCTION("""COMPUTED_VALUE"""),"V40021SLMLM")</f>
        <v>V40021SLMLM</v>
      </c>
      <c r="G172" s="165">
        <f>IFERROR(__xludf.DUMMYFUNCTION("""COMPUTED_VALUE"""),1728.0)</f>
        <v>1728</v>
      </c>
    </row>
    <row r="173" ht="15.75" customHeight="1">
      <c r="A173" s="133" t="str">
        <f>IFERROR(__xludf.DUMMYFUNCTION("""COMPUTED_VALUE"""),"V40021SLML")</f>
        <v>V40021SLML</v>
      </c>
      <c r="B173" s="164">
        <f>IFERROR(__xludf.DUMMYFUNCTION("""COMPUTED_VALUE"""),1.4936013E7)</f>
        <v>14936013</v>
      </c>
      <c r="C173" s="164" t="str">
        <f>IFERROR(__xludf.DUMMYFUNCTION("""COMPUTED_VALUE"""),"14936013L")</f>
        <v>14936013L</v>
      </c>
      <c r="D173" s="164" t="str">
        <f>IFERROR(__xludf.DUMMYFUNCTION("""COMPUTED_VALUE"""),"L")</f>
        <v>L</v>
      </c>
      <c r="E173" s="164" t="str">
        <f>IFERROR(__xludf.DUMMYFUNCTION("""COMPUTED_VALUE"""),"L")</f>
        <v>L</v>
      </c>
      <c r="F173" s="133" t="str">
        <f>IFERROR(__xludf.DUMMYFUNCTION("""COMPUTED_VALUE"""),"V40021SLMLL")</f>
        <v>V40021SLMLL</v>
      </c>
      <c r="G173" s="165">
        <f>IFERROR(__xludf.DUMMYFUNCTION("""COMPUTED_VALUE"""),1728.0)</f>
        <v>1728</v>
      </c>
    </row>
    <row r="174" ht="15.75" customHeight="1">
      <c r="A174" s="133" t="str">
        <f>IFERROR(__xludf.DUMMYFUNCTION("""COMPUTED_VALUE"""),"V40021SLML")</f>
        <v>V40021SLML</v>
      </c>
      <c r="B174" s="164">
        <f>IFERROR(__xludf.DUMMYFUNCTION("""COMPUTED_VALUE"""),1.4936013E7)</f>
        <v>14936013</v>
      </c>
      <c r="C174" s="164" t="str">
        <f>IFERROR(__xludf.DUMMYFUNCTION("""COMPUTED_VALUE"""),"14936013XL")</f>
        <v>14936013XL</v>
      </c>
      <c r="D174" s="164" t="str">
        <f>IFERROR(__xludf.DUMMYFUNCTION("""COMPUTED_VALUE"""),"XL")</f>
        <v>XL</v>
      </c>
      <c r="E174" s="164" t="str">
        <f>IFERROR(__xludf.DUMMYFUNCTION("""COMPUTED_VALUE"""),"XL")</f>
        <v>XL</v>
      </c>
      <c r="F174" s="133" t="str">
        <f>IFERROR(__xludf.DUMMYFUNCTION("""COMPUTED_VALUE"""),"V40021SLMLXL")</f>
        <v>V40021SLMLXL</v>
      </c>
      <c r="G174" s="165">
        <f>IFERROR(__xludf.DUMMYFUNCTION("""COMPUTED_VALUE"""),1728.0)</f>
        <v>1728</v>
      </c>
    </row>
    <row r="175" ht="15.75" customHeight="1">
      <c r="A175" s="133" t="str">
        <f>IFERROR(__xludf.DUMMYFUNCTION("""COMPUTED_VALUE"""),"V40021SLML")</f>
        <v>V40021SLML</v>
      </c>
      <c r="B175" s="164">
        <f>IFERROR(__xludf.DUMMYFUNCTION("""COMPUTED_VALUE"""),1.4936013E7)</f>
        <v>14936013</v>
      </c>
      <c r="C175" s="164" t="str">
        <f>IFERROR(__xludf.DUMMYFUNCTION("""COMPUTED_VALUE"""),"14936013XXL")</f>
        <v>14936013XXL</v>
      </c>
      <c r="D175" s="164" t="str">
        <f>IFERROR(__xludf.DUMMYFUNCTION("""COMPUTED_VALUE"""),"XXL")</f>
        <v>XXL</v>
      </c>
      <c r="E175" s="164" t="str">
        <f>IFERROR(__xludf.DUMMYFUNCTION("""COMPUTED_VALUE"""),"XXL")</f>
        <v>XXL</v>
      </c>
      <c r="F175" s="133" t="str">
        <f>IFERROR(__xludf.DUMMYFUNCTION("""COMPUTED_VALUE"""),"V40021SLMLXXL")</f>
        <v>V40021SLMLXXL</v>
      </c>
      <c r="G175" s="165">
        <f>IFERROR(__xludf.DUMMYFUNCTION("""COMPUTED_VALUE"""),1728.0)</f>
        <v>1728</v>
      </c>
    </row>
    <row r="176" ht="15.75" customHeight="1">
      <c r="A176" s="133" t="str">
        <f>IFERROR(__xludf.DUMMYFUNCTION("""COMPUTED_VALUE"""),"V40021SLML")</f>
        <v>V40021SLML</v>
      </c>
      <c r="B176" s="164">
        <f>IFERROR(__xludf.DUMMYFUNCTION("""COMPUTED_VALUE"""),1.4936013E7)</f>
        <v>14936013</v>
      </c>
      <c r="C176" s="164" t="str">
        <f>IFERROR(__xludf.DUMMYFUNCTION("""COMPUTED_VALUE"""),"14936013XXXL")</f>
        <v>14936013XXXL</v>
      </c>
      <c r="D176" s="164" t="str">
        <f>IFERROR(__xludf.DUMMYFUNCTION("""COMPUTED_VALUE"""),"XXXL")</f>
        <v>XXXL</v>
      </c>
      <c r="E176" s="164" t="str">
        <f>IFERROR(__xludf.DUMMYFUNCTION("""COMPUTED_VALUE"""),"XXXL")</f>
        <v>XXXL</v>
      </c>
      <c r="F176" s="133" t="str">
        <f>IFERROR(__xludf.DUMMYFUNCTION("""COMPUTED_VALUE"""),"V40021SLMLXXXL")</f>
        <v>V40021SLMLXXXL</v>
      </c>
      <c r="G176" s="165">
        <f>IFERROR(__xludf.DUMMYFUNCTION("""COMPUTED_VALUE"""),1728.0)</f>
        <v>1728</v>
      </c>
    </row>
    <row r="177" ht="15.75" customHeight="1">
      <c r="A177" s="133" t="str">
        <f>IFERROR(__xludf.DUMMYFUNCTION("""COMPUTED_VALUE"""),"V40021SLML")</f>
        <v>V40021SLML</v>
      </c>
      <c r="B177" s="164">
        <f>IFERROR(__xludf.DUMMYFUNCTION("""COMPUTED_VALUE"""),1.4936013E7)</f>
        <v>14936013</v>
      </c>
      <c r="C177" s="164" t="str">
        <f>IFERROR(__xludf.DUMMYFUNCTION("""COMPUTED_VALUE"""),"14936013XXXXL")</f>
        <v>14936013XXXXL</v>
      </c>
      <c r="D177" s="164" t="str">
        <f>IFERROR(__xludf.DUMMYFUNCTION("""COMPUTED_VALUE"""),"XXXXL")</f>
        <v>XXXXL</v>
      </c>
      <c r="E177" s="164" t="str">
        <f>IFERROR(__xludf.DUMMYFUNCTION("""COMPUTED_VALUE"""),"XXXXL")</f>
        <v>XXXXL</v>
      </c>
      <c r="F177" s="133" t="str">
        <f>IFERROR(__xludf.DUMMYFUNCTION("""COMPUTED_VALUE"""),"V40021SLMLXXXXL")</f>
        <v>V40021SLMLXXXXL</v>
      </c>
      <c r="G177" s="165">
        <f>IFERROR(__xludf.DUMMYFUNCTION("""COMPUTED_VALUE"""),1728.0)</f>
        <v>1728</v>
      </c>
    </row>
    <row r="178" ht="15.75" customHeight="1">
      <c r="A178" s="133" t="str">
        <f>IFERROR(__xludf.DUMMYFUNCTION("""COMPUTED_VALUE"""),"V40021SLML")</f>
        <v>V40021SLML</v>
      </c>
      <c r="B178" s="164">
        <f>IFERROR(__xludf.DUMMYFUNCTION("""COMPUTED_VALUE"""),1.4936013E7)</f>
        <v>14936013</v>
      </c>
      <c r="C178" s="164" t="str">
        <f>IFERROR(__xludf.DUMMYFUNCTION("""COMPUTED_VALUE"""),"14936013XXXXXL")</f>
        <v>14936013XXXXXL</v>
      </c>
      <c r="D178" s="164" t="str">
        <f>IFERROR(__xludf.DUMMYFUNCTION("""COMPUTED_VALUE"""),"XXXXXL")</f>
        <v>XXXXXL</v>
      </c>
      <c r="E178" s="164" t="str">
        <f>IFERROR(__xludf.DUMMYFUNCTION("""COMPUTED_VALUE"""),"XXXXXL")</f>
        <v>XXXXXL</v>
      </c>
      <c r="F178" s="133" t="str">
        <f>IFERROR(__xludf.DUMMYFUNCTION("""COMPUTED_VALUE"""),"V40021SLMLXXXXXL")</f>
        <v>V40021SLMLXXXXXL</v>
      </c>
      <c r="G178" s="165">
        <f>IFERROR(__xludf.DUMMYFUNCTION("""COMPUTED_VALUE"""),1728.0)</f>
        <v>1728</v>
      </c>
    </row>
    <row r="179" ht="15.75" customHeight="1">
      <c r="A179" s="133" t="str">
        <f>IFERROR(__xludf.DUMMYFUNCTION("""COMPUTED_VALUE"""),"V40025SLM")</f>
        <v>V40025SLM</v>
      </c>
      <c r="B179" s="164">
        <f>IFERROR(__xludf.DUMMYFUNCTION("""COMPUTED_VALUE"""),1.4936022E7)</f>
        <v>14936022</v>
      </c>
      <c r="C179" s="164" t="str">
        <f>IFERROR(__xludf.DUMMYFUNCTION("""COMPUTED_VALUE"""),"14936022S")</f>
        <v>14936022S</v>
      </c>
      <c r="D179" s="164" t="str">
        <f>IFERROR(__xludf.DUMMYFUNCTION("""COMPUTED_VALUE"""),"S")</f>
        <v>S</v>
      </c>
      <c r="E179" s="164" t="str">
        <f>IFERROR(__xludf.DUMMYFUNCTION("""COMPUTED_VALUE"""),"S")</f>
        <v>S</v>
      </c>
      <c r="F179" s="133" t="str">
        <f>IFERROR(__xludf.DUMMYFUNCTION("""COMPUTED_VALUE"""),"V40025SLMS")</f>
        <v>V40025SLMS</v>
      </c>
      <c r="G179" s="165">
        <f>IFERROR(__xludf.DUMMYFUNCTION("""COMPUTED_VALUE"""),1788.0)</f>
        <v>1788</v>
      </c>
    </row>
    <row r="180" ht="15.75" customHeight="1">
      <c r="A180" s="133" t="str">
        <f>IFERROR(__xludf.DUMMYFUNCTION("""COMPUTED_VALUE"""),"V40025SLM")</f>
        <v>V40025SLM</v>
      </c>
      <c r="B180" s="164">
        <f>IFERROR(__xludf.DUMMYFUNCTION("""COMPUTED_VALUE"""),1.4936022E7)</f>
        <v>14936022</v>
      </c>
      <c r="C180" s="164" t="str">
        <f>IFERROR(__xludf.DUMMYFUNCTION("""COMPUTED_VALUE"""),"14936022M")</f>
        <v>14936022M</v>
      </c>
      <c r="D180" s="164" t="str">
        <f>IFERROR(__xludf.DUMMYFUNCTION("""COMPUTED_VALUE"""),"M")</f>
        <v>M</v>
      </c>
      <c r="E180" s="164" t="str">
        <f>IFERROR(__xludf.DUMMYFUNCTION("""COMPUTED_VALUE"""),"M")</f>
        <v>M</v>
      </c>
      <c r="F180" s="133" t="str">
        <f>IFERROR(__xludf.DUMMYFUNCTION("""COMPUTED_VALUE"""),"V40025SLMM")</f>
        <v>V40025SLMM</v>
      </c>
      <c r="G180" s="165">
        <f>IFERROR(__xludf.DUMMYFUNCTION("""COMPUTED_VALUE"""),1788.0)</f>
        <v>1788</v>
      </c>
    </row>
    <row r="181" ht="15.75" customHeight="1">
      <c r="A181" s="133" t="str">
        <f>IFERROR(__xludf.DUMMYFUNCTION("""COMPUTED_VALUE"""),"V40025SLM")</f>
        <v>V40025SLM</v>
      </c>
      <c r="B181" s="164">
        <f>IFERROR(__xludf.DUMMYFUNCTION("""COMPUTED_VALUE"""),1.4936022E7)</f>
        <v>14936022</v>
      </c>
      <c r="C181" s="164" t="str">
        <f>IFERROR(__xludf.DUMMYFUNCTION("""COMPUTED_VALUE"""),"14936022L")</f>
        <v>14936022L</v>
      </c>
      <c r="D181" s="164" t="str">
        <f>IFERROR(__xludf.DUMMYFUNCTION("""COMPUTED_VALUE"""),"L")</f>
        <v>L</v>
      </c>
      <c r="E181" s="164" t="str">
        <f>IFERROR(__xludf.DUMMYFUNCTION("""COMPUTED_VALUE"""),"L")</f>
        <v>L</v>
      </c>
      <c r="F181" s="133" t="str">
        <f>IFERROR(__xludf.DUMMYFUNCTION("""COMPUTED_VALUE"""),"V40025SLML")</f>
        <v>V40025SLML</v>
      </c>
      <c r="G181" s="165">
        <f>IFERROR(__xludf.DUMMYFUNCTION("""COMPUTED_VALUE"""),1788.0)</f>
        <v>1788</v>
      </c>
    </row>
    <row r="182" ht="15.75" customHeight="1">
      <c r="A182" s="133" t="str">
        <f>IFERROR(__xludf.DUMMYFUNCTION("""COMPUTED_VALUE"""),"V40025SLM")</f>
        <v>V40025SLM</v>
      </c>
      <c r="B182" s="164">
        <f>IFERROR(__xludf.DUMMYFUNCTION("""COMPUTED_VALUE"""),1.4936022E7)</f>
        <v>14936022</v>
      </c>
      <c r="C182" s="164" t="str">
        <f>IFERROR(__xludf.DUMMYFUNCTION("""COMPUTED_VALUE"""),"14936022XL")</f>
        <v>14936022XL</v>
      </c>
      <c r="D182" s="164" t="str">
        <f>IFERROR(__xludf.DUMMYFUNCTION("""COMPUTED_VALUE"""),"XL")</f>
        <v>XL</v>
      </c>
      <c r="E182" s="164" t="str">
        <f>IFERROR(__xludf.DUMMYFUNCTION("""COMPUTED_VALUE"""),"XL")</f>
        <v>XL</v>
      </c>
      <c r="F182" s="133" t="str">
        <f>IFERROR(__xludf.DUMMYFUNCTION("""COMPUTED_VALUE"""),"V40025SLMXL")</f>
        <v>V40025SLMXL</v>
      </c>
      <c r="G182" s="165">
        <f>IFERROR(__xludf.DUMMYFUNCTION("""COMPUTED_VALUE"""),1788.0)</f>
        <v>1788</v>
      </c>
    </row>
    <row r="183" ht="15.75" customHeight="1">
      <c r="A183" s="133" t="str">
        <f>IFERROR(__xludf.DUMMYFUNCTION("""COMPUTED_VALUE"""),"V40025SLM")</f>
        <v>V40025SLM</v>
      </c>
      <c r="B183" s="164">
        <f>IFERROR(__xludf.DUMMYFUNCTION("""COMPUTED_VALUE"""),1.4936022E7)</f>
        <v>14936022</v>
      </c>
      <c r="C183" s="164" t="str">
        <f>IFERROR(__xludf.DUMMYFUNCTION("""COMPUTED_VALUE"""),"14936022XXL")</f>
        <v>14936022XXL</v>
      </c>
      <c r="D183" s="164" t="str">
        <f>IFERROR(__xludf.DUMMYFUNCTION("""COMPUTED_VALUE"""),"XXL")</f>
        <v>XXL</v>
      </c>
      <c r="E183" s="164" t="str">
        <f>IFERROR(__xludf.DUMMYFUNCTION("""COMPUTED_VALUE"""),"XXL")</f>
        <v>XXL</v>
      </c>
      <c r="F183" s="133" t="str">
        <f>IFERROR(__xludf.DUMMYFUNCTION("""COMPUTED_VALUE"""),"V40025SLMXXL")</f>
        <v>V40025SLMXXL</v>
      </c>
      <c r="G183" s="165">
        <f>IFERROR(__xludf.DUMMYFUNCTION("""COMPUTED_VALUE"""),1788.0)</f>
        <v>1788</v>
      </c>
    </row>
    <row r="184" ht="15.75" customHeight="1">
      <c r="A184" s="133" t="str">
        <f>IFERROR(__xludf.DUMMYFUNCTION("""COMPUTED_VALUE"""),"V40025SLM")</f>
        <v>V40025SLM</v>
      </c>
      <c r="B184" s="164">
        <f>IFERROR(__xludf.DUMMYFUNCTION("""COMPUTED_VALUE"""),1.4936022E7)</f>
        <v>14936022</v>
      </c>
      <c r="C184" s="164" t="str">
        <f>IFERROR(__xludf.DUMMYFUNCTION("""COMPUTED_VALUE"""),"14936022XXXL")</f>
        <v>14936022XXXL</v>
      </c>
      <c r="D184" s="164" t="str">
        <f>IFERROR(__xludf.DUMMYFUNCTION("""COMPUTED_VALUE"""),"XXXL")</f>
        <v>XXXL</v>
      </c>
      <c r="E184" s="164" t="str">
        <f>IFERROR(__xludf.DUMMYFUNCTION("""COMPUTED_VALUE"""),"XXXL")</f>
        <v>XXXL</v>
      </c>
      <c r="F184" s="133" t="str">
        <f>IFERROR(__xludf.DUMMYFUNCTION("""COMPUTED_VALUE"""),"V40025SLMXXXL")</f>
        <v>V40025SLMXXXL</v>
      </c>
      <c r="G184" s="165">
        <f>IFERROR(__xludf.DUMMYFUNCTION("""COMPUTED_VALUE"""),1788.0)</f>
        <v>1788</v>
      </c>
    </row>
    <row r="185" ht="15.75" customHeight="1">
      <c r="A185" s="133" t="str">
        <f>IFERROR(__xludf.DUMMYFUNCTION("""COMPUTED_VALUE"""),"V40025SLM")</f>
        <v>V40025SLM</v>
      </c>
      <c r="B185" s="164">
        <f>IFERROR(__xludf.DUMMYFUNCTION("""COMPUTED_VALUE"""),1.4936022E7)</f>
        <v>14936022</v>
      </c>
      <c r="C185" s="164" t="str">
        <f>IFERROR(__xludf.DUMMYFUNCTION("""COMPUTED_VALUE"""),"14936022XXXXL")</f>
        <v>14936022XXXXL</v>
      </c>
      <c r="D185" s="164" t="str">
        <f>IFERROR(__xludf.DUMMYFUNCTION("""COMPUTED_VALUE"""),"XXXXL")</f>
        <v>XXXXL</v>
      </c>
      <c r="E185" s="164" t="str">
        <f>IFERROR(__xludf.DUMMYFUNCTION("""COMPUTED_VALUE"""),"XXXXL")</f>
        <v>XXXXL</v>
      </c>
      <c r="F185" s="133" t="str">
        <f>IFERROR(__xludf.DUMMYFUNCTION("""COMPUTED_VALUE"""),"V40025SLMXXXXL")</f>
        <v>V40025SLMXXXXL</v>
      </c>
      <c r="G185" s="165">
        <f>IFERROR(__xludf.DUMMYFUNCTION("""COMPUTED_VALUE"""),1788.0)</f>
        <v>1788</v>
      </c>
    </row>
    <row r="186" ht="15.75" customHeight="1">
      <c r="A186" s="133" t="str">
        <f>IFERROR(__xludf.DUMMYFUNCTION("""COMPUTED_VALUE"""),"V40025SLM")</f>
        <v>V40025SLM</v>
      </c>
      <c r="B186" s="164">
        <f>IFERROR(__xludf.DUMMYFUNCTION("""COMPUTED_VALUE"""),1.4936022E7)</f>
        <v>14936022</v>
      </c>
      <c r="C186" s="164" t="str">
        <f>IFERROR(__xludf.DUMMYFUNCTION("""COMPUTED_VALUE"""),"14936022XXXXXL")</f>
        <v>14936022XXXXXL</v>
      </c>
      <c r="D186" s="164" t="str">
        <f>IFERROR(__xludf.DUMMYFUNCTION("""COMPUTED_VALUE"""),"XXXXXL")</f>
        <v>XXXXXL</v>
      </c>
      <c r="E186" s="164" t="str">
        <f>IFERROR(__xludf.DUMMYFUNCTION("""COMPUTED_VALUE"""),"XXXXXL")</f>
        <v>XXXXXL</v>
      </c>
      <c r="F186" s="133" t="str">
        <f>IFERROR(__xludf.DUMMYFUNCTION("""COMPUTED_VALUE"""),"V40025SLMXXXXXL")</f>
        <v>V40025SLMXXXXXL</v>
      </c>
      <c r="G186" s="165">
        <f>IFERROR(__xludf.DUMMYFUNCTION("""COMPUTED_VALUE"""),1788.0)</f>
        <v>1788</v>
      </c>
    </row>
    <row r="187" ht="15.75" customHeight="1">
      <c r="A187" s="133" t="str">
        <f>IFERROR(__xludf.DUMMYFUNCTION("""COMPUTED_VALUE"""),"V40023SLM")</f>
        <v>V40023SLM</v>
      </c>
      <c r="B187" s="164">
        <f>IFERROR(__xludf.DUMMYFUNCTION("""COMPUTED_VALUE"""),1.493602E7)</f>
        <v>14936020</v>
      </c>
      <c r="C187" s="164" t="str">
        <f>IFERROR(__xludf.DUMMYFUNCTION("""COMPUTED_VALUE"""),"14936020S")</f>
        <v>14936020S</v>
      </c>
      <c r="D187" s="164" t="str">
        <f>IFERROR(__xludf.DUMMYFUNCTION("""COMPUTED_VALUE"""),"S")</f>
        <v>S</v>
      </c>
      <c r="E187" s="164" t="str">
        <f>IFERROR(__xludf.DUMMYFUNCTION("""COMPUTED_VALUE"""),"S")</f>
        <v>S</v>
      </c>
      <c r="F187" s="133" t="str">
        <f>IFERROR(__xludf.DUMMYFUNCTION("""COMPUTED_VALUE"""),"V40023SLMS")</f>
        <v>V40023SLMS</v>
      </c>
      <c r="G187" s="165">
        <f>IFERROR(__xludf.DUMMYFUNCTION("""COMPUTED_VALUE"""),1788.0)</f>
        <v>1788</v>
      </c>
    </row>
    <row r="188" ht="15.75" customHeight="1">
      <c r="A188" s="133" t="str">
        <f>IFERROR(__xludf.DUMMYFUNCTION("""COMPUTED_VALUE"""),"V40023SLM")</f>
        <v>V40023SLM</v>
      </c>
      <c r="B188" s="164">
        <f>IFERROR(__xludf.DUMMYFUNCTION("""COMPUTED_VALUE"""),1.493602E7)</f>
        <v>14936020</v>
      </c>
      <c r="C188" s="164" t="str">
        <f>IFERROR(__xludf.DUMMYFUNCTION("""COMPUTED_VALUE"""),"14936020M")</f>
        <v>14936020M</v>
      </c>
      <c r="D188" s="164" t="str">
        <f>IFERROR(__xludf.DUMMYFUNCTION("""COMPUTED_VALUE"""),"M")</f>
        <v>M</v>
      </c>
      <c r="E188" s="164" t="str">
        <f>IFERROR(__xludf.DUMMYFUNCTION("""COMPUTED_VALUE"""),"M")</f>
        <v>M</v>
      </c>
      <c r="F188" s="133" t="str">
        <f>IFERROR(__xludf.DUMMYFUNCTION("""COMPUTED_VALUE"""),"V40023SLMM")</f>
        <v>V40023SLMM</v>
      </c>
      <c r="G188" s="165">
        <f>IFERROR(__xludf.DUMMYFUNCTION("""COMPUTED_VALUE"""),1788.0)</f>
        <v>1788</v>
      </c>
    </row>
    <row r="189" ht="15.75" customHeight="1">
      <c r="A189" s="133" t="str">
        <f>IFERROR(__xludf.DUMMYFUNCTION("""COMPUTED_VALUE"""),"V40023SLM")</f>
        <v>V40023SLM</v>
      </c>
      <c r="B189" s="164">
        <f>IFERROR(__xludf.DUMMYFUNCTION("""COMPUTED_VALUE"""),1.493602E7)</f>
        <v>14936020</v>
      </c>
      <c r="C189" s="164" t="str">
        <f>IFERROR(__xludf.DUMMYFUNCTION("""COMPUTED_VALUE"""),"14936020L")</f>
        <v>14936020L</v>
      </c>
      <c r="D189" s="164" t="str">
        <f>IFERROR(__xludf.DUMMYFUNCTION("""COMPUTED_VALUE"""),"L")</f>
        <v>L</v>
      </c>
      <c r="E189" s="164" t="str">
        <f>IFERROR(__xludf.DUMMYFUNCTION("""COMPUTED_VALUE"""),"L")</f>
        <v>L</v>
      </c>
      <c r="F189" s="133" t="str">
        <f>IFERROR(__xludf.DUMMYFUNCTION("""COMPUTED_VALUE"""),"V40023SLML")</f>
        <v>V40023SLML</v>
      </c>
      <c r="G189" s="165">
        <f>IFERROR(__xludf.DUMMYFUNCTION("""COMPUTED_VALUE"""),1788.0)</f>
        <v>1788</v>
      </c>
    </row>
    <row r="190" ht="15.75" customHeight="1">
      <c r="A190" s="133" t="str">
        <f>IFERROR(__xludf.DUMMYFUNCTION("""COMPUTED_VALUE"""),"V40023SLM")</f>
        <v>V40023SLM</v>
      </c>
      <c r="B190" s="164">
        <f>IFERROR(__xludf.DUMMYFUNCTION("""COMPUTED_VALUE"""),1.493602E7)</f>
        <v>14936020</v>
      </c>
      <c r="C190" s="164" t="str">
        <f>IFERROR(__xludf.DUMMYFUNCTION("""COMPUTED_VALUE"""),"14936020XL")</f>
        <v>14936020XL</v>
      </c>
      <c r="D190" s="164" t="str">
        <f>IFERROR(__xludf.DUMMYFUNCTION("""COMPUTED_VALUE"""),"XL")</f>
        <v>XL</v>
      </c>
      <c r="E190" s="164" t="str">
        <f>IFERROR(__xludf.DUMMYFUNCTION("""COMPUTED_VALUE"""),"XL")</f>
        <v>XL</v>
      </c>
      <c r="F190" s="133" t="str">
        <f>IFERROR(__xludf.DUMMYFUNCTION("""COMPUTED_VALUE"""),"V40023SLMXL")</f>
        <v>V40023SLMXL</v>
      </c>
      <c r="G190" s="165">
        <f>IFERROR(__xludf.DUMMYFUNCTION("""COMPUTED_VALUE"""),1788.0)</f>
        <v>1788</v>
      </c>
    </row>
    <row r="191" ht="15.75" customHeight="1">
      <c r="A191" s="133" t="str">
        <f>IFERROR(__xludf.DUMMYFUNCTION("""COMPUTED_VALUE"""),"V40023SLM")</f>
        <v>V40023SLM</v>
      </c>
      <c r="B191" s="164">
        <f>IFERROR(__xludf.DUMMYFUNCTION("""COMPUTED_VALUE"""),1.493602E7)</f>
        <v>14936020</v>
      </c>
      <c r="C191" s="164" t="str">
        <f>IFERROR(__xludf.DUMMYFUNCTION("""COMPUTED_VALUE"""),"14936020XXL")</f>
        <v>14936020XXL</v>
      </c>
      <c r="D191" s="164" t="str">
        <f>IFERROR(__xludf.DUMMYFUNCTION("""COMPUTED_VALUE"""),"XXL")</f>
        <v>XXL</v>
      </c>
      <c r="E191" s="164" t="str">
        <f>IFERROR(__xludf.DUMMYFUNCTION("""COMPUTED_VALUE"""),"XXL")</f>
        <v>XXL</v>
      </c>
      <c r="F191" s="133" t="str">
        <f>IFERROR(__xludf.DUMMYFUNCTION("""COMPUTED_VALUE"""),"V40023SLMXXL")</f>
        <v>V40023SLMXXL</v>
      </c>
      <c r="G191" s="165">
        <f>IFERROR(__xludf.DUMMYFUNCTION("""COMPUTED_VALUE"""),1788.0)</f>
        <v>1788</v>
      </c>
    </row>
    <row r="192" ht="15.75" customHeight="1">
      <c r="A192" s="133" t="str">
        <f>IFERROR(__xludf.DUMMYFUNCTION("""COMPUTED_VALUE"""),"V40023SLM")</f>
        <v>V40023SLM</v>
      </c>
      <c r="B192" s="164">
        <f>IFERROR(__xludf.DUMMYFUNCTION("""COMPUTED_VALUE"""),1.493602E7)</f>
        <v>14936020</v>
      </c>
      <c r="C192" s="164" t="str">
        <f>IFERROR(__xludf.DUMMYFUNCTION("""COMPUTED_VALUE"""),"14936020XXXL")</f>
        <v>14936020XXXL</v>
      </c>
      <c r="D192" s="164" t="str">
        <f>IFERROR(__xludf.DUMMYFUNCTION("""COMPUTED_VALUE"""),"XXXL")</f>
        <v>XXXL</v>
      </c>
      <c r="E192" s="164" t="str">
        <f>IFERROR(__xludf.DUMMYFUNCTION("""COMPUTED_VALUE"""),"XXXL")</f>
        <v>XXXL</v>
      </c>
      <c r="F192" s="133" t="str">
        <f>IFERROR(__xludf.DUMMYFUNCTION("""COMPUTED_VALUE"""),"V40023SLMXXXL")</f>
        <v>V40023SLMXXXL</v>
      </c>
      <c r="G192" s="165">
        <f>IFERROR(__xludf.DUMMYFUNCTION("""COMPUTED_VALUE"""),1788.0)</f>
        <v>1788</v>
      </c>
    </row>
    <row r="193" ht="15.75" customHeight="1">
      <c r="A193" s="133" t="str">
        <f>IFERROR(__xludf.DUMMYFUNCTION("""COMPUTED_VALUE"""),"V40023SLM")</f>
        <v>V40023SLM</v>
      </c>
      <c r="B193" s="164">
        <f>IFERROR(__xludf.DUMMYFUNCTION("""COMPUTED_VALUE"""),1.493602E7)</f>
        <v>14936020</v>
      </c>
      <c r="C193" s="164" t="str">
        <f>IFERROR(__xludf.DUMMYFUNCTION("""COMPUTED_VALUE"""),"14936020XXXXL")</f>
        <v>14936020XXXXL</v>
      </c>
      <c r="D193" s="164" t="str">
        <f>IFERROR(__xludf.DUMMYFUNCTION("""COMPUTED_VALUE"""),"XXXXL")</f>
        <v>XXXXL</v>
      </c>
      <c r="E193" s="164" t="str">
        <f>IFERROR(__xludf.DUMMYFUNCTION("""COMPUTED_VALUE"""),"XXXXL")</f>
        <v>XXXXL</v>
      </c>
      <c r="F193" s="133" t="str">
        <f>IFERROR(__xludf.DUMMYFUNCTION("""COMPUTED_VALUE"""),"V40023SLMXXXXL")</f>
        <v>V40023SLMXXXXL</v>
      </c>
      <c r="G193" s="165">
        <f>IFERROR(__xludf.DUMMYFUNCTION("""COMPUTED_VALUE"""),1788.0)</f>
        <v>1788</v>
      </c>
    </row>
    <row r="194" ht="15.75" customHeight="1">
      <c r="A194" s="133" t="str">
        <f>IFERROR(__xludf.DUMMYFUNCTION("""COMPUTED_VALUE"""),"V40023SLM")</f>
        <v>V40023SLM</v>
      </c>
      <c r="B194" s="164">
        <f>IFERROR(__xludf.DUMMYFUNCTION("""COMPUTED_VALUE"""),1.493602E7)</f>
        <v>14936020</v>
      </c>
      <c r="C194" s="164" t="str">
        <f>IFERROR(__xludf.DUMMYFUNCTION("""COMPUTED_VALUE"""),"14936020XXXXXL")</f>
        <v>14936020XXXXXL</v>
      </c>
      <c r="D194" s="164" t="str">
        <f>IFERROR(__xludf.DUMMYFUNCTION("""COMPUTED_VALUE"""),"XXXXXL")</f>
        <v>XXXXXL</v>
      </c>
      <c r="E194" s="164" t="str">
        <f>IFERROR(__xludf.DUMMYFUNCTION("""COMPUTED_VALUE"""),"XXXXXL")</f>
        <v>XXXXXL</v>
      </c>
      <c r="F194" s="133" t="str">
        <f>IFERROR(__xludf.DUMMYFUNCTION("""COMPUTED_VALUE"""),"V40023SLMXXXXXL")</f>
        <v>V40023SLMXXXXXL</v>
      </c>
      <c r="G194" s="165">
        <f>IFERROR(__xludf.DUMMYFUNCTION("""COMPUTED_VALUE"""),1788.0)</f>
        <v>1788</v>
      </c>
    </row>
    <row r="195" ht="15.75" customHeight="1">
      <c r="A195" s="133" t="str">
        <f>IFERROR(__xludf.DUMMYFUNCTION("""COMPUTED_VALUE"""),"V40024SLM")</f>
        <v>V40024SLM</v>
      </c>
      <c r="B195" s="164">
        <f>IFERROR(__xludf.DUMMYFUNCTION("""COMPUTED_VALUE"""),1.4936021E7)</f>
        <v>14936021</v>
      </c>
      <c r="C195" s="164" t="str">
        <f>IFERROR(__xludf.DUMMYFUNCTION("""COMPUTED_VALUE"""),"14936021S")</f>
        <v>14936021S</v>
      </c>
      <c r="D195" s="164" t="str">
        <f>IFERROR(__xludf.DUMMYFUNCTION("""COMPUTED_VALUE"""),"S")</f>
        <v>S</v>
      </c>
      <c r="E195" s="164" t="str">
        <f>IFERROR(__xludf.DUMMYFUNCTION("""COMPUTED_VALUE"""),"S")</f>
        <v>S</v>
      </c>
      <c r="F195" s="133" t="str">
        <f>IFERROR(__xludf.DUMMYFUNCTION("""COMPUTED_VALUE"""),"V40024SLMS")</f>
        <v>V40024SLMS</v>
      </c>
      <c r="G195" s="165">
        <f>IFERROR(__xludf.DUMMYFUNCTION("""COMPUTED_VALUE"""),1788.0)</f>
        <v>1788</v>
      </c>
    </row>
    <row r="196" ht="15.75" customHeight="1">
      <c r="A196" s="133" t="str">
        <f>IFERROR(__xludf.DUMMYFUNCTION("""COMPUTED_VALUE"""),"V40024SLM")</f>
        <v>V40024SLM</v>
      </c>
      <c r="B196" s="164">
        <f>IFERROR(__xludf.DUMMYFUNCTION("""COMPUTED_VALUE"""),1.4936021E7)</f>
        <v>14936021</v>
      </c>
      <c r="C196" s="164" t="str">
        <f>IFERROR(__xludf.DUMMYFUNCTION("""COMPUTED_VALUE"""),"14936021M")</f>
        <v>14936021M</v>
      </c>
      <c r="D196" s="164" t="str">
        <f>IFERROR(__xludf.DUMMYFUNCTION("""COMPUTED_VALUE"""),"M")</f>
        <v>M</v>
      </c>
      <c r="E196" s="164" t="str">
        <f>IFERROR(__xludf.DUMMYFUNCTION("""COMPUTED_VALUE"""),"M")</f>
        <v>M</v>
      </c>
      <c r="F196" s="133" t="str">
        <f>IFERROR(__xludf.DUMMYFUNCTION("""COMPUTED_VALUE"""),"V40024SLMM")</f>
        <v>V40024SLMM</v>
      </c>
      <c r="G196" s="165">
        <f>IFERROR(__xludf.DUMMYFUNCTION("""COMPUTED_VALUE"""),1788.0)</f>
        <v>1788</v>
      </c>
    </row>
    <row r="197" ht="15.75" customHeight="1">
      <c r="A197" s="133" t="str">
        <f>IFERROR(__xludf.DUMMYFUNCTION("""COMPUTED_VALUE"""),"V40024SLM")</f>
        <v>V40024SLM</v>
      </c>
      <c r="B197" s="164">
        <f>IFERROR(__xludf.DUMMYFUNCTION("""COMPUTED_VALUE"""),1.4936021E7)</f>
        <v>14936021</v>
      </c>
      <c r="C197" s="164" t="str">
        <f>IFERROR(__xludf.DUMMYFUNCTION("""COMPUTED_VALUE"""),"14936021L")</f>
        <v>14936021L</v>
      </c>
      <c r="D197" s="164" t="str">
        <f>IFERROR(__xludf.DUMMYFUNCTION("""COMPUTED_VALUE"""),"L")</f>
        <v>L</v>
      </c>
      <c r="E197" s="164" t="str">
        <f>IFERROR(__xludf.DUMMYFUNCTION("""COMPUTED_VALUE"""),"L")</f>
        <v>L</v>
      </c>
      <c r="F197" s="133" t="str">
        <f>IFERROR(__xludf.DUMMYFUNCTION("""COMPUTED_VALUE"""),"V40024SLML")</f>
        <v>V40024SLML</v>
      </c>
      <c r="G197" s="165">
        <f>IFERROR(__xludf.DUMMYFUNCTION("""COMPUTED_VALUE"""),1788.0)</f>
        <v>1788</v>
      </c>
    </row>
    <row r="198" ht="15.75" customHeight="1">
      <c r="A198" s="133" t="str">
        <f>IFERROR(__xludf.DUMMYFUNCTION("""COMPUTED_VALUE"""),"V40024SLM")</f>
        <v>V40024SLM</v>
      </c>
      <c r="B198" s="164">
        <f>IFERROR(__xludf.DUMMYFUNCTION("""COMPUTED_VALUE"""),1.4936021E7)</f>
        <v>14936021</v>
      </c>
      <c r="C198" s="164" t="str">
        <f>IFERROR(__xludf.DUMMYFUNCTION("""COMPUTED_VALUE"""),"14936021XL")</f>
        <v>14936021XL</v>
      </c>
      <c r="D198" s="164" t="str">
        <f>IFERROR(__xludf.DUMMYFUNCTION("""COMPUTED_VALUE"""),"XL")</f>
        <v>XL</v>
      </c>
      <c r="E198" s="164" t="str">
        <f>IFERROR(__xludf.DUMMYFUNCTION("""COMPUTED_VALUE"""),"XL")</f>
        <v>XL</v>
      </c>
      <c r="F198" s="133" t="str">
        <f>IFERROR(__xludf.DUMMYFUNCTION("""COMPUTED_VALUE"""),"V40024SLMXL")</f>
        <v>V40024SLMXL</v>
      </c>
      <c r="G198" s="165">
        <f>IFERROR(__xludf.DUMMYFUNCTION("""COMPUTED_VALUE"""),1788.0)</f>
        <v>1788</v>
      </c>
    </row>
    <row r="199" ht="15.75" customHeight="1">
      <c r="A199" s="133" t="str">
        <f>IFERROR(__xludf.DUMMYFUNCTION("""COMPUTED_VALUE"""),"V40024SLM")</f>
        <v>V40024SLM</v>
      </c>
      <c r="B199" s="164">
        <f>IFERROR(__xludf.DUMMYFUNCTION("""COMPUTED_VALUE"""),1.4936021E7)</f>
        <v>14936021</v>
      </c>
      <c r="C199" s="164" t="str">
        <f>IFERROR(__xludf.DUMMYFUNCTION("""COMPUTED_VALUE"""),"14936021XXL")</f>
        <v>14936021XXL</v>
      </c>
      <c r="D199" s="164" t="str">
        <f>IFERROR(__xludf.DUMMYFUNCTION("""COMPUTED_VALUE"""),"XXL")</f>
        <v>XXL</v>
      </c>
      <c r="E199" s="164" t="str">
        <f>IFERROR(__xludf.DUMMYFUNCTION("""COMPUTED_VALUE"""),"XXL")</f>
        <v>XXL</v>
      </c>
      <c r="F199" s="133" t="str">
        <f>IFERROR(__xludf.DUMMYFUNCTION("""COMPUTED_VALUE"""),"V40024SLMXXL")</f>
        <v>V40024SLMXXL</v>
      </c>
      <c r="G199" s="165">
        <f>IFERROR(__xludf.DUMMYFUNCTION("""COMPUTED_VALUE"""),1788.0)</f>
        <v>1788</v>
      </c>
    </row>
    <row r="200" ht="15.75" customHeight="1">
      <c r="A200" s="133" t="str">
        <f>IFERROR(__xludf.DUMMYFUNCTION("""COMPUTED_VALUE"""),"V40024SLM")</f>
        <v>V40024SLM</v>
      </c>
      <c r="B200" s="164">
        <f>IFERROR(__xludf.DUMMYFUNCTION("""COMPUTED_VALUE"""),1.4936021E7)</f>
        <v>14936021</v>
      </c>
      <c r="C200" s="164" t="str">
        <f>IFERROR(__xludf.DUMMYFUNCTION("""COMPUTED_VALUE"""),"14936021XXXL")</f>
        <v>14936021XXXL</v>
      </c>
      <c r="D200" s="164" t="str">
        <f>IFERROR(__xludf.DUMMYFUNCTION("""COMPUTED_VALUE"""),"XXXL")</f>
        <v>XXXL</v>
      </c>
      <c r="E200" s="164" t="str">
        <f>IFERROR(__xludf.DUMMYFUNCTION("""COMPUTED_VALUE"""),"XXXL")</f>
        <v>XXXL</v>
      </c>
      <c r="F200" s="133" t="str">
        <f>IFERROR(__xludf.DUMMYFUNCTION("""COMPUTED_VALUE"""),"V40024SLMXXXL")</f>
        <v>V40024SLMXXXL</v>
      </c>
      <c r="G200" s="165">
        <f>IFERROR(__xludf.DUMMYFUNCTION("""COMPUTED_VALUE"""),1788.0)</f>
        <v>1788</v>
      </c>
    </row>
    <row r="201" ht="15.75" customHeight="1">
      <c r="A201" s="133" t="str">
        <f>IFERROR(__xludf.DUMMYFUNCTION("""COMPUTED_VALUE"""),"V40024SLM")</f>
        <v>V40024SLM</v>
      </c>
      <c r="B201" s="164">
        <f>IFERROR(__xludf.DUMMYFUNCTION("""COMPUTED_VALUE"""),1.4936021E7)</f>
        <v>14936021</v>
      </c>
      <c r="C201" s="164" t="str">
        <f>IFERROR(__xludf.DUMMYFUNCTION("""COMPUTED_VALUE"""),"14936021XXXXL")</f>
        <v>14936021XXXXL</v>
      </c>
      <c r="D201" s="164" t="str">
        <f>IFERROR(__xludf.DUMMYFUNCTION("""COMPUTED_VALUE"""),"XXXXL")</f>
        <v>XXXXL</v>
      </c>
      <c r="E201" s="164" t="str">
        <f>IFERROR(__xludf.DUMMYFUNCTION("""COMPUTED_VALUE"""),"XXXXL")</f>
        <v>XXXXL</v>
      </c>
      <c r="F201" s="133" t="str">
        <f>IFERROR(__xludf.DUMMYFUNCTION("""COMPUTED_VALUE"""),"V40024SLMXXXXL")</f>
        <v>V40024SLMXXXXL</v>
      </c>
      <c r="G201" s="165">
        <f>IFERROR(__xludf.DUMMYFUNCTION("""COMPUTED_VALUE"""),1788.0)</f>
        <v>1788</v>
      </c>
    </row>
    <row r="202" ht="15.75" customHeight="1">
      <c r="A202" s="133" t="str">
        <f>IFERROR(__xludf.DUMMYFUNCTION("""COMPUTED_VALUE"""),"V40024SLM")</f>
        <v>V40024SLM</v>
      </c>
      <c r="B202" s="164">
        <f>IFERROR(__xludf.DUMMYFUNCTION("""COMPUTED_VALUE"""),1.4936021E7)</f>
        <v>14936021</v>
      </c>
      <c r="C202" s="164" t="str">
        <f>IFERROR(__xludf.DUMMYFUNCTION("""COMPUTED_VALUE"""),"14936021XXXXXL")</f>
        <v>14936021XXXXXL</v>
      </c>
      <c r="D202" s="164" t="str">
        <f>IFERROR(__xludf.DUMMYFUNCTION("""COMPUTED_VALUE"""),"XXXXXL")</f>
        <v>XXXXXL</v>
      </c>
      <c r="E202" s="164" t="str">
        <f>IFERROR(__xludf.DUMMYFUNCTION("""COMPUTED_VALUE"""),"XXXXXL")</f>
        <v>XXXXXL</v>
      </c>
      <c r="F202" s="133" t="str">
        <f>IFERROR(__xludf.DUMMYFUNCTION("""COMPUTED_VALUE"""),"V40024SLMXXXXXL")</f>
        <v>V40024SLMXXXXXL</v>
      </c>
      <c r="G202" s="165">
        <f>IFERROR(__xludf.DUMMYFUNCTION("""COMPUTED_VALUE"""),1788.0)</f>
        <v>1788</v>
      </c>
    </row>
    <row r="203" ht="15.75" customHeight="1">
      <c r="A203" s="133" t="str">
        <f>IFERROR(__xludf.DUMMYFUNCTION("""COMPUTED_VALUE"""),"V40022SLM")</f>
        <v>V40022SLM</v>
      </c>
      <c r="B203" s="164">
        <f>IFERROR(__xludf.DUMMYFUNCTION("""COMPUTED_VALUE"""),1.4936019E7)</f>
        <v>14936019</v>
      </c>
      <c r="C203" s="164" t="str">
        <f>IFERROR(__xludf.DUMMYFUNCTION("""COMPUTED_VALUE"""),"14936019S")</f>
        <v>14936019S</v>
      </c>
      <c r="D203" s="164" t="str">
        <f>IFERROR(__xludf.DUMMYFUNCTION("""COMPUTED_VALUE"""),"S")</f>
        <v>S</v>
      </c>
      <c r="E203" s="164" t="str">
        <f>IFERROR(__xludf.DUMMYFUNCTION("""COMPUTED_VALUE"""),"S")</f>
        <v>S</v>
      </c>
      <c r="F203" s="133" t="str">
        <f>IFERROR(__xludf.DUMMYFUNCTION("""COMPUTED_VALUE"""),"V40022SLMS")</f>
        <v>V40022SLMS</v>
      </c>
      <c r="G203" s="165">
        <f>IFERROR(__xludf.DUMMYFUNCTION("""COMPUTED_VALUE"""),1788.0)</f>
        <v>1788</v>
      </c>
    </row>
    <row r="204" ht="15.75" customHeight="1">
      <c r="A204" s="133" t="str">
        <f>IFERROR(__xludf.DUMMYFUNCTION("""COMPUTED_VALUE"""),"V40022SLM")</f>
        <v>V40022SLM</v>
      </c>
      <c r="B204" s="164">
        <f>IFERROR(__xludf.DUMMYFUNCTION("""COMPUTED_VALUE"""),1.4936019E7)</f>
        <v>14936019</v>
      </c>
      <c r="C204" s="164" t="str">
        <f>IFERROR(__xludf.DUMMYFUNCTION("""COMPUTED_VALUE"""),"14936019M")</f>
        <v>14936019M</v>
      </c>
      <c r="D204" s="164" t="str">
        <f>IFERROR(__xludf.DUMMYFUNCTION("""COMPUTED_VALUE"""),"M")</f>
        <v>M</v>
      </c>
      <c r="E204" s="164" t="str">
        <f>IFERROR(__xludf.DUMMYFUNCTION("""COMPUTED_VALUE"""),"M")</f>
        <v>M</v>
      </c>
      <c r="F204" s="133" t="str">
        <f>IFERROR(__xludf.DUMMYFUNCTION("""COMPUTED_VALUE"""),"V40022SLMM")</f>
        <v>V40022SLMM</v>
      </c>
      <c r="G204" s="165">
        <f>IFERROR(__xludf.DUMMYFUNCTION("""COMPUTED_VALUE"""),1788.0)</f>
        <v>1788</v>
      </c>
    </row>
    <row r="205" ht="15.75" customHeight="1">
      <c r="A205" s="133" t="str">
        <f>IFERROR(__xludf.DUMMYFUNCTION("""COMPUTED_VALUE"""),"V40022SLM")</f>
        <v>V40022SLM</v>
      </c>
      <c r="B205" s="164">
        <f>IFERROR(__xludf.DUMMYFUNCTION("""COMPUTED_VALUE"""),1.4936019E7)</f>
        <v>14936019</v>
      </c>
      <c r="C205" s="164" t="str">
        <f>IFERROR(__xludf.DUMMYFUNCTION("""COMPUTED_VALUE"""),"14936019L")</f>
        <v>14936019L</v>
      </c>
      <c r="D205" s="164" t="str">
        <f>IFERROR(__xludf.DUMMYFUNCTION("""COMPUTED_VALUE"""),"L")</f>
        <v>L</v>
      </c>
      <c r="E205" s="164" t="str">
        <f>IFERROR(__xludf.DUMMYFUNCTION("""COMPUTED_VALUE"""),"L")</f>
        <v>L</v>
      </c>
      <c r="F205" s="133" t="str">
        <f>IFERROR(__xludf.DUMMYFUNCTION("""COMPUTED_VALUE"""),"V40022SLML")</f>
        <v>V40022SLML</v>
      </c>
      <c r="G205" s="165">
        <f>IFERROR(__xludf.DUMMYFUNCTION("""COMPUTED_VALUE"""),1788.0)</f>
        <v>1788</v>
      </c>
    </row>
    <row r="206" ht="15.75" customHeight="1">
      <c r="A206" s="133" t="str">
        <f>IFERROR(__xludf.DUMMYFUNCTION("""COMPUTED_VALUE"""),"V40022SLM")</f>
        <v>V40022SLM</v>
      </c>
      <c r="B206" s="164">
        <f>IFERROR(__xludf.DUMMYFUNCTION("""COMPUTED_VALUE"""),1.4936019E7)</f>
        <v>14936019</v>
      </c>
      <c r="C206" s="164" t="str">
        <f>IFERROR(__xludf.DUMMYFUNCTION("""COMPUTED_VALUE"""),"14936019XL")</f>
        <v>14936019XL</v>
      </c>
      <c r="D206" s="164" t="str">
        <f>IFERROR(__xludf.DUMMYFUNCTION("""COMPUTED_VALUE"""),"XL")</f>
        <v>XL</v>
      </c>
      <c r="E206" s="164" t="str">
        <f>IFERROR(__xludf.DUMMYFUNCTION("""COMPUTED_VALUE"""),"XL")</f>
        <v>XL</v>
      </c>
      <c r="F206" s="133" t="str">
        <f>IFERROR(__xludf.DUMMYFUNCTION("""COMPUTED_VALUE"""),"V40022SLMXL")</f>
        <v>V40022SLMXL</v>
      </c>
      <c r="G206" s="165">
        <f>IFERROR(__xludf.DUMMYFUNCTION("""COMPUTED_VALUE"""),1788.0)</f>
        <v>1788</v>
      </c>
    </row>
    <row r="207" ht="15.75" customHeight="1">
      <c r="A207" s="133" t="str">
        <f>IFERROR(__xludf.DUMMYFUNCTION("""COMPUTED_VALUE"""),"V40022SLM")</f>
        <v>V40022SLM</v>
      </c>
      <c r="B207" s="164">
        <f>IFERROR(__xludf.DUMMYFUNCTION("""COMPUTED_VALUE"""),1.4936019E7)</f>
        <v>14936019</v>
      </c>
      <c r="C207" s="164" t="str">
        <f>IFERROR(__xludf.DUMMYFUNCTION("""COMPUTED_VALUE"""),"14936019XXL")</f>
        <v>14936019XXL</v>
      </c>
      <c r="D207" s="164" t="str">
        <f>IFERROR(__xludf.DUMMYFUNCTION("""COMPUTED_VALUE"""),"XXL")</f>
        <v>XXL</v>
      </c>
      <c r="E207" s="164" t="str">
        <f>IFERROR(__xludf.DUMMYFUNCTION("""COMPUTED_VALUE"""),"XXL")</f>
        <v>XXL</v>
      </c>
      <c r="F207" s="133" t="str">
        <f>IFERROR(__xludf.DUMMYFUNCTION("""COMPUTED_VALUE"""),"V40022SLMXXL")</f>
        <v>V40022SLMXXL</v>
      </c>
      <c r="G207" s="165">
        <f>IFERROR(__xludf.DUMMYFUNCTION("""COMPUTED_VALUE"""),1788.0)</f>
        <v>1788</v>
      </c>
    </row>
    <row r="208" ht="15.75" customHeight="1">
      <c r="A208" s="133" t="str">
        <f>IFERROR(__xludf.DUMMYFUNCTION("""COMPUTED_VALUE"""),"V40022SLM")</f>
        <v>V40022SLM</v>
      </c>
      <c r="B208" s="164">
        <f>IFERROR(__xludf.DUMMYFUNCTION("""COMPUTED_VALUE"""),1.4936019E7)</f>
        <v>14936019</v>
      </c>
      <c r="C208" s="164" t="str">
        <f>IFERROR(__xludf.DUMMYFUNCTION("""COMPUTED_VALUE"""),"14936019XXXL")</f>
        <v>14936019XXXL</v>
      </c>
      <c r="D208" s="164" t="str">
        <f>IFERROR(__xludf.DUMMYFUNCTION("""COMPUTED_VALUE"""),"XXXL")</f>
        <v>XXXL</v>
      </c>
      <c r="E208" s="164" t="str">
        <f>IFERROR(__xludf.DUMMYFUNCTION("""COMPUTED_VALUE"""),"XXXL")</f>
        <v>XXXL</v>
      </c>
      <c r="F208" s="133" t="str">
        <f>IFERROR(__xludf.DUMMYFUNCTION("""COMPUTED_VALUE"""),"V40022SLMXXXL")</f>
        <v>V40022SLMXXXL</v>
      </c>
      <c r="G208" s="165">
        <f>IFERROR(__xludf.DUMMYFUNCTION("""COMPUTED_VALUE"""),1788.0)</f>
        <v>1788</v>
      </c>
    </row>
    <row r="209" ht="15.75" customHeight="1">
      <c r="A209" s="133" t="str">
        <f>IFERROR(__xludf.DUMMYFUNCTION("""COMPUTED_VALUE"""),"V40022SLM")</f>
        <v>V40022SLM</v>
      </c>
      <c r="B209" s="164">
        <f>IFERROR(__xludf.DUMMYFUNCTION("""COMPUTED_VALUE"""),1.4936019E7)</f>
        <v>14936019</v>
      </c>
      <c r="C209" s="164" t="str">
        <f>IFERROR(__xludf.DUMMYFUNCTION("""COMPUTED_VALUE"""),"14936019XXXXL")</f>
        <v>14936019XXXXL</v>
      </c>
      <c r="D209" s="164" t="str">
        <f>IFERROR(__xludf.DUMMYFUNCTION("""COMPUTED_VALUE"""),"XXXXL")</f>
        <v>XXXXL</v>
      </c>
      <c r="E209" s="164" t="str">
        <f>IFERROR(__xludf.DUMMYFUNCTION("""COMPUTED_VALUE"""),"XXXXL")</f>
        <v>XXXXL</v>
      </c>
      <c r="F209" s="133" t="str">
        <f>IFERROR(__xludf.DUMMYFUNCTION("""COMPUTED_VALUE"""),"V40022SLMXXXXL")</f>
        <v>V40022SLMXXXXL</v>
      </c>
      <c r="G209" s="165">
        <f>IFERROR(__xludf.DUMMYFUNCTION("""COMPUTED_VALUE"""),1788.0)</f>
        <v>1788</v>
      </c>
    </row>
    <row r="210" ht="15.75" customHeight="1">
      <c r="A210" s="133" t="str">
        <f>IFERROR(__xludf.DUMMYFUNCTION("""COMPUTED_VALUE"""),"V40022SLM")</f>
        <v>V40022SLM</v>
      </c>
      <c r="B210" s="164">
        <f>IFERROR(__xludf.DUMMYFUNCTION("""COMPUTED_VALUE"""),1.4936019E7)</f>
        <v>14936019</v>
      </c>
      <c r="C210" s="164" t="str">
        <f>IFERROR(__xludf.DUMMYFUNCTION("""COMPUTED_VALUE"""),"14936019XXXXXL")</f>
        <v>14936019XXXXXL</v>
      </c>
      <c r="D210" s="164" t="str">
        <f>IFERROR(__xludf.DUMMYFUNCTION("""COMPUTED_VALUE"""),"XXXXXL")</f>
        <v>XXXXXL</v>
      </c>
      <c r="E210" s="164" t="str">
        <f>IFERROR(__xludf.DUMMYFUNCTION("""COMPUTED_VALUE"""),"XXXXXL")</f>
        <v>XXXXXL</v>
      </c>
      <c r="F210" s="133" t="str">
        <f>IFERROR(__xludf.DUMMYFUNCTION("""COMPUTED_VALUE"""),"V40022SLMXXXXXL")</f>
        <v>V40022SLMXXXXXL</v>
      </c>
      <c r="G210" s="165">
        <f>IFERROR(__xludf.DUMMYFUNCTION("""COMPUTED_VALUE"""),1788.0)</f>
        <v>1788</v>
      </c>
    </row>
    <row r="211" ht="15.75" customHeight="1">
      <c r="A211" s="133" t="str">
        <f>IFERROR(__xludf.DUMMYFUNCTION("""COMPUTED_VALUE"""),"PL00137DGW")</f>
        <v>PL00137DGW</v>
      </c>
      <c r="B211" s="164">
        <f>IFERROR(__xludf.DUMMYFUNCTION("""COMPUTED_VALUE"""),1.3629036E7)</f>
        <v>13629036</v>
      </c>
      <c r="C211" s="164" t="str">
        <f>IFERROR(__xludf.DUMMYFUNCTION("""COMPUTED_VALUE"""),"1362903642")</f>
        <v>1362903642</v>
      </c>
      <c r="D211" s="164" t="str">
        <f>IFERROR(__xludf.DUMMYFUNCTION("""COMPUTED_VALUE"""),"XXXXXL")</f>
        <v>XXXXXL</v>
      </c>
      <c r="E211" s="164" t="str">
        <f>IFERROR(__xludf.DUMMYFUNCTION("""COMPUTED_VALUE"""),"42")</f>
        <v>42</v>
      </c>
      <c r="F211" s="133" t="str">
        <f>IFERROR(__xludf.DUMMYFUNCTION("""COMPUTED_VALUE"""),"PL00137DGW42")</f>
        <v>PL00137DGW42</v>
      </c>
      <c r="G211" s="165">
        <f>IFERROR(__xludf.DUMMYFUNCTION("""COMPUTED_VALUE"""),592.0)</f>
        <v>592</v>
      </c>
    </row>
    <row r="212" ht="15.75" customHeight="1">
      <c r="A212" s="133" t="str">
        <f>IFERROR(__xludf.DUMMYFUNCTION("""COMPUTED_VALUE"""),"PL00137DGW")</f>
        <v>PL00137DGW</v>
      </c>
      <c r="B212" s="164">
        <f>IFERROR(__xludf.DUMMYFUNCTION("""COMPUTED_VALUE"""),1.3629036E7)</f>
        <v>13629036</v>
      </c>
      <c r="C212" s="164" t="str">
        <f>IFERROR(__xludf.DUMMYFUNCTION("""COMPUTED_VALUE"""),"1362903644")</f>
        <v>1362903644</v>
      </c>
      <c r="D212" s="164" t="str">
        <f>IFERROR(__xludf.DUMMYFUNCTION("""COMPUTED_VALUE"""),"XXXXXL")</f>
        <v>XXXXXL</v>
      </c>
      <c r="E212" s="164" t="str">
        <f>IFERROR(__xludf.DUMMYFUNCTION("""COMPUTED_VALUE"""),"44")</f>
        <v>44</v>
      </c>
      <c r="F212" s="133" t="str">
        <f>IFERROR(__xludf.DUMMYFUNCTION("""COMPUTED_VALUE"""),"PL00137DGW44")</f>
        <v>PL00137DGW44</v>
      </c>
      <c r="G212" s="165">
        <f>IFERROR(__xludf.DUMMYFUNCTION("""COMPUTED_VALUE"""),592.0)</f>
        <v>592</v>
      </c>
    </row>
    <row r="213" ht="15.75" customHeight="1">
      <c r="A213" s="133" t="str">
        <f>IFERROR(__xludf.DUMMYFUNCTION("""COMPUTED_VALUE"""),"PL00137DGW")</f>
        <v>PL00137DGW</v>
      </c>
      <c r="B213" s="164">
        <f>IFERROR(__xludf.DUMMYFUNCTION("""COMPUTED_VALUE"""),1.3629036E7)</f>
        <v>13629036</v>
      </c>
      <c r="C213" s="164" t="str">
        <f>IFERROR(__xludf.DUMMYFUNCTION("""COMPUTED_VALUE"""),"1362903646")</f>
        <v>1362903646</v>
      </c>
      <c r="D213" s="164" t="str">
        <f>IFERROR(__xludf.DUMMYFUNCTION("""COMPUTED_VALUE"""),"XXXXXL")</f>
        <v>XXXXXL</v>
      </c>
      <c r="E213" s="164" t="str">
        <f>IFERROR(__xludf.DUMMYFUNCTION("""COMPUTED_VALUE"""),"46")</f>
        <v>46</v>
      </c>
      <c r="F213" s="133" t="str">
        <f>IFERROR(__xludf.DUMMYFUNCTION("""COMPUTED_VALUE"""),"PL00137DGW46")</f>
        <v>PL00137DGW46</v>
      </c>
      <c r="G213" s="165">
        <f>IFERROR(__xludf.DUMMYFUNCTION("""COMPUTED_VALUE"""),592.0)</f>
        <v>592</v>
      </c>
    </row>
    <row r="214" ht="15.75" customHeight="1">
      <c r="A214" s="133" t="str">
        <f>IFERROR(__xludf.DUMMYFUNCTION("""COMPUTED_VALUE"""),"PL00137DGW")</f>
        <v>PL00137DGW</v>
      </c>
      <c r="B214" s="164">
        <f>IFERROR(__xludf.DUMMYFUNCTION("""COMPUTED_VALUE"""),1.3629036E7)</f>
        <v>13629036</v>
      </c>
      <c r="C214" s="164" t="str">
        <f>IFERROR(__xludf.DUMMYFUNCTION("""COMPUTED_VALUE"""),"1362903648")</f>
        <v>1362903648</v>
      </c>
      <c r="D214" s="164" t="str">
        <f>IFERROR(__xludf.DUMMYFUNCTION("""COMPUTED_VALUE"""),"XXXXXL")</f>
        <v>XXXXXL</v>
      </c>
      <c r="E214" s="164" t="str">
        <f>IFERROR(__xludf.DUMMYFUNCTION("""COMPUTED_VALUE"""),"48")</f>
        <v>48</v>
      </c>
      <c r="F214" s="133" t="str">
        <f>IFERROR(__xludf.DUMMYFUNCTION("""COMPUTED_VALUE"""),"PL00137DGW48")</f>
        <v>PL00137DGW48</v>
      </c>
      <c r="G214" s="165">
        <f>IFERROR(__xludf.DUMMYFUNCTION("""COMPUTED_VALUE"""),592.0)</f>
        <v>592</v>
      </c>
    </row>
    <row r="215" ht="15.75" customHeight="1">
      <c r="A215" s="133" t="str">
        <f>IFERROR(__xludf.DUMMYFUNCTION("""COMPUTED_VALUE"""),"PL00137DGW")</f>
        <v>PL00137DGW</v>
      </c>
      <c r="B215" s="164">
        <f>IFERROR(__xludf.DUMMYFUNCTION("""COMPUTED_VALUE"""),1.3629036E7)</f>
        <v>13629036</v>
      </c>
      <c r="C215" s="164" t="str">
        <f>IFERROR(__xludf.DUMMYFUNCTION("""COMPUTED_VALUE"""),"1362903650")</f>
        <v>1362903650</v>
      </c>
      <c r="D215" s="133"/>
      <c r="E215" s="164" t="str">
        <f>IFERROR(__xludf.DUMMYFUNCTION("""COMPUTED_VALUE"""),"50")</f>
        <v>50</v>
      </c>
      <c r="F215" s="133" t="str">
        <f>IFERROR(__xludf.DUMMYFUNCTION("""COMPUTED_VALUE"""),"PL00137DGW50")</f>
        <v>PL00137DGW50</v>
      </c>
      <c r="G215" s="165">
        <f>IFERROR(__xludf.DUMMYFUNCTION("""COMPUTED_VALUE"""),592.0)</f>
        <v>592</v>
      </c>
    </row>
    <row r="216" ht="15.75" customHeight="1">
      <c r="A216" s="133" t="str">
        <f>IFERROR(__xludf.DUMMYFUNCTION("""COMPUTED_VALUE"""),"PL00137DGW")</f>
        <v>PL00137DGW</v>
      </c>
      <c r="B216" s="164">
        <f>IFERROR(__xludf.DUMMYFUNCTION("""COMPUTED_VALUE"""),1.3629036E7)</f>
        <v>13629036</v>
      </c>
      <c r="C216" s="164" t="str">
        <f>IFERROR(__xludf.DUMMYFUNCTION("""COMPUTED_VALUE"""),"1362903652")</f>
        <v>1362903652</v>
      </c>
      <c r="D216" s="133"/>
      <c r="E216" s="164" t="str">
        <f>IFERROR(__xludf.DUMMYFUNCTION("""COMPUTED_VALUE"""),"52")</f>
        <v>52</v>
      </c>
      <c r="F216" s="133" t="str">
        <f>IFERROR(__xludf.DUMMYFUNCTION("""COMPUTED_VALUE"""),"PL00137DGW52")</f>
        <v>PL00137DGW52</v>
      </c>
      <c r="G216" s="165">
        <f>IFERROR(__xludf.DUMMYFUNCTION("""COMPUTED_VALUE"""),592.0)</f>
        <v>592</v>
      </c>
    </row>
    <row r="217" ht="15.75" customHeight="1">
      <c r="A217" s="133" t="str">
        <f>IFERROR(__xludf.DUMMYFUNCTION("""COMPUTED_VALUE"""),"PL00137DGW")</f>
        <v>PL00137DGW</v>
      </c>
      <c r="B217" s="164">
        <f>IFERROR(__xludf.DUMMYFUNCTION("""COMPUTED_VALUE"""),1.3629036E7)</f>
        <v>13629036</v>
      </c>
      <c r="C217" s="164" t="str">
        <f>IFERROR(__xludf.DUMMYFUNCTION("""COMPUTED_VALUE"""),"1362903654")</f>
        <v>1362903654</v>
      </c>
      <c r="D217" s="133"/>
      <c r="E217" s="164" t="str">
        <f>IFERROR(__xludf.DUMMYFUNCTION("""COMPUTED_VALUE"""),"54")</f>
        <v>54</v>
      </c>
      <c r="F217" s="133" t="str">
        <f>IFERROR(__xludf.DUMMYFUNCTION("""COMPUTED_VALUE"""),"PL00137DGW54")</f>
        <v>PL00137DGW54</v>
      </c>
      <c r="G217" s="165">
        <f>IFERROR(__xludf.DUMMYFUNCTION("""COMPUTED_VALUE"""),592.0)</f>
        <v>592</v>
      </c>
    </row>
    <row r="218" ht="15.75" customHeight="1">
      <c r="A218" s="133" t="str">
        <f>IFERROR(__xludf.DUMMYFUNCTION("""COMPUTED_VALUE"""),"PL00138DGW")</f>
        <v>PL00138DGW</v>
      </c>
      <c r="B218" s="164">
        <f>IFERROR(__xludf.DUMMYFUNCTION("""COMPUTED_VALUE"""),1.3629037E7)</f>
        <v>13629037</v>
      </c>
      <c r="C218" s="164" t="str">
        <f>IFERROR(__xludf.DUMMYFUNCTION("""COMPUTED_VALUE"""),"1362903742")</f>
        <v>1362903742</v>
      </c>
      <c r="D218" s="164" t="str">
        <f>IFERROR(__xludf.DUMMYFUNCTION("""COMPUTED_VALUE"""),"XXXXXL")</f>
        <v>XXXXXL</v>
      </c>
      <c r="E218" s="164" t="str">
        <f>IFERROR(__xludf.DUMMYFUNCTION("""COMPUTED_VALUE"""),"42")</f>
        <v>42</v>
      </c>
      <c r="F218" s="133" t="str">
        <f>IFERROR(__xludf.DUMMYFUNCTION("""COMPUTED_VALUE"""),"PL00138DGW42")</f>
        <v>PL00138DGW42</v>
      </c>
      <c r="G218" s="165">
        <f>IFERROR(__xludf.DUMMYFUNCTION("""COMPUTED_VALUE"""),775.0)</f>
        <v>775</v>
      </c>
    </row>
    <row r="219" ht="15.75" customHeight="1">
      <c r="A219" s="133" t="str">
        <f>IFERROR(__xludf.DUMMYFUNCTION("""COMPUTED_VALUE"""),"PL00138DGW")</f>
        <v>PL00138DGW</v>
      </c>
      <c r="B219" s="164">
        <f>IFERROR(__xludf.DUMMYFUNCTION("""COMPUTED_VALUE"""),1.3629037E7)</f>
        <v>13629037</v>
      </c>
      <c r="C219" s="164" t="str">
        <f>IFERROR(__xludf.DUMMYFUNCTION("""COMPUTED_VALUE"""),"1362903744")</f>
        <v>1362903744</v>
      </c>
      <c r="D219" s="164" t="str">
        <f>IFERROR(__xludf.DUMMYFUNCTION("""COMPUTED_VALUE"""),"XXXXXL")</f>
        <v>XXXXXL</v>
      </c>
      <c r="E219" s="164" t="str">
        <f>IFERROR(__xludf.DUMMYFUNCTION("""COMPUTED_VALUE"""),"44")</f>
        <v>44</v>
      </c>
      <c r="F219" s="133" t="str">
        <f>IFERROR(__xludf.DUMMYFUNCTION("""COMPUTED_VALUE"""),"PL00138DGW44")</f>
        <v>PL00138DGW44</v>
      </c>
      <c r="G219" s="165">
        <f>IFERROR(__xludf.DUMMYFUNCTION("""COMPUTED_VALUE"""),775.0)</f>
        <v>775</v>
      </c>
    </row>
    <row r="220" ht="15.75" customHeight="1">
      <c r="A220" s="133" t="str">
        <f>IFERROR(__xludf.DUMMYFUNCTION("""COMPUTED_VALUE"""),"PL00138DGW")</f>
        <v>PL00138DGW</v>
      </c>
      <c r="B220" s="164">
        <f>IFERROR(__xludf.DUMMYFUNCTION("""COMPUTED_VALUE"""),1.3629037E7)</f>
        <v>13629037</v>
      </c>
      <c r="C220" s="164" t="str">
        <f>IFERROR(__xludf.DUMMYFUNCTION("""COMPUTED_VALUE"""),"1362903746")</f>
        <v>1362903746</v>
      </c>
      <c r="D220" s="164" t="str">
        <f>IFERROR(__xludf.DUMMYFUNCTION("""COMPUTED_VALUE"""),"XXXXXL")</f>
        <v>XXXXXL</v>
      </c>
      <c r="E220" s="164" t="str">
        <f>IFERROR(__xludf.DUMMYFUNCTION("""COMPUTED_VALUE"""),"46")</f>
        <v>46</v>
      </c>
      <c r="F220" s="133" t="str">
        <f>IFERROR(__xludf.DUMMYFUNCTION("""COMPUTED_VALUE"""),"PL00138DGW46")</f>
        <v>PL00138DGW46</v>
      </c>
      <c r="G220" s="165">
        <f>IFERROR(__xludf.DUMMYFUNCTION("""COMPUTED_VALUE"""),775.0)</f>
        <v>775</v>
      </c>
    </row>
    <row r="221" ht="15.75" customHeight="1">
      <c r="A221" s="133" t="str">
        <f>IFERROR(__xludf.DUMMYFUNCTION("""COMPUTED_VALUE"""),"PL00138DGW")</f>
        <v>PL00138DGW</v>
      </c>
      <c r="B221" s="164">
        <f>IFERROR(__xludf.DUMMYFUNCTION("""COMPUTED_VALUE"""),1.3629037E7)</f>
        <v>13629037</v>
      </c>
      <c r="C221" s="164" t="str">
        <f>IFERROR(__xludf.DUMMYFUNCTION("""COMPUTED_VALUE"""),"1362903748")</f>
        <v>1362903748</v>
      </c>
      <c r="D221" s="164" t="str">
        <f>IFERROR(__xludf.DUMMYFUNCTION("""COMPUTED_VALUE"""),"XXXXXL")</f>
        <v>XXXXXL</v>
      </c>
      <c r="E221" s="164" t="str">
        <f>IFERROR(__xludf.DUMMYFUNCTION("""COMPUTED_VALUE"""),"48")</f>
        <v>48</v>
      </c>
      <c r="F221" s="133" t="str">
        <f>IFERROR(__xludf.DUMMYFUNCTION("""COMPUTED_VALUE"""),"PL00138DGW48")</f>
        <v>PL00138DGW48</v>
      </c>
      <c r="G221" s="165">
        <f>IFERROR(__xludf.DUMMYFUNCTION("""COMPUTED_VALUE"""),775.0)</f>
        <v>775</v>
      </c>
    </row>
    <row r="222" ht="15.75" customHeight="1">
      <c r="A222" s="133" t="str">
        <f>IFERROR(__xludf.DUMMYFUNCTION("""COMPUTED_VALUE"""),"PL50145DGW")</f>
        <v>PL50145DGW</v>
      </c>
      <c r="B222" s="164">
        <f>IFERROR(__xludf.DUMMYFUNCTION("""COMPUTED_VALUE"""),1.462044E7)</f>
        <v>14620440</v>
      </c>
      <c r="C222" s="164" t="str">
        <f>IFERROR(__xludf.DUMMYFUNCTION("""COMPUTED_VALUE"""),"1462044042")</f>
        <v>1462044042</v>
      </c>
      <c r="D222" s="164" t="str">
        <f>IFERROR(__xludf.DUMMYFUNCTION("""COMPUTED_VALUE"""),"XXXXXL")</f>
        <v>XXXXXL</v>
      </c>
      <c r="E222" s="164" t="str">
        <f>IFERROR(__xludf.DUMMYFUNCTION("""COMPUTED_VALUE"""),"42")</f>
        <v>42</v>
      </c>
      <c r="F222" s="133" t="str">
        <f>IFERROR(__xludf.DUMMYFUNCTION("""COMPUTED_VALUE"""),"PL50145DGW42")</f>
        <v>PL50145DGW42</v>
      </c>
      <c r="G222" s="165">
        <f>IFERROR(__xludf.DUMMYFUNCTION("""COMPUTED_VALUE"""),631.0)</f>
        <v>631</v>
      </c>
    </row>
    <row r="223" ht="15.75" customHeight="1">
      <c r="A223" s="133" t="str">
        <f>IFERROR(__xludf.DUMMYFUNCTION("""COMPUTED_VALUE"""),"PL50145DGW")</f>
        <v>PL50145DGW</v>
      </c>
      <c r="B223" s="164">
        <f>IFERROR(__xludf.DUMMYFUNCTION("""COMPUTED_VALUE"""),1.462044E7)</f>
        <v>14620440</v>
      </c>
      <c r="C223" s="164" t="str">
        <f>IFERROR(__xludf.DUMMYFUNCTION("""COMPUTED_VALUE"""),"1462044044")</f>
        <v>1462044044</v>
      </c>
      <c r="D223" s="164" t="str">
        <f>IFERROR(__xludf.DUMMYFUNCTION("""COMPUTED_VALUE"""),"XXXXXL")</f>
        <v>XXXXXL</v>
      </c>
      <c r="E223" s="164" t="str">
        <f>IFERROR(__xludf.DUMMYFUNCTION("""COMPUTED_VALUE"""),"44")</f>
        <v>44</v>
      </c>
      <c r="F223" s="133" t="str">
        <f>IFERROR(__xludf.DUMMYFUNCTION("""COMPUTED_VALUE"""),"PL50145DGW44")</f>
        <v>PL50145DGW44</v>
      </c>
      <c r="G223" s="165">
        <f>IFERROR(__xludf.DUMMYFUNCTION("""COMPUTED_VALUE"""),631.0)</f>
        <v>631</v>
      </c>
    </row>
    <row r="224" ht="15.75" customHeight="1">
      <c r="A224" s="133" t="str">
        <f>IFERROR(__xludf.DUMMYFUNCTION("""COMPUTED_VALUE"""),"PL50145DGW")</f>
        <v>PL50145DGW</v>
      </c>
      <c r="B224" s="164">
        <f>IFERROR(__xludf.DUMMYFUNCTION("""COMPUTED_VALUE"""),1.462044E7)</f>
        <v>14620440</v>
      </c>
      <c r="C224" s="164" t="str">
        <f>IFERROR(__xludf.DUMMYFUNCTION("""COMPUTED_VALUE"""),"1462044046")</f>
        <v>1462044046</v>
      </c>
      <c r="D224" s="164" t="str">
        <f>IFERROR(__xludf.DUMMYFUNCTION("""COMPUTED_VALUE"""),"XXXXXL")</f>
        <v>XXXXXL</v>
      </c>
      <c r="E224" s="164" t="str">
        <f>IFERROR(__xludf.DUMMYFUNCTION("""COMPUTED_VALUE"""),"46")</f>
        <v>46</v>
      </c>
      <c r="F224" s="133" t="str">
        <f>IFERROR(__xludf.DUMMYFUNCTION("""COMPUTED_VALUE"""),"PL50145DGW46")</f>
        <v>PL50145DGW46</v>
      </c>
      <c r="G224" s="165">
        <f>IFERROR(__xludf.DUMMYFUNCTION("""COMPUTED_VALUE"""),631.0)</f>
        <v>631</v>
      </c>
    </row>
    <row r="225" ht="15.75" customHeight="1">
      <c r="A225" s="133" t="str">
        <f>IFERROR(__xludf.DUMMYFUNCTION("""COMPUTED_VALUE"""),"PL50145DGW")</f>
        <v>PL50145DGW</v>
      </c>
      <c r="B225" s="164">
        <f>IFERROR(__xludf.DUMMYFUNCTION("""COMPUTED_VALUE"""),1.462044E7)</f>
        <v>14620440</v>
      </c>
      <c r="C225" s="164" t="str">
        <f>IFERROR(__xludf.DUMMYFUNCTION("""COMPUTED_VALUE"""),"1462044048")</f>
        <v>1462044048</v>
      </c>
      <c r="D225" s="164" t="str">
        <f>IFERROR(__xludf.DUMMYFUNCTION("""COMPUTED_VALUE"""),"XXXXXL")</f>
        <v>XXXXXL</v>
      </c>
      <c r="E225" s="164" t="str">
        <f>IFERROR(__xludf.DUMMYFUNCTION("""COMPUTED_VALUE"""),"48")</f>
        <v>48</v>
      </c>
      <c r="F225" s="133" t="str">
        <f>IFERROR(__xludf.DUMMYFUNCTION("""COMPUTED_VALUE"""),"PL50145DGW48")</f>
        <v>PL50145DGW48</v>
      </c>
      <c r="G225" s="165">
        <f>IFERROR(__xludf.DUMMYFUNCTION("""COMPUTED_VALUE"""),631.0)</f>
        <v>631</v>
      </c>
    </row>
    <row r="226" ht="15.75" customHeight="1">
      <c r="A226" s="133" t="str">
        <f>IFERROR(__xludf.DUMMYFUNCTION("""COMPUTED_VALUE"""),"PL50145DGW")</f>
        <v>PL50145DGW</v>
      </c>
      <c r="B226" s="164">
        <f>IFERROR(__xludf.DUMMYFUNCTION("""COMPUTED_VALUE"""),1.462044E7)</f>
        <v>14620440</v>
      </c>
      <c r="C226" s="164" t="str">
        <f>IFERROR(__xludf.DUMMYFUNCTION("""COMPUTED_VALUE"""),"1462044050")</f>
        <v>1462044050</v>
      </c>
      <c r="D226" s="133"/>
      <c r="E226" s="164" t="str">
        <f>IFERROR(__xludf.DUMMYFUNCTION("""COMPUTED_VALUE"""),"50")</f>
        <v>50</v>
      </c>
      <c r="F226" s="133" t="str">
        <f>IFERROR(__xludf.DUMMYFUNCTION("""COMPUTED_VALUE"""),"PL50145DGW50")</f>
        <v>PL50145DGW50</v>
      </c>
      <c r="G226" s="165">
        <f>IFERROR(__xludf.DUMMYFUNCTION("""COMPUTED_VALUE"""),631.0)</f>
        <v>631</v>
      </c>
    </row>
    <row r="227" ht="15.75" customHeight="1">
      <c r="A227" s="133" t="str">
        <f>IFERROR(__xludf.DUMMYFUNCTION("""COMPUTED_VALUE"""),"PL50145DGW")</f>
        <v>PL50145DGW</v>
      </c>
      <c r="B227" s="164">
        <f>IFERROR(__xludf.DUMMYFUNCTION("""COMPUTED_VALUE"""),1.462044E7)</f>
        <v>14620440</v>
      </c>
      <c r="C227" s="164" t="str">
        <f>IFERROR(__xludf.DUMMYFUNCTION("""COMPUTED_VALUE"""),"1462044052")</f>
        <v>1462044052</v>
      </c>
      <c r="D227" s="133"/>
      <c r="E227" s="164" t="str">
        <f>IFERROR(__xludf.DUMMYFUNCTION("""COMPUTED_VALUE"""),"52")</f>
        <v>52</v>
      </c>
      <c r="F227" s="133" t="str">
        <f>IFERROR(__xludf.DUMMYFUNCTION("""COMPUTED_VALUE"""),"PL50145DGW52")</f>
        <v>PL50145DGW52</v>
      </c>
      <c r="G227" s="165">
        <f>IFERROR(__xludf.DUMMYFUNCTION("""COMPUTED_VALUE"""),631.0)</f>
        <v>631</v>
      </c>
    </row>
    <row r="228" ht="15.75" customHeight="1">
      <c r="A228" s="133" t="str">
        <f>IFERROR(__xludf.DUMMYFUNCTION("""COMPUTED_VALUE"""),"PL50145DGW")</f>
        <v>PL50145DGW</v>
      </c>
      <c r="B228" s="164">
        <f>IFERROR(__xludf.DUMMYFUNCTION("""COMPUTED_VALUE"""),1.462044E7)</f>
        <v>14620440</v>
      </c>
      <c r="C228" s="164" t="str">
        <f>IFERROR(__xludf.DUMMYFUNCTION("""COMPUTED_VALUE"""),"1462044054")</f>
        <v>1462044054</v>
      </c>
      <c r="D228" s="133"/>
      <c r="E228" s="164" t="str">
        <f>IFERROR(__xludf.DUMMYFUNCTION("""COMPUTED_VALUE"""),"54")</f>
        <v>54</v>
      </c>
      <c r="F228" s="133" t="str">
        <f>IFERROR(__xludf.DUMMYFUNCTION("""COMPUTED_VALUE"""),"PL50145DGW54")</f>
        <v>PL50145DGW54</v>
      </c>
      <c r="G228" s="165">
        <f>IFERROR(__xludf.DUMMYFUNCTION("""COMPUTED_VALUE"""),631.0)</f>
        <v>631</v>
      </c>
    </row>
    <row r="229" ht="15.75" customHeight="1">
      <c r="A229" s="133" t="str">
        <f>IFERROR(__xludf.DUMMYFUNCTION("""COMPUTED_VALUE"""),"PL50146DGW")</f>
        <v>PL50146DGW</v>
      </c>
      <c r="B229" s="164">
        <f>IFERROR(__xludf.DUMMYFUNCTION("""COMPUTED_VALUE"""),1.5164586E7)</f>
        <v>15164586</v>
      </c>
      <c r="C229" s="164" t="str">
        <f>IFERROR(__xludf.DUMMYFUNCTION("""COMPUTED_VALUE"""),"1516458642")</f>
        <v>1516458642</v>
      </c>
      <c r="D229" s="164" t="str">
        <f>IFERROR(__xludf.DUMMYFUNCTION("""COMPUTED_VALUE"""),"XXXXXL")</f>
        <v>XXXXXL</v>
      </c>
      <c r="E229" s="164" t="str">
        <f>IFERROR(__xludf.DUMMYFUNCTION("""COMPUTED_VALUE"""),"42")</f>
        <v>42</v>
      </c>
      <c r="F229" s="133" t="str">
        <f>IFERROR(__xludf.DUMMYFUNCTION("""COMPUTED_VALUE"""),"PL50146DGW42")</f>
        <v>PL50146DGW42</v>
      </c>
      <c r="G229" s="165">
        <f>IFERROR(__xludf.DUMMYFUNCTION("""COMPUTED_VALUE"""),680.0)</f>
        <v>680</v>
      </c>
    </row>
    <row r="230" ht="15.75" customHeight="1">
      <c r="A230" s="133" t="str">
        <f>IFERROR(__xludf.DUMMYFUNCTION("""COMPUTED_VALUE"""),"PL50146DGW")</f>
        <v>PL50146DGW</v>
      </c>
      <c r="B230" s="164">
        <f>IFERROR(__xludf.DUMMYFUNCTION("""COMPUTED_VALUE"""),1.5164586E7)</f>
        <v>15164586</v>
      </c>
      <c r="C230" s="164" t="str">
        <f>IFERROR(__xludf.DUMMYFUNCTION("""COMPUTED_VALUE"""),"1516458644")</f>
        <v>1516458644</v>
      </c>
      <c r="D230" s="164" t="str">
        <f>IFERROR(__xludf.DUMMYFUNCTION("""COMPUTED_VALUE"""),"XXXXXL")</f>
        <v>XXXXXL</v>
      </c>
      <c r="E230" s="164" t="str">
        <f>IFERROR(__xludf.DUMMYFUNCTION("""COMPUTED_VALUE"""),"44")</f>
        <v>44</v>
      </c>
      <c r="F230" s="133" t="str">
        <f>IFERROR(__xludf.DUMMYFUNCTION("""COMPUTED_VALUE"""),"PL50146DGW44")</f>
        <v>PL50146DGW44</v>
      </c>
      <c r="G230" s="165">
        <f>IFERROR(__xludf.DUMMYFUNCTION("""COMPUTED_VALUE"""),680.0)</f>
        <v>680</v>
      </c>
    </row>
    <row r="231" ht="15.75" customHeight="1">
      <c r="A231" s="133" t="str">
        <f>IFERROR(__xludf.DUMMYFUNCTION("""COMPUTED_VALUE"""),"PL50146DGW")</f>
        <v>PL50146DGW</v>
      </c>
      <c r="B231" s="164">
        <f>IFERROR(__xludf.DUMMYFUNCTION("""COMPUTED_VALUE"""),1.5164586E7)</f>
        <v>15164586</v>
      </c>
      <c r="C231" s="164" t="str">
        <f>IFERROR(__xludf.DUMMYFUNCTION("""COMPUTED_VALUE"""),"1516458646")</f>
        <v>1516458646</v>
      </c>
      <c r="D231" s="164" t="str">
        <f>IFERROR(__xludf.DUMMYFUNCTION("""COMPUTED_VALUE"""),"XXXXXL")</f>
        <v>XXXXXL</v>
      </c>
      <c r="E231" s="164" t="str">
        <f>IFERROR(__xludf.DUMMYFUNCTION("""COMPUTED_VALUE"""),"46")</f>
        <v>46</v>
      </c>
      <c r="F231" s="133" t="str">
        <f>IFERROR(__xludf.DUMMYFUNCTION("""COMPUTED_VALUE"""),"PL50146DGW46")</f>
        <v>PL50146DGW46</v>
      </c>
      <c r="G231" s="165">
        <f>IFERROR(__xludf.DUMMYFUNCTION("""COMPUTED_VALUE"""),680.0)</f>
        <v>680</v>
      </c>
    </row>
    <row r="232" ht="15.75" customHeight="1">
      <c r="A232" s="133" t="str">
        <f>IFERROR(__xludf.DUMMYFUNCTION("""COMPUTED_VALUE"""),"PL50146DGW")</f>
        <v>PL50146DGW</v>
      </c>
      <c r="B232" s="164">
        <f>IFERROR(__xludf.DUMMYFUNCTION("""COMPUTED_VALUE"""),1.5164586E7)</f>
        <v>15164586</v>
      </c>
      <c r="C232" s="164" t="str">
        <f>IFERROR(__xludf.DUMMYFUNCTION("""COMPUTED_VALUE"""),"1516458648")</f>
        <v>1516458648</v>
      </c>
      <c r="D232" s="164" t="str">
        <f>IFERROR(__xludf.DUMMYFUNCTION("""COMPUTED_VALUE"""),"XXXXXL")</f>
        <v>XXXXXL</v>
      </c>
      <c r="E232" s="164" t="str">
        <f>IFERROR(__xludf.DUMMYFUNCTION("""COMPUTED_VALUE"""),"48")</f>
        <v>48</v>
      </c>
      <c r="F232" s="133" t="str">
        <f>IFERROR(__xludf.DUMMYFUNCTION("""COMPUTED_VALUE"""),"PL50146DGW48")</f>
        <v>PL50146DGW48</v>
      </c>
      <c r="G232" s="165">
        <f>IFERROR(__xludf.DUMMYFUNCTION("""COMPUTED_VALUE"""),680.0)</f>
        <v>680</v>
      </c>
    </row>
    <row r="233" ht="15.75" customHeight="1">
      <c r="A233" s="133" t="str">
        <f>IFERROR(__xludf.DUMMYFUNCTION("""COMPUTED_VALUE"""),"PL50142DGW")</f>
        <v>PL50142DGW</v>
      </c>
      <c r="B233" s="164">
        <f>IFERROR(__xludf.DUMMYFUNCTION("""COMPUTED_VALUE"""),1.5264687E7)</f>
        <v>15264687</v>
      </c>
      <c r="C233" s="164" t="str">
        <f>IFERROR(__xludf.DUMMYFUNCTION("""COMPUTED_VALUE"""),"1526468742")</f>
        <v>1526468742</v>
      </c>
      <c r="D233" s="164" t="str">
        <f>IFERROR(__xludf.DUMMYFUNCTION("""COMPUTED_VALUE"""),"XXXXXL")</f>
        <v>XXXXXL</v>
      </c>
      <c r="E233" s="164" t="str">
        <f>IFERROR(__xludf.DUMMYFUNCTION("""COMPUTED_VALUE"""),"42")</f>
        <v>42</v>
      </c>
      <c r="F233" s="133" t="str">
        <f>IFERROR(__xludf.DUMMYFUNCTION("""COMPUTED_VALUE"""),"PL50142DGW42")</f>
        <v>PL50142DGW42</v>
      </c>
      <c r="G233" s="165">
        <f>IFERROR(__xludf.DUMMYFUNCTION("""COMPUTED_VALUE"""),715.0)</f>
        <v>715</v>
      </c>
    </row>
    <row r="234" ht="15.75" customHeight="1">
      <c r="A234" s="133" t="str">
        <f>IFERROR(__xludf.DUMMYFUNCTION("""COMPUTED_VALUE"""),"PL50142DGW")</f>
        <v>PL50142DGW</v>
      </c>
      <c r="B234" s="164">
        <f>IFERROR(__xludf.DUMMYFUNCTION("""COMPUTED_VALUE"""),1.5264687E7)</f>
        <v>15264687</v>
      </c>
      <c r="C234" s="164" t="str">
        <f>IFERROR(__xludf.DUMMYFUNCTION("""COMPUTED_VALUE"""),"1526468744")</f>
        <v>1526468744</v>
      </c>
      <c r="D234" s="164" t="str">
        <f>IFERROR(__xludf.DUMMYFUNCTION("""COMPUTED_VALUE"""),"XXXXXL")</f>
        <v>XXXXXL</v>
      </c>
      <c r="E234" s="164" t="str">
        <f>IFERROR(__xludf.DUMMYFUNCTION("""COMPUTED_VALUE"""),"44")</f>
        <v>44</v>
      </c>
      <c r="F234" s="133" t="str">
        <f>IFERROR(__xludf.DUMMYFUNCTION("""COMPUTED_VALUE"""),"PL50142DGW44")</f>
        <v>PL50142DGW44</v>
      </c>
      <c r="G234" s="165">
        <f>IFERROR(__xludf.DUMMYFUNCTION("""COMPUTED_VALUE"""),715.0)</f>
        <v>715</v>
      </c>
    </row>
    <row r="235" ht="15.75" customHeight="1">
      <c r="A235" s="133" t="str">
        <f>IFERROR(__xludf.DUMMYFUNCTION("""COMPUTED_VALUE"""),"PL50142DGW")</f>
        <v>PL50142DGW</v>
      </c>
      <c r="B235" s="164">
        <f>IFERROR(__xludf.DUMMYFUNCTION("""COMPUTED_VALUE"""),1.5264687E7)</f>
        <v>15264687</v>
      </c>
      <c r="C235" s="164" t="str">
        <f>IFERROR(__xludf.DUMMYFUNCTION("""COMPUTED_VALUE"""),"1526468746")</f>
        <v>1526468746</v>
      </c>
      <c r="D235" s="164" t="str">
        <f>IFERROR(__xludf.DUMMYFUNCTION("""COMPUTED_VALUE"""),"XXXXXL")</f>
        <v>XXXXXL</v>
      </c>
      <c r="E235" s="164" t="str">
        <f>IFERROR(__xludf.DUMMYFUNCTION("""COMPUTED_VALUE"""),"46")</f>
        <v>46</v>
      </c>
      <c r="F235" s="133" t="str">
        <f>IFERROR(__xludf.DUMMYFUNCTION("""COMPUTED_VALUE"""),"PL50142DGW46")</f>
        <v>PL50142DGW46</v>
      </c>
      <c r="G235" s="165">
        <f>IFERROR(__xludf.DUMMYFUNCTION("""COMPUTED_VALUE"""),715.0)</f>
        <v>715</v>
      </c>
    </row>
    <row r="236" ht="15.75" customHeight="1">
      <c r="A236" s="133" t="str">
        <f>IFERROR(__xludf.DUMMYFUNCTION("""COMPUTED_VALUE"""),"PL50142DGW")</f>
        <v>PL50142DGW</v>
      </c>
      <c r="B236" s="164">
        <f>IFERROR(__xludf.DUMMYFUNCTION("""COMPUTED_VALUE"""),1.5264687E7)</f>
        <v>15264687</v>
      </c>
      <c r="C236" s="164" t="str">
        <f>IFERROR(__xludf.DUMMYFUNCTION("""COMPUTED_VALUE"""),"1526468748")</f>
        <v>1526468748</v>
      </c>
      <c r="D236" s="164" t="str">
        <f>IFERROR(__xludf.DUMMYFUNCTION("""COMPUTED_VALUE"""),"XXXXXL")</f>
        <v>XXXXXL</v>
      </c>
      <c r="E236" s="164" t="str">
        <f>IFERROR(__xludf.DUMMYFUNCTION("""COMPUTED_VALUE"""),"48")</f>
        <v>48</v>
      </c>
      <c r="F236" s="133" t="str">
        <f>IFERROR(__xludf.DUMMYFUNCTION("""COMPUTED_VALUE"""),"PL50142DGW48")</f>
        <v>PL50142DGW48</v>
      </c>
      <c r="G236" s="165">
        <f>IFERROR(__xludf.DUMMYFUNCTION("""COMPUTED_VALUE"""),715.0)</f>
        <v>715</v>
      </c>
    </row>
    <row r="237" ht="15.75" customHeight="1">
      <c r="A237" s="133" t="str">
        <f>IFERROR(__xludf.DUMMYFUNCTION("""COMPUTED_VALUE"""),"PL50143DGW")</f>
        <v>PL50143DGW</v>
      </c>
      <c r="B237" s="164">
        <f>IFERROR(__xludf.DUMMYFUNCTION("""COMPUTED_VALUE"""),1.5264688E7)</f>
        <v>15264688</v>
      </c>
      <c r="C237" s="164" t="str">
        <f>IFERROR(__xludf.DUMMYFUNCTION("""COMPUTED_VALUE"""),"1526468842")</f>
        <v>1526468842</v>
      </c>
      <c r="D237" s="164" t="str">
        <f>IFERROR(__xludf.DUMMYFUNCTION("""COMPUTED_VALUE"""),"XXXXXL")</f>
        <v>XXXXXL</v>
      </c>
      <c r="E237" s="164" t="str">
        <f>IFERROR(__xludf.DUMMYFUNCTION("""COMPUTED_VALUE"""),"42")</f>
        <v>42</v>
      </c>
      <c r="F237" s="133" t="str">
        <f>IFERROR(__xludf.DUMMYFUNCTION("""COMPUTED_VALUE"""),"PL50143DGW42")</f>
        <v>PL50143DGW42</v>
      </c>
      <c r="G237" s="165">
        <f>IFERROR(__xludf.DUMMYFUNCTION("""COMPUTED_VALUE"""),715.0)</f>
        <v>715</v>
      </c>
    </row>
    <row r="238" ht="15.75" customHeight="1">
      <c r="A238" s="133" t="str">
        <f>IFERROR(__xludf.DUMMYFUNCTION("""COMPUTED_VALUE"""),"PL50143DGW")</f>
        <v>PL50143DGW</v>
      </c>
      <c r="B238" s="164">
        <f>IFERROR(__xludf.DUMMYFUNCTION("""COMPUTED_VALUE"""),1.5264688E7)</f>
        <v>15264688</v>
      </c>
      <c r="C238" s="164" t="str">
        <f>IFERROR(__xludf.DUMMYFUNCTION("""COMPUTED_VALUE"""),"1526468844")</f>
        <v>1526468844</v>
      </c>
      <c r="D238" s="164" t="str">
        <f>IFERROR(__xludf.DUMMYFUNCTION("""COMPUTED_VALUE"""),"XXXXXL")</f>
        <v>XXXXXL</v>
      </c>
      <c r="E238" s="164" t="str">
        <f>IFERROR(__xludf.DUMMYFUNCTION("""COMPUTED_VALUE"""),"44")</f>
        <v>44</v>
      </c>
      <c r="F238" s="133" t="str">
        <f>IFERROR(__xludf.DUMMYFUNCTION("""COMPUTED_VALUE"""),"PL50143DGW44")</f>
        <v>PL50143DGW44</v>
      </c>
      <c r="G238" s="165">
        <f>IFERROR(__xludf.DUMMYFUNCTION("""COMPUTED_VALUE"""),715.0)</f>
        <v>715</v>
      </c>
    </row>
    <row r="239" ht="15.75" customHeight="1">
      <c r="A239" s="133" t="str">
        <f>IFERROR(__xludf.DUMMYFUNCTION("""COMPUTED_VALUE"""),"PL50143DGW")</f>
        <v>PL50143DGW</v>
      </c>
      <c r="B239" s="164">
        <f>IFERROR(__xludf.DUMMYFUNCTION("""COMPUTED_VALUE"""),1.5264688E7)</f>
        <v>15264688</v>
      </c>
      <c r="C239" s="164" t="str">
        <f>IFERROR(__xludf.DUMMYFUNCTION("""COMPUTED_VALUE"""),"1526468846")</f>
        <v>1526468846</v>
      </c>
      <c r="D239" s="164" t="str">
        <f>IFERROR(__xludf.DUMMYFUNCTION("""COMPUTED_VALUE"""),"XXXXXL")</f>
        <v>XXXXXL</v>
      </c>
      <c r="E239" s="164" t="str">
        <f>IFERROR(__xludf.DUMMYFUNCTION("""COMPUTED_VALUE"""),"46")</f>
        <v>46</v>
      </c>
      <c r="F239" s="133" t="str">
        <f>IFERROR(__xludf.DUMMYFUNCTION("""COMPUTED_VALUE"""),"PL50143DGW46")</f>
        <v>PL50143DGW46</v>
      </c>
      <c r="G239" s="165">
        <f>IFERROR(__xludf.DUMMYFUNCTION("""COMPUTED_VALUE"""),715.0)</f>
        <v>715</v>
      </c>
    </row>
    <row r="240" ht="15.75" customHeight="1">
      <c r="A240" s="133" t="str">
        <f>IFERROR(__xludf.DUMMYFUNCTION("""COMPUTED_VALUE"""),"PL50143DGW")</f>
        <v>PL50143DGW</v>
      </c>
      <c r="B240" s="164">
        <f>IFERROR(__xludf.DUMMYFUNCTION("""COMPUTED_VALUE"""),1.5264688E7)</f>
        <v>15264688</v>
      </c>
      <c r="C240" s="164" t="str">
        <f>IFERROR(__xludf.DUMMYFUNCTION("""COMPUTED_VALUE"""),"1526468848")</f>
        <v>1526468848</v>
      </c>
      <c r="D240" s="164" t="str">
        <f>IFERROR(__xludf.DUMMYFUNCTION("""COMPUTED_VALUE"""),"XXXXXL")</f>
        <v>XXXXXL</v>
      </c>
      <c r="E240" s="164" t="str">
        <f>IFERROR(__xludf.DUMMYFUNCTION("""COMPUTED_VALUE"""),"48")</f>
        <v>48</v>
      </c>
      <c r="F240" s="133" t="str">
        <f>IFERROR(__xludf.DUMMYFUNCTION("""COMPUTED_VALUE"""),"PL50143DGW48")</f>
        <v>PL50143DGW48</v>
      </c>
      <c r="G240" s="165">
        <f>IFERROR(__xludf.DUMMYFUNCTION("""COMPUTED_VALUE"""),715.0)</f>
        <v>715</v>
      </c>
    </row>
    <row r="241" ht="15.75" customHeight="1">
      <c r="A241" s="133" t="str">
        <f>IFERROR(__xludf.DUMMYFUNCTION("""COMPUTED_VALUE"""),"PL50144DGW")</f>
        <v>PL50144DGW</v>
      </c>
      <c r="B241" s="164">
        <f>IFERROR(__xludf.DUMMYFUNCTION("""COMPUTED_VALUE"""),1.5264689E7)</f>
        <v>15264689</v>
      </c>
      <c r="C241" s="164" t="str">
        <f>IFERROR(__xludf.DUMMYFUNCTION("""COMPUTED_VALUE"""),"1526468942")</f>
        <v>1526468942</v>
      </c>
      <c r="D241" s="164" t="str">
        <f>IFERROR(__xludf.DUMMYFUNCTION("""COMPUTED_VALUE"""),"XXXXXL")</f>
        <v>XXXXXL</v>
      </c>
      <c r="E241" s="164" t="str">
        <f>IFERROR(__xludf.DUMMYFUNCTION("""COMPUTED_VALUE"""),"42")</f>
        <v>42</v>
      </c>
      <c r="F241" s="133" t="str">
        <f>IFERROR(__xludf.DUMMYFUNCTION("""COMPUTED_VALUE"""),"PL50144DGW42")</f>
        <v>PL50144DGW42</v>
      </c>
      <c r="G241" s="165">
        <f>IFERROR(__xludf.DUMMYFUNCTION("""COMPUTED_VALUE"""),1089.0)</f>
        <v>1089</v>
      </c>
    </row>
    <row r="242" ht="15.75" customHeight="1">
      <c r="A242" s="133" t="str">
        <f>IFERROR(__xludf.DUMMYFUNCTION("""COMPUTED_VALUE"""),"PL50144DGW")</f>
        <v>PL50144DGW</v>
      </c>
      <c r="B242" s="164">
        <f>IFERROR(__xludf.DUMMYFUNCTION("""COMPUTED_VALUE"""),1.5264689E7)</f>
        <v>15264689</v>
      </c>
      <c r="C242" s="164" t="str">
        <f>IFERROR(__xludf.DUMMYFUNCTION("""COMPUTED_VALUE"""),"1526468944")</f>
        <v>1526468944</v>
      </c>
      <c r="D242" s="164" t="str">
        <f>IFERROR(__xludf.DUMMYFUNCTION("""COMPUTED_VALUE"""),"XXXXXL")</f>
        <v>XXXXXL</v>
      </c>
      <c r="E242" s="164" t="str">
        <f>IFERROR(__xludf.DUMMYFUNCTION("""COMPUTED_VALUE"""),"44")</f>
        <v>44</v>
      </c>
      <c r="F242" s="133" t="str">
        <f>IFERROR(__xludf.DUMMYFUNCTION("""COMPUTED_VALUE"""),"PL50144DGW44")</f>
        <v>PL50144DGW44</v>
      </c>
      <c r="G242" s="165">
        <f>IFERROR(__xludf.DUMMYFUNCTION("""COMPUTED_VALUE"""),1089.0)</f>
        <v>1089</v>
      </c>
    </row>
    <row r="243" ht="15.75" customHeight="1">
      <c r="A243" s="133" t="str">
        <f>IFERROR(__xludf.DUMMYFUNCTION("""COMPUTED_VALUE"""),"PL50144DGW")</f>
        <v>PL50144DGW</v>
      </c>
      <c r="B243" s="164">
        <f>IFERROR(__xludf.DUMMYFUNCTION("""COMPUTED_VALUE"""),1.5264689E7)</f>
        <v>15264689</v>
      </c>
      <c r="C243" s="164" t="str">
        <f>IFERROR(__xludf.DUMMYFUNCTION("""COMPUTED_VALUE"""),"1526468946")</f>
        <v>1526468946</v>
      </c>
      <c r="D243" s="164" t="str">
        <f>IFERROR(__xludf.DUMMYFUNCTION("""COMPUTED_VALUE"""),"XXXXXL")</f>
        <v>XXXXXL</v>
      </c>
      <c r="E243" s="164" t="str">
        <f>IFERROR(__xludf.DUMMYFUNCTION("""COMPUTED_VALUE"""),"46")</f>
        <v>46</v>
      </c>
      <c r="F243" s="133" t="str">
        <f>IFERROR(__xludf.DUMMYFUNCTION("""COMPUTED_VALUE"""),"PL50144DGW46")</f>
        <v>PL50144DGW46</v>
      </c>
      <c r="G243" s="165">
        <f>IFERROR(__xludf.DUMMYFUNCTION("""COMPUTED_VALUE"""),1089.0)</f>
        <v>1089</v>
      </c>
    </row>
    <row r="244" ht="15.75" customHeight="1">
      <c r="A244" s="133" t="str">
        <f>IFERROR(__xludf.DUMMYFUNCTION("""COMPUTED_VALUE"""),"PL50144DGW")</f>
        <v>PL50144DGW</v>
      </c>
      <c r="B244" s="164">
        <f>IFERROR(__xludf.DUMMYFUNCTION("""COMPUTED_VALUE"""),1.5264689E7)</f>
        <v>15264689</v>
      </c>
      <c r="C244" s="164" t="str">
        <f>IFERROR(__xludf.DUMMYFUNCTION("""COMPUTED_VALUE"""),"1526468948")</f>
        <v>1526468948</v>
      </c>
      <c r="D244" s="164" t="str">
        <f>IFERROR(__xludf.DUMMYFUNCTION("""COMPUTED_VALUE"""),"XXXXXL")</f>
        <v>XXXXXL</v>
      </c>
      <c r="E244" s="164" t="str">
        <f>IFERROR(__xludf.DUMMYFUNCTION("""COMPUTED_VALUE"""),"48")</f>
        <v>48</v>
      </c>
      <c r="F244" s="133" t="str">
        <f>IFERROR(__xludf.DUMMYFUNCTION("""COMPUTED_VALUE"""),"PL50144DGW48")</f>
        <v>PL50144DGW48</v>
      </c>
      <c r="G244" s="165">
        <f>IFERROR(__xludf.DUMMYFUNCTION("""COMPUTED_VALUE"""),1089.0)</f>
        <v>1089</v>
      </c>
    </row>
    <row r="245" ht="15.75" customHeight="1">
      <c r="A245" s="133" t="str">
        <f>IFERROR(__xludf.DUMMYFUNCTION("""COMPUTED_VALUE"""),"PL50140DGW")</f>
        <v>PL50140DGW</v>
      </c>
      <c r="B245" s="164">
        <f>IFERROR(__xludf.DUMMYFUNCTION("""COMPUTED_VALUE"""),1.5399052E7)</f>
        <v>15399052</v>
      </c>
      <c r="C245" s="164" t="str">
        <f>IFERROR(__xludf.DUMMYFUNCTION("""COMPUTED_VALUE"""),"1539905242")</f>
        <v>1539905242</v>
      </c>
      <c r="D245" s="164" t="str">
        <f>IFERROR(__xludf.DUMMYFUNCTION("""COMPUTED_VALUE"""),"XXXXXL")</f>
        <v>XXXXXL</v>
      </c>
      <c r="E245" s="164" t="str">
        <f>IFERROR(__xludf.DUMMYFUNCTION("""COMPUTED_VALUE"""),"42")</f>
        <v>42</v>
      </c>
      <c r="F245" s="133" t="str">
        <f>IFERROR(__xludf.DUMMYFUNCTION("""COMPUTED_VALUE"""),"PL50140DGW42")</f>
        <v>PL50140DGW42</v>
      </c>
      <c r="G245" s="165">
        <f>IFERROR(__xludf.DUMMYFUNCTION("""COMPUTED_VALUE"""),1210.0)</f>
        <v>1210</v>
      </c>
    </row>
    <row r="246" ht="15.75" customHeight="1">
      <c r="A246" s="133" t="str">
        <f>IFERROR(__xludf.DUMMYFUNCTION("""COMPUTED_VALUE"""),"PL50140DGW")</f>
        <v>PL50140DGW</v>
      </c>
      <c r="B246" s="164">
        <f>IFERROR(__xludf.DUMMYFUNCTION("""COMPUTED_VALUE"""),1.5399052E7)</f>
        <v>15399052</v>
      </c>
      <c r="C246" s="164" t="str">
        <f>IFERROR(__xludf.DUMMYFUNCTION("""COMPUTED_VALUE"""),"1539905244")</f>
        <v>1539905244</v>
      </c>
      <c r="D246" s="164" t="str">
        <f>IFERROR(__xludf.DUMMYFUNCTION("""COMPUTED_VALUE"""),"XXXXXL")</f>
        <v>XXXXXL</v>
      </c>
      <c r="E246" s="164" t="str">
        <f>IFERROR(__xludf.DUMMYFUNCTION("""COMPUTED_VALUE"""),"44")</f>
        <v>44</v>
      </c>
      <c r="F246" s="133" t="str">
        <f>IFERROR(__xludf.DUMMYFUNCTION("""COMPUTED_VALUE"""),"PL50140DGW44")</f>
        <v>PL50140DGW44</v>
      </c>
      <c r="G246" s="165">
        <f>IFERROR(__xludf.DUMMYFUNCTION("""COMPUTED_VALUE"""),1210.0)</f>
        <v>1210</v>
      </c>
    </row>
    <row r="247" ht="15.75" customHeight="1">
      <c r="A247" s="133" t="str">
        <f>IFERROR(__xludf.DUMMYFUNCTION("""COMPUTED_VALUE"""),"PL50140DGW")</f>
        <v>PL50140DGW</v>
      </c>
      <c r="B247" s="164">
        <f>IFERROR(__xludf.DUMMYFUNCTION("""COMPUTED_VALUE"""),1.5399052E7)</f>
        <v>15399052</v>
      </c>
      <c r="C247" s="164" t="str">
        <f>IFERROR(__xludf.DUMMYFUNCTION("""COMPUTED_VALUE"""),"1539905246")</f>
        <v>1539905246</v>
      </c>
      <c r="D247" s="164" t="str">
        <f>IFERROR(__xludf.DUMMYFUNCTION("""COMPUTED_VALUE"""),"XXXXXL")</f>
        <v>XXXXXL</v>
      </c>
      <c r="E247" s="164" t="str">
        <f>IFERROR(__xludf.DUMMYFUNCTION("""COMPUTED_VALUE"""),"46")</f>
        <v>46</v>
      </c>
      <c r="F247" s="133" t="str">
        <f>IFERROR(__xludf.DUMMYFUNCTION("""COMPUTED_VALUE"""),"PL50140DGW46")</f>
        <v>PL50140DGW46</v>
      </c>
      <c r="G247" s="165">
        <f>IFERROR(__xludf.DUMMYFUNCTION("""COMPUTED_VALUE"""),1210.0)</f>
        <v>1210</v>
      </c>
    </row>
    <row r="248" ht="15.75" customHeight="1">
      <c r="A248" s="133" t="str">
        <f>IFERROR(__xludf.DUMMYFUNCTION("""COMPUTED_VALUE"""),"PL50140DGW")</f>
        <v>PL50140DGW</v>
      </c>
      <c r="B248" s="164">
        <f>IFERROR(__xludf.DUMMYFUNCTION("""COMPUTED_VALUE"""),1.5399052E7)</f>
        <v>15399052</v>
      </c>
      <c r="C248" s="164" t="str">
        <f>IFERROR(__xludf.DUMMYFUNCTION("""COMPUTED_VALUE"""),"1539905248")</f>
        <v>1539905248</v>
      </c>
      <c r="D248" s="164" t="str">
        <f>IFERROR(__xludf.DUMMYFUNCTION("""COMPUTED_VALUE"""),"XXXXXL")</f>
        <v>XXXXXL</v>
      </c>
      <c r="E248" s="164" t="str">
        <f>IFERROR(__xludf.DUMMYFUNCTION("""COMPUTED_VALUE"""),"48")</f>
        <v>48</v>
      </c>
      <c r="F248" s="133" t="str">
        <f>IFERROR(__xludf.DUMMYFUNCTION("""COMPUTED_VALUE"""),"PL50140DGW48")</f>
        <v>PL50140DGW48</v>
      </c>
      <c r="G248" s="165">
        <f>IFERROR(__xludf.DUMMYFUNCTION("""COMPUTED_VALUE"""),1210.0)</f>
        <v>1210</v>
      </c>
    </row>
    <row r="249" ht="15.75" customHeight="1">
      <c r="A249" s="133" t="str">
        <f>IFERROR(__xludf.DUMMYFUNCTION("""COMPUTED_VALUE"""),"PL50141DGW")</f>
        <v>PL50141DGW</v>
      </c>
      <c r="B249" s="164">
        <f>IFERROR(__xludf.DUMMYFUNCTION("""COMPUTED_VALUE"""),1.5399053E7)</f>
        <v>15399053</v>
      </c>
      <c r="C249" s="164" t="str">
        <f>IFERROR(__xludf.DUMMYFUNCTION("""COMPUTED_VALUE"""),"1539905342")</f>
        <v>1539905342</v>
      </c>
      <c r="D249" s="164" t="str">
        <f>IFERROR(__xludf.DUMMYFUNCTION("""COMPUTED_VALUE"""),"XXXXXL")</f>
        <v>XXXXXL</v>
      </c>
      <c r="E249" s="164" t="str">
        <f>IFERROR(__xludf.DUMMYFUNCTION("""COMPUTED_VALUE"""),"42")</f>
        <v>42</v>
      </c>
      <c r="F249" s="133" t="str">
        <f>IFERROR(__xludf.DUMMYFUNCTION("""COMPUTED_VALUE"""),"PL50141DGW42")</f>
        <v>PL50141DGW42</v>
      </c>
      <c r="G249" s="165">
        <f>IFERROR(__xludf.DUMMYFUNCTION("""COMPUTED_VALUE"""),1299.0)</f>
        <v>1299</v>
      </c>
    </row>
    <row r="250" ht="15.75" customHeight="1">
      <c r="A250" s="133" t="str">
        <f>IFERROR(__xludf.DUMMYFUNCTION("""COMPUTED_VALUE"""),"PL50141DGW")</f>
        <v>PL50141DGW</v>
      </c>
      <c r="B250" s="164">
        <f>IFERROR(__xludf.DUMMYFUNCTION("""COMPUTED_VALUE"""),1.5399053E7)</f>
        <v>15399053</v>
      </c>
      <c r="C250" s="164" t="str">
        <f>IFERROR(__xludf.DUMMYFUNCTION("""COMPUTED_VALUE"""),"1539905344")</f>
        <v>1539905344</v>
      </c>
      <c r="D250" s="164" t="str">
        <f>IFERROR(__xludf.DUMMYFUNCTION("""COMPUTED_VALUE"""),"XXXXXL")</f>
        <v>XXXXXL</v>
      </c>
      <c r="E250" s="164" t="str">
        <f>IFERROR(__xludf.DUMMYFUNCTION("""COMPUTED_VALUE"""),"44")</f>
        <v>44</v>
      </c>
      <c r="F250" s="133" t="str">
        <f>IFERROR(__xludf.DUMMYFUNCTION("""COMPUTED_VALUE"""),"PL50141DGW44")</f>
        <v>PL50141DGW44</v>
      </c>
      <c r="G250" s="165">
        <f>IFERROR(__xludf.DUMMYFUNCTION("""COMPUTED_VALUE"""),1299.0)</f>
        <v>1299</v>
      </c>
    </row>
    <row r="251" ht="15.75" customHeight="1">
      <c r="A251" s="133" t="str">
        <f>IFERROR(__xludf.DUMMYFUNCTION("""COMPUTED_VALUE"""),"PL50141DGW")</f>
        <v>PL50141DGW</v>
      </c>
      <c r="B251" s="164">
        <f>IFERROR(__xludf.DUMMYFUNCTION("""COMPUTED_VALUE"""),1.5399053E7)</f>
        <v>15399053</v>
      </c>
      <c r="C251" s="164" t="str">
        <f>IFERROR(__xludf.DUMMYFUNCTION("""COMPUTED_VALUE"""),"1539905346")</f>
        <v>1539905346</v>
      </c>
      <c r="D251" s="164" t="str">
        <f>IFERROR(__xludf.DUMMYFUNCTION("""COMPUTED_VALUE"""),"XXXXXL")</f>
        <v>XXXXXL</v>
      </c>
      <c r="E251" s="164" t="str">
        <f>IFERROR(__xludf.DUMMYFUNCTION("""COMPUTED_VALUE"""),"46")</f>
        <v>46</v>
      </c>
      <c r="F251" s="133" t="str">
        <f>IFERROR(__xludf.DUMMYFUNCTION("""COMPUTED_VALUE"""),"PL50141DGW46")</f>
        <v>PL50141DGW46</v>
      </c>
      <c r="G251" s="165">
        <f>IFERROR(__xludf.DUMMYFUNCTION("""COMPUTED_VALUE"""),1299.0)</f>
        <v>1299</v>
      </c>
    </row>
    <row r="252" ht="15.75" customHeight="1">
      <c r="A252" s="133" t="str">
        <f>IFERROR(__xludf.DUMMYFUNCTION("""COMPUTED_VALUE"""),"PL50141DGW")</f>
        <v>PL50141DGW</v>
      </c>
      <c r="B252" s="164">
        <f>IFERROR(__xludf.DUMMYFUNCTION("""COMPUTED_VALUE"""),1.5399053E7)</f>
        <v>15399053</v>
      </c>
      <c r="C252" s="164" t="str">
        <f>IFERROR(__xludf.DUMMYFUNCTION("""COMPUTED_VALUE"""),"1539905348")</f>
        <v>1539905348</v>
      </c>
      <c r="D252" s="164" t="str">
        <f>IFERROR(__xludf.DUMMYFUNCTION("""COMPUTED_VALUE"""),"XXXXXL")</f>
        <v>XXXXXL</v>
      </c>
      <c r="E252" s="164" t="str">
        <f>IFERROR(__xludf.DUMMYFUNCTION("""COMPUTED_VALUE"""),"48")</f>
        <v>48</v>
      </c>
      <c r="F252" s="133" t="str">
        <f>IFERROR(__xludf.DUMMYFUNCTION("""COMPUTED_VALUE"""),"PL50141DGW48")</f>
        <v>PL50141DGW48</v>
      </c>
      <c r="G252" s="165">
        <f>IFERROR(__xludf.DUMMYFUNCTION("""COMPUTED_VALUE"""),1299.0)</f>
        <v>1299</v>
      </c>
    </row>
    <row r="253" ht="15.75" customHeight="1">
      <c r="A253" s="133" t="str">
        <f>IFERROR(__xludf.DUMMYFUNCTION("""COMPUTED_VALUE"""),"PL50138DGW")</f>
        <v>PL50138DGW</v>
      </c>
      <c r="B253" s="164">
        <f>IFERROR(__xludf.DUMMYFUNCTION("""COMPUTED_VALUE"""),1.5453259E7)</f>
        <v>15453259</v>
      </c>
      <c r="C253" s="164" t="str">
        <f>IFERROR(__xludf.DUMMYFUNCTION("""COMPUTED_VALUE"""),"1545325942")</f>
        <v>1545325942</v>
      </c>
      <c r="D253" s="164" t="str">
        <f>IFERROR(__xludf.DUMMYFUNCTION("""COMPUTED_VALUE"""),"Серо-розовый")</f>
        <v>Серо-розовый</v>
      </c>
      <c r="E253" s="164" t="str">
        <f>IFERROR(__xludf.DUMMYFUNCTION("""COMPUTED_VALUE"""),"42")</f>
        <v>42</v>
      </c>
      <c r="F253" s="133" t="str">
        <f>IFERROR(__xludf.DUMMYFUNCTION("""COMPUTED_VALUE"""),"PL50138DGW42")</f>
        <v>PL50138DGW42</v>
      </c>
      <c r="G253" s="165">
        <f>IFERROR(__xludf.DUMMYFUNCTION("""COMPUTED_VALUE"""),464.0)</f>
        <v>464</v>
      </c>
    </row>
    <row r="254" ht="15.75" customHeight="1">
      <c r="A254" s="133" t="str">
        <f>IFERROR(__xludf.DUMMYFUNCTION("""COMPUTED_VALUE"""),"PL50138DGW")</f>
        <v>PL50138DGW</v>
      </c>
      <c r="B254" s="164">
        <f>IFERROR(__xludf.DUMMYFUNCTION("""COMPUTED_VALUE"""),1.5453259E7)</f>
        <v>15453259</v>
      </c>
      <c r="C254" s="164" t="str">
        <f>IFERROR(__xludf.DUMMYFUNCTION("""COMPUTED_VALUE"""),"1545325944")</f>
        <v>1545325944</v>
      </c>
      <c r="D254" s="164" t="str">
        <f>IFERROR(__xludf.DUMMYFUNCTION("""COMPUTED_VALUE"""),"Серо-розовый")</f>
        <v>Серо-розовый</v>
      </c>
      <c r="E254" s="164" t="str">
        <f>IFERROR(__xludf.DUMMYFUNCTION("""COMPUTED_VALUE"""),"44")</f>
        <v>44</v>
      </c>
      <c r="F254" s="133" t="str">
        <f>IFERROR(__xludf.DUMMYFUNCTION("""COMPUTED_VALUE"""),"PL50138DGW44")</f>
        <v>PL50138DGW44</v>
      </c>
      <c r="G254" s="165">
        <f>IFERROR(__xludf.DUMMYFUNCTION("""COMPUTED_VALUE"""),464.0)</f>
        <v>464</v>
      </c>
    </row>
    <row r="255" ht="15.75" customHeight="1">
      <c r="A255" s="133" t="str">
        <f>IFERROR(__xludf.DUMMYFUNCTION("""COMPUTED_VALUE"""),"PL50138DGW")</f>
        <v>PL50138DGW</v>
      </c>
      <c r="B255" s="164">
        <f>IFERROR(__xludf.DUMMYFUNCTION("""COMPUTED_VALUE"""),1.5453259E7)</f>
        <v>15453259</v>
      </c>
      <c r="C255" s="164" t="str">
        <f>IFERROR(__xludf.DUMMYFUNCTION("""COMPUTED_VALUE"""),"1545325946")</f>
        <v>1545325946</v>
      </c>
      <c r="D255" s="164" t="str">
        <f>IFERROR(__xludf.DUMMYFUNCTION("""COMPUTED_VALUE"""),"Серо-розовый")</f>
        <v>Серо-розовый</v>
      </c>
      <c r="E255" s="164" t="str">
        <f>IFERROR(__xludf.DUMMYFUNCTION("""COMPUTED_VALUE"""),"46")</f>
        <v>46</v>
      </c>
      <c r="F255" s="133" t="str">
        <f>IFERROR(__xludf.DUMMYFUNCTION("""COMPUTED_VALUE"""),"PL50138DGW46")</f>
        <v>PL50138DGW46</v>
      </c>
      <c r="G255" s="165">
        <f>IFERROR(__xludf.DUMMYFUNCTION("""COMPUTED_VALUE"""),464.0)</f>
        <v>464</v>
      </c>
    </row>
    <row r="256" ht="15.75" customHeight="1">
      <c r="A256" s="133" t="str">
        <f>IFERROR(__xludf.DUMMYFUNCTION("""COMPUTED_VALUE"""),"PL50138DGW")</f>
        <v>PL50138DGW</v>
      </c>
      <c r="B256" s="164">
        <f>IFERROR(__xludf.DUMMYFUNCTION("""COMPUTED_VALUE"""),1.5453259E7)</f>
        <v>15453259</v>
      </c>
      <c r="C256" s="164" t="str">
        <f>IFERROR(__xludf.DUMMYFUNCTION("""COMPUTED_VALUE"""),"1545325948")</f>
        <v>1545325948</v>
      </c>
      <c r="D256" s="164" t="str">
        <f>IFERROR(__xludf.DUMMYFUNCTION("""COMPUTED_VALUE"""),"Серо-розовый")</f>
        <v>Серо-розовый</v>
      </c>
      <c r="E256" s="164" t="str">
        <f>IFERROR(__xludf.DUMMYFUNCTION("""COMPUTED_VALUE"""),"48")</f>
        <v>48</v>
      </c>
      <c r="F256" s="133" t="str">
        <f>IFERROR(__xludf.DUMMYFUNCTION("""COMPUTED_VALUE"""),"PL50138DGW48")</f>
        <v>PL50138DGW48</v>
      </c>
      <c r="G256" s="165">
        <f>IFERROR(__xludf.DUMMYFUNCTION("""COMPUTED_VALUE"""),464.0)</f>
        <v>464</v>
      </c>
    </row>
    <row r="257" ht="15.75" customHeight="1">
      <c r="A257" s="133" t="str">
        <f>IFERROR(__xludf.DUMMYFUNCTION("""COMPUTED_VALUE"""),"PL50139DGW")</f>
        <v>PL50139DGW</v>
      </c>
      <c r="B257" s="164">
        <f>IFERROR(__xludf.DUMMYFUNCTION("""COMPUTED_VALUE"""),1.545326E7)</f>
        <v>15453260</v>
      </c>
      <c r="C257" s="164" t="str">
        <f>IFERROR(__xludf.DUMMYFUNCTION("""COMPUTED_VALUE"""),"1545326042")</f>
        <v>1545326042</v>
      </c>
      <c r="D257" s="164" t="str">
        <f>IFERROR(__xludf.DUMMYFUNCTION("""COMPUTED_VALUE"""),"Серо-голубой")</f>
        <v>Серо-голубой</v>
      </c>
      <c r="E257" s="164" t="str">
        <f>IFERROR(__xludf.DUMMYFUNCTION("""COMPUTED_VALUE"""),"42")</f>
        <v>42</v>
      </c>
      <c r="F257" s="133" t="str">
        <f>IFERROR(__xludf.DUMMYFUNCTION("""COMPUTED_VALUE"""),"PL50139DGW42")</f>
        <v>PL50139DGW42</v>
      </c>
      <c r="G257" s="165">
        <f>IFERROR(__xludf.DUMMYFUNCTION("""COMPUTED_VALUE"""),464.0)</f>
        <v>464</v>
      </c>
    </row>
    <row r="258" ht="15.75" customHeight="1">
      <c r="A258" s="133" t="str">
        <f>IFERROR(__xludf.DUMMYFUNCTION("""COMPUTED_VALUE"""),"PL50139DGW")</f>
        <v>PL50139DGW</v>
      </c>
      <c r="B258" s="164">
        <f>IFERROR(__xludf.DUMMYFUNCTION("""COMPUTED_VALUE"""),1.545326E7)</f>
        <v>15453260</v>
      </c>
      <c r="C258" s="164" t="str">
        <f>IFERROR(__xludf.DUMMYFUNCTION("""COMPUTED_VALUE"""),"1545326044")</f>
        <v>1545326044</v>
      </c>
      <c r="D258" s="164" t="str">
        <f>IFERROR(__xludf.DUMMYFUNCTION("""COMPUTED_VALUE"""),"Серо-голубой")</f>
        <v>Серо-голубой</v>
      </c>
      <c r="E258" s="164" t="str">
        <f>IFERROR(__xludf.DUMMYFUNCTION("""COMPUTED_VALUE"""),"44")</f>
        <v>44</v>
      </c>
      <c r="F258" s="133" t="str">
        <f>IFERROR(__xludf.DUMMYFUNCTION("""COMPUTED_VALUE"""),"PL50139DGW44")</f>
        <v>PL50139DGW44</v>
      </c>
      <c r="G258" s="165">
        <f>IFERROR(__xludf.DUMMYFUNCTION("""COMPUTED_VALUE"""),464.0)</f>
        <v>464</v>
      </c>
    </row>
    <row r="259" ht="15.75" customHeight="1">
      <c r="A259" s="133" t="str">
        <f>IFERROR(__xludf.DUMMYFUNCTION("""COMPUTED_VALUE"""),"PL50139DGW")</f>
        <v>PL50139DGW</v>
      </c>
      <c r="B259" s="164">
        <f>IFERROR(__xludf.DUMMYFUNCTION("""COMPUTED_VALUE"""),1.545326E7)</f>
        <v>15453260</v>
      </c>
      <c r="C259" s="164" t="str">
        <f>IFERROR(__xludf.DUMMYFUNCTION("""COMPUTED_VALUE"""),"1545326046")</f>
        <v>1545326046</v>
      </c>
      <c r="D259" s="164" t="str">
        <f>IFERROR(__xludf.DUMMYFUNCTION("""COMPUTED_VALUE"""),"Серо-голубой")</f>
        <v>Серо-голубой</v>
      </c>
      <c r="E259" s="164" t="str">
        <f>IFERROR(__xludf.DUMMYFUNCTION("""COMPUTED_VALUE"""),"46")</f>
        <v>46</v>
      </c>
      <c r="F259" s="133" t="str">
        <f>IFERROR(__xludf.DUMMYFUNCTION("""COMPUTED_VALUE"""),"PL50139DGW46")</f>
        <v>PL50139DGW46</v>
      </c>
      <c r="G259" s="165">
        <f>IFERROR(__xludf.DUMMYFUNCTION("""COMPUTED_VALUE"""),464.0)</f>
        <v>464</v>
      </c>
    </row>
    <row r="260" ht="15.75" customHeight="1">
      <c r="A260" s="133" t="str">
        <f>IFERROR(__xludf.DUMMYFUNCTION("""COMPUTED_VALUE"""),"PL50139DGW")</f>
        <v>PL50139DGW</v>
      </c>
      <c r="B260" s="164">
        <f>IFERROR(__xludf.DUMMYFUNCTION("""COMPUTED_VALUE"""),1.545326E7)</f>
        <v>15453260</v>
      </c>
      <c r="C260" s="164" t="str">
        <f>IFERROR(__xludf.DUMMYFUNCTION("""COMPUTED_VALUE"""),"1545326048")</f>
        <v>1545326048</v>
      </c>
      <c r="D260" s="164" t="str">
        <f>IFERROR(__xludf.DUMMYFUNCTION("""COMPUTED_VALUE"""),"Серо-голубой")</f>
        <v>Серо-голубой</v>
      </c>
      <c r="E260" s="164" t="str">
        <f>IFERROR(__xludf.DUMMYFUNCTION("""COMPUTED_VALUE"""),"48")</f>
        <v>48</v>
      </c>
      <c r="F260" s="133" t="str">
        <f>IFERROR(__xludf.DUMMYFUNCTION("""COMPUTED_VALUE"""),"PL50139DGW48")</f>
        <v>PL50139DGW48</v>
      </c>
      <c r="G260" s="165">
        <f>IFERROR(__xludf.DUMMYFUNCTION("""COMPUTED_VALUE"""),464.0)</f>
        <v>464</v>
      </c>
    </row>
    <row r="261" ht="15.75" customHeight="1">
      <c r="A261" s="133" t="str">
        <f>IFERROR(__xludf.DUMMYFUNCTION("""COMPUTED_VALUE"""),"PL50149DGW")</f>
        <v>PL50149DGW</v>
      </c>
      <c r="B261" s="164">
        <f>IFERROR(__xludf.DUMMYFUNCTION("""COMPUTED_VALUE"""),1.5522471E7)</f>
        <v>15522471</v>
      </c>
      <c r="C261" s="164" t="str">
        <f>IFERROR(__xludf.DUMMYFUNCTION("""COMPUTED_VALUE"""),"1552247142")</f>
        <v>1552247142</v>
      </c>
      <c r="D261" s="164" t="str">
        <f>IFERROR(__xludf.DUMMYFUNCTION("""COMPUTED_VALUE"""),"Синий")</f>
        <v>Синий</v>
      </c>
      <c r="E261" s="164" t="str">
        <f>IFERROR(__xludf.DUMMYFUNCTION("""COMPUTED_VALUE"""),"42")</f>
        <v>42</v>
      </c>
      <c r="F261" s="133" t="str">
        <f>IFERROR(__xludf.DUMMYFUNCTION("""COMPUTED_VALUE"""),"PL50149DGW42")</f>
        <v>PL50149DGW42</v>
      </c>
      <c r="G261" s="165">
        <f>IFERROR(__xludf.DUMMYFUNCTION("""COMPUTED_VALUE"""),653.0)</f>
        <v>653</v>
      </c>
    </row>
    <row r="262" ht="15.75" customHeight="1">
      <c r="A262" s="133" t="str">
        <f>IFERROR(__xludf.DUMMYFUNCTION("""COMPUTED_VALUE"""),"PL50149DGW")</f>
        <v>PL50149DGW</v>
      </c>
      <c r="B262" s="164">
        <f>IFERROR(__xludf.DUMMYFUNCTION("""COMPUTED_VALUE"""),1.5522471E7)</f>
        <v>15522471</v>
      </c>
      <c r="C262" s="164" t="str">
        <f>IFERROR(__xludf.DUMMYFUNCTION("""COMPUTED_VALUE"""),"1552247144")</f>
        <v>1552247144</v>
      </c>
      <c r="D262" s="164" t="str">
        <f>IFERROR(__xludf.DUMMYFUNCTION("""COMPUTED_VALUE"""),"Синий")</f>
        <v>Синий</v>
      </c>
      <c r="E262" s="164" t="str">
        <f>IFERROR(__xludf.DUMMYFUNCTION("""COMPUTED_VALUE"""),"44")</f>
        <v>44</v>
      </c>
      <c r="F262" s="133" t="str">
        <f>IFERROR(__xludf.DUMMYFUNCTION("""COMPUTED_VALUE"""),"PL50149DGW44")</f>
        <v>PL50149DGW44</v>
      </c>
      <c r="G262" s="165">
        <f>IFERROR(__xludf.DUMMYFUNCTION("""COMPUTED_VALUE"""),653.0)</f>
        <v>653</v>
      </c>
    </row>
    <row r="263" ht="15.75" customHeight="1">
      <c r="A263" s="133" t="str">
        <f>IFERROR(__xludf.DUMMYFUNCTION("""COMPUTED_VALUE"""),"PL50149DGW")</f>
        <v>PL50149DGW</v>
      </c>
      <c r="B263" s="164">
        <f>IFERROR(__xludf.DUMMYFUNCTION("""COMPUTED_VALUE"""),1.5522471E7)</f>
        <v>15522471</v>
      </c>
      <c r="C263" s="164" t="str">
        <f>IFERROR(__xludf.DUMMYFUNCTION("""COMPUTED_VALUE"""),"1552247146")</f>
        <v>1552247146</v>
      </c>
      <c r="D263" s="164" t="str">
        <f>IFERROR(__xludf.DUMMYFUNCTION("""COMPUTED_VALUE"""),"Синий")</f>
        <v>Синий</v>
      </c>
      <c r="E263" s="164" t="str">
        <f>IFERROR(__xludf.DUMMYFUNCTION("""COMPUTED_VALUE"""),"46")</f>
        <v>46</v>
      </c>
      <c r="F263" s="133" t="str">
        <f>IFERROR(__xludf.DUMMYFUNCTION("""COMPUTED_VALUE"""),"PL50149DGW46")</f>
        <v>PL50149DGW46</v>
      </c>
      <c r="G263" s="165">
        <f>IFERROR(__xludf.DUMMYFUNCTION("""COMPUTED_VALUE"""),653.0)</f>
        <v>653</v>
      </c>
    </row>
    <row r="264" ht="15.75" customHeight="1">
      <c r="A264" s="133" t="str">
        <f>IFERROR(__xludf.DUMMYFUNCTION("""COMPUTED_VALUE"""),"PL50149DGW")</f>
        <v>PL50149DGW</v>
      </c>
      <c r="B264" s="164">
        <f>IFERROR(__xludf.DUMMYFUNCTION("""COMPUTED_VALUE"""),1.5522471E7)</f>
        <v>15522471</v>
      </c>
      <c r="C264" s="164" t="str">
        <f>IFERROR(__xludf.DUMMYFUNCTION("""COMPUTED_VALUE"""),"1552247148")</f>
        <v>1552247148</v>
      </c>
      <c r="D264" s="164" t="str">
        <f>IFERROR(__xludf.DUMMYFUNCTION("""COMPUTED_VALUE"""),"Синий")</f>
        <v>Синий</v>
      </c>
      <c r="E264" s="164" t="str">
        <f>IFERROR(__xludf.DUMMYFUNCTION("""COMPUTED_VALUE"""),"48")</f>
        <v>48</v>
      </c>
      <c r="F264" s="133" t="str">
        <f>IFERROR(__xludf.DUMMYFUNCTION("""COMPUTED_VALUE"""),"PL50149DGW48")</f>
        <v>PL50149DGW48</v>
      </c>
      <c r="G264" s="165">
        <f>IFERROR(__xludf.DUMMYFUNCTION("""COMPUTED_VALUE"""),653.0)</f>
        <v>653</v>
      </c>
    </row>
    <row r="265" ht="15.75" customHeight="1">
      <c r="A265" s="133" t="str">
        <f>IFERROR(__xludf.DUMMYFUNCTION("""COMPUTED_VALUE"""),"PL50150DGW")</f>
        <v>PL50150DGW</v>
      </c>
      <c r="B265" s="164">
        <f>IFERROR(__xludf.DUMMYFUNCTION("""COMPUTED_VALUE"""),1.5522472E7)</f>
        <v>15522472</v>
      </c>
      <c r="C265" s="164" t="str">
        <f>IFERROR(__xludf.DUMMYFUNCTION("""COMPUTED_VALUE"""),"1552247242")</f>
        <v>1552247242</v>
      </c>
      <c r="D265" s="164" t="str">
        <f>IFERROR(__xludf.DUMMYFUNCTION("""COMPUTED_VALUE"""),"Коричневый")</f>
        <v>Коричневый</v>
      </c>
      <c r="E265" s="164" t="str">
        <f>IFERROR(__xludf.DUMMYFUNCTION("""COMPUTED_VALUE"""),"42")</f>
        <v>42</v>
      </c>
      <c r="F265" s="133" t="str">
        <f>IFERROR(__xludf.DUMMYFUNCTION("""COMPUTED_VALUE"""),"PL50150DGW42")</f>
        <v>PL50150DGW42</v>
      </c>
      <c r="G265" s="165">
        <f>IFERROR(__xludf.DUMMYFUNCTION("""COMPUTED_VALUE"""),677.0)</f>
        <v>677</v>
      </c>
    </row>
    <row r="266" ht="15.75" customHeight="1">
      <c r="A266" s="133" t="str">
        <f>IFERROR(__xludf.DUMMYFUNCTION("""COMPUTED_VALUE"""),"PL50150DGW")</f>
        <v>PL50150DGW</v>
      </c>
      <c r="B266" s="164">
        <f>IFERROR(__xludf.DUMMYFUNCTION("""COMPUTED_VALUE"""),1.5522472E7)</f>
        <v>15522472</v>
      </c>
      <c r="C266" s="164" t="str">
        <f>IFERROR(__xludf.DUMMYFUNCTION("""COMPUTED_VALUE"""),"1552247244")</f>
        <v>1552247244</v>
      </c>
      <c r="D266" s="164" t="str">
        <f>IFERROR(__xludf.DUMMYFUNCTION("""COMPUTED_VALUE"""),"Коричневый")</f>
        <v>Коричневый</v>
      </c>
      <c r="E266" s="164" t="str">
        <f>IFERROR(__xludf.DUMMYFUNCTION("""COMPUTED_VALUE"""),"44")</f>
        <v>44</v>
      </c>
      <c r="F266" s="133" t="str">
        <f>IFERROR(__xludf.DUMMYFUNCTION("""COMPUTED_VALUE"""),"PL50150DGW44")</f>
        <v>PL50150DGW44</v>
      </c>
      <c r="G266" s="165">
        <f>IFERROR(__xludf.DUMMYFUNCTION("""COMPUTED_VALUE"""),677.0)</f>
        <v>677</v>
      </c>
    </row>
    <row r="267" ht="15.75" customHeight="1">
      <c r="A267" s="133" t="str">
        <f>IFERROR(__xludf.DUMMYFUNCTION("""COMPUTED_VALUE"""),"PL50150DGW")</f>
        <v>PL50150DGW</v>
      </c>
      <c r="B267" s="164">
        <f>IFERROR(__xludf.DUMMYFUNCTION("""COMPUTED_VALUE"""),1.5522472E7)</f>
        <v>15522472</v>
      </c>
      <c r="C267" s="164" t="str">
        <f>IFERROR(__xludf.DUMMYFUNCTION("""COMPUTED_VALUE"""),"1552247246")</f>
        <v>1552247246</v>
      </c>
      <c r="D267" s="164" t="str">
        <f>IFERROR(__xludf.DUMMYFUNCTION("""COMPUTED_VALUE"""),"Коричневый")</f>
        <v>Коричневый</v>
      </c>
      <c r="E267" s="164" t="str">
        <f>IFERROR(__xludf.DUMMYFUNCTION("""COMPUTED_VALUE"""),"46")</f>
        <v>46</v>
      </c>
      <c r="F267" s="133" t="str">
        <f>IFERROR(__xludf.DUMMYFUNCTION("""COMPUTED_VALUE"""),"PL50150DGW46")</f>
        <v>PL50150DGW46</v>
      </c>
      <c r="G267" s="165">
        <f>IFERROR(__xludf.DUMMYFUNCTION("""COMPUTED_VALUE"""),677.0)</f>
        <v>677</v>
      </c>
    </row>
    <row r="268" ht="15.75" customHeight="1">
      <c r="A268" s="133" t="str">
        <f>IFERROR(__xludf.DUMMYFUNCTION("""COMPUTED_VALUE"""),"PL50150DGW")</f>
        <v>PL50150DGW</v>
      </c>
      <c r="B268" s="164">
        <f>IFERROR(__xludf.DUMMYFUNCTION("""COMPUTED_VALUE"""),1.5522472E7)</f>
        <v>15522472</v>
      </c>
      <c r="C268" s="164" t="str">
        <f>IFERROR(__xludf.DUMMYFUNCTION("""COMPUTED_VALUE"""),"1552247248")</f>
        <v>1552247248</v>
      </c>
      <c r="D268" s="164" t="str">
        <f>IFERROR(__xludf.DUMMYFUNCTION("""COMPUTED_VALUE"""),"Коричневый")</f>
        <v>Коричневый</v>
      </c>
      <c r="E268" s="164" t="str">
        <f>IFERROR(__xludf.DUMMYFUNCTION("""COMPUTED_VALUE"""),"48")</f>
        <v>48</v>
      </c>
      <c r="F268" s="133" t="str">
        <f>IFERROR(__xludf.DUMMYFUNCTION("""COMPUTED_VALUE"""),"PL50150DGW48")</f>
        <v>PL50150DGW48</v>
      </c>
      <c r="G268" s="165">
        <f>IFERROR(__xludf.DUMMYFUNCTION("""COMPUTED_VALUE"""),677.0)</f>
        <v>677</v>
      </c>
    </row>
    <row r="269" ht="15.75" customHeight="1">
      <c r="A269" s="133" t="str">
        <f>IFERROR(__xludf.DUMMYFUNCTION("""COMPUTED_VALUE"""),"VL00136DGW")</f>
        <v>VL00136DGW</v>
      </c>
      <c r="B269" s="164">
        <f>IFERROR(__xludf.DUMMYFUNCTION("""COMPUTED_VALUE"""),1.3468845E7)</f>
        <v>13468845</v>
      </c>
      <c r="C269" s="164" t="str">
        <f>IFERROR(__xludf.DUMMYFUNCTION("""COMPUTED_VALUE"""),"1346884542")</f>
        <v>1346884542</v>
      </c>
      <c r="D269" s="164" t="str">
        <f>IFERROR(__xludf.DUMMYFUNCTION("""COMPUTED_VALUE"""),"Коричневый")</f>
        <v>Коричневый</v>
      </c>
      <c r="E269" s="164" t="str">
        <f>IFERROR(__xludf.DUMMYFUNCTION("""COMPUTED_VALUE"""),"42")</f>
        <v>42</v>
      </c>
      <c r="F269" s="133" t="str">
        <f>IFERROR(__xludf.DUMMYFUNCTION("""COMPUTED_VALUE"""),"VL00136DGW42")</f>
        <v>VL00136DGW42</v>
      </c>
      <c r="G269" s="165">
        <f>IFERROR(__xludf.DUMMYFUNCTION("""COMPUTED_VALUE"""),260.0)</f>
        <v>260</v>
      </c>
    </row>
    <row r="270" ht="15.75" customHeight="1">
      <c r="A270" s="133" t="str">
        <f>IFERROR(__xludf.DUMMYFUNCTION("""COMPUTED_VALUE"""),"VL00136DGW")</f>
        <v>VL00136DGW</v>
      </c>
      <c r="B270" s="164">
        <f>IFERROR(__xludf.DUMMYFUNCTION("""COMPUTED_VALUE"""),1.3468845E7)</f>
        <v>13468845</v>
      </c>
      <c r="C270" s="164" t="str">
        <f>IFERROR(__xludf.DUMMYFUNCTION("""COMPUTED_VALUE"""),"1346884544")</f>
        <v>1346884544</v>
      </c>
      <c r="D270" s="164" t="str">
        <f>IFERROR(__xludf.DUMMYFUNCTION("""COMPUTED_VALUE"""),"Коричневый")</f>
        <v>Коричневый</v>
      </c>
      <c r="E270" s="164" t="str">
        <f>IFERROR(__xludf.DUMMYFUNCTION("""COMPUTED_VALUE"""),"44")</f>
        <v>44</v>
      </c>
      <c r="F270" s="133" t="str">
        <f>IFERROR(__xludf.DUMMYFUNCTION("""COMPUTED_VALUE"""),"VL00136DGW44")</f>
        <v>VL00136DGW44</v>
      </c>
      <c r="G270" s="165">
        <f>IFERROR(__xludf.DUMMYFUNCTION("""COMPUTED_VALUE"""),260.0)</f>
        <v>260</v>
      </c>
    </row>
    <row r="271" ht="15.75" customHeight="1">
      <c r="A271" s="133" t="str">
        <f>IFERROR(__xludf.DUMMYFUNCTION("""COMPUTED_VALUE"""),"VL00136DGW")</f>
        <v>VL00136DGW</v>
      </c>
      <c r="B271" s="164">
        <f>IFERROR(__xludf.DUMMYFUNCTION("""COMPUTED_VALUE"""),1.3468845E7)</f>
        <v>13468845</v>
      </c>
      <c r="C271" s="164" t="str">
        <f>IFERROR(__xludf.DUMMYFUNCTION("""COMPUTED_VALUE"""),"1346884546")</f>
        <v>1346884546</v>
      </c>
      <c r="D271" s="164" t="str">
        <f>IFERROR(__xludf.DUMMYFUNCTION("""COMPUTED_VALUE"""),"Коричневый")</f>
        <v>Коричневый</v>
      </c>
      <c r="E271" s="164" t="str">
        <f>IFERROR(__xludf.DUMMYFUNCTION("""COMPUTED_VALUE"""),"46")</f>
        <v>46</v>
      </c>
      <c r="F271" s="133" t="str">
        <f>IFERROR(__xludf.DUMMYFUNCTION("""COMPUTED_VALUE"""),"VL00136DGW46")</f>
        <v>VL00136DGW46</v>
      </c>
      <c r="G271" s="165">
        <f>IFERROR(__xludf.DUMMYFUNCTION("""COMPUTED_VALUE"""),260.0)</f>
        <v>260</v>
      </c>
    </row>
    <row r="272" ht="15.75" customHeight="1">
      <c r="A272" s="133" t="str">
        <f>IFERROR(__xludf.DUMMYFUNCTION("""COMPUTED_VALUE"""),"VL00136DGW")</f>
        <v>VL00136DGW</v>
      </c>
      <c r="B272" s="164">
        <f>IFERROR(__xludf.DUMMYFUNCTION("""COMPUTED_VALUE"""),1.3468845E7)</f>
        <v>13468845</v>
      </c>
      <c r="C272" s="164" t="str">
        <f>IFERROR(__xludf.DUMMYFUNCTION("""COMPUTED_VALUE"""),"1346884548")</f>
        <v>1346884548</v>
      </c>
      <c r="D272" s="164" t="str">
        <f>IFERROR(__xludf.DUMMYFUNCTION("""COMPUTED_VALUE"""),"Коричневый")</f>
        <v>Коричневый</v>
      </c>
      <c r="E272" s="164" t="str">
        <f>IFERROR(__xludf.DUMMYFUNCTION("""COMPUTED_VALUE"""),"48")</f>
        <v>48</v>
      </c>
      <c r="F272" s="133" t="str">
        <f>IFERROR(__xludf.DUMMYFUNCTION("""COMPUTED_VALUE"""),"VL00136DGW48")</f>
        <v>VL00136DGW48</v>
      </c>
      <c r="G272" s="165">
        <f>IFERROR(__xludf.DUMMYFUNCTION("""COMPUTED_VALUE"""),260.0)</f>
        <v>260</v>
      </c>
    </row>
    <row r="273" ht="15.75" customHeight="1">
      <c r="A273" s="133" t="str">
        <f>IFERROR(__xludf.DUMMYFUNCTION("""COMPUTED_VALUE"""),"VL00140DGW")</f>
        <v>VL00140DGW</v>
      </c>
      <c r="B273" s="164">
        <f>IFERROR(__xludf.DUMMYFUNCTION("""COMPUTED_VALUE"""),1.3759698E7)</f>
        <v>13759698</v>
      </c>
      <c r="C273" s="164" t="str">
        <f>IFERROR(__xludf.DUMMYFUNCTION("""COMPUTED_VALUE"""),"13759698S")</f>
        <v>13759698S</v>
      </c>
      <c r="D273" s="164" t="str">
        <f>IFERROR(__xludf.DUMMYFUNCTION("""COMPUTED_VALUE"""),"Коричневый")</f>
        <v>Коричневый</v>
      </c>
      <c r="E273" s="164" t="str">
        <f>IFERROR(__xludf.DUMMYFUNCTION("""COMPUTED_VALUE"""),"S")</f>
        <v>S</v>
      </c>
      <c r="F273" s="133" t="str">
        <f>IFERROR(__xludf.DUMMYFUNCTION("""COMPUTED_VALUE"""),"VL00140DGWS")</f>
        <v>VL00140DGWS</v>
      </c>
      <c r="G273" s="165">
        <f>IFERROR(__xludf.DUMMYFUNCTION("""COMPUTED_VALUE"""),232.0)</f>
        <v>232</v>
      </c>
    </row>
    <row r="274" ht="15.75" customHeight="1">
      <c r="A274" s="133" t="str">
        <f>IFERROR(__xludf.DUMMYFUNCTION("""COMPUTED_VALUE"""),"VL00140DGW")</f>
        <v>VL00140DGW</v>
      </c>
      <c r="B274" s="164">
        <f>IFERROR(__xludf.DUMMYFUNCTION("""COMPUTED_VALUE"""),1.3759698E7)</f>
        <v>13759698</v>
      </c>
      <c r="C274" s="164" t="str">
        <f>IFERROR(__xludf.DUMMYFUNCTION("""COMPUTED_VALUE"""),"13759698M")</f>
        <v>13759698M</v>
      </c>
      <c r="D274" s="164" t="str">
        <f>IFERROR(__xludf.DUMMYFUNCTION("""COMPUTED_VALUE"""),"Коричневый")</f>
        <v>Коричневый</v>
      </c>
      <c r="E274" s="164" t="str">
        <f>IFERROR(__xludf.DUMMYFUNCTION("""COMPUTED_VALUE"""),"M")</f>
        <v>M</v>
      </c>
      <c r="F274" s="133" t="str">
        <f>IFERROR(__xludf.DUMMYFUNCTION("""COMPUTED_VALUE"""),"VL00140DGWM")</f>
        <v>VL00140DGWM</v>
      </c>
      <c r="G274" s="165">
        <f>IFERROR(__xludf.DUMMYFUNCTION("""COMPUTED_VALUE"""),232.0)</f>
        <v>232</v>
      </c>
    </row>
    <row r="275" ht="15.75" customHeight="1">
      <c r="A275" s="133" t="str">
        <f>IFERROR(__xludf.DUMMYFUNCTION("""COMPUTED_VALUE"""),"VL00140DGW")</f>
        <v>VL00140DGW</v>
      </c>
      <c r="B275" s="164">
        <f>IFERROR(__xludf.DUMMYFUNCTION("""COMPUTED_VALUE"""),1.3759698E7)</f>
        <v>13759698</v>
      </c>
      <c r="C275" s="164" t="str">
        <f>IFERROR(__xludf.DUMMYFUNCTION("""COMPUTED_VALUE"""),"13759698L")</f>
        <v>13759698L</v>
      </c>
      <c r="D275" s="164" t="str">
        <f>IFERROR(__xludf.DUMMYFUNCTION("""COMPUTED_VALUE"""),"Коричневый")</f>
        <v>Коричневый</v>
      </c>
      <c r="E275" s="164" t="str">
        <f>IFERROR(__xludf.DUMMYFUNCTION("""COMPUTED_VALUE"""),"L")</f>
        <v>L</v>
      </c>
      <c r="F275" s="133" t="str">
        <f>IFERROR(__xludf.DUMMYFUNCTION("""COMPUTED_VALUE"""),"VL00140DGWL")</f>
        <v>VL00140DGWL</v>
      </c>
      <c r="G275" s="165">
        <f>IFERROR(__xludf.DUMMYFUNCTION("""COMPUTED_VALUE"""),232.0)</f>
        <v>232</v>
      </c>
    </row>
    <row r="276" ht="15.75" customHeight="1">
      <c r="A276" s="133" t="str">
        <f>IFERROR(__xludf.DUMMYFUNCTION("""COMPUTED_VALUE"""),"VL00140DGW")</f>
        <v>VL00140DGW</v>
      </c>
      <c r="B276" s="164">
        <f>IFERROR(__xludf.DUMMYFUNCTION("""COMPUTED_VALUE"""),1.3759698E7)</f>
        <v>13759698</v>
      </c>
      <c r="C276" s="164" t="str">
        <f>IFERROR(__xludf.DUMMYFUNCTION("""COMPUTED_VALUE"""),"13759698XL")</f>
        <v>13759698XL</v>
      </c>
      <c r="D276" s="164" t="str">
        <f>IFERROR(__xludf.DUMMYFUNCTION("""COMPUTED_VALUE"""),"Коричневый")</f>
        <v>Коричневый</v>
      </c>
      <c r="E276" s="164" t="str">
        <f>IFERROR(__xludf.DUMMYFUNCTION("""COMPUTED_VALUE"""),"XL")</f>
        <v>XL</v>
      </c>
      <c r="F276" s="133" t="str">
        <f>IFERROR(__xludf.DUMMYFUNCTION("""COMPUTED_VALUE"""),"VL00140DGWXL")</f>
        <v>VL00140DGWXL</v>
      </c>
      <c r="G276" s="165">
        <f>IFERROR(__xludf.DUMMYFUNCTION("""COMPUTED_VALUE"""),232.0)</f>
        <v>232</v>
      </c>
    </row>
    <row r="277" ht="15.75" customHeight="1">
      <c r="A277" s="133" t="str">
        <f>IFERROR(__xludf.DUMMYFUNCTION("""COMPUTED_VALUE"""),"DG00139DGW")</f>
        <v>DG00139DGW</v>
      </c>
      <c r="B277" s="164">
        <f>IFERROR(__xludf.DUMMYFUNCTION("""COMPUTED_VALUE"""),1.3650196E7)</f>
        <v>13650196</v>
      </c>
      <c r="C277" s="164" t="str">
        <f>IFERROR(__xludf.DUMMYFUNCTION("""COMPUTED_VALUE"""),"13650196M")</f>
        <v>13650196M</v>
      </c>
      <c r="D277" s="164" t="str">
        <f>IFERROR(__xludf.DUMMYFUNCTION("""COMPUTED_VALUE"""),"Коричневый")</f>
        <v>Коричневый</v>
      </c>
      <c r="E277" s="164" t="str">
        <f>IFERROR(__xludf.DUMMYFUNCTION("""COMPUTED_VALUE"""),"M")</f>
        <v>M</v>
      </c>
      <c r="F277" s="133" t="str">
        <f>IFERROR(__xludf.DUMMYFUNCTION("""COMPUTED_VALUE"""),"DG00139DGWM")</f>
        <v>DG00139DGWM</v>
      </c>
      <c r="G277" s="165">
        <f>IFERROR(__xludf.DUMMYFUNCTION("""COMPUTED_VALUE"""),1045.0)</f>
        <v>1045</v>
      </c>
    </row>
    <row r="278" ht="15.75" customHeight="1">
      <c r="A278" s="133" t="str">
        <f>IFERROR(__xludf.DUMMYFUNCTION("""COMPUTED_VALUE"""),"DG00139DGW")</f>
        <v>DG00139DGW</v>
      </c>
      <c r="B278" s="164">
        <f>IFERROR(__xludf.DUMMYFUNCTION("""COMPUTED_VALUE"""),1.3650196E7)</f>
        <v>13650196</v>
      </c>
      <c r="C278" s="164" t="str">
        <f>IFERROR(__xludf.DUMMYFUNCTION("""COMPUTED_VALUE"""),"13650196L")</f>
        <v>13650196L</v>
      </c>
      <c r="D278" s="164" t="str">
        <f>IFERROR(__xludf.DUMMYFUNCTION("""COMPUTED_VALUE"""),"Коричневый")</f>
        <v>Коричневый</v>
      </c>
      <c r="E278" s="164" t="str">
        <f>IFERROR(__xludf.DUMMYFUNCTION("""COMPUTED_VALUE"""),"L")</f>
        <v>L</v>
      </c>
      <c r="F278" s="133" t="str">
        <f>IFERROR(__xludf.DUMMYFUNCTION("""COMPUTED_VALUE"""),"DG00139DGWL")</f>
        <v>DG00139DGWL</v>
      </c>
      <c r="G278" s="165">
        <f>IFERROR(__xludf.DUMMYFUNCTION("""COMPUTED_VALUE"""),1045.0)</f>
        <v>1045</v>
      </c>
    </row>
    <row r="279" ht="15.75" customHeight="1">
      <c r="A279" s="133" t="str">
        <f>IFERROR(__xludf.DUMMYFUNCTION("""COMPUTED_VALUE"""),"DG00139DGW")</f>
        <v>DG00139DGW</v>
      </c>
      <c r="B279" s="164">
        <f>IFERROR(__xludf.DUMMYFUNCTION("""COMPUTED_VALUE"""),1.3650196E7)</f>
        <v>13650196</v>
      </c>
      <c r="C279" s="164" t="str">
        <f>IFERROR(__xludf.DUMMYFUNCTION("""COMPUTED_VALUE"""),"13650196XL")</f>
        <v>13650196XL</v>
      </c>
      <c r="D279" s="164" t="str">
        <f>IFERROR(__xludf.DUMMYFUNCTION("""COMPUTED_VALUE"""),"Коричневый")</f>
        <v>Коричневый</v>
      </c>
      <c r="E279" s="164" t="str">
        <f>IFERROR(__xludf.DUMMYFUNCTION("""COMPUTED_VALUE"""),"XL")</f>
        <v>XL</v>
      </c>
      <c r="F279" s="133" t="str">
        <f>IFERROR(__xludf.DUMMYFUNCTION("""COMPUTED_VALUE"""),"DG00139DGWXL")</f>
        <v>DG00139DGWXL</v>
      </c>
      <c r="G279" s="165">
        <f>IFERROR(__xludf.DUMMYFUNCTION("""COMPUTED_VALUE"""),1045.0)</f>
        <v>1045</v>
      </c>
    </row>
    <row r="280" ht="15.75" customHeight="1">
      <c r="A280" s="133" t="str">
        <f>IFERROR(__xludf.DUMMYFUNCTION("""COMPUTED_VALUE"""),"DZ50146DGW")</f>
        <v>DZ50146DGW</v>
      </c>
      <c r="B280" s="164">
        <f>IFERROR(__xludf.DUMMYFUNCTION("""COMPUTED_VALUE"""),1.4619622E7)</f>
        <v>14619622</v>
      </c>
      <c r="C280" s="164" t="str">
        <f>IFERROR(__xludf.DUMMYFUNCTION("""COMPUTED_VALUE"""),"1461962225")</f>
        <v>1461962225</v>
      </c>
      <c r="D280" s="164" t="str">
        <f>IFERROR(__xludf.DUMMYFUNCTION("""COMPUTED_VALUE"""),"Коричневый")</f>
        <v>Коричневый</v>
      </c>
      <c r="E280" s="164" t="str">
        <f>IFERROR(__xludf.DUMMYFUNCTION("""COMPUTED_VALUE"""),"25")</f>
        <v>25</v>
      </c>
      <c r="F280" s="133" t="str">
        <f>IFERROR(__xludf.DUMMYFUNCTION("""COMPUTED_VALUE"""),"DZ50146DGW25")</f>
        <v>DZ50146DGW25</v>
      </c>
      <c r="G280" s="165">
        <f>IFERROR(__xludf.DUMMYFUNCTION("""COMPUTED_VALUE"""),794.0)</f>
        <v>794</v>
      </c>
    </row>
    <row r="281" ht="15.75" customHeight="1">
      <c r="A281" s="133" t="str">
        <f>IFERROR(__xludf.DUMMYFUNCTION("""COMPUTED_VALUE"""),"DZ50146DGW")</f>
        <v>DZ50146DGW</v>
      </c>
      <c r="B281" s="164">
        <f>IFERROR(__xludf.DUMMYFUNCTION("""COMPUTED_VALUE"""),1.4619622E7)</f>
        <v>14619622</v>
      </c>
      <c r="C281" s="164" t="str">
        <f>IFERROR(__xludf.DUMMYFUNCTION("""COMPUTED_VALUE"""),"1461962226")</f>
        <v>1461962226</v>
      </c>
      <c r="D281" s="164" t="str">
        <f>IFERROR(__xludf.DUMMYFUNCTION("""COMPUTED_VALUE"""),"Коричневый")</f>
        <v>Коричневый</v>
      </c>
      <c r="E281" s="164" t="str">
        <f>IFERROR(__xludf.DUMMYFUNCTION("""COMPUTED_VALUE"""),"26")</f>
        <v>26</v>
      </c>
      <c r="F281" s="133" t="str">
        <f>IFERROR(__xludf.DUMMYFUNCTION("""COMPUTED_VALUE"""),"DZ50146DGW26")</f>
        <v>DZ50146DGW26</v>
      </c>
      <c r="G281" s="165">
        <f>IFERROR(__xludf.DUMMYFUNCTION("""COMPUTED_VALUE"""),794.0)</f>
        <v>794</v>
      </c>
    </row>
    <row r="282" ht="15.75" customHeight="1">
      <c r="A282" s="133" t="str">
        <f>IFERROR(__xludf.DUMMYFUNCTION("""COMPUTED_VALUE"""),"DZ50146DGW")</f>
        <v>DZ50146DGW</v>
      </c>
      <c r="B282" s="164">
        <f>IFERROR(__xludf.DUMMYFUNCTION("""COMPUTED_VALUE"""),1.4619622E7)</f>
        <v>14619622</v>
      </c>
      <c r="C282" s="164" t="str">
        <f>IFERROR(__xludf.DUMMYFUNCTION("""COMPUTED_VALUE"""),"1461962227")</f>
        <v>1461962227</v>
      </c>
      <c r="D282" s="164" t="str">
        <f>IFERROR(__xludf.DUMMYFUNCTION("""COMPUTED_VALUE"""),"Коричневый")</f>
        <v>Коричневый</v>
      </c>
      <c r="E282" s="164" t="str">
        <f>IFERROR(__xludf.DUMMYFUNCTION("""COMPUTED_VALUE"""),"27")</f>
        <v>27</v>
      </c>
      <c r="F282" s="133" t="str">
        <f>IFERROR(__xludf.DUMMYFUNCTION("""COMPUTED_VALUE"""),"DZ50146DGW27")</f>
        <v>DZ50146DGW27</v>
      </c>
      <c r="G282" s="165">
        <f>IFERROR(__xludf.DUMMYFUNCTION("""COMPUTED_VALUE"""),794.0)</f>
        <v>794</v>
      </c>
    </row>
    <row r="283" ht="15.75" customHeight="1">
      <c r="A283" s="133" t="str">
        <f>IFERROR(__xludf.DUMMYFUNCTION("""COMPUTED_VALUE"""),"DZ50146DGW")</f>
        <v>DZ50146DGW</v>
      </c>
      <c r="B283" s="164">
        <f>IFERROR(__xludf.DUMMYFUNCTION("""COMPUTED_VALUE"""),1.4619622E7)</f>
        <v>14619622</v>
      </c>
      <c r="C283" s="164" t="str">
        <f>IFERROR(__xludf.DUMMYFUNCTION("""COMPUTED_VALUE"""),"1461962228")</f>
        <v>1461962228</v>
      </c>
      <c r="D283" s="164" t="str">
        <f>IFERROR(__xludf.DUMMYFUNCTION("""COMPUTED_VALUE"""),"Коричневый")</f>
        <v>Коричневый</v>
      </c>
      <c r="E283" s="164" t="str">
        <f>IFERROR(__xludf.DUMMYFUNCTION("""COMPUTED_VALUE"""),"28")</f>
        <v>28</v>
      </c>
      <c r="F283" s="133" t="str">
        <f>IFERROR(__xludf.DUMMYFUNCTION("""COMPUTED_VALUE"""),"DZ50146DGW28")</f>
        <v>DZ50146DGW28</v>
      </c>
      <c r="G283" s="165">
        <f>IFERROR(__xludf.DUMMYFUNCTION("""COMPUTED_VALUE"""),794.0)</f>
        <v>794</v>
      </c>
    </row>
    <row r="284" ht="15.75" customHeight="1">
      <c r="A284" s="133" t="str">
        <f>IFERROR(__xludf.DUMMYFUNCTION("""COMPUTED_VALUE"""),"DZ50146DGW")</f>
        <v>DZ50146DGW</v>
      </c>
      <c r="B284" s="164">
        <f>IFERROR(__xludf.DUMMYFUNCTION("""COMPUTED_VALUE"""),1.4619622E7)</f>
        <v>14619622</v>
      </c>
      <c r="C284" s="164" t="str">
        <f>IFERROR(__xludf.DUMMYFUNCTION("""COMPUTED_VALUE"""),"1461962229")</f>
        <v>1461962229</v>
      </c>
      <c r="D284" s="164" t="str">
        <f>IFERROR(__xludf.DUMMYFUNCTION("""COMPUTED_VALUE"""),"Коричневый")</f>
        <v>Коричневый</v>
      </c>
      <c r="E284" s="164" t="str">
        <f>IFERROR(__xludf.DUMMYFUNCTION("""COMPUTED_VALUE"""),"29")</f>
        <v>29</v>
      </c>
      <c r="F284" s="133" t="str">
        <f>IFERROR(__xludf.DUMMYFUNCTION("""COMPUTED_VALUE"""),"DZ50146DGW29")</f>
        <v>DZ50146DGW29</v>
      </c>
      <c r="G284" s="165">
        <f>IFERROR(__xludf.DUMMYFUNCTION("""COMPUTED_VALUE"""),794.0)</f>
        <v>794</v>
      </c>
    </row>
    <row r="285" ht="15.75" customHeight="1">
      <c r="A285" s="133" t="str">
        <f>IFERROR(__xludf.DUMMYFUNCTION("""COMPUTED_VALUE"""),"DZ50147DGW")</f>
        <v>DZ50147DGW</v>
      </c>
      <c r="B285" s="164">
        <f>IFERROR(__xludf.DUMMYFUNCTION("""COMPUTED_VALUE"""),1.4619623E7)</f>
        <v>14619623</v>
      </c>
      <c r="C285" s="164" t="str">
        <f>IFERROR(__xludf.DUMMYFUNCTION("""COMPUTED_VALUE"""),"1461962325")</f>
        <v>1461962325</v>
      </c>
      <c r="D285" s="164" t="str">
        <f>IFERROR(__xludf.DUMMYFUNCTION("""COMPUTED_VALUE"""),"Коричневый")</f>
        <v>Коричневый</v>
      </c>
      <c r="E285" s="164" t="str">
        <f>IFERROR(__xludf.DUMMYFUNCTION("""COMPUTED_VALUE"""),"25")</f>
        <v>25</v>
      </c>
      <c r="F285" s="133" t="str">
        <f>IFERROR(__xludf.DUMMYFUNCTION("""COMPUTED_VALUE"""),"DZ50147DGW25")</f>
        <v>DZ50147DGW25</v>
      </c>
      <c r="G285" s="165">
        <f>IFERROR(__xludf.DUMMYFUNCTION("""COMPUTED_VALUE"""),760.0)</f>
        <v>760</v>
      </c>
    </row>
    <row r="286" ht="15.75" customHeight="1">
      <c r="A286" s="133" t="str">
        <f>IFERROR(__xludf.DUMMYFUNCTION("""COMPUTED_VALUE"""),"DZ50147DGW")</f>
        <v>DZ50147DGW</v>
      </c>
      <c r="B286" s="164">
        <f>IFERROR(__xludf.DUMMYFUNCTION("""COMPUTED_VALUE"""),1.4619623E7)</f>
        <v>14619623</v>
      </c>
      <c r="C286" s="164" t="str">
        <f>IFERROR(__xludf.DUMMYFUNCTION("""COMPUTED_VALUE"""),"1461962326")</f>
        <v>1461962326</v>
      </c>
      <c r="D286" s="164" t="str">
        <f>IFERROR(__xludf.DUMMYFUNCTION("""COMPUTED_VALUE"""),"Коричневый")</f>
        <v>Коричневый</v>
      </c>
      <c r="E286" s="164" t="str">
        <f>IFERROR(__xludf.DUMMYFUNCTION("""COMPUTED_VALUE"""),"26")</f>
        <v>26</v>
      </c>
      <c r="F286" s="133" t="str">
        <f>IFERROR(__xludf.DUMMYFUNCTION("""COMPUTED_VALUE"""),"DZ50147DGW26")</f>
        <v>DZ50147DGW26</v>
      </c>
      <c r="G286" s="165">
        <f>IFERROR(__xludf.DUMMYFUNCTION("""COMPUTED_VALUE"""),760.0)</f>
        <v>760</v>
      </c>
    </row>
    <row r="287" ht="15.75" customHeight="1">
      <c r="A287" s="133" t="str">
        <f>IFERROR(__xludf.DUMMYFUNCTION("""COMPUTED_VALUE"""),"DZ50147DGW")</f>
        <v>DZ50147DGW</v>
      </c>
      <c r="B287" s="164">
        <f>IFERROR(__xludf.DUMMYFUNCTION("""COMPUTED_VALUE"""),1.4619623E7)</f>
        <v>14619623</v>
      </c>
      <c r="C287" s="164" t="str">
        <f>IFERROR(__xludf.DUMMYFUNCTION("""COMPUTED_VALUE"""),"1461962327")</f>
        <v>1461962327</v>
      </c>
      <c r="D287" s="164" t="str">
        <f>IFERROR(__xludf.DUMMYFUNCTION("""COMPUTED_VALUE"""),"Коричневый")</f>
        <v>Коричневый</v>
      </c>
      <c r="E287" s="164" t="str">
        <f>IFERROR(__xludf.DUMMYFUNCTION("""COMPUTED_VALUE"""),"27")</f>
        <v>27</v>
      </c>
      <c r="F287" s="133" t="str">
        <f>IFERROR(__xludf.DUMMYFUNCTION("""COMPUTED_VALUE"""),"DZ50147DGW27")</f>
        <v>DZ50147DGW27</v>
      </c>
      <c r="G287" s="165">
        <f>IFERROR(__xludf.DUMMYFUNCTION("""COMPUTED_VALUE"""),760.0)</f>
        <v>760</v>
      </c>
    </row>
    <row r="288" ht="15.75" customHeight="1">
      <c r="A288" s="133" t="str">
        <f>IFERROR(__xludf.DUMMYFUNCTION("""COMPUTED_VALUE"""),"DZ50147DGW")</f>
        <v>DZ50147DGW</v>
      </c>
      <c r="B288" s="164">
        <f>IFERROR(__xludf.DUMMYFUNCTION("""COMPUTED_VALUE"""),1.4619623E7)</f>
        <v>14619623</v>
      </c>
      <c r="C288" s="164" t="str">
        <f>IFERROR(__xludf.DUMMYFUNCTION("""COMPUTED_VALUE"""),"1461962328")</f>
        <v>1461962328</v>
      </c>
      <c r="D288" s="164" t="str">
        <f>IFERROR(__xludf.DUMMYFUNCTION("""COMPUTED_VALUE"""),"Коричневый")</f>
        <v>Коричневый</v>
      </c>
      <c r="E288" s="164" t="str">
        <f>IFERROR(__xludf.DUMMYFUNCTION("""COMPUTED_VALUE"""),"28")</f>
        <v>28</v>
      </c>
      <c r="F288" s="133" t="str">
        <f>IFERROR(__xludf.DUMMYFUNCTION("""COMPUTED_VALUE"""),"DZ50147DGW28")</f>
        <v>DZ50147DGW28</v>
      </c>
      <c r="G288" s="165">
        <f>IFERROR(__xludf.DUMMYFUNCTION("""COMPUTED_VALUE"""),760.0)</f>
        <v>760</v>
      </c>
    </row>
    <row r="289" ht="15.75" customHeight="1">
      <c r="A289" s="133" t="str">
        <f>IFERROR(__xludf.DUMMYFUNCTION("""COMPUTED_VALUE"""),"DZ50147DGW")</f>
        <v>DZ50147DGW</v>
      </c>
      <c r="B289" s="164">
        <f>IFERROR(__xludf.DUMMYFUNCTION("""COMPUTED_VALUE"""),1.4619623E7)</f>
        <v>14619623</v>
      </c>
      <c r="C289" s="164" t="str">
        <f>IFERROR(__xludf.DUMMYFUNCTION("""COMPUTED_VALUE"""),"1461962329")</f>
        <v>1461962329</v>
      </c>
      <c r="D289" s="164" t="str">
        <f>IFERROR(__xludf.DUMMYFUNCTION("""COMPUTED_VALUE"""),"Коричневый")</f>
        <v>Коричневый</v>
      </c>
      <c r="E289" s="164" t="str">
        <f>IFERROR(__xludf.DUMMYFUNCTION("""COMPUTED_VALUE"""),"29")</f>
        <v>29</v>
      </c>
      <c r="F289" s="133" t="str">
        <f>IFERROR(__xludf.DUMMYFUNCTION("""COMPUTED_VALUE"""),"DZ50147DGW29")</f>
        <v>DZ50147DGW29</v>
      </c>
      <c r="G289" s="165">
        <f>IFERROR(__xludf.DUMMYFUNCTION("""COMPUTED_VALUE"""),760.0)</f>
        <v>760</v>
      </c>
    </row>
    <row r="290" ht="15.75" customHeight="1">
      <c r="A290" s="133" t="str">
        <f>IFERROR(__xludf.DUMMYFUNCTION("""COMPUTED_VALUE"""),"DZ50153DGW")</f>
        <v>DZ50153DGW</v>
      </c>
      <c r="B290" s="164">
        <f>IFERROR(__xludf.DUMMYFUNCTION("""COMPUTED_VALUE"""),1.5318471E7)</f>
        <v>15318471</v>
      </c>
      <c r="C290" s="164" t="str">
        <f>IFERROR(__xludf.DUMMYFUNCTION("""COMPUTED_VALUE"""),"1531847125")</f>
        <v>1531847125</v>
      </c>
      <c r="D290" s="164" t="str">
        <f>IFERROR(__xludf.DUMMYFUNCTION("""COMPUTED_VALUE"""),"серые")</f>
        <v>серые</v>
      </c>
      <c r="E290" s="164" t="str">
        <f>IFERROR(__xludf.DUMMYFUNCTION("""COMPUTED_VALUE"""),"25")</f>
        <v>25</v>
      </c>
      <c r="F290" s="133" t="str">
        <f>IFERROR(__xludf.DUMMYFUNCTION("""COMPUTED_VALUE"""),"DZ50153DGW25")</f>
        <v>DZ50153DGW25</v>
      </c>
      <c r="G290" s="165">
        <f>IFERROR(__xludf.DUMMYFUNCTION("""COMPUTED_VALUE"""),745.0)</f>
        <v>745</v>
      </c>
    </row>
    <row r="291" ht="15.75" customHeight="1">
      <c r="A291" s="133" t="str">
        <f>IFERROR(__xludf.DUMMYFUNCTION("""COMPUTED_VALUE"""),"DZ50153DGW")</f>
        <v>DZ50153DGW</v>
      </c>
      <c r="B291" s="164">
        <f>IFERROR(__xludf.DUMMYFUNCTION("""COMPUTED_VALUE"""),1.5318471E7)</f>
        <v>15318471</v>
      </c>
      <c r="C291" s="164" t="str">
        <f>IFERROR(__xludf.DUMMYFUNCTION("""COMPUTED_VALUE"""),"1531847126")</f>
        <v>1531847126</v>
      </c>
      <c r="D291" s="164" t="str">
        <f>IFERROR(__xludf.DUMMYFUNCTION("""COMPUTED_VALUE"""),"серые")</f>
        <v>серые</v>
      </c>
      <c r="E291" s="164" t="str">
        <f>IFERROR(__xludf.DUMMYFUNCTION("""COMPUTED_VALUE"""),"26")</f>
        <v>26</v>
      </c>
      <c r="F291" s="133" t="str">
        <f>IFERROR(__xludf.DUMMYFUNCTION("""COMPUTED_VALUE"""),"DZ50153DGW26")</f>
        <v>DZ50153DGW26</v>
      </c>
      <c r="G291" s="165">
        <f>IFERROR(__xludf.DUMMYFUNCTION("""COMPUTED_VALUE"""),745.0)</f>
        <v>745</v>
      </c>
    </row>
    <row r="292" ht="15.75" customHeight="1">
      <c r="A292" s="133" t="str">
        <f>IFERROR(__xludf.DUMMYFUNCTION("""COMPUTED_VALUE"""),"DZ50153DGW")</f>
        <v>DZ50153DGW</v>
      </c>
      <c r="B292" s="164">
        <f>IFERROR(__xludf.DUMMYFUNCTION("""COMPUTED_VALUE"""),1.5318471E7)</f>
        <v>15318471</v>
      </c>
      <c r="C292" s="164" t="str">
        <f>IFERROR(__xludf.DUMMYFUNCTION("""COMPUTED_VALUE"""),"1531847127")</f>
        <v>1531847127</v>
      </c>
      <c r="D292" s="164" t="str">
        <f>IFERROR(__xludf.DUMMYFUNCTION("""COMPUTED_VALUE"""),"серые")</f>
        <v>серые</v>
      </c>
      <c r="E292" s="164" t="str">
        <f>IFERROR(__xludf.DUMMYFUNCTION("""COMPUTED_VALUE"""),"27")</f>
        <v>27</v>
      </c>
      <c r="F292" s="133" t="str">
        <f>IFERROR(__xludf.DUMMYFUNCTION("""COMPUTED_VALUE"""),"DZ50153DGW27")</f>
        <v>DZ50153DGW27</v>
      </c>
      <c r="G292" s="165">
        <f>IFERROR(__xludf.DUMMYFUNCTION("""COMPUTED_VALUE"""),745.0)</f>
        <v>745</v>
      </c>
    </row>
    <row r="293" ht="15.75" customHeight="1">
      <c r="A293" s="133" t="str">
        <f>IFERROR(__xludf.DUMMYFUNCTION("""COMPUTED_VALUE"""),"DZ50153DGW")</f>
        <v>DZ50153DGW</v>
      </c>
      <c r="B293" s="164">
        <f>IFERROR(__xludf.DUMMYFUNCTION("""COMPUTED_VALUE"""),1.5318471E7)</f>
        <v>15318471</v>
      </c>
      <c r="C293" s="164" t="str">
        <f>IFERROR(__xludf.DUMMYFUNCTION("""COMPUTED_VALUE"""),"1531847128")</f>
        <v>1531847128</v>
      </c>
      <c r="D293" s="164" t="str">
        <f>IFERROR(__xludf.DUMMYFUNCTION("""COMPUTED_VALUE"""),"серые")</f>
        <v>серые</v>
      </c>
      <c r="E293" s="164" t="str">
        <f>IFERROR(__xludf.DUMMYFUNCTION("""COMPUTED_VALUE"""),"28")</f>
        <v>28</v>
      </c>
      <c r="F293" s="133" t="str">
        <f>IFERROR(__xludf.DUMMYFUNCTION("""COMPUTED_VALUE"""),"DZ50153DGW28")</f>
        <v>DZ50153DGW28</v>
      </c>
      <c r="G293" s="165">
        <f>IFERROR(__xludf.DUMMYFUNCTION("""COMPUTED_VALUE"""),745.0)</f>
        <v>745</v>
      </c>
    </row>
    <row r="294" ht="15.75" customHeight="1">
      <c r="A294" s="133" t="str">
        <f>IFERROR(__xludf.DUMMYFUNCTION("""COMPUTED_VALUE"""),"DZ50153DGW")</f>
        <v>DZ50153DGW</v>
      </c>
      <c r="B294" s="164">
        <f>IFERROR(__xludf.DUMMYFUNCTION("""COMPUTED_VALUE"""),1.5318471E7)</f>
        <v>15318471</v>
      </c>
      <c r="C294" s="164" t="str">
        <f>IFERROR(__xludf.DUMMYFUNCTION("""COMPUTED_VALUE"""),"1531847129")</f>
        <v>1531847129</v>
      </c>
      <c r="D294" s="164" t="str">
        <f>IFERROR(__xludf.DUMMYFUNCTION("""COMPUTED_VALUE"""),"серые")</f>
        <v>серые</v>
      </c>
      <c r="E294" s="164" t="str">
        <f>IFERROR(__xludf.DUMMYFUNCTION("""COMPUTED_VALUE"""),"29")</f>
        <v>29</v>
      </c>
      <c r="F294" s="133" t="str">
        <f>IFERROR(__xludf.DUMMYFUNCTION("""COMPUTED_VALUE"""),"DZ50153DGW29")</f>
        <v>DZ50153DGW29</v>
      </c>
      <c r="G294" s="165">
        <f>IFERROR(__xludf.DUMMYFUNCTION("""COMPUTED_VALUE"""),745.0)</f>
        <v>745</v>
      </c>
    </row>
    <row r="295" ht="15.75" customHeight="1">
      <c r="A295" s="133" t="str">
        <f>IFERROR(__xludf.DUMMYFUNCTION("""COMPUTED_VALUE"""),"DZ50152DGW")</f>
        <v>DZ50152DGW</v>
      </c>
      <c r="B295" s="164">
        <f>IFERROR(__xludf.DUMMYFUNCTION("""COMPUTED_VALUE"""),1.5793761E7)</f>
        <v>15793761</v>
      </c>
      <c r="C295" s="164" t="str">
        <f>IFERROR(__xludf.DUMMYFUNCTION("""COMPUTED_VALUE"""),"1579376125")</f>
        <v>1579376125</v>
      </c>
      <c r="D295" s="164" t="str">
        <f>IFERROR(__xludf.DUMMYFUNCTION("""COMPUTED_VALUE"""),"Синий")</f>
        <v>Синий</v>
      </c>
      <c r="E295" s="164" t="str">
        <f>IFERROR(__xludf.DUMMYFUNCTION("""COMPUTED_VALUE"""),"25")</f>
        <v>25</v>
      </c>
      <c r="F295" s="133" t="str">
        <f>IFERROR(__xludf.DUMMYFUNCTION("""COMPUTED_VALUE"""),"DZ50152DGW25")</f>
        <v>DZ50152DGW25</v>
      </c>
      <c r="G295" s="165">
        <f>IFERROR(__xludf.DUMMYFUNCTION("""COMPUTED_VALUE"""),785.0)</f>
        <v>785</v>
      </c>
    </row>
    <row r="296" ht="15.75" customHeight="1">
      <c r="A296" s="133" t="str">
        <f>IFERROR(__xludf.DUMMYFUNCTION("""COMPUTED_VALUE"""),"DZ50152DGW")</f>
        <v>DZ50152DGW</v>
      </c>
      <c r="B296" s="164">
        <f>IFERROR(__xludf.DUMMYFUNCTION("""COMPUTED_VALUE"""),1.5793761E7)</f>
        <v>15793761</v>
      </c>
      <c r="C296" s="164" t="str">
        <f>IFERROR(__xludf.DUMMYFUNCTION("""COMPUTED_VALUE"""),"1579376126")</f>
        <v>1579376126</v>
      </c>
      <c r="D296" s="164" t="str">
        <f>IFERROR(__xludf.DUMMYFUNCTION("""COMPUTED_VALUE"""),"Синий")</f>
        <v>Синий</v>
      </c>
      <c r="E296" s="164" t="str">
        <f>IFERROR(__xludf.DUMMYFUNCTION("""COMPUTED_VALUE"""),"26")</f>
        <v>26</v>
      </c>
      <c r="F296" s="133" t="str">
        <f>IFERROR(__xludf.DUMMYFUNCTION("""COMPUTED_VALUE"""),"DZ50152DGW26")</f>
        <v>DZ50152DGW26</v>
      </c>
      <c r="G296" s="165">
        <f>IFERROR(__xludf.DUMMYFUNCTION("""COMPUTED_VALUE"""),785.0)</f>
        <v>785</v>
      </c>
    </row>
    <row r="297" ht="15.75" customHeight="1">
      <c r="A297" s="133" t="str">
        <f>IFERROR(__xludf.DUMMYFUNCTION("""COMPUTED_VALUE"""),"DZ50152DGW")</f>
        <v>DZ50152DGW</v>
      </c>
      <c r="B297" s="164">
        <f>IFERROR(__xludf.DUMMYFUNCTION("""COMPUTED_VALUE"""),1.5793761E7)</f>
        <v>15793761</v>
      </c>
      <c r="C297" s="164" t="str">
        <f>IFERROR(__xludf.DUMMYFUNCTION("""COMPUTED_VALUE"""),"1579376127")</f>
        <v>1579376127</v>
      </c>
      <c r="D297" s="164" t="str">
        <f>IFERROR(__xludf.DUMMYFUNCTION("""COMPUTED_VALUE"""),"Синий")</f>
        <v>Синий</v>
      </c>
      <c r="E297" s="164" t="str">
        <f>IFERROR(__xludf.DUMMYFUNCTION("""COMPUTED_VALUE"""),"27")</f>
        <v>27</v>
      </c>
      <c r="F297" s="133" t="str">
        <f>IFERROR(__xludf.DUMMYFUNCTION("""COMPUTED_VALUE"""),"DZ50152DGW27")</f>
        <v>DZ50152DGW27</v>
      </c>
      <c r="G297" s="165">
        <f>IFERROR(__xludf.DUMMYFUNCTION("""COMPUTED_VALUE"""),785.0)</f>
        <v>785</v>
      </c>
    </row>
    <row r="298" ht="15.75" customHeight="1">
      <c r="A298" s="133" t="str">
        <f>IFERROR(__xludf.DUMMYFUNCTION("""COMPUTED_VALUE"""),"DZ50152DGW")</f>
        <v>DZ50152DGW</v>
      </c>
      <c r="B298" s="164">
        <f>IFERROR(__xludf.DUMMYFUNCTION("""COMPUTED_VALUE"""),1.5793761E7)</f>
        <v>15793761</v>
      </c>
      <c r="C298" s="164" t="str">
        <f>IFERROR(__xludf.DUMMYFUNCTION("""COMPUTED_VALUE"""),"1579376128")</f>
        <v>1579376128</v>
      </c>
      <c r="D298" s="164" t="str">
        <f>IFERROR(__xludf.DUMMYFUNCTION("""COMPUTED_VALUE"""),"Синий")</f>
        <v>Синий</v>
      </c>
      <c r="E298" s="164" t="str">
        <f>IFERROR(__xludf.DUMMYFUNCTION("""COMPUTED_VALUE"""),"28")</f>
        <v>28</v>
      </c>
      <c r="F298" s="133" t="str">
        <f>IFERROR(__xludf.DUMMYFUNCTION("""COMPUTED_VALUE"""),"DZ50152DGW28")</f>
        <v>DZ50152DGW28</v>
      </c>
      <c r="G298" s="165">
        <f>IFERROR(__xludf.DUMMYFUNCTION("""COMPUTED_VALUE"""),785.0)</f>
        <v>785</v>
      </c>
    </row>
    <row r="299" ht="15.75" customHeight="1">
      <c r="A299" s="133" t="str">
        <f>IFERROR(__xludf.DUMMYFUNCTION("""COMPUTED_VALUE"""),"DZ50152DGW")</f>
        <v>DZ50152DGW</v>
      </c>
      <c r="B299" s="164">
        <f>IFERROR(__xludf.DUMMYFUNCTION("""COMPUTED_VALUE"""),1.5793761E7)</f>
        <v>15793761</v>
      </c>
      <c r="C299" s="164" t="str">
        <f>IFERROR(__xludf.DUMMYFUNCTION("""COMPUTED_VALUE"""),"1579376129")</f>
        <v>1579376129</v>
      </c>
      <c r="D299" s="164" t="str">
        <f>IFERROR(__xludf.DUMMYFUNCTION("""COMPUTED_VALUE"""),"Синий")</f>
        <v>Синий</v>
      </c>
      <c r="E299" s="164" t="str">
        <f>IFERROR(__xludf.DUMMYFUNCTION("""COMPUTED_VALUE"""),"29")</f>
        <v>29</v>
      </c>
      <c r="F299" s="133" t="str">
        <f>IFERROR(__xludf.DUMMYFUNCTION("""COMPUTED_VALUE"""),"DZ50152DGW29")</f>
        <v>DZ50152DGW29</v>
      </c>
      <c r="G299" s="165">
        <f>IFERROR(__xludf.DUMMYFUNCTION("""COMPUTED_VALUE"""),785.0)</f>
        <v>785</v>
      </c>
    </row>
    <row r="300" ht="15.75" customHeight="1">
      <c r="A300" s="133" t="str">
        <f>IFERROR(__xludf.DUMMYFUNCTION("""COMPUTED_VALUE"""),"SH20140KE")</f>
        <v>SH20140KE</v>
      </c>
      <c r="B300" s="164">
        <f>IFERROR(__xludf.DUMMYFUNCTION("""COMPUTED_VALUE"""),1.4097755E7)</f>
        <v>14097755</v>
      </c>
      <c r="C300" s="164" t="str">
        <f>IFERROR(__xludf.DUMMYFUNCTION("""COMPUTED_VALUE"""),"140977550")</f>
        <v>140977550</v>
      </c>
      <c r="D300" s="164" t="str">
        <f>IFERROR(__xludf.DUMMYFUNCTION("""COMPUTED_VALUE"""),"14 097 755")</f>
        <v>14 097 755</v>
      </c>
      <c r="E300" s="164" t="str">
        <f>IFERROR(__xludf.DUMMYFUNCTION("""COMPUTED_VALUE"""),"0")</f>
        <v>0</v>
      </c>
      <c r="F300" s="133" t="str">
        <f>IFERROR(__xludf.DUMMYFUNCTION("""COMPUTED_VALUE"""),"SH20140KE0")</f>
        <v>SH20140KE0</v>
      </c>
      <c r="G300" s="165">
        <f>IFERROR(__xludf.DUMMYFUNCTION("""COMPUTED_VALUE"""),147.0)</f>
        <v>147</v>
      </c>
    </row>
    <row r="301" ht="15.75" customHeight="1">
      <c r="A301" s="133" t="str">
        <f>IFERROR(__xludf.DUMMYFUNCTION("""COMPUTED_VALUE"""),"SH80141KE")</f>
        <v>SH80141KE</v>
      </c>
      <c r="B301" s="164">
        <f>IFERROR(__xludf.DUMMYFUNCTION("""COMPUTED_VALUE"""),1.4097758E7)</f>
        <v>14097758</v>
      </c>
      <c r="C301" s="164" t="str">
        <f>IFERROR(__xludf.DUMMYFUNCTION("""COMPUTED_VALUE"""),"140977580")</f>
        <v>140977580</v>
      </c>
      <c r="D301" s="164" t="str">
        <f>IFERROR(__xludf.DUMMYFUNCTION("""COMPUTED_VALUE"""),"14 097 758")</f>
        <v>14 097 758</v>
      </c>
      <c r="E301" s="164" t="str">
        <f>IFERROR(__xludf.DUMMYFUNCTION("""COMPUTED_VALUE"""),"0")</f>
        <v>0</v>
      </c>
      <c r="F301" s="133" t="str">
        <f>IFERROR(__xludf.DUMMYFUNCTION("""COMPUTED_VALUE"""),"SH80141KE0")</f>
        <v>SH80141KE0</v>
      </c>
      <c r="G301" s="165">
        <f>IFERROR(__xludf.DUMMYFUNCTION("""COMPUTED_VALUE"""),147.0)</f>
        <v>147</v>
      </c>
    </row>
    <row r="302" ht="15.75" customHeight="1">
      <c r="A302" s="133" t="str">
        <f>IFERROR(__xludf.DUMMYFUNCTION("""COMPUTED_VALUE"""),"SH20141KE")</f>
        <v>SH20141KE</v>
      </c>
      <c r="B302" s="164">
        <f>IFERROR(__xludf.DUMMYFUNCTION("""COMPUTED_VALUE"""),1.4097756E7)</f>
        <v>14097756</v>
      </c>
      <c r="C302" s="164" t="str">
        <f>IFERROR(__xludf.DUMMYFUNCTION("""COMPUTED_VALUE"""),"140977560")</f>
        <v>140977560</v>
      </c>
      <c r="D302" s="164" t="str">
        <f>IFERROR(__xludf.DUMMYFUNCTION("""COMPUTED_VALUE"""),"14 097 756")</f>
        <v>14 097 756</v>
      </c>
      <c r="E302" s="164" t="str">
        <f>IFERROR(__xludf.DUMMYFUNCTION("""COMPUTED_VALUE"""),"0")</f>
        <v>0</v>
      </c>
      <c r="F302" s="133" t="str">
        <f>IFERROR(__xludf.DUMMYFUNCTION("""COMPUTED_VALUE"""),"SH20141KE0")</f>
        <v>SH20141KE0</v>
      </c>
      <c r="G302" s="165">
        <f>IFERROR(__xludf.DUMMYFUNCTION("""COMPUTED_VALUE"""),137.0)</f>
        <v>137</v>
      </c>
    </row>
    <row r="303" ht="15.75" customHeight="1">
      <c r="A303" s="133" t="str">
        <f>IFERROR(__xludf.DUMMYFUNCTION("""COMPUTED_VALUE"""),"SH80142KE")</f>
        <v>SH80142KE</v>
      </c>
      <c r="B303" s="164">
        <f>IFERROR(__xludf.DUMMYFUNCTION("""COMPUTED_VALUE"""),1.4097759E7)</f>
        <v>14097759</v>
      </c>
      <c r="C303" s="164" t="str">
        <f>IFERROR(__xludf.DUMMYFUNCTION("""COMPUTED_VALUE"""),"140977590")</f>
        <v>140977590</v>
      </c>
      <c r="D303" s="164" t="str">
        <f>IFERROR(__xludf.DUMMYFUNCTION("""COMPUTED_VALUE"""),"14 097 759")</f>
        <v>14 097 759</v>
      </c>
      <c r="E303" s="164" t="str">
        <f>IFERROR(__xludf.DUMMYFUNCTION("""COMPUTED_VALUE"""),"0")</f>
        <v>0</v>
      </c>
      <c r="F303" s="133" t="str">
        <f>IFERROR(__xludf.DUMMYFUNCTION("""COMPUTED_VALUE"""),"SH80142KE0")</f>
        <v>SH80142KE0</v>
      </c>
      <c r="G303" s="165">
        <f>IFERROR(__xludf.DUMMYFUNCTION("""COMPUTED_VALUE"""),142.0)</f>
        <v>142</v>
      </c>
    </row>
    <row r="304" ht="15.75" customHeight="1">
      <c r="A304" s="133" t="str">
        <f>IFERROR(__xludf.DUMMYFUNCTION("""COMPUTED_VALUE"""),"SH20142KE")</f>
        <v>SH20142KE</v>
      </c>
      <c r="B304" s="164">
        <f>IFERROR(__xludf.DUMMYFUNCTION("""COMPUTED_VALUE"""),1.4097757E7)</f>
        <v>14097757</v>
      </c>
      <c r="C304" s="164" t="str">
        <f>IFERROR(__xludf.DUMMYFUNCTION("""COMPUTED_VALUE"""),"140977570")</f>
        <v>140977570</v>
      </c>
      <c r="D304" s="164" t="str">
        <f>IFERROR(__xludf.DUMMYFUNCTION("""COMPUTED_VALUE"""),"14 097 757")</f>
        <v>14 097 757</v>
      </c>
      <c r="E304" s="164" t="str">
        <f>IFERROR(__xludf.DUMMYFUNCTION("""COMPUTED_VALUE"""),"0")</f>
        <v>0</v>
      </c>
      <c r="F304" s="133" t="str">
        <f>IFERROR(__xludf.DUMMYFUNCTION("""COMPUTED_VALUE"""),"SH20142KE0")</f>
        <v>SH20142KE0</v>
      </c>
      <c r="G304" s="165">
        <f>IFERROR(__xludf.DUMMYFUNCTION("""COMPUTED_VALUE"""),92.0)</f>
        <v>92</v>
      </c>
    </row>
    <row r="305" ht="15.75" customHeight="1">
      <c r="A305" s="133" t="str">
        <f>IFERROR(__xludf.DUMMYFUNCTION("""COMPUTED_VALUE"""),"SH80143KE")</f>
        <v>SH80143KE</v>
      </c>
      <c r="B305" s="164">
        <f>IFERROR(__xludf.DUMMYFUNCTION("""COMPUTED_VALUE"""),1.409776E7)</f>
        <v>14097760</v>
      </c>
      <c r="C305" s="164" t="str">
        <f>IFERROR(__xludf.DUMMYFUNCTION("""COMPUTED_VALUE"""),"140977600")</f>
        <v>140977600</v>
      </c>
      <c r="D305" s="164" t="str">
        <f>IFERROR(__xludf.DUMMYFUNCTION("""COMPUTED_VALUE"""),"14 097 760")</f>
        <v>14 097 760</v>
      </c>
      <c r="E305" s="164" t="str">
        <f>IFERROR(__xludf.DUMMYFUNCTION("""COMPUTED_VALUE"""),"0")</f>
        <v>0</v>
      </c>
      <c r="F305" s="133" t="str">
        <f>IFERROR(__xludf.DUMMYFUNCTION("""COMPUTED_VALUE"""),"SH80143KE0")</f>
        <v>SH80143KE0</v>
      </c>
      <c r="G305" s="165">
        <f>IFERROR(__xludf.DUMMYFUNCTION("""COMPUTED_VALUE"""),92.0)</f>
        <v>92</v>
      </c>
    </row>
    <row r="306" ht="15.75" customHeight="1">
      <c r="A306" s="133" t="str">
        <f>IFERROR(__xludf.DUMMYFUNCTION("""COMPUTED_VALUE"""),"SH80144KE")</f>
        <v>SH80144KE</v>
      </c>
      <c r="B306" s="164">
        <f>IFERROR(__xludf.DUMMYFUNCTION("""COMPUTED_VALUE"""),1.4264122E7)</f>
        <v>14264122</v>
      </c>
      <c r="C306" s="164" t="str">
        <f>IFERROR(__xludf.DUMMYFUNCTION("""COMPUTED_VALUE"""),"142641220")</f>
        <v>142641220</v>
      </c>
      <c r="D306" s="164" t="str">
        <f>IFERROR(__xludf.DUMMYFUNCTION("""COMPUTED_VALUE"""),"14 264 122")</f>
        <v>14 264 122</v>
      </c>
      <c r="E306" s="164" t="str">
        <f>IFERROR(__xludf.DUMMYFUNCTION("""COMPUTED_VALUE"""),"0")</f>
        <v>0</v>
      </c>
      <c r="F306" s="133" t="str">
        <f>IFERROR(__xludf.DUMMYFUNCTION("""COMPUTED_VALUE"""),"SH80144KE0")</f>
        <v>SH80144KE0</v>
      </c>
      <c r="G306" s="165">
        <f>IFERROR(__xludf.DUMMYFUNCTION("""COMPUTED_VALUE"""),147.0)</f>
        <v>147</v>
      </c>
    </row>
    <row r="307" ht="15.75" customHeight="1">
      <c r="A307" s="133" t="str">
        <f>IFERROR(__xludf.DUMMYFUNCTION("""COMPUTED_VALUE"""),"RA20121KE")</f>
        <v>RA20121KE</v>
      </c>
      <c r="B307" s="164">
        <f>IFERROR(__xludf.DUMMYFUNCTION("""COMPUTED_VALUE"""),1.3634654E7)</f>
        <v>13634654</v>
      </c>
      <c r="C307" s="164" t="str">
        <f>IFERROR(__xludf.DUMMYFUNCTION("""COMPUTED_VALUE"""),"136346540")</f>
        <v>136346540</v>
      </c>
      <c r="D307" s="164" t="str">
        <f>IFERROR(__xludf.DUMMYFUNCTION("""COMPUTED_VALUE"""),"13 634 654")</f>
        <v>13 634 654</v>
      </c>
      <c r="E307" s="164" t="str">
        <f>IFERROR(__xludf.DUMMYFUNCTION("""COMPUTED_VALUE"""),"0")</f>
        <v>0</v>
      </c>
      <c r="F307" s="133" t="str">
        <f>IFERROR(__xludf.DUMMYFUNCTION("""COMPUTED_VALUE"""),"RA20121KE0")</f>
        <v>RA20121KE0</v>
      </c>
      <c r="G307" s="165">
        <f>IFERROR(__xludf.DUMMYFUNCTION("""COMPUTED_VALUE"""),160.0)</f>
        <v>160</v>
      </c>
    </row>
    <row r="308" ht="15.75" customHeight="1">
      <c r="A308" s="133" t="str">
        <f>IFERROR(__xludf.DUMMYFUNCTION("""COMPUTED_VALUE"""),"RA20122KE")</f>
        <v>RA20122KE</v>
      </c>
      <c r="B308" s="164">
        <f>IFERROR(__xludf.DUMMYFUNCTION("""COMPUTED_VALUE"""),1.438511E7)</f>
        <v>14385110</v>
      </c>
      <c r="C308" s="164" t="str">
        <f>IFERROR(__xludf.DUMMYFUNCTION("""COMPUTED_VALUE"""),"143851100")</f>
        <v>143851100</v>
      </c>
      <c r="D308" s="164" t="str">
        <f>IFERROR(__xludf.DUMMYFUNCTION("""COMPUTED_VALUE"""),"14 385 110")</f>
        <v>14 385 110</v>
      </c>
      <c r="E308" s="164" t="str">
        <f>IFERROR(__xludf.DUMMYFUNCTION("""COMPUTED_VALUE"""),"0")</f>
        <v>0</v>
      </c>
      <c r="F308" s="133" t="str">
        <f>IFERROR(__xludf.DUMMYFUNCTION("""COMPUTED_VALUE"""),"RA20122KE0")</f>
        <v>RA20122KE0</v>
      </c>
      <c r="G308" s="165">
        <f>IFERROR(__xludf.DUMMYFUNCTION("""COMPUTED_VALUE"""),180.0)</f>
        <v>180</v>
      </c>
    </row>
    <row r="309" ht="15.75" customHeight="1">
      <c r="A309" s="133" t="str">
        <f>IFERROR(__xludf.DUMMYFUNCTION("""COMPUTED_VALUE"""),"RA20123KE")</f>
        <v>RA20123KE</v>
      </c>
      <c r="B309" s="164">
        <f>IFERROR(__xludf.DUMMYFUNCTION("""COMPUTED_VALUE"""),1.4385111E7)</f>
        <v>14385111</v>
      </c>
      <c r="C309" s="164" t="str">
        <f>IFERROR(__xludf.DUMMYFUNCTION("""COMPUTED_VALUE"""),"143851110")</f>
        <v>143851110</v>
      </c>
      <c r="D309" s="164" t="str">
        <f>IFERROR(__xludf.DUMMYFUNCTION("""COMPUTED_VALUE"""),"14 385 111")</f>
        <v>14 385 111</v>
      </c>
      <c r="E309" s="164" t="str">
        <f>IFERROR(__xludf.DUMMYFUNCTION("""COMPUTED_VALUE"""),"0")</f>
        <v>0</v>
      </c>
      <c r="F309" s="133" t="str">
        <f>IFERROR(__xludf.DUMMYFUNCTION("""COMPUTED_VALUE"""),"RA20123KE0")</f>
        <v>RA20123KE0</v>
      </c>
      <c r="G309" s="165">
        <f>IFERROR(__xludf.DUMMYFUNCTION("""COMPUTED_VALUE"""),163.0)</f>
        <v>163</v>
      </c>
    </row>
    <row r="310" ht="15.75" customHeight="1">
      <c r="A310" s="133" t="str">
        <f>IFERROR(__xludf.DUMMYFUNCTION("""COMPUTED_VALUE"""),"RA20124KE")</f>
        <v>RA20124KE</v>
      </c>
      <c r="B310" s="164">
        <f>IFERROR(__xludf.DUMMYFUNCTION("""COMPUTED_VALUE"""),1.4385112E7)</f>
        <v>14385112</v>
      </c>
      <c r="C310" s="164" t="str">
        <f>IFERROR(__xludf.DUMMYFUNCTION("""COMPUTED_VALUE"""),"143851120")</f>
        <v>143851120</v>
      </c>
      <c r="D310" s="164" t="str">
        <f>IFERROR(__xludf.DUMMYFUNCTION("""COMPUTED_VALUE"""),"14 385 112")</f>
        <v>14 385 112</v>
      </c>
      <c r="E310" s="164" t="str">
        <f>IFERROR(__xludf.DUMMYFUNCTION("""COMPUTED_VALUE"""),"0")</f>
        <v>0</v>
      </c>
      <c r="F310" s="133" t="str">
        <f>IFERROR(__xludf.DUMMYFUNCTION("""COMPUTED_VALUE"""),"RA20124KE0")</f>
        <v>RA20124KE0</v>
      </c>
      <c r="G310" s="165">
        <f>IFERROR(__xludf.DUMMYFUNCTION("""COMPUTED_VALUE"""),201.0)</f>
        <v>201</v>
      </c>
    </row>
    <row r="311" ht="15.75" customHeight="1">
      <c r="A311" s="133" t="str">
        <f>IFERROR(__xludf.DUMMYFUNCTION("""COMPUTED_VALUE"""),"ME20125KE")</f>
        <v>ME20125KE</v>
      </c>
      <c r="B311" s="164">
        <f>IFERROR(__xludf.DUMMYFUNCTION("""COMPUTED_VALUE"""),1.4190141E7)</f>
        <v>14190141</v>
      </c>
      <c r="C311" s="164" t="str">
        <f>IFERROR(__xludf.DUMMYFUNCTION("""COMPUTED_VALUE"""),"141901410")</f>
        <v>141901410</v>
      </c>
      <c r="D311" s="164" t="str">
        <f>IFERROR(__xludf.DUMMYFUNCTION("""COMPUTED_VALUE"""),"14 190 141")</f>
        <v>14 190 141</v>
      </c>
      <c r="E311" s="164" t="str">
        <f>IFERROR(__xludf.DUMMYFUNCTION("""COMPUTED_VALUE"""),"0")</f>
        <v>0</v>
      </c>
      <c r="F311" s="133" t="str">
        <f>IFERROR(__xludf.DUMMYFUNCTION("""COMPUTED_VALUE"""),"ME20125KE0")</f>
        <v>ME20125KE0</v>
      </c>
      <c r="G311" s="165">
        <f>IFERROR(__xludf.DUMMYFUNCTION("""COMPUTED_VALUE"""),304.0)</f>
        <v>304</v>
      </c>
    </row>
    <row r="312" ht="15.75" customHeight="1">
      <c r="A312" s="133" t="str">
        <f>IFERROR(__xludf.DUMMYFUNCTION("""COMPUTED_VALUE"""),"NN20143KE")</f>
        <v>NN20143KE</v>
      </c>
      <c r="B312" s="164" t="str">
        <f>IFERROR(__xludf.DUMMYFUNCTION("""COMPUTED_VALUE"""),"14375464")</f>
        <v>14375464</v>
      </c>
      <c r="C312" s="164" t="str">
        <f>IFERROR(__xludf.DUMMYFUNCTION("""COMPUTED_VALUE"""),"143754640")</f>
        <v>143754640</v>
      </c>
      <c r="D312" s="164" t="str">
        <f>IFERROR(__xludf.DUMMYFUNCTION("""COMPUTED_VALUE"""),"14 375 464")</f>
        <v>14 375 464</v>
      </c>
      <c r="E312" s="164" t="str">
        <f>IFERROR(__xludf.DUMMYFUNCTION("""COMPUTED_VALUE"""),"0")</f>
        <v>0</v>
      </c>
      <c r="F312" s="133" t="str">
        <f>IFERROR(__xludf.DUMMYFUNCTION("""COMPUTED_VALUE"""),"NN20143KE0")</f>
        <v>NN20143KE0</v>
      </c>
      <c r="G312" s="165">
        <f>IFERROR(__xludf.DUMMYFUNCTION("""COMPUTED_VALUE"""),287.0)</f>
        <v>287</v>
      </c>
    </row>
    <row r="313" ht="15.75" customHeight="1">
      <c r="A313" s="133" t="str">
        <f>IFERROR(__xludf.DUMMYFUNCTION("""COMPUTED_VALUE"""),"NO20133KE")</f>
        <v>NO20133KE</v>
      </c>
      <c r="B313" s="164">
        <f>IFERROR(__xludf.DUMMYFUNCTION("""COMPUTED_VALUE"""),1.4189842E7)</f>
        <v>14189842</v>
      </c>
      <c r="C313" s="164" t="str">
        <f>IFERROR(__xludf.DUMMYFUNCTION("""COMPUTED_VALUE"""),"141898420")</f>
        <v>141898420</v>
      </c>
      <c r="D313" s="164" t="str">
        <f>IFERROR(__xludf.DUMMYFUNCTION("""COMPUTED_VALUE"""),"14 189 842")</f>
        <v>14 189 842</v>
      </c>
      <c r="E313" s="164" t="str">
        <f>IFERROR(__xludf.DUMMYFUNCTION("""COMPUTED_VALUE"""),"0")</f>
        <v>0</v>
      </c>
      <c r="F313" s="133" t="str">
        <f>IFERROR(__xludf.DUMMYFUNCTION("""COMPUTED_VALUE"""),"NO20133KE0")</f>
        <v>NO20133KE0</v>
      </c>
      <c r="G313" s="165">
        <f>IFERROR(__xludf.DUMMYFUNCTION("""COMPUTED_VALUE"""),92.0)</f>
        <v>92</v>
      </c>
    </row>
    <row r="314" ht="15.75" customHeight="1">
      <c r="A314" s="133" t="str">
        <f>IFERROR(__xludf.DUMMYFUNCTION("""COMPUTED_VALUE"""),"NO20128KE")</f>
        <v>NO20128KE</v>
      </c>
      <c r="B314" s="164">
        <f>IFERROR(__xludf.DUMMYFUNCTION("""COMPUTED_VALUE"""),1.4189839E7)</f>
        <v>14189839</v>
      </c>
      <c r="C314" s="164" t="str">
        <f>IFERROR(__xludf.DUMMYFUNCTION("""COMPUTED_VALUE"""),"141898390")</f>
        <v>141898390</v>
      </c>
      <c r="D314" s="164" t="str">
        <f>IFERROR(__xludf.DUMMYFUNCTION("""COMPUTED_VALUE"""),"14 189 839")</f>
        <v>14 189 839</v>
      </c>
      <c r="E314" s="164" t="str">
        <f>IFERROR(__xludf.DUMMYFUNCTION("""COMPUTED_VALUE"""),"0")</f>
        <v>0</v>
      </c>
      <c r="F314" s="133" t="str">
        <f>IFERROR(__xludf.DUMMYFUNCTION("""COMPUTED_VALUE"""),"NO20128KE0")</f>
        <v>NO20128KE0</v>
      </c>
      <c r="G314" s="165">
        <f>IFERROR(__xludf.DUMMYFUNCTION("""COMPUTED_VALUE"""),68.0)</f>
        <v>68</v>
      </c>
    </row>
    <row r="315" ht="15.75" customHeight="1">
      <c r="A315" s="133" t="str">
        <f>IFERROR(__xludf.DUMMYFUNCTION("""COMPUTED_VALUE"""),"NO20129KE")</f>
        <v>NO20129KE</v>
      </c>
      <c r="B315" s="164">
        <f>IFERROR(__xludf.DUMMYFUNCTION("""COMPUTED_VALUE"""),1.409775E7)</f>
        <v>14097750</v>
      </c>
      <c r="C315" s="164" t="str">
        <f>IFERROR(__xludf.DUMMYFUNCTION("""COMPUTED_VALUE"""),"140977500")</f>
        <v>140977500</v>
      </c>
      <c r="D315" s="164" t="str">
        <f>IFERROR(__xludf.DUMMYFUNCTION("""COMPUTED_VALUE"""),"14 097 750")</f>
        <v>14 097 750</v>
      </c>
      <c r="E315" s="164" t="str">
        <f>IFERROR(__xludf.DUMMYFUNCTION("""COMPUTED_VALUE"""),"0")</f>
        <v>0</v>
      </c>
      <c r="F315" s="133" t="str">
        <f>IFERROR(__xludf.DUMMYFUNCTION("""COMPUTED_VALUE"""),"NO20129KE0")</f>
        <v>NO20129KE0</v>
      </c>
      <c r="G315" s="165">
        <f>IFERROR(__xludf.DUMMYFUNCTION("""COMPUTED_VALUE"""),70.0)</f>
        <v>70</v>
      </c>
    </row>
    <row r="316" ht="15.75" customHeight="1">
      <c r="A316" s="133" t="str">
        <f>IFERROR(__xludf.DUMMYFUNCTION("""COMPUTED_VALUE"""),"NO80129KE")</f>
        <v>NO80129KE</v>
      </c>
      <c r="B316" s="164">
        <f>IFERROR(__xludf.DUMMYFUNCTION("""COMPUTED_VALUE"""),1.4097752E7)</f>
        <v>14097752</v>
      </c>
      <c r="C316" s="164" t="str">
        <f>IFERROR(__xludf.DUMMYFUNCTION("""COMPUTED_VALUE"""),"140977520")</f>
        <v>140977520</v>
      </c>
      <c r="D316" s="164" t="str">
        <f>IFERROR(__xludf.DUMMYFUNCTION("""COMPUTED_VALUE"""),"14 097 752")</f>
        <v>14 097 752</v>
      </c>
      <c r="E316" s="164" t="str">
        <f>IFERROR(__xludf.DUMMYFUNCTION("""COMPUTED_VALUE"""),"0")</f>
        <v>0</v>
      </c>
      <c r="F316" s="133" t="str">
        <f>IFERROR(__xludf.DUMMYFUNCTION("""COMPUTED_VALUE"""),"NO80129KE0")</f>
        <v>NO80129KE0</v>
      </c>
      <c r="G316" s="165">
        <f>IFERROR(__xludf.DUMMYFUNCTION("""COMPUTED_VALUE"""),70.0)</f>
        <v>70</v>
      </c>
    </row>
    <row r="317" ht="15.75" customHeight="1">
      <c r="A317" s="133" t="str">
        <f>IFERROR(__xludf.DUMMYFUNCTION("""COMPUTED_VALUE"""),"NO80130KE")</f>
        <v>NO80130KE</v>
      </c>
      <c r="B317" s="164">
        <f>IFERROR(__xludf.DUMMYFUNCTION("""COMPUTED_VALUE"""),1.4097753E7)</f>
        <v>14097753</v>
      </c>
      <c r="C317" s="164" t="str">
        <f>IFERROR(__xludf.DUMMYFUNCTION("""COMPUTED_VALUE"""),"140977530")</f>
        <v>140977530</v>
      </c>
      <c r="D317" s="164" t="str">
        <f>IFERROR(__xludf.DUMMYFUNCTION("""COMPUTED_VALUE"""),"14 097 753")</f>
        <v>14 097 753</v>
      </c>
      <c r="E317" s="164" t="str">
        <f>IFERROR(__xludf.DUMMYFUNCTION("""COMPUTED_VALUE"""),"0")</f>
        <v>0</v>
      </c>
      <c r="F317" s="133" t="str">
        <f>IFERROR(__xludf.DUMMYFUNCTION("""COMPUTED_VALUE"""),"NO80130KE0")</f>
        <v>NO80130KE0</v>
      </c>
      <c r="G317" s="165">
        <f>IFERROR(__xludf.DUMMYFUNCTION("""COMPUTED_VALUE"""),70.0)</f>
        <v>70</v>
      </c>
    </row>
    <row r="318" ht="15.75" customHeight="1">
      <c r="A318" s="133" t="str">
        <f>IFERROR(__xludf.DUMMYFUNCTION("""COMPUTED_VALUE"""),"NO80131KE")</f>
        <v>NO80131KE</v>
      </c>
      <c r="B318" s="164">
        <f>IFERROR(__xludf.DUMMYFUNCTION("""COMPUTED_VALUE"""),1.4097754E7)</f>
        <v>14097754</v>
      </c>
      <c r="C318" s="164" t="str">
        <f>IFERROR(__xludf.DUMMYFUNCTION("""COMPUTED_VALUE"""),"140977540")</f>
        <v>140977540</v>
      </c>
      <c r="D318" s="164" t="str">
        <f>IFERROR(__xludf.DUMMYFUNCTION("""COMPUTED_VALUE"""),"14 097 754")</f>
        <v>14 097 754</v>
      </c>
      <c r="E318" s="164" t="str">
        <f>IFERROR(__xludf.DUMMYFUNCTION("""COMPUTED_VALUE"""),"0")</f>
        <v>0</v>
      </c>
      <c r="F318" s="133" t="str">
        <f>IFERROR(__xludf.DUMMYFUNCTION("""COMPUTED_VALUE"""),"NO80131KE0")</f>
        <v>NO80131KE0</v>
      </c>
      <c r="G318" s="165">
        <f>IFERROR(__xludf.DUMMYFUNCTION("""COMPUTED_VALUE"""),70.0)</f>
        <v>70</v>
      </c>
    </row>
    <row r="319" ht="15.75" customHeight="1">
      <c r="A319" s="133" t="str">
        <f>IFERROR(__xludf.DUMMYFUNCTION("""COMPUTED_VALUE"""),"NO20130KE")</f>
        <v>NO20130KE</v>
      </c>
      <c r="B319" s="164">
        <f>IFERROR(__xludf.DUMMYFUNCTION("""COMPUTED_VALUE"""),1.418984E7)</f>
        <v>14189840</v>
      </c>
      <c r="C319" s="164" t="str">
        <f>IFERROR(__xludf.DUMMYFUNCTION("""COMPUTED_VALUE"""),"141898400")</f>
        <v>141898400</v>
      </c>
      <c r="D319" s="164" t="str">
        <f>IFERROR(__xludf.DUMMYFUNCTION("""COMPUTED_VALUE"""),"14 189 840")</f>
        <v>14 189 840</v>
      </c>
      <c r="E319" s="164" t="str">
        <f>IFERROR(__xludf.DUMMYFUNCTION("""COMPUTED_VALUE"""),"0")</f>
        <v>0</v>
      </c>
      <c r="F319" s="133" t="str">
        <f>IFERROR(__xludf.DUMMYFUNCTION("""COMPUTED_VALUE"""),"NO20130KE0")</f>
        <v>NO20130KE0</v>
      </c>
      <c r="G319" s="165">
        <f>IFERROR(__xludf.DUMMYFUNCTION("""COMPUTED_VALUE"""),60.0)</f>
        <v>60</v>
      </c>
    </row>
    <row r="320" ht="15.75" customHeight="1">
      <c r="A320" s="133" t="str">
        <f>IFERROR(__xludf.DUMMYFUNCTION("""COMPUTED_VALUE"""),"NO20131KE")</f>
        <v>NO20131KE</v>
      </c>
      <c r="B320" s="164">
        <f>IFERROR(__xludf.DUMMYFUNCTION("""COMPUTED_VALUE"""),1.4097751E7)</f>
        <v>14097751</v>
      </c>
      <c r="C320" s="164" t="str">
        <f>IFERROR(__xludf.DUMMYFUNCTION("""COMPUTED_VALUE"""),"140977510")</f>
        <v>140977510</v>
      </c>
      <c r="D320" s="164" t="str">
        <f>IFERROR(__xludf.DUMMYFUNCTION("""COMPUTED_VALUE"""),"14 097 751")</f>
        <v>14 097 751</v>
      </c>
      <c r="E320" s="164" t="str">
        <f>IFERROR(__xludf.DUMMYFUNCTION("""COMPUTED_VALUE"""),"0")</f>
        <v>0</v>
      </c>
      <c r="F320" s="133" t="str">
        <f>IFERROR(__xludf.DUMMYFUNCTION("""COMPUTED_VALUE"""),"NO20131KE0")</f>
        <v>NO20131KE0</v>
      </c>
      <c r="G320" s="165">
        <f>IFERROR(__xludf.DUMMYFUNCTION("""COMPUTED_VALUE"""),84.0)</f>
        <v>84</v>
      </c>
    </row>
    <row r="321" ht="15.75" customHeight="1">
      <c r="A321" s="133" t="str">
        <f>IFERROR(__xludf.DUMMYFUNCTION("""COMPUTED_VALUE"""),"NO80132KE")</f>
        <v>NO80132KE</v>
      </c>
      <c r="B321" s="164">
        <f>IFERROR(__xludf.DUMMYFUNCTION("""COMPUTED_VALUE"""),1.4264121E7)</f>
        <v>14264121</v>
      </c>
      <c r="C321" s="164" t="str">
        <f>IFERROR(__xludf.DUMMYFUNCTION("""COMPUTED_VALUE"""),"142641210")</f>
        <v>142641210</v>
      </c>
      <c r="D321" s="164" t="str">
        <f>IFERROR(__xludf.DUMMYFUNCTION("""COMPUTED_VALUE"""),"14 264 121")</f>
        <v>14 264 121</v>
      </c>
      <c r="E321" s="164" t="str">
        <f>IFERROR(__xludf.DUMMYFUNCTION("""COMPUTED_VALUE"""),"0")</f>
        <v>0</v>
      </c>
      <c r="F321" s="133" t="str">
        <f>IFERROR(__xludf.DUMMYFUNCTION("""COMPUTED_VALUE"""),"NO80132KE0")</f>
        <v>NO80132KE0</v>
      </c>
      <c r="G321" s="165">
        <f>IFERROR(__xludf.DUMMYFUNCTION("""COMPUTED_VALUE"""),84.0)</f>
        <v>84</v>
      </c>
    </row>
    <row r="322" ht="15.75" customHeight="1">
      <c r="A322" s="133" t="str">
        <f>IFERROR(__xludf.DUMMYFUNCTION("""COMPUTED_VALUE"""),"NO20132KE")</f>
        <v>NO20132KE</v>
      </c>
      <c r="B322" s="164">
        <f>IFERROR(__xludf.DUMMYFUNCTION("""COMPUTED_VALUE"""),1.4189841E7)</f>
        <v>14189841</v>
      </c>
      <c r="C322" s="164" t="str">
        <f>IFERROR(__xludf.DUMMYFUNCTION("""COMPUTED_VALUE"""),"141898410")</f>
        <v>141898410</v>
      </c>
      <c r="D322" s="164" t="str">
        <f>IFERROR(__xludf.DUMMYFUNCTION("""COMPUTED_VALUE"""),"14 189 841")</f>
        <v>14 189 841</v>
      </c>
      <c r="E322" s="164" t="str">
        <f>IFERROR(__xludf.DUMMYFUNCTION("""COMPUTED_VALUE"""),"0")</f>
        <v>0</v>
      </c>
      <c r="F322" s="133" t="str">
        <f>IFERROR(__xludf.DUMMYFUNCTION("""COMPUTED_VALUE"""),"NO20132KE0")</f>
        <v>NO20132KE0</v>
      </c>
      <c r="G322" s="165">
        <f>IFERROR(__xludf.DUMMYFUNCTION("""COMPUTED_VALUE"""),194.0)</f>
        <v>194</v>
      </c>
    </row>
    <row r="323" ht="15.75" customHeight="1">
      <c r="A323" s="133" t="str">
        <f>IFERROR(__xludf.DUMMYFUNCTION("""COMPUTED_VALUE"""),"VM20134KE")</f>
        <v>VM20134KE</v>
      </c>
      <c r="B323" s="164">
        <f>IFERROR(__xludf.DUMMYFUNCTION("""COMPUTED_VALUE"""),1.4389702E7)</f>
        <v>14389702</v>
      </c>
      <c r="C323" s="164" t="str">
        <f>IFERROR(__xludf.DUMMYFUNCTION("""COMPUTED_VALUE"""),"143897020")</f>
        <v>143897020</v>
      </c>
      <c r="D323" s="164" t="str">
        <f>IFERROR(__xludf.DUMMYFUNCTION("""COMPUTED_VALUE"""),"14 189 841")</f>
        <v>14 189 841</v>
      </c>
      <c r="E323" s="164" t="str">
        <f>IFERROR(__xludf.DUMMYFUNCTION("""COMPUTED_VALUE"""),"0")</f>
        <v>0</v>
      </c>
      <c r="F323" s="133" t="str">
        <f>IFERROR(__xludf.DUMMYFUNCTION("""COMPUTED_VALUE"""),"VM20134KE0")</f>
        <v>VM20134KE0</v>
      </c>
      <c r="G323" s="165">
        <f>IFERROR(__xludf.DUMMYFUNCTION("""COMPUTED_VALUE"""),174.0)</f>
        <v>174</v>
      </c>
    </row>
    <row r="324" ht="15.75" customHeight="1">
      <c r="A324" s="133" t="str">
        <f>IFERROR(__xludf.DUMMYFUNCTION("""COMPUTED_VALUE"""),"VM20136KE")</f>
        <v>VM20136KE</v>
      </c>
      <c r="B324" s="164">
        <f>IFERROR(__xludf.DUMMYFUNCTION("""COMPUTED_VALUE"""),1.4389703E7)</f>
        <v>14389703</v>
      </c>
      <c r="C324" s="164" t="str">
        <f>IFERROR(__xludf.DUMMYFUNCTION("""COMPUTED_VALUE"""),"143897030")</f>
        <v>143897030</v>
      </c>
      <c r="D324" s="164" t="str">
        <f>IFERROR(__xludf.DUMMYFUNCTION("""COMPUTED_VALUE"""),"14 189 841")</f>
        <v>14 189 841</v>
      </c>
      <c r="E324" s="164" t="str">
        <f>IFERROR(__xludf.DUMMYFUNCTION("""COMPUTED_VALUE"""),"0")</f>
        <v>0</v>
      </c>
      <c r="F324" s="133" t="str">
        <f>IFERROR(__xludf.DUMMYFUNCTION("""COMPUTED_VALUE"""),"VM20136KE0")</f>
        <v>VM20136KE0</v>
      </c>
      <c r="G324" s="165">
        <f>IFERROR(__xludf.DUMMYFUNCTION("""COMPUTED_VALUE"""),179.0)</f>
        <v>179</v>
      </c>
    </row>
    <row r="325" ht="15.75" customHeight="1">
      <c r="A325" s="133" t="str">
        <f>IFERROR(__xludf.DUMMYFUNCTION("""COMPUTED_VALUE"""),"VM20138KE")</f>
        <v>VM20138KE</v>
      </c>
      <c r="B325" s="164">
        <f>IFERROR(__xludf.DUMMYFUNCTION("""COMPUTED_VALUE"""),1.4389704E7)</f>
        <v>14389704</v>
      </c>
      <c r="C325" s="164" t="str">
        <f>IFERROR(__xludf.DUMMYFUNCTION("""COMPUTED_VALUE"""),"143897040")</f>
        <v>143897040</v>
      </c>
      <c r="D325" s="164" t="str">
        <f>IFERROR(__xludf.DUMMYFUNCTION("""COMPUTED_VALUE"""),"14 189 841")</f>
        <v>14 189 841</v>
      </c>
      <c r="E325" s="164" t="str">
        <f>IFERROR(__xludf.DUMMYFUNCTION("""COMPUTED_VALUE"""),"0")</f>
        <v>0</v>
      </c>
      <c r="F325" s="133" t="str">
        <f>IFERROR(__xludf.DUMMYFUNCTION("""COMPUTED_VALUE"""),"VM20138KE0")</f>
        <v>VM20138KE0</v>
      </c>
      <c r="G325" s="165">
        <f>IFERROR(__xludf.DUMMYFUNCTION("""COMPUTED_VALUE"""),174.0)</f>
        <v>174</v>
      </c>
    </row>
    <row r="326" ht="15.75" customHeight="1">
      <c r="A326" s="133" t="str">
        <f>IFERROR(__xludf.DUMMYFUNCTION("""COMPUTED_VALUE"""),"TO20146KE")</f>
        <v>TO20146KE</v>
      </c>
      <c r="B326" s="164">
        <f>IFERROR(__xludf.DUMMYFUNCTION("""COMPUTED_VALUE"""),1.4097763E7)</f>
        <v>14097763</v>
      </c>
      <c r="C326" s="164" t="str">
        <f>IFERROR(__xludf.DUMMYFUNCTION("""COMPUTED_VALUE"""),"140977630")</f>
        <v>140977630</v>
      </c>
      <c r="D326" s="164" t="str">
        <f>IFERROR(__xludf.DUMMYFUNCTION("""COMPUTED_VALUE"""),"14 097 763")</f>
        <v>14 097 763</v>
      </c>
      <c r="E326" s="164" t="str">
        <f>IFERROR(__xludf.DUMMYFUNCTION("""COMPUTED_VALUE"""),"0")</f>
        <v>0</v>
      </c>
      <c r="F326" s="133" t="str">
        <f>IFERROR(__xludf.DUMMYFUNCTION("""COMPUTED_VALUE"""),"TO20146KE0")</f>
        <v>TO20146KE0</v>
      </c>
      <c r="G326" s="165">
        <f>IFERROR(__xludf.DUMMYFUNCTION("""COMPUTED_VALUE"""),210.0)</f>
        <v>210</v>
      </c>
    </row>
    <row r="327" ht="15.75" customHeight="1">
      <c r="A327" s="133" t="str">
        <f>IFERROR(__xludf.DUMMYFUNCTION("""COMPUTED_VALUE"""),"TO20147KE")</f>
        <v>TO20147KE</v>
      </c>
      <c r="B327" s="164">
        <f>IFERROR(__xludf.DUMMYFUNCTION("""COMPUTED_VALUE"""),1.4097764E7)</f>
        <v>14097764</v>
      </c>
      <c r="C327" s="164" t="str">
        <f>IFERROR(__xludf.DUMMYFUNCTION("""COMPUTED_VALUE"""),"140977640")</f>
        <v>140977640</v>
      </c>
      <c r="D327" s="164" t="str">
        <f>IFERROR(__xludf.DUMMYFUNCTION("""COMPUTED_VALUE"""),"14 097 764")</f>
        <v>14 097 764</v>
      </c>
      <c r="E327" s="164" t="str">
        <f>IFERROR(__xludf.DUMMYFUNCTION("""COMPUTED_VALUE"""),"0")</f>
        <v>0</v>
      </c>
      <c r="F327" s="133" t="str">
        <f>IFERROR(__xludf.DUMMYFUNCTION("""COMPUTED_VALUE"""),"TO20147KE0")</f>
        <v>TO20147KE0</v>
      </c>
      <c r="G327" s="165">
        <f>IFERROR(__xludf.DUMMYFUNCTION("""COMPUTED_VALUE"""),240.0)</f>
        <v>240</v>
      </c>
    </row>
    <row r="328" ht="15.75" customHeight="1">
      <c r="A328" s="133" t="str">
        <f>IFERROR(__xludf.DUMMYFUNCTION("""COMPUTED_VALUE"""),"SS20144KE")</f>
        <v>SS20144KE</v>
      </c>
      <c r="B328" s="164">
        <f>IFERROR(__xludf.DUMMYFUNCTION("""COMPUTED_VALUE"""),1.4097761E7)</f>
        <v>14097761</v>
      </c>
      <c r="C328" s="164" t="str">
        <f>IFERROR(__xludf.DUMMYFUNCTION("""COMPUTED_VALUE"""),"140977610")</f>
        <v>140977610</v>
      </c>
      <c r="D328" s="164" t="str">
        <f>IFERROR(__xludf.DUMMYFUNCTION("""COMPUTED_VALUE"""),"14 097 761")</f>
        <v>14 097 761</v>
      </c>
      <c r="E328" s="164" t="str">
        <f>IFERROR(__xludf.DUMMYFUNCTION("""COMPUTED_VALUE"""),"0")</f>
        <v>0</v>
      </c>
      <c r="F328" s="133" t="str">
        <f>IFERROR(__xludf.DUMMYFUNCTION("""COMPUTED_VALUE"""),"SS20144KE0")</f>
        <v>SS20144KE0</v>
      </c>
      <c r="G328" s="165">
        <f>IFERROR(__xludf.DUMMYFUNCTION("""COMPUTED_VALUE"""),213.0)</f>
        <v>213</v>
      </c>
    </row>
    <row r="329" ht="15.75" customHeight="1">
      <c r="A329" s="133" t="str">
        <f>IFERROR(__xludf.DUMMYFUNCTION("""COMPUTED_VALUE"""),"SS20145KE")</f>
        <v>SS20145KE</v>
      </c>
      <c r="B329" s="164">
        <f>IFERROR(__xludf.DUMMYFUNCTION("""COMPUTED_VALUE"""),1.4097762E7)</f>
        <v>14097762</v>
      </c>
      <c r="C329" s="164" t="str">
        <f>IFERROR(__xludf.DUMMYFUNCTION("""COMPUTED_VALUE"""),"140977620")</f>
        <v>140977620</v>
      </c>
      <c r="D329" s="164" t="str">
        <f>IFERROR(__xludf.DUMMYFUNCTION("""COMPUTED_VALUE"""),"14 097 762")</f>
        <v>14 097 762</v>
      </c>
      <c r="E329" s="164" t="str">
        <f>IFERROR(__xludf.DUMMYFUNCTION("""COMPUTED_VALUE"""),"0")</f>
        <v>0</v>
      </c>
      <c r="F329" s="133" t="str">
        <f>IFERROR(__xludf.DUMMYFUNCTION("""COMPUTED_VALUE"""),"SS20145KE0")</f>
        <v>SS20145KE0</v>
      </c>
      <c r="G329" s="165">
        <f>IFERROR(__xludf.DUMMYFUNCTION("""COMPUTED_VALUE"""),276.0)</f>
        <v>276</v>
      </c>
    </row>
    <row r="330" ht="15.75" customHeight="1">
      <c r="A330" s="133" t="str">
        <f>IFERROR(__xludf.DUMMYFUNCTION("""COMPUTED_VALUE"""),"K11019RUM")</f>
        <v>K11019RUM</v>
      </c>
      <c r="B330" s="164">
        <f>IFERROR(__xludf.DUMMYFUNCTION("""COMPUTED_VALUE"""),1.132638E7)</f>
        <v>11326380</v>
      </c>
      <c r="C330" s="164" t="str">
        <f>IFERROR(__xludf.DUMMYFUNCTION("""COMPUTED_VALUE"""),"11326380S")</f>
        <v>11326380S</v>
      </c>
      <c r="D330" s="164" t="str">
        <f>IFERROR(__xludf.DUMMYFUNCTION("""COMPUTED_VALUE"""),"14 097 762")</f>
        <v>14 097 762</v>
      </c>
      <c r="E330" s="164" t="str">
        <f>IFERROR(__xludf.DUMMYFUNCTION("""COMPUTED_VALUE"""),"S")</f>
        <v>S</v>
      </c>
      <c r="F330" s="133" t="str">
        <f>IFERROR(__xludf.DUMMYFUNCTION("""COMPUTED_VALUE"""),"K11019RUMS")</f>
        <v>K11019RUMS</v>
      </c>
      <c r="G330" s="165">
        <f>IFERROR(__xludf.DUMMYFUNCTION("""COMPUTED_VALUE"""),599.0)</f>
        <v>599</v>
      </c>
    </row>
    <row r="331" ht="15.75" customHeight="1">
      <c r="A331" s="133" t="str">
        <f>IFERROR(__xludf.DUMMYFUNCTION("""COMPUTED_VALUE"""),"K11019RUM")</f>
        <v>K11019RUM</v>
      </c>
      <c r="B331" s="164">
        <f>IFERROR(__xludf.DUMMYFUNCTION("""COMPUTED_VALUE"""),1.132638E7)</f>
        <v>11326380</v>
      </c>
      <c r="C331" s="164" t="str">
        <f>IFERROR(__xludf.DUMMYFUNCTION("""COMPUTED_VALUE"""),"11326380M")</f>
        <v>11326380M</v>
      </c>
      <c r="D331" s="164" t="str">
        <f>IFERROR(__xludf.DUMMYFUNCTION("""COMPUTED_VALUE"""),"14 097 762")</f>
        <v>14 097 762</v>
      </c>
      <c r="E331" s="164" t="str">
        <f>IFERROR(__xludf.DUMMYFUNCTION("""COMPUTED_VALUE"""),"M")</f>
        <v>M</v>
      </c>
      <c r="F331" s="133" t="str">
        <f>IFERROR(__xludf.DUMMYFUNCTION("""COMPUTED_VALUE"""),"K11019RUMM")</f>
        <v>K11019RUMM</v>
      </c>
      <c r="G331" s="165">
        <f>IFERROR(__xludf.DUMMYFUNCTION("""COMPUTED_VALUE"""),599.0)</f>
        <v>599</v>
      </c>
    </row>
    <row r="332" ht="15.75" customHeight="1">
      <c r="A332" s="133" t="str">
        <f>IFERROR(__xludf.DUMMYFUNCTION("""COMPUTED_VALUE"""),"K11019RUM")</f>
        <v>K11019RUM</v>
      </c>
      <c r="B332" s="164">
        <f>IFERROR(__xludf.DUMMYFUNCTION("""COMPUTED_VALUE"""),1.132638E7)</f>
        <v>11326380</v>
      </c>
      <c r="C332" s="164" t="str">
        <f>IFERROR(__xludf.DUMMYFUNCTION("""COMPUTED_VALUE"""),"11326380L")</f>
        <v>11326380L</v>
      </c>
      <c r="D332" s="164" t="str">
        <f>IFERROR(__xludf.DUMMYFUNCTION("""COMPUTED_VALUE"""),"14 097 762")</f>
        <v>14 097 762</v>
      </c>
      <c r="E332" s="164" t="str">
        <f>IFERROR(__xludf.DUMMYFUNCTION("""COMPUTED_VALUE"""),"L")</f>
        <v>L</v>
      </c>
      <c r="F332" s="133" t="str">
        <f>IFERROR(__xludf.DUMMYFUNCTION("""COMPUTED_VALUE"""),"K11019RUML")</f>
        <v>K11019RUML</v>
      </c>
      <c r="G332" s="165">
        <f>IFERROR(__xludf.DUMMYFUNCTION("""COMPUTED_VALUE"""),599.0)</f>
        <v>599</v>
      </c>
    </row>
    <row r="333" ht="15.75" customHeight="1">
      <c r="A333" s="133" t="str">
        <f>IFERROR(__xludf.DUMMYFUNCTION("""COMPUTED_VALUE"""),"K11019RUM")</f>
        <v>K11019RUM</v>
      </c>
      <c r="B333" s="164">
        <f>IFERROR(__xludf.DUMMYFUNCTION("""COMPUTED_VALUE"""),1.132638E7)</f>
        <v>11326380</v>
      </c>
      <c r="C333" s="164" t="str">
        <f>IFERROR(__xludf.DUMMYFUNCTION("""COMPUTED_VALUE"""),"11326380XL")</f>
        <v>11326380XL</v>
      </c>
      <c r="D333" s="164" t="str">
        <f>IFERROR(__xludf.DUMMYFUNCTION("""COMPUTED_VALUE"""),"14 097 762")</f>
        <v>14 097 762</v>
      </c>
      <c r="E333" s="164" t="str">
        <f>IFERROR(__xludf.DUMMYFUNCTION("""COMPUTED_VALUE"""),"XL")</f>
        <v>XL</v>
      </c>
      <c r="F333" s="133" t="str">
        <f>IFERROR(__xludf.DUMMYFUNCTION("""COMPUTED_VALUE"""),"K11019RUMXL")</f>
        <v>K11019RUMXL</v>
      </c>
      <c r="G333" s="165">
        <f>IFERROR(__xludf.DUMMYFUNCTION("""COMPUTED_VALUE"""),599.0)</f>
        <v>599</v>
      </c>
    </row>
    <row r="334" ht="15.75" customHeight="1">
      <c r="A334" s="133" t="str">
        <f>IFERROR(__xludf.DUMMYFUNCTION("""COMPUTED_VALUE"""),"K11219RUM")</f>
        <v>K11219RUM</v>
      </c>
      <c r="B334" s="164">
        <f>IFERROR(__xludf.DUMMYFUNCTION("""COMPUTED_VALUE"""),1.1326381E7)</f>
        <v>11326381</v>
      </c>
      <c r="C334" s="164" t="str">
        <f>IFERROR(__xludf.DUMMYFUNCTION("""COMPUTED_VALUE"""),"11326381S")</f>
        <v>11326381S</v>
      </c>
      <c r="D334" s="164" t="str">
        <f>IFERROR(__xludf.DUMMYFUNCTION("""COMPUTED_VALUE"""),"14 097 762")</f>
        <v>14 097 762</v>
      </c>
      <c r="E334" s="164" t="str">
        <f>IFERROR(__xludf.DUMMYFUNCTION("""COMPUTED_VALUE"""),"S")</f>
        <v>S</v>
      </c>
      <c r="F334" s="133" t="str">
        <f>IFERROR(__xludf.DUMMYFUNCTION("""COMPUTED_VALUE"""),"K11219RUMS")</f>
        <v>K11219RUMS</v>
      </c>
      <c r="G334" s="165">
        <f>IFERROR(__xludf.DUMMYFUNCTION("""COMPUTED_VALUE"""),656.0)</f>
        <v>656</v>
      </c>
    </row>
    <row r="335" ht="15.75" customHeight="1">
      <c r="A335" s="133" t="str">
        <f>IFERROR(__xludf.DUMMYFUNCTION("""COMPUTED_VALUE"""),"K11219RUM")</f>
        <v>K11219RUM</v>
      </c>
      <c r="B335" s="164">
        <f>IFERROR(__xludf.DUMMYFUNCTION("""COMPUTED_VALUE"""),1.1326381E7)</f>
        <v>11326381</v>
      </c>
      <c r="C335" s="164" t="str">
        <f>IFERROR(__xludf.DUMMYFUNCTION("""COMPUTED_VALUE"""),"11326381M")</f>
        <v>11326381M</v>
      </c>
      <c r="D335" s="164" t="str">
        <f>IFERROR(__xludf.DUMMYFUNCTION("""COMPUTED_VALUE"""),"14 097 762")</f>
        <v>14 097 762</v>
      </c>
      <c r="E335" s="164" t="str">
        <f>IFERROR(__xludf.DUMMYFUNCTION("""COMPUTED_VALUE"""),"M")</f>
        <v>M</v>
      </c>
      <c r="F335" s="133" t="str">
        <f>IFERROR(__xludf.DUMMYFUNCTION("""COMPUTED_VALUE"""),"K11219RUMM")</f>
        <v>K11219RUMM</v>
      </c>
      <c r="G335" s="165">
        <f>IFERROR(__xludf.DUMMYFUNCTION("""COMPUTED_VALUE"""),656.0)</f>
        <v>656</v>
      </c>
    </row>
    <row r="336" ht="15.75" customHeight="1">
      <c r="A336" s="133" t="str">
        <f>IFERROR(__xludf.DUMMYFUNCTION("""COMPUTED_VALUE"""),"K11219RUM")</f>
        <v>K11219RUM</v>
      </c>
      <c r="B336" s="164">
        <f>IFERROR(__xludf.DUMMYFUNCTION("""COMPUTED_VALUE"""),1.1326381E7)</f>
        <v>11326381</v>
      </c>
      <c r="C336" s="164" t="str">
        <f>IFERROR(__xludf.DUMMYFUNCTION("""COMPUTED_VALUE"""),"11326381L")</f>
        <v>11326381L</v>
      </c>
      <c r="D336" s="164" t="str">
        <f>IFERROR(__xludf.DUMMYFUNCTION("""COMPUTED_VALUE"""),"14 097 762")</f>
        <v>14 097 762</v>
      </c>
      <c r="E336" s="164" t="str">
        <f>IFERROR(__xludf.DUMMYFUNCTION("""COMPUTED_VALUE"""),"L")</f>
        <v>L</v>
      </c>
      <c r="F336" s="133" t="str">
        <f>IFERROR(__xludf.DUMMYFUNCTION("""COMPUTED_VALUE"""),"K11219RUML")</f>
        <v>K11219RUML</v>
      </c>
      <c r="G336" s="165">
        <f>IFERROR(__xludf.DUMMYFUNCTION("""COMPUTED_VALUE"""),656.0)</f>
        <v>656</v>
      </c>
    </row>
    <row r="337" ht="15.75" customHeight="1">
      <c r="A337" s="133" t="str">
        <f>IFERROR(__xludf.DUMMYFUNCTION("""COMPUTED_VALUE"""),"K11219RUM")</f>
        <v>K11219RUM</v>
      </c>
      <c r="B337" s="164">
        <f>IFERROR(__xludf.DUMMYFUNCTION("""COMPUTED_VALUE"""),1.1326381E7)</f>
        <v>11326381</v>
      </c>
      <c r="C337" s="164" t="str">
        <f>IFERROR(__xludf.DUMMYFUNCTION("""COMPUTED_VALUE"""),"11326381XL")</f>
        <v>11326381XL</v>
      </c>
      <c r="D337" s="164" t="str">
        <f>IFERROR(__xludf.DUMMYFUNCTION("""COMPUTED_VALUE"""),"14 097 762")</f>
        <v>14 097 762</v>
      </c>
      <c r="E337" s="164" t="str">
        <f>IFERROR(__xludf.DUMMYFUNCTION("""COMPUTED_VALUE"""),"XL")</f>
        <v>XL</v>
      </c>
      <c r="F337" s="133" t="str">
        <f>IFERROR(__xludf.DUMMYFUNCTION("""COMPUTED_VALUE"""),"K11219RUMXL")</f>
        <v>K11219RUMXL</v>
      </c>
      <c r="G337" s="165">
        <f>IFERROR(__xludf.DUMMYFUNCTION("""COMPUTED_VALUE"""),656.0)</f>
        <v>656</v>
      </c>
    </row>
    <row r="338" ht="15.75" customHeight="1">
      <c r="A338" s="133" t="str">
        <f>IFERROR(__xludf.DUMMYFUNCTION("""COMPUTED_VALUE"""),"K11719RUM")</f>
        <v>K11719RUM</v>
      </c>
      <c r="B338" s="164">
        <f>IFERROR(__xludf.DUMMYFUNCTION("""COMPUTED_VALUE"""),1.1326386E7)</f>
        <v>11326386</v>
      </c>
      <c r="C338" s="164" t="str">
        <f>IFERROR(__xludf.DUMMYFUNCTION("""COMPUTED_VALUE"""),"11326386S")</f>
        <v>11326386S</v>
      </c>
      <c r="D338" s="164" t="str">
        <f>IFERROR(__xludf.DUMMYFUNCTION("""COMPUTED_VALUE"""),"14 097 762")</f>
        <v>14 097 762</v>
      </c>
      <c r="E338" s="164" t="str">
        <f>IFERROR(__xludf.DUMMYFUNCTION("""COMPUTED_VALUE"""),"S")</f>
        <v>S</v>
      </c>
      <c r="F338" s="133" t="str">
        <f>IFERROR(__xludf.DUMMYFUNCTION("""COMPUTED_VALUE"""),"K11719RUMS")</f>
        <v>K11719RUMS</v>
      </c>
      <c r="G338" s="165">
        <f>IFERROR(__xludf.DUMMYFUNCTION("""COMPUTED_VALUE"""),539.0)</f>
        <v>539</v>
      </c>
    </row>
    <row r="339" ht="15.75" customHeight="1">
      <c r="A339" s="133" t="str">
        <f>IFERROR(__xludf.DUMMYFUNCTION("""COMPUTED_VALUE"""),"K11719RUM")</f>
        <v>K11719RUM</v>
      </c>
      <c r="B339" s="164">
        <f>IFERROR(__xludf.DUMMYFUNCTION("""COMPUTED_VALUE"""),1.1326386E7)</f>
        <v>11326386</v>
      </c>
      <c r="C339" s="164" t="str">
        <f>IFERROR(__xludf.DUMMYFUNCTION("""COMPUTED_VALUE"""),"11326386M")</f>
        <v>11326386M</v>
      </c>
      <c r="D339" s="164" t="str">
        <f>IFERROR(__xludf.DUMMYFUNCTION("""COMPUTED_VALUE"""),"14 097 762")</f>
        <v>14 097 762</v>
      </c>
      <c r="E339" s="164" t="str">
        <f>IFERROR(__xludf.DUMMYFUNCTION("""COMPUTED_VALUE"""),"M")</f>
        <v>M</v>
      </c>
      <c r="F339" s="133" t="str">
        <f>IFERROR(__xludf.DUMMYFUNCTION("""COMPUTED_VALUE"""),"K11719RUMM")</f>
        <v>K11719RUMM</v>
      </c>
      <c r="G339" s="165">
        <f>IFERROR(__xludf.DUMMYFUNCTION("""COMPUTED_VALUE"""),539.0)</f>
        <v>539</v>
      </c>
    </row>
    <row r="340" ht="15.75" customHeight="1">
      <c r="A340" s="133" t="str">
        <f>IFERROR(__xludf.DUMMYFUNCTION("""COMPUTED_VALUE"""),"K11719RUM")</f>
        <v>K11719RUM</v>
      </c>
      <c r="B340" s="164">
        <f>IFERROR(__xludf.DUMMYFUNCTION("""COMPUTED_VALUE"""),1.1326386E7)</f>
        <v>11326386</v>
      </c>
      <c r="C340" s="164" t="str">
        <f>IFERROR(__xludf.DUMMYFUNCTION("""COMPUTED_VALUE"""),"11326386L")</f>
        <v>11326386L</v>
      </c>
      <c r="D340" s="164" t="str">
        <f>IFERROR(__xludf.DUMMYFUNCTION("""COMPUTED_VALUE"""),"14 097 762")</f>
        <v>14 097 762</v>
      </c>
      <c r="E340" s="164" t="str">
        <f>IFERROR(__xludf.DUMMYFUNCTION("""COMPUTED_VALUE"""),"L")</f>
        <v>L</v>
      </c>
      <c r="F340" s="133" t="str">
        <f>IFERROR(__xludf.DUMMYFUNCTION("""COMPUTED_VALUE"""),"K11719RUML")</f>
        <v>K11719RUML</v>
      </c>
      <c r="G340" s="165">
        <f>IFERROR(__xludf.DUMMYFUNCTION("""COMPUTED_VALUE"""),539.0)</f>
        <v>539</v>
      </c>
    </row>
    <row r="341" ht="15.75" customHeight="1">
      <c r="A341" s="133" t="str">
        <f>IFERROR(__xludf.DUMMYFUNCTION("""COMPUTED_VALUE"""),"K11719RUM")</f>
        <v>K11719RUM</v>
      </c>
      <c r="B341" s="164">
        <f>IFERROR(__xludf.DUMMYFUNCTION("""COMPUTED_VALUE"""),1.1326386E7)</f>
        <v>11326386</v>
      </c>
      <c r="C341" s="164" t="str">
        <f>IFERROR(__xludf.DUMMYFUNCTION("""COMPUTED_VALUE"""),"11326386XL")</f>
        <v>11326386XL</v>
      </c>
      <c r="D341" s="164" t="str">
        <f>IFERROR(__xludf.DUMMYFUNCTION("""COMPUTED_VALUE"""),"14 097 762")</f>
        <v>14 097 762</v>
      </c>
      <c r="E341" s="164" t="str">
        <f>IFERROR(__xludf.DUMMYFUNCTION("""COMPUTED_VALUE"""),"XL")</f>
        <v>XL</v>
      </c>
      <c r="F341" s="133" t="str">
        <f>IFERROR(__xludf.DUMMYFUNCTION("""COMPUTED_VALUE"""),"K11719RUMXL")</f>
        <v>K11719RUMXL</v>
      </c>
      <c r="G341" s="165">
        <f>IFERROR(__xludf.DUMMYFUNCTION("""COMPUTED_VALUE"""),539.0)</f>
        <v>539</v>
      </c>
    </row>
    <row r="342" ht="15.75" customHeight="1">
      <c r="A342" s="133" t="str">
        <f>IFERROR(__xludf.DUMMYFUNCTION("""COMPUTED_VALUE"""),"K13519RUM")</f>
        <v>K13519RUM</v>
      </c>
      <c r="B342" s="164">
        <f>IFERROR(__xludf.DUMMYFUNCTION("""COMPUTED_VALUE"""),1.1698246E7)</f>
        <v>11698246</v>
      </c>
      <c r="C342" s="164" t="str">
        <f>IFERROR(__xludf.DUMMYFUNCTION("""COMPUTED_VALUE"""),"11698246S")</f>
        <v>11698246S</v>
      </c>
      <c r="D342" s="164" t="str">
        <f>IFERROR(__xludf.DUMMYFUNCTION("""COMPUTED_VALUE"""),"14 097 762")</f>
        <v>14 097 762</v>
      </c>
      <c r="E342" s="164" t="str">
        <f>IFERROR(__xludf.DUMMYFUNCTION("""COMPUTED_VALUE"""),"S")</f>
        <v>S</v>
      </c>
      <c r="F342" s="133" t="str">
        <f>IFERROR(__xludf.DUMMYFUNCTION("""COMPUTED_VALUE"""),"K13519RUMS")</f>
        <v>K13519RUMS</v>
      </c>
      <c r="G342" s="165">
        <f>IFERROR(__xludf.DUMMYFUNCTION("""COMPUTED_VALUE"""),627.0)</f>
        <v>627</v>
      </c>
    </row>
    <row r="343" ht="15.75" customHeight="1">
      <c r="A343" s="133" t="str">
        <f>IFERROR(__xludf.DUMMYFUNCTION("""COMPUTED_VALUE"""),"K13519RUM")</f>
        <v>K13519RUM</v>
      </c>
      <c r="B343" s="164">
        <f>IFERROR(__xludf.DUMMYFUNCTION("""COMPUTED_VALUE"""),1.1698246E7)</f>
        <v>11698246</v>
      </c>
      <c r="C343" s="164" t="str">
        <f>IFERROR(__xludf.DUMMYFUNCTION("""COMPUTED_VALUE"""),"11698246M")</f>
        <v>11698246M</v>
      </c>
      <c r="D343" s="164" t="str">
        <f>IFERROR(__xludf.DUMMYFUNCTION("""COMPUTED_VALUE"""),"14 097 762")</f>
        <v>14 097 762</v>
      </c>
      <c r="E343" s="164" t="str">
        <f>IFERROR(__xludf.DUMMYFUNCTION("""COMPUTED_VALUE"""),"M")</f>
        <v>M</v>
      </c>
      <c r="F343" s="133" t="str">
        <f>IFERROR(__xludf.DUMMYFUNCTION("""COMPUTED_VALUE"""),"K13519RUMM")</f>
        <v>K13519RUMM</v>
      </c>
      <c r="G343" s="165">
        <f>IFERROR(__xludf.DUMMYFUNCTION("""COMPUTED_VALUE"""),627.0)</f>
        <v>627</v>
      </c>
    </row>
    <row r="344" ht="15.75" customHeight="1">
      <c r="A344" s="133" t="str">
        <f>IFERROR(__xludf.DUMMYFUNCTION("""COMPUTED_VALUE"""),"K13519RUM")</f>
        <v>K13519RUM</v>
      </c>
      <c r="B344" s="164">
        <f>IFERROR(__xludf.DUMMYFUNCTION("""COMPUTED_VALUE"""),1.1698246E7)</f>
        <v>11698246</v>
      </c>
      <c r="C344" s="164" t="str">
        <f>IFERROR(__xludf.DUMMYFUNCTION("""COMPUTED_VALUE"""),"11698246L")</f>
        <v>11698246L</v>
      </c>
      <c r="D344" s="164" t="str">
        <f>IFERROR(__xludf.DUMMYFUNCTION("""COMPUTED_VALUE"""),"14 097 762")</f>
        <v>14 097 762</v>
      </c>
      <c r="E344" s="164" t="str">
        <f>IFERROR(__xludf.DUMMYFUNCTION("""COMPUTED_VALUE"""),"L")</f>
        <v>L</v>
      </c>
      <c r="F344" s="133" t="str">
        <f>IFERROR(__xludf.DUMMYFUNCTION("""COMPUTED_VALUE"""),"K13519RUML")</f>
        <v>K13519RUML</v>
      </c>
      <c r="G344" s="165">
        <f>IFERROR(__xludf.DUMMYFUNCTION("""COMPUTED_VALUE"""),627.0)</f>
        <v>627</v>
      </c>
    </row>
    <row r="345" ht="15.75" customHeight="1">
      <c r="A345" s="133" t="str">
        <f>IFERROR(__xludf.DUMMYFUNCTION("""COMPUTED_VALUE"""),"K13519RUM")</f>
        <v>K13519RUM</v>
      </c>
      <c r="B345" s="164">
        <f>IFERROR(__xludf.DUMMYFUNCTION("""COMPUTED_VALUE"""),1.1698246E7)</f>
        <v>11698246</v>
      </c>
      <c r="C345" s="164" t="str">
        <f>IFERROR(__xludf.DUMMYFUNCTION("""COMPUTED_VALUE"""),"11698246XL")</f>
        <v>11698246XL</v>
      </c>
      <c r="D345" s="164" t="str">
        <f>IFERROR(__xludf.DUMMYFUNCTION("""COMPUTED_VALUE"""),"14 097 762")</f>
        <v>14 097 762</v>
      </c>
      <c r="E345" s="164" t="str">
        <f>IFERROR(__xludf.DUMMYFUNCTION("""COMPUTED_VALUE"""),"XL")</f>
        <v>XL</v>
      </c>
      <c r="F345" s="133" t="str">
        <f>IFERROR(__xludf.DUMMYFUNCTION("""COMPUTED_VALUE"""),"K13519RUMXL")</f>
        <v>K13519RUMXL</v>
      </c>
      <c r="G345" s="165">
        <f>IFERROR(__xludf.DUMMYFUNCTION("""COMPUTED_VALUE"""),627.0)</f>
        <v>627</v>
      </c>
    </row>
    <row r="346" ht="15.75" customHeight="1">
      <c r="A346" s="133" t="str">
        <f>IFERROR(__xludf.DUMMYFUNCTION("""COMPUTED_VALUE"""),"K13819RUM")</f>
        <v>K13819RUM</v>
      </c>
      <c r="B346" s="164">
        <f>IFERROR(__xludf.DUMMYFUNCTION("""COMPUTED_VALUE"""),1.1698249E7)</f>
        <v>11698249</v>
      </c>
      <c r="C346" s="164" t="str">
        <f>IFERROR(__xludf.DUMMYFUNCTION("""COMPUTED_VALUE"""),"11698249S")</f>
        <v>11698249S</v>
      </c>
      <c r="D346" s="164" t="str">
        <f>IFERROR(__xludf.DUMMYFUNCTION("""COMPUTED_VALUE"""),"14 097 762")</f>
        <v>14 097 762</v>
      </c>
      <c r="E346" s="164" t="str">
        <f>IFERROR(__xludf.DUMMYFUNCTION("""COMPUTED_VALUE"""),"S")</f>
        <v>S</v>
      </c>
      <c r="F346" s="133" t="str">
        <f>IFERROR(__xludf.DUMMYFUNCTION("""COMPUTED_VALUE"""),"K13819RUMS")</f>
        <v>K13819RUMS</v>
      </c>
      <c r="G346" s="165">
        <f>IFERROR(__xludf.DUMMYFUNCTION("""COMPUTED_VALUE"""),640.0)</f>
        <v>640</v>
      </c>
    </row>
    <row r="347" ht="15.75" customHeight="1">
      <c r="A347" s="133" t="str">
        <f>IFERROR(__xludf.DUMMYFUNCTION("""COMPUTED_VALUE"""),"K13819RUM")</f>
        <v>K13819RUM</v>
      </c>
      <c r="B347" s="164">
        <f>IFERROR(__xludf.DUMMYFUNCTION("""COMPUTED_VALUE"""),1.1698249E7)</f>
        <v>11698249</v>
      </c>
      <c r="C347" s="164" t="str">
        <f>IFERROR(__xludf.DUMMYFUNCTION("""COMPUTED_VALUE"""),"11698249M")</f>
        <v>11698249M</v>
      </c>
      <c r="D347" s="164" t="str">
        <f>IFERROR(__xludf.DUMMYFUNCTION("""COMPUTED_VALUE"""),"14 097 762")</f>
        <v>14 097 762</v>
      </c>
      <c r="E347" s="164" t="str">
        <f>IFERROR(__xludf.DUMMYFUNCTION("""COMPUTED_VALUE"""),"M")</f>
        <v>M</v>
      </c>
      <c r="F347" s="133" t="str">
        <f>IFERROR(__xludf.DUMMYFUNCTION("""COMPUTED_VALUE"""),"K13819RUMM")</f>
        <v>K13819RUMM</v>
      </c>
      <c r="G347" s="165">
        <f>IFERROR(__xludf.DUMMYFUNCTION("""COMPUTED_VALUE"""),640.0)</f>
        <v>640</v>
      </c>
    </row>
    <row r="348" ht="15.75" customHeight="1">
      <c r="A348" s="133" t="str">
        <f>IFERROR(__xludf.DUMMYFUNCTION("""COMPUTED_VALUE"""),"K13819RUM")</f>
        <v>K13819RUM</v>
      </c>
      <c r="B348" s="164">
        <f>IFERROR(__xludf.DUMMYFUNCTION("""COMPUTED_VALUE"""),1.1698249E7)</f>
        <v>11698249</v>
      </c>
      <c r="C348" s="164" t="str">
        <f>IFERROR(__xludf.DUMMYFUNCTION("""COMPUTED_VALUE"""),"11698249L")</f>
        <v>11698249L</v>
      </c>
      <c r="D348" s="164" t="str">
        <f>IFERROR(__xludf.DUMMYFUNCTION("""COMPUTED_VALUE"""),"14 097 762")</f>
        <v>14 097 762</v>
      </c>
      <c r="E348" s="164" t="str">
        <f>IFERROR(__xludf.DUMMYFUNCTION("""COMPUTED_VALUE"""),"L")</f>
        <v>L</v>
      </c>
      <c r="F348" s="133" t="str">
        <f>IFERROR(__xludf.DUMMYFUNCTION("""COMPUTED_VALUE"""),"K13819RUML")</f>
        <v>K13819RUML</v>
      </c>
      <c r="G348" s="165">
        <f>IFERROR(__xludf.DUMMYFUNCTION("""COMPUTED_VALUE"""),640.0)</f>
        <v>640</v>
      </c>
    </row>
    <row r="349" ht="15.75" customHeight="1">
      <c r="A349" s="133" t="str">
        <f>IFERROR(__xludf.DUMMYFUNCTION("""COMPUTED_VALUE"""),"K13819RUM")</f>
        <v>K13819RUM</v>
      </c>
      <c r="B349" s="164">
        <f>IFERROR(__xludf.DUMMYFUNCTION("""COMPUTED_VALUE"""),1.1698249E7)</f>
        <v>11698249</v>
      </c>
      <c r="C349" s="164" t="str">
        <f>IFERROR(__xludf.DUMMYFUNCTION("""COMPUTED_VALUE"""),"11698249XL")</f>
        <v>11698249XL</v>
      </c>
      <c r="D349" s="164" t="str">
        <f>IFERROR(__xludf.DUMMYFUNCTION("""COMPUTED_VALUE"""),"14 097 762")</f>
        <v>14 097 762</v>
      </c>
      <c r="E349" s="164" t="str">
        <f>IFERROR(__xludf.DUMMYFUNCTION("""COMPUTED_VALUE"""),"XL")</f>
        <v>XL</v>
      </c>
      <c r="F349" s="133" t="str">
        <f>IFERROR(__xludf.DUMMYFUNCTION("""COMPUTED_VALUE"""),"K13819RUMXL")</f>
        <v>K13819RUMXL</v>
      </c>
      <c r="G349" s="165">
        <f>IFERROR(__xludf.DUMMYFUNCTION("""COMPUTED_VALUE"""),640.0)</f>
        <v>640</v>
      </c>
    </row>
    <row r="350" ht="15.75" customHeight="1">
      <c r="A350" s="133" t="str">
        <f>IFERROR(__xludf.DUMMYFUNCTION("""COMPUTED_VALUE"""),"K16320RUM")</f>
        <v>K16320RUM</v>
      </c>
      <c r="B350" s="164">
        <f>IFERROR(__xludf.DUMMYFUNCTION("""COMPUTED_VALUE"""),1.302586E7)</f>
        <v>13025860</v>
      </c>
      <c r="C350" s="164" t="str">
        <f>IFERROR(__xludf.DUMMYFUNCTION("""COMPUTED_VALUE"""),"13025860S")</f>
        <v>13025860S</v>
      </c>
      <c r="D350" s="164" t="str">
        <f>IFERROR(__xludf.DUMMYFUNCTION("""COMPUTED_VALUE"""),"14 097 762")</f>
        <v>14 097 762</v>
      </c>
      <c r="E350" s="164" t="str">
        <f>IFERROR(__xludf.DUMMYFUNCTION("""COMPUTED_VALUE"""),"S")</f>
        <v>S</v>
      </c>
      <c r="F350" s="133" t="str">
        <f>IFERROR(__xludf.DUMMYFUNCTION("""COMPUTED_VALUE"""),"K16320RUMS")</f>
        <v>K16320RUMS</v>
      </c>
      <c r="G350" s="165">
        <f>IFERROR(__xludf.DUMMYFUNCTION("""COMPUTED_VALUE"""),643.0)</f>
        <v>643</v>
      </c>
    </row>
    <row r="351" ht="15.75" customHeight="1">
      <c r="A351" s="133" t="str">
        <f>IFERROR(__xludf.DUMMYFUNCTION("""COMPUTED_VALUE"""),"K16320RUM")</f>
        <v>K16320RUM</v>
      </c>
      <c r="B351" s="164">
        <f>IFERROR(__xludf.DUMMYFUNCTION("""COMPUTED_VALUE"""),1.302586E7)</f>
        <v>13025860</v>
      </c>
      <c r="C351" s="164" t="str">
        <f>IFERROR(__xludf.DUMMYFUNCTION("""COMPUTED_VALUE"""),"13025860M")</f>
        <v>13025860M</v>
      </c>
      <c r="D351" s="164" t="str">
        <f>IFERROR(__xludf.DUMMYFUNCTION("""COMPUTED_VALUE"""),"14 097 762")</f>
        <v>14 097 762</v>
      </c>
      <c r="E351" s="164" t="str">
        <f>IFERROR(__xludf.DUMMYFUNCTION("""COMPUTED_VALUE"""),"M")</f>
        <v>M</v>
      </c>
      <c r="F351" s="133" t="str">
        <f>IFERROR(__xludf.DUMMYFUNCTION("""COMPUTED_VALUE"""),"K16320RUMM")</f>
        <v>K16320RUMM</v>
      </c>
      <c r="G351" s="165">
        <f>IFERROR(__xludf.DUMMYFUNCTION("""COMPUTED_VALUE"""),643.0)</f>
        <v>643</v>
      </c>
    </row>
    <row r="352" ht="15.75" customHeight="1">
      <c r="A352" s="133" t="str">
        <f>IFERROR(__xludf.DUMMYFUNCTION("""COMPUTED_VALUE"""),"K16320RUM")</f>
        <v>K16320RUM</v>
      </c>
      <c r="B352" s="164">
        <f>IFERROR(__xludf.DUMMYFUNCTION("""COMPUTED_VALUE"""),1.302586E7)</f>
        <v>13025860</v>
      </c>
      <c r="C352" s="164" t="str">
        <f>IFERROR(__xludf.DUMMYFUNCTION("""COMPUTED_VALUE"""),"13025860L")</f>
        <v>13025860L</v>
      </c>
      <c r="D352" s="164" t="str">
        <f>IFERROR(__xludf.DUMMYFUNCTION("""COMPUTED_VALUE"""),"14 097 762")</f>
        <v>14 097 762</v>
      </c>
      <c r="E352" s="164" t="str">
        <f>IFERROR(__xludf.DUMMYFUNCTION("""COMPUTED_VALUE"""),"L")</f>
        <v>L</v>
      </c>
      <c r="F352" s="133" t="str">
        <f>IFERROR(__xludf.DUMMYFUNCTION("""COMPUTED_VALUE"""),"K16320RUML")</f>
        <v>K16320RUML</v>
      </c>
      <c r="G352" s="165">
        <f>IFERROR(__xludf.DUMMYFUNCTION("""COMPUTED_VALUE"""),643.0)</f>
        <v>643</v>
      </c>
    </row>
    <row r="353" ht="15.75" customHeight="1">
      <c r="A353" s="133" t="str">
        <f>IFERROR(__xludf.DUMMYFUNCTION("""COMPUTED_VALUE"""),"K16320RUM")</f>
        <v>K16320RUM</v>
      </c>
      <c r="B353" s="164">
        <f>IFERROR(__xludf.DUMMYFUNCTION("""COMPUTED_VALUE"""),1.302586E7)</f>
        <v>13025860</v>
      </c>
      <c r="C353" s="164" t="str">
        <f>IFERROR(__xludf.DUMMYFUNCTION("""COMPUTED_VALUE"""),"13025860XL")</f>
        <v>13025860XL</v>
      </c>
      <c r="D353" s="164" t="str">
        <f>IFERROR(__xludf.DUMMYFUNCTION("""COMPUTED_VALUE"""),"14 097 762")</f>
        <v>14 097 762</v>
      </c>
      <c r="E353" s="164" t="str">
        <f>IFERROR(__xludf.DUMMYFUNCTION("""COMPUTED_VALUE"""),"XL")</f>
        <v>XL</v>
      </c>
      <c r="F353" s="133" t="str">
        <f>IFERROR(__xludf.DUMMYFUNCTION("""COMPUTED_VALUE"""),"K16320RUMXL")</f>
        <v>K16320RUMXL</v>
      </c>
      <c r="G353" s="165">
        <f>IFERROR(__xludf.DUMMYFUNCTION("""COMPUTED_VALUE"""),643.0)</f>
        <v>643</v>
      </c>
    </row>
    <row r="354" ht="15.75" customHeight="1">
      <c r="A354" s="133" t="str">
        <f>IFERROR(__xludf.DUMMYFUNCTION("""COMPUTED_VALUE"""),"K11519RUM")</f>
        <v>K11519RUM</v>
      </c>
      <c r="B354" s="164">
        <f>IFERROR(__xludf.DUMMYFUNCTION("""COMPUTED_VALUE"""),1.1326384E7)</f>
        <v>11326384</v>
      </c>
      <c r="C354" s="164" t="str">
        <f>IFERROR(__xludf.DUMMYFUNCTION("""COMPUTED_VALUE"""),"11326384S")</f>
        <v>11326384S</v>
      </c>
      <c r="D354" s="164" t="str">
        <f>IFERROR(__xludf.DUMMYFUNCTION("""COMPUTED_VALUE"""),"14 097 762")</f>
        <v>14 097 762</v>
      </c>
      <c r="E354" s="164" t="str">
        <f>IFERROR(__xludf.DUMMYFUNCTION("""COMPUTED_VALUE"""),"S")</f>
        <v>S</v>
      </c>
      <c r="F354" s="133" t="str">
        <f>IFERROR(__xludf.DUMMYFUNCTION("""COMPUTED_VALUE"""),"K11519RUMS")</f>
        <v>K11519RUMS</v>
      </c>
      <c r="G354" s="165">
        <f>IFERROR(__xludf.DUMMYFUNCTION("""COMPUTED_VALUE"""),555.0)</f>
        <v>555</v>
      </c>
    </row>
    <row r="355" ht="15.75" customHeight="1">
      <c r="A355" s="133" t="str">
        <f>IFERROR(__xludf.DUMMYFUNCTION("""COMPUTED_VALUE"""),"K11519RUM")</f>
        <v>K11519RUM</v>
      </c>
      <c r="B355" s="164">
        <f>IFERROR(__xludf.DUMMYFUNCTION("""COMPUTED_VALUE"""),1.1326384E7)</f>
        <v>11326384</v>
      </c>
      <c r="C355" s="164" t="str">
        <f>IFERROR(__xludf.DUMMYFUNCTION("""COMPUTED_VALUE"""),"11326384M")</f>
        <v>11326384M</v>
      </c>
      <c r="D355" s="164" t="str">
        <f>IFERROR(__xludf.DUMMYFUNCTION("""COMPUTED_VALUE"""),"14 097 762")</f>
        <v>14 097 762</v>
      </c>
      <c r="E355" s="164" t="str">
        <f>IFERROR(__xludf.DUMMYFUNCTION("""COMPUTED_VALUE"""),"M")</f>
        <v>M</v>
      </c>
      <c r="F355" s="133" t="str">
        <f>IFERROR(__xludf.DUMMYFUNCTION("""COMPUTED_VALUE"""),"K11519RUMM")</f>
        <v>K11519RUMM</v>
      </c>
      <c r="G355" s="165">
        <f>IFERROR(__xludf.DUMMYFUNCTION("""COMPUTED_VALUE"""),555.0)</f>
        <v>555</v>
      </c>
    </row>
    <row r="356" ht="15.75" customHeight="1">
      <c r="A356" s="133" t="str">
        <f>IFERROR(__xludf.DUMMYFUNCTION("""COMPUTED_VALUE"""),"K11519RUM")</f>
        <v>K11519RUM</v>
      </c>
      <c r="B356" s="164">
        <f>IFERROR(__xludf.DUMMYFUNCTION("""COMPUTED_VALUE"""),1.1326384E7)</f>
        <v>11326384</v>
      </c>
      <c r="C356" s="164" t="str">
        <f>IFERROR(__xludf.DUMMYFUNCTION("""COMPUTED_VALUE"""),"11326384L")</f>
        <v>11326384L</v>
      </c>
      <c r="D356" s="164" t="str">
        <f>IFERROR(__xludf.DUMMYFUNCTION("""COMPUTED_VALUE"""),"14 097 762")</f>
        <v>14 097 762</v>
      </c>
      <c r="E356" s="164" t="str">
        <f>IFERROR(__xludf.DUMMYFUNCTION("""COMPUTED_VALUE"""),"L")</f>
        <v>L</v>
      </c>
      <c r="F356" s="133" t="str">
        <f>IFERROR(__xludf.DUMMYFUNCTION("""COMPUTED_VALUE"""),"K11519RUML")</f>
        <v>K11519RUML</v>
      </c>
      <c r="G356" s="165">
        <f>IFERROR(__xludf.DUMMYFUNCTION("""COMPUTED_VALUE"""),555.0)</f>
        <v>555</v>
      </c>
    </row>
    <row r="357" ht="15.75" customHeight="1">
      <c r="A357" s="133" t="str">
        <f>IFERROR(__xludf.DUMMYFUNCTION("""COMPUTED_VALUE"""),"K11519RUM")</f>
        <v>K11519RUM</v>
      </c>
      <c r="B357" s="164">
        <f>IFERROR(__xludf.DUMMYFUNCTION("""COMPUTED_VALUE"""),1.1326384E7)</f>
        <v>11326384</v>
      </c>
      <c r="C357" s="164" t="str">
        <f>IFERROR(__xludf.DUMMYFUNCTION("""COMPUTED_VALUE"""),"11326384XL")</f>
        <v>11326384XL</v>
      </c>
      <c r="D357" s="164" t="str">
        <f>IFERROR(__xludf.DUMMYFUNCTION("""COMPUTED_VALUE"""),"14 097 762")</f>
        <v>14 097 762</v>
      </c>
      <c r="E357" s="164" t="str">
        <f>IFERROR(__xludf.DUMMYFUNCTION("""COMPUTED_VALUE"""),"XL")</f>
        <v>XL</v>
      </c>
      <c r="F357" s="133" t="str">
        <f>IFERROR(__xludf.DUMMYFUNCTION("""COMPUTED_VALUE"""),"K11519RUMXL")</f>
        <v>K11519RUMXL</v>
      </c>
      <c r="G357" s="165">
        <f>IFERROR(__xludf.DUMMYFUNCTION("""COMPUTED_VALUE"""),555.0)</f>
        <v>555</v>
      </c>
    </row>
    <row r="358" ht="15.75" customHeight="1">
      <c r="A358" s="133" t="str">
        <f>IFERROR(__xludf.DUMMYFUNCTION("""COMPUTED_VALUE"""),"K10619RUW")</f>
        <v>K10619RUW</v>
      </c>
      <c r="B358" s="164">
        <f>IFERROR(__xludf.DUMMYFUNCTION("""COMPUTED_VALUE"""),1.1326376E7)</f>
        <v>11326376</v>
      </c>
      <c r="C358" s="164" t="str">
        <f>IFERROR(__xludf.DUMMYFUNCTION("""COMPUTED_VALUE"""),"11326376S")</f>
        <v>11326376S</v>
      </c>
      <c r="D358" s="164" t="str">
        <f>IFERROR(__xludf.DUMMYFUNCTION("""COMPUTED_VALUE"""),"14 097 762")</f>
        <v>14 097 762</v>
      </c>
      <c r="E358" s="164" t="str">
        <f>IFERROR(__xludf.DUMMYFUNCTION("""COMPUTED_VALUE"""),"S")</f>
        <v>S</v>
      </c>
      <c r="F358" s="133" t="str">
        <f>IFERROR(__xludf.DUMMYFUNCTION("""COMPUTED_VALUE"""),"K10619RUWS")</f>
        <v>K10619RUWS</v>
      </c>
      <c r="G358" s="165">
        <f>IFERROR(__xludf.DUMMYFUNCTION("""COMPUTED_VALUE"""),602.0)</f>
        <v>602</v>
      </c>
    </row>
    <row r="359" ht="15.75" customHeight="1">
      <c r="A359" s="133" t="str">
        <f>IFERROR(__xludf.DUMMYFUNCTION("""COMPUTED_VALUE"""),"K10619RUW")</f>
        <v>K10619RUW</v>
      </c>
      <c r="B359" s="164">
        <f>IFERROR(__xludf.DUMMYFUNCTION("""COMPUTED_VALUE"""),1.1326376E7)</f>
        <v>11326376</v>
      </c>
      <c r="C359" s="164" t="str">
        <f>IFERROR(__xludf.DUMMYFUNCTION("""COMPUTED_VALUE"""),"11326376M")</f>
        <v>11326376M</v>
      </c>
      <c r="D359" s="164" t="str">
        <f>IFERROR(__xludf.DUMMYFUNCTION("""COMPUTED_VALUE"""),"14 097 762")</f>
        <v>14 097 762</v>
      </c>
      <c r="E359" s="164" t="str">
        <f>IFERROR(__xludf.DUMMYFUNCTION("""COMPUTED_VALUE"""),"M")</f>
        <v>M</v>
      </c>
      <c r="F359" s="133" t="str">
        <f>IFERROR(__xludf.DUMMYFUNCTION("""COMPUTED_VALUE"""),"K10619RUWM")</f>
        <v>K10619RUWM</v>
      </c>
      <c r="G359" s="165">
        <f>IFERROR(__xludf.DUMMYFUNCTION("""COMPUTED_VALUE"""),602.0)</f>
        <v>602</v>
      </c>
    </row>
    <row r="360" ht="15.75" customHeight="1">
      <c r="A360" s="133" t="str">
        <f>IFERROR(__xludf.DUMMYFUNCTION("""COMPUTED_VALUE"""),"K10619RUW")</f>
        <v>K10619RUW</v>
      </c>
      <c r="B360" s="164">
        <f>IFERROR(__xludf.DUMMYFUNCTION("""COMPUTED_VALUE"""),1.1326376E7)</f>
        <v>11326376</v>
      </c>
      <c r="C360" s="164" t="str">
        <f>IFERROR(__xludf.DUMMYFUNCTION("""COMPUTED_VALUE"""),"11326376L")</f>
        <v>11326376L</v>
      </c>
      <c r="D360" s="164" t="str">
        <f>IFERROR(__xludf.DUMMYFUNCTION("""COMPUTED_VALUE"""),"14 097 762")</f>
        <v>14 097 762</v>
      </c>
      <c r="E360" s="164" t="str">
        <f>IFERROR(__xludf.DUMMYFUNCTION("""COMPUTED_VALUE"""),"L")</f>
        <v>L</v>
      </c>
      <c r="F360" s="133" t="str">
        <f>IFERROR(__xludf.DUMMYFUNCTION("""COMPUTED_VALUE"""),"K10619RUWL")</f>
        <v>K10619RUWL</v>
      </c>
      <c r="G360" s="165">
        <f>IFERROR(__xludf.DUMMYFUNCTION("""COMPUTED_VALUE"""),602.0)</f>
        <v>602</v>
      </c>
    </row>
    <row r="361" ht="15.75" customHeight="1">
      <c r="A361" s="133" t="str">
        <f>IFERROR(__xludf.DUMMYFUNCTION("""COMPUTED_VALUE"""),"K10619RUW")</f>
        <v>K10619RUW</v>
      </c>
      <c r="B361" s="164">
        <f>IFERROR(__xludf.DUMMYFUNCTION("""COMPUTED_VALUE"""),1.1326376E7)</f>
        <v>11326376</v>
      </c>
      <c r="C361" s="164" t="str">
        <f>IFERROR(__xludf.DUMMYFUNCTION("""COMPUTED_VALUE"""),"11326376XL")</f>
        <v>11326376XL</v>
      </c>
      <c r="D361" s="164" t="str">
        <f>IFERROR(__xludf.DUMMYFUNCTION("""COMPUTED_VALUE"""),"14 097 762")</f>
        <v>14 097 762</v>
      </c>
      <c r="E361" s="164" t="str">
        <f>IFERROR(__xludf.DUMMYFUNCTION("""COMPUTED_VALUE"""),"XL")</f>
        <v>XL</v>
      </c>
      <c r="F361" s="133" t="str">
        <f>IFERROR(__xludf.DUMMYFUNCTION("""COMPUTED_VALUE"""),"K10619RUWXL")</f>
        <v>K10619RUWXL</v>
      </c>
      <c r="G361" s="165">
        <f>IFERROR(__xludf.DUMMYFUNCTION("""COMPUTED_VALUE"""),602.0)</f>
        <v>602</v>
      </c>
    </row>
    <row r="362" ht="15.75" customHeight="1">
      <c r="A362" s="133" t="str">
        <f>IFERROR(__xludf.DUMMYFUNCTION("""COMPUTED_VALUE"""),"K10819RUW")</f>
        <v>K10819RUW</v>
      </c>
      <c r="B362" s="164">
        <f>IFERROR(__xludf.DUMMYFUNCTION("""COMPUTED_VALUE"""),1.1326378E7)</f>
        <v>11326378</v>
      </c>
      <c r="C362" s="164" t="str">
        <f>IFERROR(__xludf.DUMMYFUNCTION("""COMPUTED_VALUE"""),"11326378S")</f>
        <v>11326378S</v>
      </c>
      <c r="D362" s="164" t="str">
        <f>IFERROR(__xludf.DUMMYFUNCTION("""COMPUTED_VALUE"""),"14 097 762")</f>
        <v>14 097 762</v>
      </c>
      <c r="E362" s="164" t="str">
        <f>IFERROR(__xludf.DUMMYFUNCTION("""COMPUTED_VALUE"""),"S")</f>
        <v>S</v>
      </c>
      <c r="F362" s="133" t="str">
        <f>IFERROR(__xludf.DUMMYFUNCTION("""COMPUTED_VALUE"""),"K10819RUWS")</f>
        <v>K10819RUWS</v>
      </c>
      <c r="G362" s="165">
        <f>IFERROR(__xludf.DUMMYFUNCTION("""COMPUTED_VALUE"""),654.0)</f>
        <v>654</v>
      </c>
    </row>
    <row r="363" ht="15.75" customHeight="1">
      <c r="A363" s="133" t="str">
        <f>IFERROR(__xludf.DUMMYFUNCTION("""COMPUTED_VALUE"""),"K10819RUW")</f>
        <v>K10819RUW</v>
      </c>
      <c r="B363" s="164">
        <f>IFERROR(__xludf.DUMMYFUNCTION("""COMPUTED_VALUE"""),1.1326378E7)</f>
        <v>11326378</v>
      </c>
      <c r="C363" s="164" t="str">
        <f>IFERROR(__xludf.DUMMYFUNCTION("""COMPUTED_VALUE"""),"11326378M")</f>
        <v>11326378M</v>
      </c>
      <c r="D363" s="164" t="str">
        <f>IFERROR(__xludf.DUMMYFUNCTION("""COMPUTED_VALUE"""),"14 097 762")</f>
        <v>14 097 762</v>
      </c>
      <c r="E363" s="164" t="str">
        <f>IFERROR(__xludf.DUMMYFUNCTION("""COMPUTED_VALUE"""),"M")</f>
        <v>M</v>
      </c>
      <c r="F363" s="133" t="str">
        <f>IFERROR(__xludf.DUMMYFUNCTION("""COMPUTED_VALUE"""),"K10819RUWM")</f>
        <v>K10819RUWM</v>
      </c>
      <c r="G363" s="165">
        <f>IFERROR(__xludf.DUMMYFUNCTION("""COMPUTED_VALUE"""),654.0)</f>
        <v>654</v>
      </c>
    </row>
    <row r="364" ht="15.75" customHeight="1">
      <c r="A364" s="133" t="str">
        <f>IFERROR(__xludf.DUMMYFUNCTION("""COMPUTED_VALUE"""),"K10819RUW")</f>
        <v>K10819RUW</v>
      </c>
      <c r="B364" s="164">
        <f>IFERROR(__xludf.DUMMYFUNCTION("""COMPUTED_VALUE"""),1.1326378E7)</f>
        <v>11326378</v>
      </c>
      <c r="C364" s="164" t="str">
        <f>IFERROR(__xludf.DUMMYFUNCTION("""COMPUTED_VALUE"""),"11326378L")</f>
        <v>11326378L</v>
      </c>
      <c r="D364" s="164" t="str">
        <f>IFERROR(__xludf.DUMMYFUNCTION("""COMPUTED_VALUE"""),"14 097 762")</f>
        <v>14 097 762</v>
      </c>
      <c r="E364" s="164" t="str">
        <f>IFERROR(__xludf.DUMMYFUNCTION("""COMPUTED_VALUE"""),"L")</f>
        <v>L</v>
      </c>
      <c r="F364" s="133" t="str">
        <f>IFERROR(__xludf.DUMMYFUNCTION("""COMPUTED_VALUE"""),"K10819RUWL")</f>
        <v>K10819RUWL</v>
      </c>
      <c r="G364" s="165">
        <f>IFERROR(__xludf.DUMMYFUNCTION("""COMPUTED_VALUE"""),654.0)</f>
        <v>654</v>
      </c>
    </row>
    <row r="365" ht="15.75" customHeight="1">
      <c r="A365" s="133" t="str">
        <f>IFERROR(__xludf.DUMMYFUNCTION("""COMPUTED_VALUE"""),"K10819RUW")</f>
        <v>K10819RUW</v>
      </c>
      <c r="B365" s="164">
        <f>IFERROR(__xludf.DUMMYFUNCTION("""COMPUTED_VALUE"""),1.1326378E7)</f>
        <v>11326378</v>
      </c>
      <c r="C365" s="164" t="str">
        <f>IFERROR(__xludf.DUMMYFUNCTION("""COMPUTED_VALUE"""),"11326378XL")</f>
        <v>11326378XL</v>
      </c>
      <c r="D365" s="164" t="str">
        <f>IFERROR(__xludf.DUMMYFUNCTION("""COMPUTED_VALUE"""),"14 097 762")</f>
        <v>14 097 762</v>
      </c>
      <c r="E365" s="164" t="str">
        <f>IFERROR(__xludf.DUMMYFUNCTION("""COMPUTED_VALUE"""),"XL")</f>
        <v>XL</v>
      </c>
      <c r="F365" s="133" t="str">
        <f>IFERROR(__xludf.DUMMYFUNCTION("""COMPUTED_VALUE"""),"K10819RUWXL")</f>
        <v>K10819RUWXL</v>
      </c>
      <c r="G365" s="165">
        <f>IFERROR(__xludf.DUMMYFUNCTION("""COMPUTED_VALUE"""),654.0)</f>
        <v>654</v>
      </c>
    </row>
    <row r="366" ht="15.75" customHeight="1">
      <c r="A366" s="133" t="str">
        <f>IFERROR(__xludf.DUMMYFUNCTION("""COMPUTED_VALUE"""),"K10919RUW")</f>
        <v>K10919RUW</v>
      </c>
      <c r="B366" s="164">
        <f>IFERROR(__xludf.DUMMYFUNCTION("""COMPUTED_VALUE"""),1.1326379E7)</f>
        <v>11326379</v>
      </c>
      <c r="C366" s="164" t="str">
        <f>IFERROR(__xludf.DUMMYFUNCTION("""COMPUTED_VALUE"""),"11326379S")</f>
        <v>11326379S</v>
      </c>
      <c r="D366" s="164" t="str">
        <f>IFERROR(__xludf.DUMMYFUNCTION("""COMPUTED_VALUE"""),"14 097 762")</f>
        <v>14 097 762</v>
      </c>
      <c r="E366" s="164" t="str">
        <f>IFERROR(__xludf.DUMMYFUNCTION("""COMPUTED_VALUE"""),"S")</f>
        <v>S</v>
      </c>
      <c r="F366" s="133" t="str">
        <f>IFERROR(__xludf.DUMMYFUNCTION("""COMPUTED_VALUE"""),"K10919RUWS")</f>
        <v>K10919RUWS</v>
      </c>
      <c r="G366" s="165">
        <f>IFERROR(__xludf.DUMMYFUNCTION("""COMPUTED_VALUE"""),584.0)</f>
        <v>584</v>
      </c>
    </row>
    <row r="367" ht="15.75" customHeight="1">
      <c r="A367" s="133" t="str">
        <f>IFERROR(__xludf.DUMMYFUNCTION("""COMPUTED_VALUE"""),"K10919RUW")</f>
        <v>K10919RUW</v>
      </c>
      <c r="B367" s="164">
        <f>IFERROR(__xludf.DUMMYFUNCTION("""COMPUTED_VALUE"""),1.1326379E7)</f>
        <v>11326379</v>
      </c>
      <c r="C367" s="164" t="str">
        <f>IFERROR(__xludf.DUMMYFUNCTION("""COMPUTED_VALUE"""),"11326379M")</f>
        <v>11326379M</v>
      </c>
      <c r="D367" s="164" t="str">
        <f>IFERROR(__xludf.DUMMYFUNCTION("""COMPUTED_VALUE"""),"14 097 762")</f>
        <v>14 097 762</v>
      </c>
      <c r="E367" s="164" t="str">
        <f>IFERROR(__xludf.DUMMYFUNCTION("""COMPUTED_VALUE"""),"M")</f>
        <v>M</v>
      </c>
      <c r="F367" s="133" t="str">
        <f>IFERROR(__xludf.DUMMYFUNCTION("""COMPUTED_VALUE"""),"K10919RUWM")</f>
        <v>K10919RUWM</v>
      </c>
      <c r="G367" s="165">
        <f>IFERROR(__xludf.DUMMYFUNCTION("""COMPUTED_VALUE"""),584.0)</f>
        <v>584</v>
      </c>
    </row>
    <row r="368" ht="15.75" customHeight="1">
      <c r="A368" s="133" t="str">
        <f>IFERROR(__xludf.DUMMYFUNCTION("""COMPUTED_VALUE"""),"K10919RUW")</f>
        <v>K10919RUW</v>
      </c>
      <c r="B368" s="164">
        <f>IFERROR(__xludf.DUMMYFUNCTION("""COMPUTED_VALUE"""),1.1326379E7)</f>
        <v>11326379</v>
      </c>
      <c r="C368" s="164" t="str">
        <f>IFERROR(__xludf.DUMMYFUNCTION("""COMPUTED_VALUE"""),"11326379L")</f>
        <v>11326379L</v>
      </c>
      <c r="D368" s="164" t="str">
        <f>IFERROR(__xludf.DUMMYFUNCTION("""COMPUTED_VALUE"""),"14 097 762")</f>
        <v>14 097 762</v>
      </c>
      <c r="E368" s="164" t="str">
        <f>IFERROR(__xludf.DUMMYFUNCTION("""COMPUTED_VALUE"""),"L")</f>
        <v>L</v>
      </c>
      <c r="F368" s="133" t="str">
        <f>IFERROR(__xludf.DUMMYFUNCTION("""COMPUTED_VALUE"""),"K10919RUWL")</f>
        <v>K10919RUWL</v>
      </c>
      <c r="G368" s="165">
        <f>IFERROR(__xludf.DUMMYFUNCTION("""COMPUTED_VALUE"""),584.0)</f>
        <v>584</v>
      </c>
    </row>
    <row r="369" ht="15.75" customHeight="1">
      <c r="A369" s="133" t="str">
        <f>IFERROR(__xludf.DUMMYFUNCTION("""COMPUTED_VALUE"""),"K10919RUW")</f>
        <v>K10919RUW</v>
      </c>
      <c r="B369" s="164">
        <f>IFERROR(__xludf.DUMMYFUNCTION("""COMPUTED_VALUE"""),1.1326379E7)</f>
        <v>11326379</v>
      </c>
      <c r="C369" s="164" t="str">
        <f>IFERROR(__xludf.DUMMYFUNCTION("""COMPUTED_VALUE"""),"11326379XL")</f>
        <v>11326379XL</v>
      </c>
      <c r="D369" s="164" t="str">
        <f>IFERROR(__xludf.DUMMYFUNCTION("""COMPUTED_VALUE"""),"14 097 762")</f>
        <v>14 097 762</v>
      </c>
      <c r="E369" s="164" t="str">
        <f>IFERROR(__xludf.DUMMYFUNCTION("""COMPUTED_VALUE"""),"XL")</f>
        <v>XL</v>
      </c>
      <c r="F369" s="133" t="str">
        <f>IFERROR(__xludf.DUMMYFUNCTION("""COMPUTED_VALUE"""),"K10919RUWXL")</f>
        <v>K10919RUWXL</v>
      </c>
      <c r="G369" s="165">
        <f>IFERROR(__xludf.DUMMYFUNCTION("""COMPUTED_VALUE"""),584.0)</f>
        <v>584</v>
      </c>
    </row>
    <row r="370" ht="15.75" customHeight="1">
      <c r="A370" s="133" t="str">
        <f>IFERROR(__xludf.DUMMYFUNCTION("""COMPUTED_VALUE"""),"K13319RUW")</f>
        <v>K13319RUW</v>
      </c>
      <c r="B370" s="164">
        <f>IFERROR(__xludf.DUMMYFUNCTION("""COMPUTED_VALUE"""),1.1698244E7)</f>
        <v>11698244</v>
      </c>
      <c r="C370" s="164" t="str">
        <f>IFERROR(__xludf.DUMMYFUNCTION("""COMPUTED_VALUE"""),"11698244S")</f>
        <v>11698244S</v>
      </c>
      <c r="D370" s="164" t="str">
        <f>IFERROR(__xludf.DUMMYFUNCTION("""COMPUTED_VALUE"""),"14 097 762")</f>
        <v>14 097 762</v>
      </c>
      <c r="E370" s="164" t="str">
        <f>IFERROR(__xludf.DUMMYFUNCTION("""COMPUTED_VALUE"""),"S")</f>
        <v>S</v>
      </c>
      <c r="F370" s="133" t="str">
        <f>IFERROR(__xludf.DUMMYFUNCTION("""COMPUTED_VALUE"""),"K13319RUWS")</f>
        <v>K13319RUWS</v>
      </c>
      <c r="G370" s="165">
        <f>IFERROR(__xludf.DUMMYFUNCTION("""COMPUTED_VALUE"""),651.0)</f>
        <v>651</v>
      </c>
    </row>
    <row r="371" ht="15.75" customHeight="1">
      <c r="A371" s="133" t="str">
        <f>IFERROR(__xludf.DUMMYFUNCTION("""COMPUTED_VALUE"""),"K13319RUW")</f>
        <v>K13319RUW</v>
      </c>
      <c r="B371" s="164">
        <f>IFERROR(__xludf.DUMMYFUNCTION("""COMPUTED_VALUE"""),1.1698244E7)</f>
        <v>11698244</v>
      </c>
      <c r="C371" s="164" t="str">
        <f>IFERROR(__xludf.DUMMYFUNCTION("""COMPUTED_VALUE"""),"11698244M")</f>
        <v>11698244M</v>
      </c>
      <c r="D371" s="164" t="str">
        <f>IFERROR(__xludf.DUMMYFUNCTION("""COMPUTED_VALUE"""),"14 097 762")</f>
        <v>14 097 762</v>
      </c>
      <c r="E371" s="164" t="str">
        <f>IFERROR(__xludf.DUMMYFUNCTION("""COMPUTED_VALUE"""),"M")</f>
        <v>M</v>
      </c>
      <c r="F371" s="133" t="str">
        <f>IFERROR(__xludf.DUMMYFUNCTION("""COMPUTED_VALUE"""),"K13319RUWM")</f>
        <v>K13319RUWM</v>
      </c>
      <c r="G371" s="165">
        <f>IFERROR(__xludf.DUMMYFUNCTION("""COMPUTED_VALUE"""),651.0)</f>
        <v>651</v>
      </c>
    </row>
    <row r="372" ht="15.75" customHeight="1">
      <c r="A372" s="133" t="str">
        <f>IFERROR(__xludf.DUMMYFUNCTION("""COMPUTED_VALUE"""),"K13319RUW")</f>
        <v>K13319RUW</v>
      </c>
      <c r="B372" s="164">
        <f>IFERROR(__xludf.DUMMYFUNCTION("""COMPUTED_VALUE"""),1.1698244E7)</f>
        <v>11698244</v>
      </c>
      <c r="C372" s="164" t="str">
        <f>IFERROR(__xludf.DUMMYFUNCTION("""COMPUTED_VALUE"""),"11698244L")</f>
        <v>11698244L</v>
      </c>
      <c r="D372" s="164" t="str">
        <f>IFERROR(__xludf.DUMMYFUNCTION("""COMPUTED_VALUE"""),"14 097 762")</f>
        <v>14 097 762</v>
      </c>
      <c r="E372" s="164" t="str">
        <f>IFERROR(__xludf.DUMMYFUNCTION("""COMPUTED_VALUE"""),"L")</f>
        <v>L</v>
      </c>
      <c r="F372" s="133" t="str">
        <f>IFERROR(__xludf.DUMMYFUNCTION("""COMPUTED_VALUE"""),"K13319RUWL")</f>
        <v>K13319RUWL</v>
      </c>
      <c r="G372" s="165">
        <f>IFERROR(__xludf.DUMMYFUNCTION("""COMPUTED_VALUE"""),651.0)</f>
        <v>651</v>
      </c>
    </row>
    <row r="373" ht="15.75" customHeight="1">
      <c r="A373" s="133" t="str">
        <f>IFERROR(__xludf.DUMMYFUNCTION("""COMPUTED_VALUE"""),"K13319RUW")</f>
        <v>K13319RUW</v>
      </c>
      <c r="B373" s="164">
        <f>IFERROR(__xludf.DUMMYFUNCTION("""COMPUTED_VALUE"""),1.1698244E7)</f>
        <v>11698244</v>
      </c>
      <c r="C373" s="164" t="str">
        <f>IFERROR(__xludf.DUMMYFUNCTION("""COMPUTED_VALUE"""),"11698244XL")</f>
        <v>11698244XL</v>
      </c>
      <c r="D373" s="164" t="str">
        <f>IFERROR(__xludf.DUMMYFUNCTION("""COMPUTED_VALUE"""),"14 097 762")</f>
        <v>14 097 762</v>
      </c>
      <c r="E373" s="164" t="str">
        <f>IFERROR(__xludf.DUMMYFUNCTION("""COMPUTED_VALUE"""),"XL")</f>
        <v>XL</v>
      </c>
      <c r="F373" s="133" t="str">
        <f>IFERROR(__xludf.DUMMYFUNCTION("""COMPUTED_VALUE"""),"K13319RUWXL")</f>
        <v>K13319RUWXL</v>
      </c>
      <c r="G373" s="165">
        <f>IFERROR(__xludf.DUMMYFUNCTION("""COMPUTED_VALUE"""),651.0)</f>
        <v>651</v>
      </c>
    </row>
    <row r="374" ht="15.75" customHeight="1">
      <c r="A374" s="133" t="str">
        <f>IFERROR(__xludf.DUMMYFUNCTION("""COMPUTED_VALUE"""),"K11919RUK")</f>
        <v>K11919RUK</v>
      </c>
      <c r="B374" s="164">
        <f>IFERROR(__xludf.DUMMYFUNCTION("""COMPUTED_VALUE"""),1.1326388E7)</f>
        <v>11326388</v>
      </c>
      <c r="C374" s="164" t="str">
        <f>IFERROR(__xludf.DUMMYFUNCTION("""COMPUTED_VALUE"""),"1132638890-105")</f>
        <v>1132638890-105</v>
      </c>
      <c r="D374" s="164" t="str">
        <f>IFERROR(__xludf.DUMMYFUNCTION("""COMPUTED_VALUE"""),"14 097 762")</f>
        <v>14 097 762</v>
      </c>
      <c r="E374" s="164" t="str">
        <f>IFERROR(__xludf.DUMMYFUNCTION("""COMPUTED_VALUE"""),"90-105")</f>
        <v>90-105</v>
      </c>
      <c r="F374" s="133" t="str">
        <f>IFERROR(__xludf.DUMMYFUNCTION("""COMPUTED_VALUE"""),"K11919RUK90-105")</f>
        <v>K11919RUK90-105</v>
      </c>
      <c r="G374" s="165">
        <f>IFERROR(__xludf.DUMMYFUNCTION("""COMPUTED_VALUE"""),482.0)</f>
        <v>482</v>
      </c>
    </row>
    <row r="375" ht="15.75" customHeight="1">
      <c r="A375" s="133" t="str">
        <f>IFERROR(__xludf.DUMMYFUNCTION("""COMPUTED_VALUE"""),"K11919RUK")</f>
        <v>K11919RUK</v>
      </c>
      <c r="B375" s="164">
        <f>IFERROR(__xludf.DUMMYFUNCTION("""COMPUTED_VALUE"""),1.1326388E7)</f>
        <v>11326388</v>
      </c>
      <c r="C375" s="164" t="str">
        <f>IFERROR(__xludf.DUMMYFUNCTION("""COMPUTED_VALUE"""),"11326388110-115")</f>
        <v>11326388110-115</v>
      </c>
      <c r="D375" s="164" t="str">
        <f>IFERROR(__xludf.DUMMYFUNCTION("""COMPUTED_VALUE"""),"14 097 762")</f>
        <v>14 097 762</v>
      </c>
      <c r="E375" s="164" t="str">
        <f>IFERROR(__xludf.DUMMYFUNCTION("""COMPUTED_VALUE"""),"110-115")</f>
        <v>110-115</v>
      </c>
      <c r="F375" s="133" t="str">
        <f>IFERROR(__xludf.DUMMYFUNCTION("""COMPUTED_VALUE"""),"K11919RUK110-115")</f>
        <v>K11919RUK110-115</v>
      </c>
      <c r="G375" s="165">
        <f>IFERROR(__xludf.DUMMYFUNCTION("""COMPUTED_VALUE"""),482.0)</f>
        <v>482</v>
      </c>
    </row>
    <row r="376" ht="15.75" customHeight="1">
      <c r="A376" s="133" t="str">
        <f>IFERROR(__xludf.DUMMYFUNCTION("""COMPUTED_VALUE"""),"K11919RUK")</f>
        <v>K11919RUK</v>
      </c>
      <c r="B376" s="164">
        <f>IFERROR(__xludf.DUMMYFUNCTION("""COMPUTED_VALUE"""),1.1326388E7)</f>
        <v>11326388</v>
      </c>
      <c r="C376" s="164" t="str">
        <f>IFERROR(__xludf.DUMMYFUNCTION("""COMPUTED_VALUE"""),"11326388115-125")</f>
        <v>11326388115-125</v>
      </c>
      <c r="D376" s="164" t="str">
        <f>IFERROR(__xludf.DUMMYFUNCTION("""COMPUTED_VALUE"""),"14 097 762")</f>
        <v>14 097 762</v>
      </c>
      <c r="E376" s="164" t="str">
        <f>IFERROR(__xludf.DUMMYFUNCTION("""COMPUTED_VALUE"""),"115-125")</f>
        <v>115-125</v>
      </c>
      <c r="F376" s="133" t="str">
        <f>IFERROR(__xludf.DUMMYFUNCTION("""COMPUTED_VALUE"""),"K11919RUK115-125")</f>
        <v>K11919RUK115-125</v>
      </c>
      <c r="G376" s="165">
        <f>IFERROR(__xludf.DUMMYFUNCTION("""COMPUTED_VALUE"""),482.0)</f>
        <v>482</v>
      </c>
    </row>
    <row r="377" ht="15.75" customHeight="1">
      <c r="A377" s="133" t="str">
        <f>IFERROR(__xludf.DUMMYFUNCTION("""COMPUTED_VALUE"""),"K11919RUK")</f>
        <v>K11919RUK</v>
      </c>
      <c r="B377" s="164">
        <f>IFERROR(__xludf.DUMMYFUNCTION("""COMPUTED_VALUE"""),1.1326388E7)</f>
        <v>11326388</v>
      </c>
      <c r="C377" s="164" t="str">
        <f>IFERROR(__xludf.DUMMYFUNCTION("""COMPUTED_VALUE"""),"11326388130-135")</f>
        <v>11326388130-135</v>
      </c>
      <c r="D377" s="164" t="str">
        <f>IFERROR(__xludf.DUMMYFUNCTION("""COMPUTED_VALUE"""),"14 097 762")</f>
        <v>14 097 762</v>
      </c>
      <c r="E377" s="164" t="str">
        <f>IFERROR(__xludf.DUMMYFUNCTION("""COMPUTED_VALUE"""),"130-135")</f>
        <v>130-135</v>
      </c>
      <c r="F377" s="133" t="str">
        <f>IFERROR(__xludf.DUMMYFUNCTION("""COMPUTED_VALUE"""),"K11919RUK130-135")</f>
        <v>K11919RUK130-135</v>
      </c>
      <c r="G377" s="165">
        <f>IFERROR(__xludf.DUMMYFUNCTION("""COMPUTED_VALUE"""),482.0)</f>
        <v>482</v>
      </c>
    </row>
    <row r="378" ht="15.75" customHeight="1">
      <c r="A378" s="133" t="str">
        <f>IFERROR(__xludf.DUMMYFUNCTION("""COMPUTED_VALUE"""),"K11919RUK")</f>
        <v>K11919RUK</v>
      </c>
      <c r="B378" s="164">
        <f>IFERROR(__xludf.DUMMYFUNCTION("""COMPUTED_VALUE"""),1.1326388E7)</f>
        <v>11326388</v>
      </c>
      <c r="C378" s="164" t="str">
        <f>IFERROR(__xludf.DUMMYFUNCTION("""COMPUTED_VALUE"""),"11326388140-145")</f>
        <v>11326388140-145</v>
      </c>
      <c r="D378" s="164" t="str">
        <f>IFERROR(__xludf.DUMMYFUNCTION("""COMPUTED_VALUE"""),"14 097 762")</f>
        <v>14 097 762</v>
      </c>
      <c r="E378" s="164" t="str">
        <f>IFERROR(__xludf.DUMMYFUNCTION("""COMPUTED_VALUE"""),"140-145")</f>
        <v>140-145</v>
      </c>
      <c r="F378" s="133" t="str">
        <f>IFERROR(__xludf.DUMMYFUNCTION("""COMPUTED_VALUE"""),"K11919RUK140-145")</f>
        <v>K11919RUK140-145</v>
      </c>
      <c r="G378" s="165">
        <f>IFERROR(__xludf.DUMMYFUNCTION("""COMPUTED_VALUE"""),482.0)</f>
        <v>482</v>
      </c>
    </row>
    <row r="379" ht="15.75" customHeight="1">
      <c r="A379" s="133" t="str">
        <f>IFERROR(__xludf.DUMMYFUNCTION("""COMPUTED_VALUE"""),"K12119RUK")</f>
        <v>K12119RUK</v>
      </c>
      <c r="B379" s="164">
        <f>IFERROR(__xludf.DUMMYFUNCTION("""COMPUTED_VALUE"""),1.1326389E7)</f>
        <v>11326389</v>
      </c>
      <c r="C379" s="164" t="str">
        <f>IFERROR(__xludf.DUMMYFUNCTION("""COMPUTED_VALUE"""),"1132638990-105")</f>
        <v>1132638990-105</v>
      </c>
      <c r="D379" s="164" t="str">
        <f>IFERROR(__xludf.DUMMYFUNCTION("""COMPUTED_VALUE"""),"14 097 762")</f>
        <v>14 097 762</v>
      </c>
      <c r="E379" s="164" t="str">
        <f>IFERROR(__xludf.DUMMYFUNCTION("""COMPUTED_VALUE"""),"90-105")</f>
        <v>90-105</v>
      </c>
      <c r="F379" s="133" t="str">
        <f>IFERROR(__xludf.DUMMYFUNCTION("""COMPUTED_VALUE"""),"K12119RUK90-105")</f>
        <v>K12119RUK90-105</v>
      </c>
      <c r="G379" s="165">
        <f>IFERROR(__xludf.DUMMYFUNCTION("""COMPUTED_VALUE"""),520.0)</f>
        <v>520</v>
      </c>
    </row>
    <row r="380" ht="15.75" customHeight="1">
      <c r="A380" s="133" t="str">
        <f>IFERROR(__xludf.DUMMYFUNCTION("""COMPUTED_VALUE"""),"K12119RUK")</f>
        <v>K12119RUK</v>
      </c>
      <c r="B380" s="164">
        <f>IFERROR(__xludf.DUMMYFUNCTION("""COMPUTED_VALUE"""),1.1326389E7)</f>
        <v>11326389</v>
      </c>
      <c r="C380" s="164" t="str">
        <f>IFERROR(__xludf.DUMMYFUNCTION("""COMPUTED_VALUE"""),"11326389110-115")</f>
        <v>11326389110-115</v>
      </c>
      <c r="D380" s="164" t="str">
        <f>IFERROR(__xludf.DUMMYFUNCTION("""COMPUTED_VALUE"""),"14 097 762")</f>
        <v>14 097 762</v>
      </c>
      <c r="E380" s="164" t="str">
        <f>IFERROR(__xludf.DUMMYFUNCTION("""COMPUTED_VALUE"""),"110-115")</f>
        <v>110-115</v>
      </c>
      <c r="F380" s="133" t="str">
        <f>IFERROR(__xludf.DUMMYFUNCTION("""COMPUTED_VALUE"""),"K12119RUK110-115")</f>
        <v>K12119RUK110-115</v>
      </c>
      <c r="G380" s="165">
        <f>IFERROR(__xludf.DUMMYFUNCTION("""COMPUTED_VALUE"""),520.0)</f>
        <v>520</v>
      </c>
    </row>
    <row r="381" ht="15.75" customHeight="1">
      <c r="A381" s="133" t="str">
        <f>IFERROR(__xludf.DUMMYFUNCTION("""COMPUTED_VALUE"""),"K12119RUK")</f>
        <v>K12119RUK</v>
      </c>
      <c r="B381" s="164">
        <f>IFERROR(__xludf.DUMMYFUNCTION("""COMPUTED_VALUE"""),1.1326389E7)</f>
        <v>11326389</v>
      </c>
      <c r="C381" s="164" t="str">
        <f>IFERROR(__xludf.DUMMYFUNCTION("""COMPUTED_VALUE"""),"11326389115-125")</f>
        <v>11326389115-125</v>
      </c>
      <c r="D381" s="164" t="str">
        <f>IFERROR(__xludf.DUMMYFUNCTION("""COMPUTED_VALUE"""),"14 097 762")</f>
        <v>14 097 762</v>
      </c>
      <c r="E381" s="164" t="str">
        <f>IFERROR(__xludf.DUMMYFUNCTION("""COMPUTED_VALUE"""),"115-125")</f>
        <v>115-125</v>
      </c>
      <c r="F381" s="133" t="str">
        <f>IFERROR(__xludf.DUMMYFUNCTION("""COMPUTED_VALUE"""),"K12119RUK115-125")</f>
        <v>K12119RUK115-125</v>
      </c>
      <c r="G381" s="165">
        <f>IFERROR(__xludf.DUMMYFUNCTION("""COMPUTED_VALUE"""),520.0)</f>
        <v>520</v>
      </c>
    </row>
    <row r="382" ht="15.75" customHeight="1">
      <c r="A382" s="133" t="str">
        <f>IFERROR(__xludf.DUMMYFUNCTION("""COMPUTED_VALUE"""),"K12119RUK")</f>
        <v>K12119RUK</v>
      </c>
      <c r="B382" s="164">
        <f>IFERROR(__xludf.DUMMYFUNCTION("""COMPUTED_VALUE"""),1.1326389E7)</f>
        <v>11326389</v>
      </c>
      <c r="C382" s="164" t="str">
        <f>IFERROR(__xludf.DUMMYFUNCTION("""COMPUTED_VALUE"""),"11326389130-135")</f>
        <v>11326389130-135</v>
      </c>
      <c r="D382" s="164" t="str">
        <f>IFERROR(__xludf.DUMMYFUNCTION("""COMPUTED_VALUE"""),"14 097 762")</f>
        <v>14 097 762</v>
      </c>
      <c r="E382" s="164" t="str">
        <f>IFERROR(__xludf.DUMMYFUNCTION("""COMPUTED_VALUE"""),"130-135")</f>
        <v>130-135</v>
      </c>
      <c r="F382" s="133" t="str">
        <f>IFERROR(__xludf.DUMMYFUNCTION("""COMPUTED_VALUE"""),"K12119RUK130-135")</f>
        <v>K12119RUK130-135</v>
      </c>
      <c r="G382" s="165">
        <f>IFERROR(__xludf.DUMMYFUNCTION("""COMPUTED_VALUE"""),520.0)</f>
        <v>520</v>
      </c>
    </row>
    <row r="383" ht="15.75" customHeight="1">
      <c r="A383" s="133" t="str">
        <f>IFERROR(__xludf.DUMMYFUNCTION("""COMPUTED_VALUE"""),"K12119RUK")</f>
        <v>K12119RUK</v>
      </c>
      <c r="B383" s="164">
        <f>IFERROR(__xludf.DUMMYFUNCTION("""COMPUTED_VALUE"""),1.1326389E7)</f>
        <v>11326389</v>
      </c>
      <c r="C383" s="164" t="str">
        <f>IFERROR(__xludf.DUMMYFUNCTION("""COMPUTED_VALUE"""),"11326389140-145")</f>
        <v>11326389140-145</v>
      </c>
      <c r="D383" s="164" t="str">
        <f>IFERROR(__xludf.DUMMYFUNCTION("""COMPUTED_VALUE"""),"14 097 762")</f>
        <v>14 097 762</v>
      </c>
      <c r="E383" s="164" t="str">
        <f>IFERROR(__xludf.DUMMYFUNCTION("""COMPUTED_VALUE"""),"140-145")</f>
        <v>140-145</v>
      </c>
      <c r="F383" s="133" t="str">
        <f>IFERROR(__xludf.DUMMYFUNCTION("""COMPUTED_VALUE"""),"K12119RUK140-145")</f>
        <v>K12119RUK140-145</v>
      </c>
      <c r="G383" s="165">
        <f>IFERROR(__xludf.DUMMYFUNCTION("""COMPUTED_VALUE"""),520.0)</f>
        <v>520</v>
      </c>
    </row>
    <row r="384" ht="15.75" customHeight="1">
      <c r="A384" s="133" t="str">
        <f>IFERROR(__xludf.DUMMYFUNCTION("""COMPUTED_VALUE"""),"K12519RUK")</f>
        <v>K12519RUK</v>
      </c>
      <c r="B384" s="164">
        <f>IFERROR(__xludf.DUMMYFUNCTION("""COMPUTED_VALUE"""),1.1326393E7)</f>
        <v>11326393</v>
      </c>
      <c r="C384" s="164" t="str">
        <f>IFERROR(__xludf.DUMMYFUNCTION("""COMPUTED_VALUE"""),"1132639390-105")</f>
        <v>1132639390-105</v>
      </c>
      <c r="D384" s="164" t="str">
        <f>IFERROR(__xludf.DUMMYFUNCTION("""COMPUTED_VALUE"""),"14 097 762")</f>
        <v>14 097 762</v>
      </c>
      <c r="E384" s="164" t="str">
        <f>IFERROR(__xludf.DUMMYFUNCTION("""COMPUTED_VALUE"""),"90-105")</f>
        <v>90-105</v>
      </c>
      <c r="F384" s="133" t="str">
        <f>IFERROR(__xludf.DUMMYFUNCTION("""COMPUTED_VALUE"""),"K12519RUK90-105")</f>
        <v>K12519RUK90-105</v>
      </c>
      <c r="G384" s="165">
        <f>IFERROR(__xludf.DUMMYFUNCTION("""COMPUTED_VALUE"""),580.0)</f>
        <v>580</v>
      </c>
    </row>
    <row r="385" ht="15.75" customHeight="1">
      <c r="A385" s="133" t="str">
        <f>IFERROR(__xludf.DUMMYFUNCTION("""COMPUTED_VALUE"""),"K12519RUK")</f>
        <v>K12519RUK</v>
      </c>
      <c r="B385" s="164">
        <f>IFERROR(__xludf.DUMMYFUNCTION("""COMPUTED_VALUE"""),1.1326393E7)</f>
        <v>11326393</v>
      </c>
      <c r="C385" s="164" t="str">
        <f>IFERROR(__xludf.DUMMYFUNCTION("""COMPUTED_VALUE"""),"11326393110-115")</f>
        <v>11326393110-115</v>
      </c>
      <c r="D385" s="164" t="str">
        <f>IFERROR(__xludf.DUMMYFUNCTION("""COMPUTED_VALUE"""),"14 097 762")</f>
        <v>14 097 762</v>
      </c>
      <c r="E385" s="164" t="str">
        <f>IFERROR(__xludf.DUMMYFUNCTION("""COMPUTED_VALUE"""),"110-115")</f>
        <v>110-115</v>
      </c>
      <c r="F385" s="133" t="str">
        <f>IFERROR(__xludf.DUMMYFUNCTION("""COMPUTED_VALUE"""),"K12519RUK110-115")</f>
        <v>K12519RUK110-115</v>
      </c>
      <c r="G385" s="165">
        <f>IFERROR(__xludf.DUMMYFUNCTION("""COMPUTED_VALUE"""),580.0)</f>
        <v>580</v>
      </c>
    </row>
    <row r="386" ht="15.75" customHeight="1">
      <c r="A386" s="133" t="str">
        <f>IFERROR(__xludf.DUMMYFUNCTION("""COMPUTED_VALUE"""),"K12519RUK")</f>
        <v>K12519RUK</v>
      </c>
      <c r="B386" s="164">
        <f>IFERROR(__xludf.DUMMYFUNCTION("""COMPUTED_VALUE"""),1.1326393E7)</f>
        <v>11326393</v>
      </c>
      <c r="C386" s="164" t="str">
        <f>IFERROR(__xludf.DUMMYFUNCTION("""COMPUTED_VALUE"""),"11326393115-125")</f>
        <v>11326393115-125</v>
      </c>
      <c r="D386" s="164" t="str">
        <f>IFERROR(__xludf.DUMMYFUNCTION("""COMPUTED_VALUE"""),"14 097 762")</f>
        <v>14 097 762</v>
      </c>
      <c r="E386" s="164" t="str">
        <f>IFERROR(__xludf.DUMMYFUNCTION("""COMPUTED_VALUE"""),"115-125")</f>
        <v>115-125</v>
      </c>
      <c r="F386" s="133" t="str">
        <f>IFERROR(__xludf.DUMMYFUNCTION("""COMPUTED_VALUE"""),"K12519RUK115-125")</f>
        <v>K12519RUK115-125</v>
      </c>
      <c r="G386" s="165">
        <f>IFERROR(__xludf.DUMMYFUNCTION("""COMPUTED_VALUE"""),580.0)</f>
        <v>580</v>
      </c>
    </row>
    <row r="387" ht="15.75" customHeight="1">
      <c r="A387" s="133" t="str">
        <f>IFERROR(__xludf.DUMMYFUNCTION("""COMPUTED_VALUE"""),"K12519RUK")</f>
        <v>K12519RUK</v>
      </c>
      <c r="B387" s="164">
        <f>IFERROR(__xludf.DUMMYFUNCTION("""COMPUTED_VALUE"""),1.1326393E7)</f>
        <v>11326393</v>
      </c>
      <c r="C387" s="164" t="str">
        <f>IFERROR(__xludf.DUMMYFUNCTION("""COMPUTED_VALUE"""),"11326393130-135")</f>
        <v>11326393130-135</v>
      </c>
      <c r="D387" s="164" t="str">
        <f>IFERROR(__xludf.DUMMYFUNCTION("""COMPUTED_VALUE"""),"14 097 762")</f>
        <v>14 097 762</v>
      </c>
      <c r="E387" s="164" t="str">
        <f>IFERROR(__xludf.DUMMYFUNCTION("""COMPUTED_VALUE"""),"130-135")</f>
        <v>130-135</v>
      </c>
      <c r="F387" s="133" t="str">
        <f>IFERROR(__xludf.DUMMYFUNCTION("""COMPUTED_VALUE"""),"K12519RUK130-135")</f>
        <v>K12519RUK130-135</v>
      </c>
      <c r="G387" s="165">
        <f>IFERROR(__xludf.DUMMYFUNCTION("""COMPUTED_VALUE"""),580.0)</f>
        <v>580</v>
      </c>
    </row>
    <row r="388" ht="15.75" customHeight="1">
      <c r="A388" s="133" t="str">
        <f>IFERROR(__xludf.DUMMYFUNCTION("""COMPUTED_VALUE"""),"K12519RUK")</f>
        <v>K12519RUK</v>
      </c>
      <c r="B388" s="164">
        <f>IFERROR(__xludf.DUMMYFUNCTION("""COMPUTED_VALUE"""),1.1326393E7)</f>
        <v>11326393</v>
      </c>
      <c r="C388" s="164" t="str">
        <f>IFERROR(__xludf.DUMMYFUNCTION("""COMPUTED_VALUE"""),"11326393140-145")</f>
        <v>11326393140-145</v>
      </c>
      <c r="D388" s="164" t="str">
        <f>IFERROR(__xludf.DUMMYFUNCTION("""COMPUTED_VALUE"""),"14 097 762")</f>
        <v>14 097 762</v>
      </c>
      <c r="E388" s="164" t="str">
        <f>IFERROR(__xludf.DUMMYFUNCTION("""COMPUTED_VALUE"""),"140-145")</f>
        <v>140-145</v>
      </c>
      <c r="F388" s="133" t="str">
        <f>IFERROR(__xludf.DUMMYFUNCTION("""COMPUTED_VALUE"""),"K12519RUK140-145")</f>
        <v>K12519RUK140-145</v>
      </c>
      <c r="G388" s="165">
        <f>IFERROR(__xludf.DUMMYFUNCTION("""COMPUTED_VALUE"""),580.0)</f>
        <v>580</v>
      </c>
    </row>
    <row r="389" ht="15.75" customHeight="1">
      <c r="A389" s="133" t="str">
        <f>IFERROR(__xludf.DUMMYFUNCTION("""COMPUTED_VALUE"""),"K12619RUK")</f>
        <v>K12619RUK</v>
      </c>
      <c r="B389" s="164">
        <f>IFERROR(__xludf.DUMMYFUNCTION("""COMPUTED_VALUE"""),1.1326394E7)</f>
        <v>11326394</v>
      </c>
      <c r="C389" s="164" t="str">
        <f>IFERROR(__xludf.DUMMYFUNCTION("""COMPUTED_VALUE"""),"1132639490-105")</f>
        <v>1132639490-105</v>
      </c>
      <c r="D389" s="164" t="str">
        <f>IFERROR(__xludf.DUMMYFUNCTION("""COMPUTED_VALUE"""),"14 097 762")</f>
        <v>14 097 762</v>
      </c>
      <c r="E389" s="164" t="str">
        <f>IFERROR(__xludf.DUMMYFUNCTION("""COMPUTED_VALUE"""),"90-105")</f>
        <v>90-105</v>
      </c>
      <c r="F389" s="133" t="str">
        <f>IFERROR(__xludf.DUMMYFUNCTION("""COMPUTED_VALUE"""),"K12619RUK90-105")</f>
        <v>K12619RUK90-105</v>
      </c>
      <c r="G389" s="165">
        <f>IFERROR(__xludf.DUMMYFUNCTION("""COMPUTED_VALUE"""),616.0)</f>
        <v>616</v>
      </c>
    </row>
    <row r="390" ht="15.75" customHeight="1">
      <c r="A390" s="133" t="str">
        <f>IFERROR(__xludf.DUMMYFUNCTION("""COMPUTED_VALUE"""),"K12619RUK")</f>
        <v>K12619RUK</v>
      </c>
      <c r="B390" s="164">
        <f>IFERROR(__xludf.DUMMYFUNCTION("""COMPUTED_VALUE"""),1.1326394E7)</f>
        <v>11326394</v>
      </c>
      <c r="C390" s="164" t="str">
        <f>IFERROR(__xludf.DUMMYFUNCTION("""COMPUTED_VALUE"""),"11326394110-115")</f>
        <v>11326394110-115</v>
      </c>
      <c r="D390" s="164" t="str">
        <f>IFERROR(__xludf.DUMMYFUNCTION("""COMPUTED_VALUE"""),"14 097 762")</f>
        <v>14 097 762</v>
      </c>
      <c r="E390" s="164" t="str">
        <f>IFERROR(__xludf.DUMMYFUNCTION("""COMPUTED_VALUE"""),"110-115")</f>
        <v>110-115</v>
      </c>
      <c r="F390" s="133" t="str">
        <f>IFERROR(__xludf.DUMMYFUNCTION("""COMPUTED_VALUE"""),"K12619RUK110-115")</f>
        <v>K12619RUK110-115</v>
      </c>
      <c r="G390" s="165">
        <f>IFERROR(__xludf.DUMMYFUNCTION("""COMPUTED_VALUE"""),616.0)</f>
        <v>616</v>
      </c>
    </row>
    <row r="391" ht="15.75" customHeight="1">
      <c r="A391" s="133" t="str">
        <f>IFERROR(__xludf.DUMMYFUNCTION("""COMPUTED_VALUE"""),"K12619RUK")</f>
        <v>K12619RUK</v>
      </c>
      <c r="B391" s="164">
        <f>IFERROR(__xludf.DUMMYFUNCTION("""COMPUTED_VALUE"""),1.1326394E7)</f>
        <v>11326394</v>
      </c>
      <c r="C391" s="164" t="str">
        <f>IFERROR(__xludf.DUMMYFUNCTION("""COMPUTED_VALUE"""),"11326394115-125")</f>
        <v>11326394115-125</v>
      </c>
      <c r="D391" s="164" t="str">
        <f>IFERROR(__xludf.DUMMYFUNCTION("""COMPUTED_VALUE"""),"14 097 762")</f>
        <v>14 097 762</v>
      </c>
      <c r="E391" s="164" t="str">
        <f>IFERROR(__xludf.DUMMYFUNCTION("""COMPUTED_VALUE"""),"115-125")</f>
        <v>115-125</v>
      </c>
      <c r="F391" s="133" t="str">
        <f>IFERROR(__xludf.DUMMYFUNCTION("""COMPUTED_VALUE"""),"K12619RUK115-125")</f>
        <v>K12619RUK115-125</v>
      </c>
      <c r="G391" s="165">
        <f>IFERROR(__xludf.DUMMYFUNCTION("""COMPUTED_VALUE"""),616.0)</f>
        <v>616</v>
      </c>
    </row>
    <row r="392" ht="15.75" customHeight="1">
      <c r="A392" s="133" t="str">
        <f>IFERROR(__xludf.DUMMYFUNCTION("""COMPUTED_VALUE"""),"K12619RUK")</f>
        <v>K12619RUK</v>
      </c>
      <c r="B392" s="164">
        <f>IFERROR(__xludf.DUMMYFUNCTION("""COMPUTED_VALUE"""),1.1326394E7)</f>
        <v>11326394</v>
      </c>
      <c r="C392" s="164" t="str">
        <f>IFERROR(__xludf.DUMMYFUNCTION("""COMPUTED_VALUE"""),"11326394130-135")</f>
        <v>11326394130-135</v>
      </c>
      <c r="D392" s="164" t="str">
        <f>IFERROR(__xludf.DUMMYFUNCTION("""COMPUTED_VALUE"""),"14 097 762")</f>
        <v>14 097 762</v>
      </c>
      <c r="E392" s="164" t="str">
        <f>IFERROR(__xludf.DUMMYFUNCTION("""COMPUTED_VALUE"""),"130-135")</f>
        <v>130-135</v>
      </c>
      <c r="F392" s="133" t="str">
        <f>IFERROR(__xludf.DUMMYFUNCTION("""COMPUTED_VALUE"""),"K12619RUK130-135")</f>
        <v>K12619RUK130-135</v>
      </c>
      <c r="G392" s="165">
        <f>IFERROR(__xludf.DUMMYFUNCTION("""COMPUTED_VALUE"""),616.0)</f>
        <v>616</v>
      </c>
    </row>
    <row r="393" ht="15.75" customHeight="1">
      <c r="A393" s="133" t="str">
        <f>IFERROR(__xludf.DUMMYFUNCTION("""COMPUTED_VALUE"""),"K12619RUK")</f>
        <v>K12619RUK</v>
      </c>
      <c r="B393" s="164">
        <f>IFERROR(__xludf.DUMMYFUNCTION("""COMPUTED_VALUE"""),1.1326394E7)</f>
        <v>11326394</v>
      </c>
      <c r="C393" s="164" t="str">
        <f>IFERROR(__xludf.DUMMYFUNCTION("""COMPUTED_VALUE"""),"11326394140-145")</f>
        <v>11326394140-145</v>
      </c>
      <c r="D393" s="164" t="str">
        <f>IFERROR(__xludf.DUMMYFUNCTION("""COMPUTED_VALUE"""),"14 097 762")</f>
        <v>14 097 762</v>
      </c>
      <c r="E393" s="164" t="str">
        <f>IFERROR(__xludf.DUMMYFUNCTION("""COMPUTED_VALUE"""),"140-145")</f>
        <v>140-145</v>
      </c>
      <c r="F393" s="133" t="str">
        <f>IFERROR(__xludf.DUMMYFUNCTION("""COMPUTED_VALUE"""),"K12619RUK140-145")</f>
        <v>K12619RUK140-145</v>
      </c>
      <c r="G393" s="165">
        <f>IFERROR(__xludf.DUMMYFUNCTION("""COMPUTED_VALUE"""),616.0)</f>
        <v>616</v>
      </c>
    </row>
    <row r="394" ht="15.75" customHeight="1">
      <c r="A394" s="133" t="str">
        <f>IFERROR(__xludf.DUMMYFUNCTION("""COMPUTED_VALUE"""),"K12719RUK")</f>
        <v>K12719RUK</v>
      </c>
      <c r="B394" s="164">
        <f>IFERROR(__xludf.DUMMYFUNCTION("""COMPUTED_VALUE"""),1.1326395E7)</f>
        <v>11326395</v>
      </c>
      <c r="C394" s="164" t="str">
        <f>IFERROR(__xludf.DUMMYFUNCTION("""COMPUTED_VALUE"""),"1132639590-105")</f>
        <v>1132639590-105</v>
      </c>
      <c r="D394" s="164" t="str">
        <f>IFERROR(__xludf.DUMMYFUNCTION("""COMPUTED_VALUE"""),"14 097 762")</f>
        <v>14 097 762</v>
      </c>
      <c r="E394" s="164" t="str">
        <f>IFERROR(__xludf.DUMMYFUNCTION("""COMPUTED_VALUE"""),"90-105")</f>
        <v>90-105</v>
      </c>
      <c r="F394" s="133" t="str">
        <f>IFERROR(__xludf.DUMMYFUNCTION("""COMPUTED_VALUE"""),"K12719RUK90-105")</f>
        <v>K12719RUK90-105</v>
      </c>
      <c r="G394" s="165">
        <f>IFERROR(__xludf.DUMMYFUNCTION("""COMPUTED_VALUE"""),531.0)</f>
        <v>531</v>
      </c>
    </row>
    <row r="395" ht="15.75" customHeight="1">
      <c r="A395" s="133" t="str">
        <f>IFERROR(__xludf.DUMMYFUNCTION("""COMPUTED_VALUE"""),"K12719RUK")</f>
        <v>K12719RUK</v>
      </c>
      <c r="B395" s="164">
        <f>IFERROR(__xludf.DUMMYFUNCTION("""COMPUTED_VALUE"""),1.1326395E7)</f>
        <v>11326395</v>
      </c>
      <c r="C395" s="164" t="str">
        <f>IFERROR(__xludf.DUMMYFUNCTION("""COMPUTED_VALUE"""),"11326395110-115")</f>
        <v>11326395110-115</v>
      </c>
      <c r="D395" s="164" t="str">
        <f>IFERROR(__xludf.DUMMYFUNCTION("""COMPUTED_VALUE"""),"14 097 762")</f>
        <v>14 097 762</v>
      </c>
      <c r="E395" s="164" t="str">
        <f>IFERROR(__xludf.DUMMYFUNCTION("""COMPUTED_VALUE"""),"110-115")</f>
        <v>110-115</v>
      </c>
      <c r="F395" s="133" t="str">
        <f>IFERROR(__xludf.DUMMYFUNCTION("""COMPUTED_VALUE"""),"K12719RUK110-115")</f>
        <v>K12719RUK110-115</v>
      </c>
      <c r="G395" s="165">
        <f>IFERROR(__xludf.DUMMYFUNCTION("""COMPUTED_VALUE"""),531.0)</f>
        <v>531</v>
      </c>
    </row>
    <row r="396" ht="15.75" customHeight="1">
      <c r="A396" s="133" t="str">
        <f>IFERROR(__xludf.DUMMYFUNCTION("""COMPUTED_VALUE"""),"K12719RUK")</f>
        <v>K12719RUK</v>
      </c>
      <c r="B396" s="164">
        <f>IFERROR(__xludf.DUMMYFUNCTION("""COMPUTED_VALUE"""),1.1326395E7)</f>
        <v>11326395</v>
      </c>
      <c r="C396" s="164" t="str">
        <f>IFERROR(__xludf.DUMMYFUNCTION("""COMPUTED_VALUE"""),"11326395115-125")</f>
        <v>11326395115-125</v>
      </c>
      <c r="D396" s="164" t="str">
        <f>IFERROR(__xludf.DUMMYFUNCTION("""COMPUTED_VALUE"""),"14 097 762")</f>
        <v>14 097 762</v>
      </c>
      <c r="E396" s="164" t="str">
        <f>IFERROR(__xludf.DUMMYFUNCTION("""COMPUTED_VALUE"""),"115-125")</f>
        <v>115-125</v>
      </c>
      <c r="F396" s="133" t="str">
        <f>IFERROR(__xludf.DUMMYFUNCTION("""COMPUTED_VALUE"""),"K12719RUK115-125")</f>
        <v>K12719RUK115-125</v>
      </c>
      <c r="G396" s="165">
        <f>IFERROR(__xludf.DUMMYFUNCTION("""COMPUTED_VALUE"""),531.0)</f>
        <v>531</v>
      </c>
    </row>
    <row r="397" ht="15.75" customHeight="1">
      <c r="A397" s="133" t="str">
        <f>IFERROR(__xludf.DUMMYFUNCTION("""COMPUTED_VALUE"""),"K12719RUK")</f>
        <v>K12719RUK</v>
      </c>
      <c r="B397" s="164">
        <f>IFERROR(__xludf.DUMMYFUNCTION("""COMPUTED_VALUE"""),1.1326395E7)</f>
        <v>11326395</v>
      </c>
      <c r="C397" s="164" t="str">
        <f>IFERROR(__xludf.DUMMYFUNCTION("""COMPUTED_VALUE"""),"11326395130-135")</f>
        <v>11326395130-135</v>
      </c>
      <c r="D397" s="164" t="str">
        <f>IFERROR(__xludf.DUMMYFUNCTION("""COMPUTED_VALUE"""),"14 097 762")</f>
        <v>14 097 762</v>
      </c>
      <c r="E397" s="164" t="str">
        <f>IFERROR(__xludf.DUMMYFUNCTION("""COMPUTED_VALUE"""),"130-135")</f>
        <v>130-135</v>
      </c>
      <c r="F397" s="133" t="str">
        <f>IFERROR(__xludf.DUMMYFUNCTION("""COMPUTED_VALUE"""),"K12719RUK130-135")</f>
        <v>K12719RUK130-135</v>
      </c>
      <c r="G397" s="165">
        <f>IFERROR(__xludf.DUMMYFUNCTION("""COMPUTED_VALUE"""),531.0)</f>
        <v>531</v>
      </c>
    </row>
    <row r="398" ht="15.75" customHeight="1">
      <c r="A398" s="133" t="str">
        <f>IFERROR(__xludf.DUMMYFUNCTION("""COMPUTED_VALUE"""),"K12719RUK")</f>
        <v>K12719RUK</v>
      </c>
      <c r="B398" s="164">
        <f>IFERROR(__xludf.DUMMYFUNCTION("""COMPUTED_VALUE"""),1.1326395E7)</f>
        <v>11326395</v>
      </c>
      <c r="C398" s="164" t="str">
        <f>IFERROR(__xludf.DUMMYFUNCTION("""COMPUTED_VALUE"""),"11326395140-145")</f>
        <v>11326395140-145</v>
      </c>
      <c r="D398" s="164" t="str">
        <f>IFERROR(__xludf.DUMMYFUNCTION("""COMPUTED_VALUE"""),"14 097 762")</f>
        <v>14 097 762</v>
      </c>
      <c r="E398" s="164" t="str">
        <f>IFERROR(__xludf.DUMMYFUNCTION("""COMPUTED_VALUE"""),"140-145")</f>
        <v>140-145</v>
      </c>
      <c r="F398" s="133" t="str">
        <f>IFERROR(__xludf.DUMMYFUNCTION("""COMPUTED_VALUE"""),"K12719RUK140-145")</f>
        <v>K12719RUK140-145</v>
      </c>
      <c r="G398" s="165">
        <f>IFERROR(__xludf.DUMMYFUNCTION("""COMPUTED_VALUE"""),531.0)</f>
        <v>531</v>
      </c>
    </row>
    <row r="399" ht="15.75" customHeight="1">
      <c r="A399" s="133" t="str">
        <f>IFERROR(__xludf.DUMMYFUNCTION("""COMPUTED_VALUE"""),"K14119RUK")</f>
        <v>K14119RUK</v>
      </c>
      <c r="B399" s="164">
        <f>IFERROR(__xludf.DUMMYFUNCTION("""COMPUTED_VALUE"""),1.1698252E7)</f>
        <v>11698252</v>
      </c>
      <c r="C399" s="164" t="str">
        <f>IFERROR(__xludf.DUMMYFUNCTION("""COMPUTED_VALUE"""),"1169825290-105")</f>
        <v>1169825290-105</v>
      </c>
      <c r="D399" s="164" t="str">
        <f>IFERROR(__xludf.DUMMYFUNCTION("""COMPUTED_VALUE"""),"14 097 762")</f>
        <v>14 097 762</v>
      </c>
      <c r="E399" s="164" t="str">
        <f>IFERROR(__xludf.DUMMYFUNCTION("""COMPUTED_VALUE"""),"90-105")</f>
        <v>90-105</v>
      </c>
      <c r="F399" s="133" t="str">
        <f>IFERROR(__xludf.DUMMYFUNCTION("""COMPUTED_VALUE"""),"K14119RUK90-105")</f>
        <v>K14119RUK90-105</v>
      </c>
      <c r="G399" s="165">
        <f>IFERROR(__xludf.DUMMYFUNCTION("""COMPUTED_VALUE"""),662.0)</f>
        <v>662</v>
      </c>
    </row>
    <row r="400" ht="15.75" customHeight="1">
      <c r="A400" s="133" t="str">
        <f>IFERROR(__xludf.DUMMYFUNCTION("""COMPUTED_VALUE"""),"K14119RUK")</f>
        <v>K14119RUK</v>
      </c>
      <c r="B400" s="164">
        <f>IFERROR(__xludf.DUMMYFUNCTION("""COMPUTED_VALUE"""),1.1698252E7)</f>
        <v>11698252</v>
      </c>
      <c r="C400" s="164" t="str">
        <f>IFERROR(__xludf.DUMMYFUNCTION("""COMPUTED_VALUE"""),"11698252110-115")</f>
        <v>11698252110-115</v>
      </c>
      <c r="D400" s="164" t="str">
        <f>IFERROR(__xludf.DUMMYFUNCTION("""COMPUTED_VALUE"""),"14 097 762")</f>
        <v>14 097 762</v>
      </c>
      <c r="E400" s="164" t="str">
        <f>IFERROR(__xludf.DUMMYFUNCTION("""COMPUTED_VALUE"""),"110-115")</f>
        <v>110-115</v>
      </c>
      <c r="F400" s="133" t="str">
        <f>IFERROR(__xludf.DUMMYFUNCTION("""COMPUTED_VALUE"""),"K14119RUK110-115")</f>
        <v>K14119RUK110-115</v>
      </c>
      <c r="G400" s="165">
        <f>IFERROR(__xludf.DUMMYFUNCTION("""COMPUTED_VALUE"""),662.0)</f>
        <v>662</v>
      </c>
    </row>
    <row r="401" ht="15.75" customHeight="1">
      <c r="A401" s="133" t="str">
        <f>IFERROR(__xludf.DUMMYFUNCTION("""COMPUTED_VALUE"""),"K14119RUK")</f>
        <v>K14119RUK</v>
      </c>
      <c r="B401" s="164">
        <f>IFERROR(__xludf.DUMMYFUNCTION("""COMPUTED_VALUE"""),1.1698252E7)</f>
        <v>11698252</v>
      </c>
      <c r="C401" s="164" t="str">
        <f>IFERROR(__xludf.DUMMYFUNCTION("""COMPUTED_VALUE"""),"11698252115-125")</f>
        <v>11698252115-125</v>
      </c>
      <c r="D401" s="164" t="str">
        <f>IFERROR(__xludf.DUMMYFUNCTION("""COMPUTED_VALUE"""),"14 097 762")</f>
        <v>14 097 762</v>
      </c>
      <c r="E401" s="164" t="str">
        <f>IFERROR(__xludf.DUMMYFUNCTION("""COMPUTED_VALUE"""),"115-125")</f>
        <v>115-125</v>
      </c>
      <c r="F401" s="133" t="str">
        <f>IFERROR(__xludf.DUMMYFUNCTION("""COMPUTED_VALUE"""),"K14119RUK115-125")</f>
        <v>K14119RUK115-125</v>
      </c>
      <c r="G401" s="165">
        <f>IFERROR(__xludf.DUMMYFUNCTION("""COMPUTED_VALUE"""),662.0)</f>
        <v>662</v>
      </c>
    </row>
    <row r="402" ht="15.75" customHeight="1">
      <c r="A402" s="133" t="str">
        <f>IFERROR(__xludf.DUMMYFUNCTION("""COMPUTED_VALUE"""),"K14119RUK")</f>
        <v>K14119RUK</v>
      </c>
      <c r="B402" s="164">
        <f>IFERROR(__xludf.DUMMYFUNCTION("""COMPUTED_VALUE"""),1.1698252E7)</f>
        <v>11698252</v>
      </c>
      <c r="C402" s="164" t="str">
        <f>IFERROR(__xludf.DUMMYFUNCTION("""COMPUTED_VALUE"""),"11698252130-135")</f>
        <v>11698252130-135</v>
      </c>
      <c r="D402" s="164" t="str">
        <f>IFERROR(__xludf.DUMMYFUNCTION("""COMPUTED_VALUE"""),"14 097 762")</f>
        <v>14 097 762</v>
      </c>
      <c r="E402" s="164" t="str">
        <f>IFERROR(__xludf.DUMMYFUNCTION("""COMPUTED_VALUE"""),"130-135")</f>
        <v>130-135</v>
      </c>
      <c r="F402" s="133" t="str">
        <f>IFERROR(__xludf.DUMMYFUNCTION("""COMPUTED_VALUE"""),"K14119RUK130-135")</f>
        <v>K14119RUK130-135</v>
      </c>
      <c r="G402" s="165">
        <f>IFERROR(__xludf.DUMMYFUNCTION("""COMPUTED_VALUE"""),662.0)</f>
        <v>662</v>
      </c>
    </row>
    <row r="403" ht="15.75" customHeight="1">
      <c r="A403" s="133" t="str">
        <f>IFERROR(__xludf.DUMMYFUNCTION("""COMPUTED_VALUE"""),"K14119RUK")</f>
        <v>K14119RUK</v>
      </c>
      <c r="B403" s="164">
        <f>IFERROR(__xludf.DUMMYFUNCTION("""COMPUTED_VALUE"""),1.1698252E7)</f>
        <v>11698252</v>
      </c>
      <c r="C403" s="164" t="str">
        <f>IFERROR(__xludf.DUMMYFUNCTION("""COMPUTED_VALUE"""),"11698252140-145")</f>
        <v>11698252140-145</v>
      </c>
      <c r="D403" s="164" t="str">
        <f>IFERROR(__xludf.DUMMYFUNCTION("""COMPUTED_VALUE"""),"14 097 762")</f>
        <v>14 097 762</v>
      </c>
      <c r="E403" s="164" t="str">
        <f>IFERROR(__xludf.DUMMYFUNCTION("""COMPUTED_VALUE"""),"140-145")</f>
        <v>140-145</v>
      </c>
      <c r="F403" s="133" t="str">
        <f>IFERROR(__xludf.DUMMYFUNCTION("""COMPUTED_VALUE"""),"K14119RUK140-145")</f>
        <v>K14119RUK140-145</v>
      </c>
      <c r="G403" s="165">
        <f>IFERROR(__xludf.DUMMYFUNCTION("""COMPUTED_VALUE"""),662.0)</f>
        <v>662</v>
      </c>
    </row>
    <row r="404" ht="15.75" customHeight="1">
      <c r="A404" s="133" t="str">
        <f>IFERROR(__xludf.DUMMYFUNCTION("""COMPUTED_VALUE"""),"K14219RUK")</f>
        <v>K14219RUK</v>
      </c>
      <c r="B404" s="164">
        <f>IFERROR(__xludf.DUMMYFUNCTION("""COMPUTED_VALUE"""),1.1698253E7)</f>
        <v>11698253</v>
      </c>
      <c r="C404" s="164" t="str">
        <f>IFERROR(__xludf.DUMMYFUNCTION("""COMPUTED_VALUE"""),"1169825390-105")</f>
        <v>1169825390-105</v>
      </c>
      <c r="D404" s="164" t="str">
        <f>IFERROR(__xludf.DUMMYFUNCTION("""COMPUTED_VALUE"""),"14 097 762")</f>
        <v>14 097 762</v>
      </c>
      <c r="E404" s="164" t="str">
        <f>IFERROR(__xludf.DUMMYFUNCTION("""COMPUTED_VALUE"""),"90-105")</f>
        <v>90-105</v>
      </c>
      <c r="F404" s="133" t="str">
        <f>IFERROR(__xludf.DUMMYFUNCTION("""COMPUTED_VALUE"""),"K14219RUK90-105")</f>
        <v>K14219RUK90-105</v>
      </c>
      <c r="G404" s="165">
        <f>IFERROR(__xludf.DUMMYFUNCTION("""COMPUTED_VALUE"""),534.0)</f>
        <v>534</v>
      </c>
    </row>
    <row r="405" ht="15.75" customHeight="1">
      <c r="A405" s="133" t="str">
        <f>IFERROR(__xludf.DUMMYFUNCTION("""COMPUTED_VALUE"""),"K14219RUK")</f>
        <v>K14219RUK</v>
      </c>
      <c r="B405" s="164">
        <f>IFERROR(__xludf.DUMMYFUNCTION("""COMPUTED_VALUE"""),1.1698253E7)</f>
        <v>11698253</v>
      </c>
      <c r="C405" s="164" t="str">
        <f>IFERROR(__xludf.DUMMYFUNCTION("""COMPUTED_VALUE"""),"11698253110-115")</f>
        <v>11698253110-115</v>
      </c>
      <c r="D405" s="164" t="str">
        <f>IFERROR(__xludf.DUMMYFUNCTION("""COMPUTED_VALUE"""),"14 097 762")</f>
        <v>14 097 762</v>
      </c>
      <c r="E405" s="164" t="str">
        <f>IFERROR(__xludf.DUMMYFUNCTION("""COMPUTED_VALUE"""),"110-115")</f>
        <v>110-115</v>
      </c>
      <c r="F405" s="133" t="str">
        <f>IFERROR(__xludf.DUMMYFUNCTION("""COMPUTED_VALUE"""),"K14219RUK110-115")</f>
        <v>K14219RUK110-115</v>
      </c>
      <c r="G405" s="165">
        <f>IFERROR(__xludf.DUMMYFUNCTION("""COMPUTED_VALUE"""),534.0)</f>
        <v>534</v>
      </c>
    </row>
    <row r="406" ht="15.75" customHeight="1">
      <c r="A406" s="133" t="str">
        <f>IFERROR(__xludf.DUMMYFUNCTION("""COMPUTED_VALUE"""),"K14219RUK")</f>
        <v>K14219RUK</v>
      </c>
      <c r="B406" s="164">
        <f>IFERROR(__xludf.DUMMYFUNCTION("""COMPUTED_VALUE"""),1.1698253E7)</f>
        <v>11698253</v>
      </c>
      <c r="C406" s="164" t="str">
        <f>IFERROR(__xludf.DUMMYFUNCTION("""COMPUTED_VALUE"""),"11698253115-125")</f>
        <v>11698253115-125</v>
      </c>
      <c r="D406" s="164" t="str">
        <f>IFERROR(__xludf.DUMMYFUNCTION("""COMPUTED_VALUE"""),"14 097 762")</f>
        <v>14 097 762</v>
      </c>
      <c r="E406" s="164" t="str">
        <f>IFERROR(__xludf.DUMMYFUNCTION("""COMPUTED_VALUE"""),"115-125")</f>
        <v>115-125</v>
      </c>
      <c r="F406" s="133" t="str">
        <f>IFERROR(__xludf.DUMMYFUNCTION("""COMPUTED_VALUE"""),"K14219RUK115-125")</f>
        <v>K14219RUK115-125</v>
      </c>
      <c r="G406" s="165">
        <f>IFERROR(__xludf.DUMMYFUNCTION("""COMPUTED_VALUE"""),534.0)</f>
        <v>534</v>
      </c>
    </row>
    <row r="407" ht="15.75" customHeight="1">
      <c r="A407" s="133" t="str">
        <f>IFERROR(__xludf.DUMMYFUNCTION("""COMPUTED_VALUE"""),"K14219RUK")</f>
        <v>K14219RUK</v>
      </c>
      <c r="B407" s="164">
        <f>IFERROR(__xludf.DUMMYFUNCTION("""COMPUTED_VALUE"""),1.1698253E7)</f>
        <v>11698253</v>
      </c>
      <c r="C407" s="164" t="str">
        <f>IFERROR(__xludf.DUMMYFUNCTION("""COMPUTED_VALUE"""),"11698253130-135")</f>
        <v>11698253130-135</v>
      </c>
      <c r="D407" s="164" t="str">
        <f>IFERROR(__xludf.DUMMYFUNCTION("""COMPUTED_VALUE"""),"14 097 762")</f>
        <v>14 097 762</v>
      </c>
      <c r="E407" s="164" t="str">
        <f>IFERROR(__xludf.DUMMYFUNCTION("""COMPUTED_VALUE"""),"130-135")</f>
        <v>130-135</v>
      </c>
      <c r="F407" s="133" t="str">
        <f>IFERROR(__xludf.DUMMYFUNCTION("""COMPUTED_VALUE"""),"K14219RUK130-135")</f>
        <v>K14219RUK130-135</v>
      </c>
      <c r="G407" s="165">
        <f>IFERROR(__xludf.DUMMYFUNCTION("""COMPUTED_VALUE"""),534.0)</f>
        <v>534</v>
      </c>
    </row>
    <row r="408" ht="15.75" customHeight="1">
      <c r="A408" s="133" t="str">
        <f>IFERROR(__xludf.DUMMYFUNCTION("""COMPUTED_VALUE"""),"K14219RUK")</f>
        <v>K14219RUK</v>
      </c>
      <c r="B408" s="164">
        <f>IFERROR(__xludf.DUMMYFUNCTION("""COMPUTED_VALUE"""),1.1698253E7)</f>
        <v>11698253</v>
      </c>
      <c r="C408" s="164" t="str">
        <f>IFERROR(__xludf.DUMMYFUNCTION("""COMPUTED_VALUE"""),"11698253140-145")</f>
        <v>11698253140-145</v>
      </c>
      <c r="D408" s="164" t="str">
        <f>IFERROR(__xludf.DUMMYFUNCTION("""COMPUTED_VALUE"""),"14 097 762")</f>
        <v>14 097 762</v>
      </c>
      <c r="E408" s="164" t="str">
        <f>IFERROR(__xludf.DUMMYFUNCTION("""COMPUTED_VALUE"""),"140-145")</f>
        <v>140-145</v>
      </c>
      <c r="F408" s="133" t="str">
        <f>IFERROR(__xludf.DUMMYFUNCTION("""COMPUTED_VALUE"""),"K14219RUK140-145")</f>
        <v>K14219RUK140-145</v>
      </c>
      <c r="G408" s="165">
        <f>IFERROR(__xludf.DUMMYFUNCTION("""COMPUTED_VALUE"""),534.0)</f>
        <v>534</v>
      </c>
    </row>
    <row r="409" ht="15.75" customHeight="1">
      <c r="A409" s="133" t="str">
        <f>IFERROR(__xludf.DUMMYFUNCTION("""COMPUTED_VALUE"""),"K14319RUK")</f>
        <v>K14319RUK</v>
      </c>
      <c r="B409" s="164">
        <f>IFERROR(__xludf.DUMMYFUNCTION("""COMPUTED_VALUE"""),1.1698254E7)</f>
        <v>11698254</v>
      </c>
      <c r="C409" s="164" t="str">
        <f>IFERROR(__xludf.DUMMYFUNCTION("""COMPUTED_VALUE"""),"1169825490-105")</f>
        <v>1169825490-105</v>
      </c>
      <c r="D409" s="164" t="str">
        <f>IFERROR(__xludf.DUMMYFUNCTION("""COMPUTED_VALUE"""),"14 097 762")</f>
        <v>14 097 762</v>
      </c>
      <c r="E409" s="164" t="str">
        <f>IFERROR(__xludf.DUMMYFUNCTION("""COMPUTED_VALUE"""),"90-105")</f>
        <v>90-105</v>
      </c>
      <c r="F409" s="133" t="str">
        <f>IFERROR(__xludf.DUMMYFUNCTION("""COMPUTED_VALUE"""),"K14319RUK90-105")</f>
        <v>K14319RUK90-105</v>
      </c>
      <c r="G409" s="165">
        <f>IFERROR(__xludf.DUMMYFUNCTION("""COMPUTED_VALUE"""),613.0)</f>
        <v>613</v>
      </c>
    </row>
    <row r="410" ht="15.75" customHeight="1">
      <c r="A410" s="133" t="str">
        <f>IFERROR(__xludf.DUMMYFUNCTION("""COMPUTED_VALUE"""),"K14319RUK")</f>
        <v>K14319RUK</v>
      </c>
      <c r="B410" s="164">
        <f>IFERROR(__xludf.DUMMYFUNCTION("""COMPUTED_VALUE"""),1.1698254E7)</f>
        <v>11698254</v>
      </c>
      <c r="C410" s="164" t="str">
        <f>IFERROR(__xludf.DUMMYFUNCTION("""COMPUTED_VALUE"""),"11698254110-115")</f>
        <v>11698254110-115</v>
      </c>
      <c r="D410" s="164" t="str">
        <f>IFERROR(__xludf.DUMMYFUNCTION("""COMPUTED_VALUE"""),"14 097 762")</f>
        <v>14 097 762</v>
      </c>
      <c r="E410" s="164" t="str">
        <f>IFERROR(__xludf.DUMMYFUNCTION("""COMPUTED_VALUE"""),"110-115")</f>
        <v>110-115</v>
      </c>
      <c r="F410" s="133" t="str">
        <f>IFERROR(__xludf.DUMMYFUNCTION("""COMPUTED_VALUE"""),"K14319RUK110-115")</f>
        <v>K14319RUK110-115</v>
      </c>
      <c r="G410" s="165">
        <f>IFERROR(__xludf.DUMMYFUNCTION("""COMPUTED_VALUE"""),613.0)</f>
        <v>613</v>
      </c>
    </row>
    <row r="411" ht="15.75" customHeight="1">
      <c r="A411" s="133" t="str">
        <f>IFERROR(__xludf.DUMMYFUNCTION("""COMPUTED_VALUE"""),"K14319RUK")</f>
        <v>K14319RUK</v>
      </c>
      <c r="B411" s="164">
        <f>IFERROR(__xludf.DUMMYFUNCTION("""COMPUTED_VALUE"""),1.1698254E7)</f>
        <v>11698254</v>
      </c>
      <c r="C411" s="164" t="str">
        <f>IFERROR(__xludf.DUMMYFUNCTION("""COMPUTED_VALUE"""),"11698254115-125")</f>
        <v>11698254115-125</v>
      </c>
      <c r="D411" s="164" t="str">
        <f>IFERROR(__xludf.DUMMYFUNCTION("""COMPUTED_VALUE"""),"14 097 762")</f>
        <v>14 097 762</v>
      </c>
      <c r="E411" s="164" t="str">
        <f>IFERROR(__xludf.DUMMYFUNCTION("""COMPUTED_VALUE"""),"115-125")</f>
        <v>115-125</v>
      </c>
      <c r="F411" s="133" t="str">
        <f>IFERROR(__xludf.DUMMYFUNCTION("""COMPUTED_VALUE"""),"K14319RUK115-125")</f>
        <v>K14319RUK115-125</v>
      </c>
      <c r="G411" s="165">
        <f>IFERROR(__xludf.DUMMYFUNCTION("""COMPUTED_VALUE"""),613.0)</f>
        <v>613</v>
      </c>
    </row>
    <row r="412" ht="15.75" customHeight="1">
      <c r="A412" s="133" t="str">
        <f>IFERROR(__xludf.DUMMYFUNCTION("""COMPUTED_VALUE"""),"K14319RUK")</f>
        <v>K14319RUK</v>
      </c>
      <c r="B412" s="164">
        <f>IFERROR(__xludf.DUMMYFUNCTION("""COMPUTED_VALUE"""),1.1698254E7)</f>
        <v>11698254</v>
      </c>
      <c r="C412" s="164" t="str">
        <f>IFERROR(__xludf.DUMMYFUNCTION("""COMPUTED_VALUE"""),"11698254130-135")</f>
        <v>11698254130-135</v>
      </c>
      <c r="D412" s="164" t="str">
        <f>IFERROR(__xludf.DUMMYFUNCTION("""COMPUTED_VALUE"""),"14 097 762")</f>
        <v>14 097 762</v>
      </c>
      <c r="E412" s="164" t="str">
        <f>IFERROR(__xludf.DUMMYFUNCTION("""COMPUTED_VALUE"""),"130-135")</f>
        <v>130-135</v>
      </c>
      <c r="F412" s="133" t="str">
        <f>IFERROR(__xludf.DUMMYFUNCTION("""COMPUTED_VALUE"""),"K14319RUK130-135")</f>
        <v>K14319RUK130-135</v>
      </c>
      <c r="G412" s="165">
        <f>IFERROR(__xludf.DUMMYFUNCTION("""COMPUTED_VALUE"""),613.0)</f>
        <v>613</v>
      </c>
    </row>
    <row r="413" ht="15.75" customHeight="1">
      <c r="A413" s="133" t="str">
        <f>IFERROR(__xludf.DUMMYFUNCTION("""COMPUTED_VALUE"""),"K14319RUK")</f>
        <v>K14319RUK</v>
      </c>
      <c r="B413" s="164">
        <f>IFERROR(__xludf.DUMMYFUNCTION("""COMPUTED_VALUE"""),1.1698254E7)</f>
        <v>11698254</v>
      </c>
      <c r="C413" s="164" t="str">
        <f>IFERROR(__xludf.DUMMYFUNCTION("""COMPUTED_VALUE"""),"11698254140-145")</f>
        <v>11698254140-145</v>
      </c>
      <c r="D413" s="164" t="str">
        <f>IFERROR(__xludf.DUMMYFUNCTION("""COMPUTED_VALUE"""),"14 097 762")</f>
        <v>14 097 762</v>
      </c>
      <c r="E413" s="164" t="str">
        <f>IFERROR(__xludf.DUMMYFUNCTION("""COMPUTED_VALUE"""),"140-145")</f>
        <v>140-145</v>
      </c>
      <c r="F413" s="133" t="str">
        <f>IFERROR(__xludf.DUMMYFUNCTION("""COMPUTED_VALUE"""),"K14319RUK140-145")</f>
        <v>K14319RUK140-145</v>
      </c>
      <c r="G413" s="165">
        <f>IFERROR(__xludf.DUMMYFUNCTION("""COMPUTED_VALUE"""),613.0)</f>
        <v>613</v>
      </c>
    </row>
    <row r="414" ht="15.75" customHeight="1">
      <c r="A414" s="133" t="str">
        <f>IFERROR(__xludf.DUMMYFUNCTION("""COMPUTED_VALUE"""),"K14619RUK")</f>
        <v>K14619RUK</v>
      </c>
      <c r="B414" s="164">
        <f>IFERROR(__xludf.DUMMYFUNCTION("""COMPUTED_VALUE"""),1.1698257E7)</f>
        <v>11698257</v>
      </c>
      <c r="C414" s="164" t="str">
        <f>IFERROR(__xludf.DUMMYFUNCTION("""COMPUTED_VALUE"""),"1169825790-105")</f>
        <v>1169825790-105</v>
      </c>
      <c r="D414" s="164" t="str">
        <f>IFERROR(__xludf.DUMMYFUNCTION("""COMPUTED_VALUE"""),"14 097 762")</f>
        <v>14 097 762</v>
      </c>
      <c r="E414" s="164" t="str">
        <f>IFERROR(__xludf.DUMMYFUNCTION("""COMPUTED_VALUE"""),"90-105")</f>
        <v>90-105</v>
      </c>
      <c r="F414" s="133" t="str">
        <f>IFERROR(__xludf.DUMMYFUNCTION("""COMPUTED_VALUE"""),"K14619RUK90-105")</f>
        <v>K14619RUK90-105</v>
      </c>
      <c r="G414" s="165">
        <f>IFERROR(__xludf.DUMMYFUNCTION("""COMPUTED_VALUE"""),539.0)</f>
        <v>539</v>
      </c>
    </row>
    <row r="415" ht="15.75" customHeight="1">
      <c r="A415" s="133" t="str">
        <f>IFERROR(__xludf.DUMMYFUNCTION("""COMPUTED_VALUE"""),"K14619RUK")</f>
        <v>K14619RUK</v>
      </c>
      <c r="B415" s="164">
        <f>IFERROR(__xludf.DUMMYFUNCTION("""COMPUTED_VALUE"""),1.1698257E7)</f>
        <v>11698257</v>
      </c>
      <c r="C415" s="164" t="str">
        <f>IFERROR(__xludf.DUMMYFUNCTION("""COMPUTED_VALUE"""),"11698257110-115")</f>
        <v>11698257110-115</v>
      </c>
      <c r="D415" s="164" t="str">
        <f>IFERROR(__xludf.DUMMYFUNCTION("""COMPUTED_VALUE"""),"14 097 762")</f>
        <v>14 097 762</v>
      </c>
      <c r="E415" s="164" t="str">
        <f>IFERROR(__xludf.DUMMYFUNCTION("""COMPUTED_VALUE"""),"110-115")</f>
        <v>110-115</v>
      </c>
      <c r="F415" s="133" t="str">
        <f>IFERROR(__xludf.DUMMYFUNCTION("""COMPUTED_VALUE"""),"K14619RUK110-115")</f>
        <v>K14619RUK110-115</v>
      </c>
      <c r="G415" s="165">
        <f>IFERROR(__xludf.DUMMYFUNCTION("""COMPUTED_VALUE"""),539.0)</f>
        <v>539</v>
      </c>
    </row>
    <row r="416" ht="15.75" customHeight="1">
      <c r="A416" s="133" t="str">
        <f>IFERROR(__xludf.DUMMYFUNCTION("""COMPUTED_VALUE"""),"K14619RUK")</f>
        <v>K14619RUK</v>
      </c>
      <c r="B416" s="164">
        <f>IFERROR(__xludf.DUMMYFUNCTION("""COMPUTED_VALUE"""),1.1698257E7)</f>
        <v>11698257</v>
      </c>
      <c r="C416" s="164" t="str">
        <f>IFERROR(__xludf.DUMMYFUNCTION("""COMPUTED_VALUE"""),"11698257115-125")</f>
        <v>11698257115-125</v>
      </c>
      <c r="D416" s="164" t="str">
        <f>IFERROR(__xludf.DUMMYFUNCTION("""COMPUTED_VALUE"""),"14 097 762")</f>
        <v>14 097 762</v>
      </c>
      <c r="E416" s="164" t="str">
        <f>IFERROR(__xludf.DUMMYFUNCTION("""COMPUTED_VALUE"""),"115-125")</f>
        <v>115-125</v>
      </c>
      <c r="F416" s="133" t="str">
        <f>IFERROR(__xludf.DUMMYFUNCTION("""COMPUTED_VALUE"""),"K14619RUK115-125")</f>
        <v>K14619RUK115-125</v>
      </c>
      <c r="G416" s="165">
        <f>IFERROR(__xludf.DUMMYFUNCTION("""COMPUTED_VALUE"""),539.0)</f>
        <v>539</v>
      </c>
    </row>
    <row r="417" ht="15.75" customHeight="1">
      <c r="A417" s="133" t="str">
        <f>IFERROR(__xludf.DUMMYFUNCTION("""COMPUTED_VALUE"""),"K14619RUK")</f>
        <v>K14619RUK</v>
      </c>
      <c r="B417" s="164">
        <f>IFERROR(__xludf.DUMMYFUNCTION("""COMPUTED_VALUE"""),1.1698257E7)</f>
        <v>11698257</v>
      </c>
      <c r="C417" s="164" t="str">
        <f>IFERROR(__xludf.DUMMYFUNCTION("""COMPUTED_VALUE"""),"11698257130-135")</f>
        <v>11698257130-135</v>
      </c>
      <c r="D417" s="164" t="str">
        <f>IFERROR(__xludf.DUMMYFUNCTION("""COMPUTED_VALUE"""),"14 097 762")</f>
        <v>14 097 762</v>
      </c>
      <c r="E417" s="164" t="str">
        <f>IFERROR(__xludf.DUMMYFUNCTION("""COMPUTED_VALUE"""),"130-135")</f>
        <v>130-135</v>
      </c>
      <c r="F417" s="133" t="str">
        <f>IFERROR(__xludf.DUMMYFUNCTION("""COMPUTED_VALUE"""),"K14619RUK130-135")</f>
        <v>K14619RUK130-135</v>
      </c>
      <c r="G417" s="165">
        <f>IFERROR(__xludf.DUMMYFUNCTION("""COMPUTED_VALUE"""),539.0)</f>
        <v>539</v>
      </c>
    </row>
    <row r="418" ht="15.75" customHeight="1">
      <c r="A418" s="133" t="str">
        <f>IFERROR(__xludf.DUMMYFUNCTION("""COMPUTED_VALUE"""),"K14619RUK")</f>
        <v>K14619RUK</v>
      </c>
      <c r="B418" s="164">
        <f>IFERROR(__xludf.DUMMYFUNCTION("""COMPUTED_VALUE"""),1.1698257E7)</f>
        <v>11698257</v>
      </c>
      <c r="C418" s="164" t="str">
        <f>IFERROR(__xludf.DUMMYFUNCTION("""COMPUTED_VALUE"""),"11698257140-145")</f>
        <v>11698257140-145</v>
      </c>
      <c r="D418" s="164" t="str">
        <f>IFERROR(__xludf.DUMMYFUNCTION("""COMPUTED_VALUE"""),"14 097 762")</f>
        <v>14 097 762</v>
      </c>
      <c r="E418" s="164" t="str">
        <f>IFERROR(__xludf.DUMMYFUNCTION("""COMPUTED_VALUE"""),"140-145")</f>
        <v>140-145</v>
      </c>
      <c r="F418" s="133" t="str">
        <f>IFERROR(__xludf.DUMMYFUNCTION("""COMPUTED_VALUE"""),"K14619RUK140-145")</f>
        <v>K14619RUK140-145</v>
      </c>
      <c r="G418" s="165">
        <f>IFERROR(__xludf.DUMMYFUNCTION("""COMPUTED_VALUE"""),539.0)</f>
        <v>539</v>
      </c>
    </row>
    <row r="419" ht="15.75" customHeight="1">
      <c r="A419" s="133" t="str">
        <f>IFERROR(__xludf.DUMMYFUNCTION("""COMPUTED_VALUE"""),"K15920RUK")</f>
        <v>K15920RUK</v>
      </c>
      <c r="B419" s="164">
        <f>IFERROR(__xludf.DUMMYFUNCTION("""COMPUTED_VALUE"""),1.2485225E7)</f>
        <v>12485225</v>
      </c>
      <c r="C419" s="164" t="str">
        <f>IFERROR(__xludf.DUMMYFUNCTION("""COMPUTED_VALUE"""),"1248522590-105")</f>
        <v>1248522590-105</v>
      </c>
      <c r="D419" s="164" t="str">
        <f>IFERROR(__xludf.DUMMYFUNCTION("""COMPUTED_VALUE"""),"14 097 762")</f>
        <v>14 097 762</v>
      </c>
      <c r="E419" s="164" t="str">
        <f>IFERROR(__xludf.DUMMYFUNCTION("""COMPUTED_VALUE"""),"90-105")</f>
        <v>90-105</v>
      </c>
      <c r="F419" s="133" t="str">
        <f>IFERROR(__xludf.DUMMYFUNCTION("""COMPUTED_VALUE"""),"K15920RUK90-105")</f>
        <v>K15920RUK90-105</v>
      </c>
      <c r="G419" s="165">
        <f>IFERROR(__xludf.DUMMYFUNCTION("""COMPUTED_VALUE"""),655.0)</f>
        <v>655</v>
      </c>
    </row>
    <row r="420" ht="15.75" customHeight="1">
      <c r="A420" s="133" t="str">
        <f>IFERROR(__xludf.DUMMYFUNCTION("""COMPUTED_VALUE"""),"K15920RUK")</f>
        <v>K15920RUK</v>
      </c>
      <c r="B420" s="164">
        <f>IFERROR(__xludf.DUMMYFUNCTION("""COMPUTED_VALUE"""),1.2485225E7)</f>
        <v>12485225</v>
      </c>
      <c r="C420" s="164" t="str">
        <f>IFERROR(__xludf.DUMMYFUNCTION("""COMPUTED_VALUE"""),"12485225110-115")</f>
        <v>12485225110-115</v>
      </c>
      <c r="D420" s="164" t="str">
        <f>IFERROR(__xludf.DUMMYFUNCTION("""COMPUTED_VALUE"""),"14 097 762")</f>
        <v>14 097 762</v>
      </c>
      <c r="E420" s="164" t="str">
        <f>IFERROR(__xludf.DUMMYFUNCTION("""COMPUTED_VALUE"""),"110-115")</f>
        <v>110-115</v>
      </c>
      <c r="F420" s="133" t="str">
        <f>IFERROR(__xludf.DUMMYFUNCTION("""COMPUTED_VALUE"""),"K15920RUK110-115")</f>
        <v>K15920RUK110-115</v>
      </c>
      <c r="G420" s="165">
        <f>IFERROR(__xludf.DUMMYFUNCTION("""COMPUTED_VALUE"""),655.0)</f>
        <v>655</v>
      </c>
    </row>
    <row r="421" ht="15.75" customHeight="1">
      <c r="A421" s="133" t="str">
        <f>IFERROR(__xludf.DUMMYFUNCTION("""COMPUTED_VALUE"""),"K15920RUK")</f>
        <v>K15920RUK</v>
      </c>
      <c r="B421" s="164">
        <f>IFERROR(__xludf.DUMMYFUNCTION("""COMPUTED_VALUE"""),1.2485225E7)</f>
        <v>12485225</v>
      </c>
      <c r="C421" s="164" t="str">
        <f>IFERROR(__xludf.DUMMYFUNCTION("""COMPUTED_VALUE"""),"12485225115-125")</f>
        <v>12485225115-125</v>
      </c>
      <c r="D421" s="164" t="str">
        <f>IFERROR(__xludf.DUMMYFUNCTION("""COMPUTED_VALUE"""),"14 097 762")</f>
        <v>14 097 762</v>
      </c>
      <c r="E421" s="164" t="str">
        <f>IFERROR(__xludf.DUMMYFUNCTION("""COMPUTED_VALUE"""),"115-125")</f>
        <v>115-125</v>
      </c>
      <c r="F421" s="133" t="str">
        <f>IFERROR(__xludf.DUMMYFUNCTION("""COMPUTED_VALUE"""),"K15920RUK115-125")</f>
        <v>K15920RUK115-125</v>
      </c>
      <c r="G421" s="165">
        <f>IFERROR(__xludf.DUMMYFUNCTION("""COMPUTED_VALUE"""),655.0)</f>
        <v>655</v>
      </c>
    </row>
    <row r="422" ht="15.75" customHeight="1">
      <c r="A422" s="133" t="str">
        <f>IFERROR(__xludf.DUMMYFUNCTION("""COMPUTED_VALUE"""),"K15920RUK")</f>
        <v>K15920RUK</v>
      </c>
      <c r="B422" s="164">
        <f>IFERROR(__xludf.DUMMYFUNCTION("""COMPUTED_VALUE"""),1.2485225E7)</f>
        <v>12485225</v>
      </c>
      <c r="C422" s="164" t="str">
        <f>IFERROR(__xludf.DUMMYFUNCTION("""COMPUTED_VALUE"""),"12485225130-135")</f>
        <v>12485225130-135</v>
      </c>
      <c r="D422" s="164" t="str">
        <f>IFERROR(__xludf.DUMMYFUNCTION("""COMPUTED_VALUE"""),"14 097 762")</f>
        <v>14 097 762</v>
      </c>
      <c r="E422" s="164" t="str">
        <f>IFERROR(__xludf.DUMMYFUNCTION("""COMPUTED_VALUE"""),"130-135")</f>
        <v>130-135</v>
      </c>
      <c r="F422" s="133" t="str">
        <f>IFERROR(__xludf.DUMMYFUNCTION("""COMPUTED_VALUE"""),"K15920RUK130-135")</f>
        <v>K15920RUK130-135</v>
      </c>
      <c r="G422" s="165">
        <f>IFERROR(__xludf.DUMMYFUNCTION("""COMPUTED_VALUE"""),655.0)</f>
        <v>655</v>
      </c>
    </row>
    <row r="423" ht="15.75" customHeight="1">
      <c r="A423" s="133" t="str">
        <f>IFERROR(__xludf.DUMMYFUNCTION("""COMPUTED_VALUE"""),"K15920RUK")</f>
        <v>K15920RUK</v>
      </c>
      <c r="B423" s="164">
        <f>IFERROR(__xludf.DUMMYFUNCTION("""COMPUTED_VALUE"""),1.2485225E7)</f>
        <v>12485225</v>
      </c>
      <c r="C423" s="164" t="str">
        <f>IFERROR(__xludf.DUMMYFUNCTION("""COMPUTED_VALUE"""),"12485225140-145")</f>
        <v>12485225140-145</v>
      </c>
      <c r="D423" s="164" t="str">
        <f>IFERROR(__xludf.DUMMYFUNCTION("""COMPUTED_VALUE"""),"14 097 762")</f>
        <v>14 097 762</v>
      </c>
      <c r="E423" s="164" t="str">
        <f>IFERROR(__xludf.DUMMYFUNCTION("""COMPUTED_VALUE"""),"140-145")</f>
        <v>140-145</v>
      </c>
      <c r="F423" s="133" t="str">
        <f>IFERROR(__xludf.DUMMYFUNCTION("""COMPUTED_VALUE"""),"K15920RUK140-145")</f>
        <v>K15920RUK140-145</v>
      </c>
      <c r="G423" s="165">
        <f>IFERROR(__xludf.DUMMYFUNCTION("""COMPUTED_VALUE"""),655.0)</f>
        <v>655</v>
      </c>
    </row>
    <row r="424" ht="15.75" customHeight="1">
      <c r="A424" s="133" t="str">
        <f>IFERROR(__xludf.DUMMYFUNCTION("""COMPUTED_VALUE"""),"K15820RUK")</f>
        <v>K15820RUK</v>
      </c>
      <c r="B424" s="164">
        <f>IFERROR(__xludf.DUMMYFUNCTION("""COMPUTED_VALUE"""),1.2735332E7)</f>
        <v>12735332</v>
      </c>
      <c r="C424" s="164" t="str">
        <f>IFERROR(__xludf.DUMMYFUNCTION("""COMPUTED_VALUE"""),"1273533290-105")</f>
        <v>1273533290-105</v>
      </c>
      <c r="D424" s="164" t="str">
        <f>IFERROR(__xludf.DUMMYFUNCTION("""COMPUTED_VALUE"""),"14 097 762")</f>
        <v>14 097 762</v>
      </c>
      <c r="E424" s="164" t="str">
        <f>IFERROR(__xludf.DUMMYFUNCTION("""COMPUTED_VALUE"""),"90-105")</f>
        <v>90-105</v>
      </c>
      <c r="F424" s="133" t="str">
        <f>IFERROR(__xludf.DUMMYFUNCTION("""COMPUTED_VALUE"""),"K15820RUK90-105")</f>
        <v>K15820RUK90-105</v>
      </c>
      <c r="G424" s="165">
        <f>IFERROR(__xludf.DUMMYFUNCTION("""COMPUTED_VALUE"""),608.0)</f>
        <v>608</v>
      </c>
    </row>
    <row r="425" ht="15.75" customHeight="1">
      <c r="A425" s="133" t="str">
        <f>IFERROR(__xludf.DUMMYFUNCTION("""COMPUTED_VALUE"""),"K15820RUK")</f>
        <v>K15820RUK</v>
      </c>
      <c r="B425" s="164">
        <f>IFERROR(__xludf.DUMMYFUNCTION("""COMPUTED_VALUE"""),1.2735332E7)</f>
        <v>12735332</v>
      </c>
      <c r="C425" s="164" t="str">
        <f>IFERROR(__xludf.DUMMYFUNCTION("""COMPUTED_VALUE"""),"12735332110-115")</f>
        <v>12735332110-115</v>
      </c>
      <c r="D425" s="164" t="str">
        <f>IFERROR(__xludf.DUMMYFUNCTION("""COMPUTED_VALUE"""),"14 097 762")</f>
        <v>14 097 762</v>
      </c>
      <c r="E425" s="164" t="str">
        <f>IFERROR(__xludf.DUMMYFUNCTION("""COMPUTED_VALUE"""),"110-115")</f>
        <v>110-115</v>
      </c>
      <c r="F425" s="133" t="str">
        <f>IFERROR(__xludf.DUMMYFUNCTION("""COMPUTED_VALUE"""),"K15820RUK110-115")</f>
        <v>K15820RUK110-115</v>
      </c>
      <c r="G425" s="165">
        <f>IFERROR(__xludf.DUMMYFUNCTION("""COMPUTED_VALUE"""),608.0)</f>
        <v>608</v>
      </c>
    </row>
    <row r="426" ht="15.75" customHeight="1">
      <c r="A426" s="133" t="str">
        <f>IFERROR(__xludf.DUMMYFUNCTION("""COMPUTED_VALUE"""),"K15820RUK")</f>
        <v>K15820RUK</v>
      </c>
      <c r="B426" s="164">
        <f>IFERROR(__xludf.DUMMYFUNCTION("""COMPUTED_VALUE"""),1.2735332E7)</f>
        <v>12735332</v>
      </c>
      <c r="C426" s="164" t="str">
        <f>IFERROR(__xludf.DUMMYFUNCTION("""COMPUTED_VALUE"""),"12735332115-125")</f>
        <v>12735332115-125</v>
      </c>
      <c r="D426" s="164" t="str">
        <f>IFERROR(__xludf.DUMMYFUNCTION("""COMPUTED_VALUE"""),"14 097 762")</f>
        <v>14 097 762</v>
      </c>
      <c r="E426" s="164" t="str">
        <f>IFERROR(__xludf.DUMMYFUNCTION("""COMPUTED_VALUE"""),"115-125")</f>
        <v>115-125</v>
      </c>
      <c r="F426" s="133" t="str">
        <f>IFERROR(__xludf.DUMMYFUNCTION("""COMPUTED_VALUE"""),"K15820RUK115-125")</f>
        <v>K15820RUK115-125</v>
      </c>
      <c r="G426" s="165">
        <f>IFERROR(__xludf.DUMMYFUNCTION("""COMPUTED_VALUE"""),608.0)</f>
        <v>608</v>
      </c>
    </row>
    <row r="427" ht="15.75" customHeight="1">
      <c r="A427" s="133" t="str">
        <f>IFERROR(__xludf.DUMMYFUNCTION("""COMPUTED_VALUE"""),"K15820RUK")</f>
        <v>K15820RUK</v>
      </c>
      <c r="B427" s="164">
        <f>IFERROR(__xludf.DUMMYFUNCTION("""COMPUTED_VALUE"""),1.2735332E7)</f>
        <v>12735332</v>
      </c>
      <c r="C427" s="164" t="str">
        <f>IFERROR(__xludf.DUMMYFUNCTION("""COMPUTED_VALUE"""),"12735332130-135")</f>
        <v>12735332130-135</v>
      </c>
      <c r="D427" s="164" t="str">
        <f>IFERROR(__xludf.DUMMYFUNCTION("""COMPUTED_VALUE"""),"14 097 762")</f>
        <v>14 097 762</v>
      </c>
      <c r="E427" s="164" t="str">
        <f>IFERROR(__xludf.DUMMYFUNCTION("""COMPUTED_VALUE"""),"130-135")</f>
        <v>130-135</v>
      </c>
      <c r="F427" s="133" t="str">
        <f>IFERROR(__xludf.DUMMYFUNCTION("""COMPUTED_VALUE"""),"K15820RUK130-135")</f>
        <v>K15820RUK130-135</v>
      </c>
      <c r="G427" s="165">
        <f>IFERROR(__xludf.DUMMYFUNCTION("""COMPUTED_VALUE"""),608.0)</f>
        <v>608</v>
      </c>
    </row>
    <row r="428" ht="15.75" customHeight="1">
      <c r="A428" s="133" t="str">
        <f>IFERROR(__xludf.DUMMYFUNCTION("""COMPUTED_VALUE"""),"K15820RUK")</f>
        <v>K15820RUK</v>
      </c>
      <c r="B428" s="164">
        <f>IFERROR(__xludf.DUMMYFUNCTION("""COMPUTED_VALUE"""),1.2735332E7)</f>
        <v>12735332</v>
      </c>
      <c r="C428" s="164" t="str">
        <f>IFERROR(__xludf.DUMMYFUNCTION("""COMPUTED_VALUE"""),"12735332140-145")</f>
        <v>12735332140-145</v>
      </c>
      <c r="D428" s="164" t="str">
        <f>IFERROR(__xludf.DUMMYFUNCTION("""COMPUTED_VALUE"""),"14 097 762")</f>
        <v>14 097 762</v>
      </c>
      <c r="E428" s="164" t="str">
        <f>IFERROR(__xludf.DUMMYFUNCTION("""COMPUTED_VALUE"""),"140-145")</f>
        <v>140-145</v>
      </c>
      <c r="F428" s="133" t="str">
        <f>IFERROR(__xludf.DUMMYFUNCTION("""COMPUTED_VALUE"""),"K15820RUK140-145")</f>
        <v>K15820RUK140-145</v>
      </c>
      <c r="G428" s="165">
        <f>IFERROR(__xludf.DUMMYFUNCTION("""COMPUTED_VALUE"""),608.0)</f>
        <v>608</v>
      </c>
    </row>
    <row r="429" ht="15.75" customHeight="1">
      <c r="A429" s="133" t="str">
        <f>IFERROR(__xludf.DUMMYFUNCTION("""COMPUTED_VALUE"""),"TL14820RU")</f>
        <v>TL14820RU</v>
      </c>
      <c r="B429" s="164">
        <f>IFERROR(__xludf.DUMMYFUNCTION("""COMPUTED_VALUE"""),1.2192626E7)</f>
        <v>12192626</v>
      </c>
      <c r="C429" s="164" t="str">
        <f>IFERROR(__xludf.DUMMYFUNCTION("""COMPUTED_VALUE"""),"12192626S")</f>
        <v>12192626S</v>
      </c>
      <c r="D429" s="164" t="str">
        <f>IFERROR(__xludf.DUMMYFUNCTION("""COMPUTED_VALUE"""),"14 097 762")</f>
        <v>14 097 762</v>
      </c>
      <c r="E429" s="164" t="str">
        <f>IFERROR(__xludf.DUMMYFUNCTION("""COMPUTED_VALUE"""),"S")</f>
        <v>S</v>
      </c>
      <c r="F429" s="133" t="str">
        <f>IFERROR(__xludf.DUMMYFUNCTION("""COMPUTED_VALUE"""),"TL14820RUS")</f>
        <v>TL14820RUS</v>
      </c>
      <c r="G429" s="165">
        <f>IFERROR(__xludf.DUMMYFUNCTION("""COMPUTED_VALUE"""),289.0)</f>
        <v>289</v>
      </c>
    </row>
    <row r="430" ht="15.75" customHeight="1">
      <c r="A430" s="133" t="str">
        <f>IFERROR(__xludf.DUMMYFUNCTION("""COMPUTED_VALUE"""),"TL14820RU")</f>
        <v>TL14820RU</v>
      </c>
      <c r="B430" s="164">
        <f>IFERROR(__xludf.DUMMYFUNCTION("""COMPUTED_VALUE"""),1.2192626E7)</f>
        <v>12192626</v>
      </c>
      <c r="C430" s="164" t="str">
        <f>IFERROR(__xludf.DUMMYFUNCTION("""COMPUTED_VALUE"""),"12192626M")</f>
        <v>12192626M</v>
      </c>
      <c r="D430" s="164" t="str">
        <f>IFERROR(__xludf.DUMMYFUNCTION("""COMPUTED_VALUE"""),"14 097 762")</f>
        <v>14 097 762</v>
      </c>
      <c r="E430" s="164" t="str">
        <f>IFERROR(__xludf.DUMMYFUNCTION("""COMPUTED_VALUE"""),"M")</f>
        <v>M</v>
      </c>
      <c r="F430" s="133" t="str">
        <f>IFERROR(__xludf.DUMMYFUNCTION("""COMPUTED_VALUE"""),"TL14820RUM")</f>
        <v>TL14820RUM</v>
      </c>
      <c r="G430" s="165">
        <f>IFERROR(__xludf.DUMMYFUNCTION("""COMPUTED_VALUE"""),289.0)</f>
        <v>289</v>
      </c>
    </row>
    <row r="431" ht="15.75" customHeight="1">
      <c r="A431" s="133" t="str">
        <f>IFERROR(__xludf.DUMMYFUNCTION("""COMPUTED_VALUE"""),"TL14820RU")</f>
        <v>TL14820RU</v>
      </c>
      <c r="B431" s="164">
        <f>IFERROR(__xludf.DUMMYFUNCTION("""COMPUTED_VALUE"""),1.2192626E7)</f>
        <v>12192626</v>
      </c>
      <c r="C431" s="164" t="str">
        <f>IFERROR(__xludf.DUMMYFUNCTION("""COMPUTED_VALUE"""),"12192626L")</f>
        <v>12192626L</v>
      </c>
      <c r="D431" s="164" t="str">
        <f>IFERROR(__xludf.DUMMYFUNCTION("""COMPUTED_VALUE"""),"14 097 762")</f>
        <v>14 097 762</v>
      </c>
      <c r="E431" s="164" t="str">
        <f>IFERROR(__xludf.DUMMYFUNCTION("""COMPUTED_VALUE"""),"L")</f>
        <v>L</v>
      </c>
      <c r="F431" s="133" t="str">
        <f>IFERROR(__xludf.DUMMYFUNCTION("""COMPUTED_VALUE"""),"TL14820RUL")</f>
        <v>TL14820RUL</v>
      </c>
      <c r="G431" s="165">
        <f>IFERROR(__xludf.DUMMYFUNCTION("""COMPUTED_VALUE"""),289.0)</f>
        <v>289</v>
      </c>
    </row>
    <row r="432" ht="15.75" customHeight="1">
      <c r="A432" s="133" t="str">
        <f>IFERROR(__xludf.DUMMYFUNCTION("""COMPUTED_VALUE"""),"TL15520RU")</f>
        <v>TL15520RU</v>
      </c>
      <c r="B432" s="164">
        <f>IFERROR(__xludf.DUMMYFUNCTION("""COMPUTED_VALUE"""),1.2192633E7)</f>
        <v>12192633</v>
      </c>
      <c r="C432" s="164" t="str">
        <f>IFERROR(__xludf.DUMMYFUNCTION("""COMPUTED_VALUE"""),"12192633S")</f>
        <v>12192633S</v>
      </c>
      <c r="D432" s="164" t="str">
        <f>IFERROR(__xludf.DUMMYFUNCTION("""COMPUTED_VALUE"""),"14 097 762")</f>
        <v>14 097 762</v>
      </c>
      <c r="E432" s="164" t="str">
        <f>IFERROR(__xludf.DUMMYFUNCTION("""COMPUTED_VALUE"""),"S")</f>
        <v>S</v>
      </c>
      <c r="F432" s="133" t="str">
        <f>IFERROR(__xludf.DUMMYFUNCTION("""COMPUTED_VALUE"""),"TL15520RUS")</f>
        <v>TL15520RUS</v>
      </c>
      <c r="G432" s="165">
        <f>IFERROR(__xludf.DUMMYFUNCTION("""COMPUTED_VALUE"""),289.0)</f>
        <v>289</v>
      </c>
    </row>
    <row r="433" ht="15.75" customHeight="1">
      <c r="A433" s="133" t="str">
        <f>IFERROR(__xludf.DUMMYFUNCTION("""COMPUTED_VALUE"""),"TL15520RU")</f>
        <v>TL15520RU</v>
      </c>
      <c r="B433" s="164">
        <f>IFERROR(__xludf.DUMMYFUNCTION("""COMPUTED_VALUE"""),1.2192633E7)</f>
        <v>12192633</v>
      </c>
      <c r="C433" s="164" t="str">
        <f>IFERROR(__xludf.DUMMYFUNCTION("""COMPUTED_VALUE"""),"12192633M")</f>
        <v>12192633M</v>
      </c>
      <c r="D433" s="164" t="str">
        <f>IFERROR(__xludf.DUMMYFUNCTION("""COMPUTED_VALUE"""),"14 097 762")</f>
        <v>14 097 762</v>
      </c>
      <c r="E433" s="164" t="str">
        <f>IFERROR(__xludf.DUMMYFUNCTION("""COMPUTED_VALUE"""),"M")</f>
        <v>M</v>
      </c>
      <c r="F433" s="133" t="str">
        <f>IFERROR(__xludf.DUMMYFUNCTION("""COMPUTED_VALUE"""),"TL15520RUM")</f>
        <v>TL15520RUM</v>
      </c>
      <c r="G433" s="165">
        <f>IFERROR(__xludf.DUMMYFUNCTION("""COMPUTED_VALUE"""),289.0)</f>
        <v>289</v>
      </c>
    </row>
    <row r="434" ht="15.75" customHeight="1">
      <c r="A434" s="133" t="str">
        <f>IFERROR(__xludf.DUMMYFUNCTION("""COMPUTED_VALUE"""),"TL15520RU")</f>
        <v>TL15520RU</v>
      </c>
      <c r="B434" s="164">
        <f>IFERROR(__xludf.DUMMYFUNCTION("""COMPUTED_VALUE"""),1.2192633E7)</f>
        <v>12192633</v>
      </c>
      <c r="C434" s="164" t="str">
        <f>IFERROR(__xludf.DUMMYFUNCTION("""COMPUTED_VALUE"""),"12192633L")</f>
        <v>12192633L</v>
      </c>
      <c r="D434" s="164" t="str">
        <f>IFERROR(__xludf.DUMMYFUNCTION("""COMPUTED_VALUE"""),"14 097 762")</f>
        <v>14 097 762</v>
      </c>
      <c r="E434" s="164" t="str">
        <f>IFERROR(__xludf.DUMMYFUNCTION("""COMPUTED_VALUE"""),"L")</f>
        <v>L</v>
      </c>
      <c r="F434" s="133" t="str">
        <f>IFERROR(__xludf.DUMMYFUNCTION("""COMPUTED_VALUE"""),"TL15520RUL")</f>
        <v>TL15520RUL</v>
      </c>
      <c r="G434" s="165">
        <f>IFERROR(__xludf.DUMMYFUNCTION("""COMPUTED_VALUE"""),289.0)</f>
        <v>289</v>
      </c>
    </row>
    <row r="435" ht="15.75" customHeight="1">
      <c r="A435" s="133" t="str">
        <f>IFERROR(__xludf.DUMMYFUNCTION("""COMPUTED_VALUE"""),"TL15720RU")</f>
        <v>TL15720RU</v>
      </c>
      <c r="B435" s="164">
        <f>IFERROR(__xludf.DUMMYFUNCTION("""COMPUTED_VALUE"""),1.2192635E7)</f>
        <v>12192635</v>
      </c>
      <c r="C435" s="164" t="str">
        <f>IFERROR(__xludf.DUMMYFUNCTION("""COMPUTED_VALUE"""),"12192635S")</f>
        <v>12192635S</v>
      </c>
      <c r="D435" s="164" t="str">
        <f>IFERROR(__xludf.DUMMYFUNCTION("""COMPUTED_VALUE"""),"14 097 762")</f>
        <v>14 097 762</v>
      </c>
      <c r="E435" s="164" t="str">
        <f>IFERROR(__xludf.DUMMYFUNCTION("""COMPUTED_VALUE"""),"S")</f>
        <v>S</v>
      </c>
      <c r="F435" s="133" t="str">
        <f>IFERROR(__xludf.DUMMYFUNCTION("""COMPUTED_VALUE"""),"TL15720RUS")</f>
        <v>TL15720RUS</v>
      </c>
      <c r="G435" s="165">
        <f>IFERROR(__xludf.DUMMYFUNCTION("""COMPUTED_VALUE"""),289.0)</f>
        <v>289</v>
      </c>
    </row>
    <row r="436" ht="15.75" customHeight="1">
      <c r="A436" s="133" t="str">
        <f>IFERROR(__xludf.DUMMYFUNCTION("""COMPUTED_VALUE"""),"TL15720RU")</f>
        <v>TL15720RU</v>
      </c>
      <c r="B436" s="164">
        <f>IFERROR(__xludf.DUMMYFUNCTION("""COMPUTED_VALUE"""),1.2192635E7)</f>
        <v>12192635</v>
      </c>
      <c r="C436" s="164" t="str">
        <f>IFERROR(__xludf.DUMMYFUNCTION("""COMPUTED_VALUE"""),"12192635M")</f>
        <v>12192635M</v>
      </c>
      <c r="D436" s="164" t="str">
        <f>IFERROR(__xludf.DUMMYFUNCTION("""COMPUTED_VALUE"""),"14 097 762")</f>
        <v>14 097 762</v>
      </c>
      <c r="E436" s="164" t="str">
        <f>IFERROR(__xludf.DUMMYFUNCTION("""COMPUTED_VALUE"""),"M")</f>
        <v>M</v>
      </c>
      <c r="F436" s="133" t="str">
        <f>IFERROR(__xludf.DUMMYFUNCTION("""COMPUTED_VALUE"""),"TL15720RUM")</f>
        <v>TL15720RUM</v>
      </c>
      <c r="G436" s="165">
        <f>IFERROR(__xludf.DUMMYFUNCTION("""COMPUTED_VALUE"""),289.0)</f>
        <v>289</v>
      </c>
    </row>
    <row r="437" ht="15.75" customHeight="1">
      <c r="A437" s="133" t="str">
        <f>IFERROR(__xludf.DUMMYFUNCTION("""COMPUTED_VALUE"""),"TL15720RU")</f>
        <v>TL15720RU</v>
      </c>
      <c r="B437" s="164">
        <f>IFERROR(__xludf.DUMMYFUNCTION("""COMPUTED_VALUE"""),1.2192635E7)</f>
        <v>12192635</v>
      </c>
      <c r="C437" s="164" t="str">
        <f>IFERROR(__xludf.DUMMYFUNCTION("""COMPUTED_VALUE"""),"12192635L")</f>
        <v>12192635L</v>
      </c>
      <c r="D437" s="164" t="str">
        <f>IFERROR(__xludf.DUMMYFUNCTION("""COMPUTED_VALUE"""),"14 097 762")</f>
        <v>14 097 762</v>
      </c>
      <c r="E437" s="164" t="str">
        <f>IFERROR(__xludf.DUMMYFUNCTION("""COMPUTED_VALUE"""),"L")</f>
        <v>L</v>
      </c>
      <c r="F437" s="133" t="str">
        <f>IFERROR(__xludf.DUMMYFUNCTION("""COMPUTED_VALUE"""),"TL15720RUL")</f>
        <v>TL15720RUL</v>
      </c>
      <c r="G437" s="165">
        <f>IFERROR(__xludf.DUMMYFUNCTION("""COMPUTED_VALUE"""),289.0)</f>
        <v>289</v>
      </c>
    </row>
    <row r="438" ht="15.75" customHeight="1">
      <c r="A438" s="133" t="str">
        <f>IFERROR(__xludf.DUMMYFUNCTION("""COMPUTED_VALUE"""),"TE15820RU")</f>
        <v>TE15820RU</v>
      </c>
      <c r="B438" s="164">
        <f>IFERROR(__xludf.DUMMYFUNCTION("""COMPUTED_VALUE"""),1.2612103E7)</f>
        <v>12612103</v>
      </c>
      <c r="C438" s="164" t="str">
        <f>IFERROR(__xludf.DUMMYFUNCTION("""COMPUTED_VALUE"""),"12612103S")</f>
        <v>12612103S</v>
      </c>
      <c r="D438" s="164" t="str">
        <f>IFERROR(__xludf.DUMMYFUNCTION("""COMPUTED_VALUE"""),"14 097 762")</f>
        <v>14 097 762</v>
      </c>
      <c r="E438" s="164" t="str">
        <f>IFERROR(__xludf.DUMMYFUNCTION("""COMPUTED_VALUE"""),"S")</f>
        <v>S</v>
      </c>
      <c r="F438" s="133" t="str">
        <f>IFERROR(__xludf.DUMMYFUNCTION("""COMPUTED_VALUE"""),"TE15820RUS")</f>
        <v>TE15820RUS</v>
      </c>
      <c r="G438" s="165">
        <f>IFERROR(__xludf.DUMMYFUNCTION("""COMPUTED_VALUE"""),376.0)</f>
        <v>376</v>
      </c>
    </row>
    <row r="439" ht="15.75" customHeight="1">
      <c r="A439" s="133" t="str">
        <f>IFERROR(__xludf.DUMMYFUNCTION("""COMPUTED_VALUE"""),"TE15820RU")</f>
        <v>TE15820RU</v>
      </c>
      <c r="B439" s="164">
        <f>IFERROR(__xludf.DUMMYFUNCTION("""COMPUTED_VALUE"""),1.2612103E7)</f>
        <v>12612103</v>
      </c>
      <c r="C439" s="164" t="str">
        <f>IFERROR(__xludf.DUMMYFUNCTION("""COMPUTED_VALUE"""),"12612103M")</f>
        <v>12612103M</v>
      </c>
      <c r="D439" s="164" t="str">
        <f>IFERROR(__xludf.DUMMYFUNCTION("""COMPUTED_VALUE"""),"14 097 762")</f>
        <v>14 097 762</v>
      </c>
      <c r="E439" s="164" t="str">
        <f>IFERROR(__xludf.DUMMYFUNCTION("""COMPUTED_VALUE"""),"M")</f>
        <v>M</v>
      </c>
      <c r="F439" s="133" t="str">
        <f>IFERROR(__xludf.DUMMYFUNCTION("""COMPUTED_VALUE"""),"TE15820RUM")</f>
        <v>TE15820RUM</v>
      </c>
      <c r="G439" s="165">
        <f>IFERROR(__xludf.DUMMYFUNCTION("""COMPUTED_VALUE"""),376.0)</f>
        <v>376</v>
      </c>
    </row>
    <row r="440" ht="15.75" customHeight="1">
      <c r="A440" s="133" t="str">
        <f>IFERROR(__xludf.DUMMYFUNCTION("""COMPUTED_VALUE"""),"TE15820RU")</f>
        <v>TE15820RU</v>
      </c>
      <c r="B440" s="164">
        <f>IFERROR(__xludf.DUMMYFUNCTION("""COMPUTED_VALUE"""),1.2612103E7)</f>
        <v>12612103</v>
      </c>
      <c r="C440" s="164" t="str">
        <f>IFERROR(__xludf.DUMMYFUNCTION("""COMPUTED_VALUE"""),"12612103L")</f>
        <v>12612103L</v>
      </c>
      <c r="D440" s="164" t="str">
        <f>IFERROR(__xludf.DUMMYFUNCTION("""COMPUTED_VALUE"""),"14 097 762")</f>
        <v>14 097 762</v>
      </c>
      <c r="E440" s="164" t="str">
        <f>IFERROR(__xludf.DUMMYFUNCTION("""COMPUTED_VALUE"""),"L")</f>
        <v>L</v>
      </c>
      <c r="F440" s="133" t="str">
        <f>IFERROR(__xludf.DUMMYFUNCTION("""COMPUTED_VALUE"""),"TE15820RUL")</f>
        <v>TE15820RUL</v>
      </c>
      <c r="G440" s="165">
        <f>IFERROR(__xludf.DUMMYFUNCTION("""COMPUTED_VALUE"""),376.0)</f>
        <v>376</v>
      </c>
    </row>
    <row r="441" ht="15.75" customHeight="1">
      <c r="A441" s="133" t="str">
        <f>IFERROR(__xludf.DUMMYFUNCTION("""COMPUTED_VALUE"""),"TE15920RU")</f>
        <v>TE15920RU</v>
      </c>
      <c r="B441" s="164">
        <f>IFERROR(__xludf.DUMMYFUNCTION("""COMPUTED_VALUE"""),1.2612104E7)</f>
        <v>12612104</v>
      </c>
      <c r="C441" s="164" t="str">
        <f>IFERROR(__xludf.DUMMYFUNCTION("""COMPUTED_VALUE"""),"12612104S")</f>
        <v>12612104S</v>
      </c>
      <c r="D441" s="164" t="str">
        <f>IFERROR(__xludf.DUMMYFUNCTION("""COMPUTED_VALUE"""),"14 097 762")</f>
        <v>14 097 762</v>
      </c>
      <c r="E441" s="164" t="str">
        <f>IFERROR(__xludf.DUMMYFUNCTION("""COMPUTED_VALUE"""),"S")</f>
        <v>S</v>
      </c>
      <c r="F441" s="133" t="str">
        <f>IFERROR(__xludf.DUMMYFUNCTION("""COMPUTED_VALUE"""),"TE15920RUS")</f>
        <v>TE15920RUS</v>
      </c>
      <c r="G441" s="165">
        <f>IFERROR(__xludf.DUMMYFUNCTION("""COMPUTED_VALUE"""),363.0)</f>
        <v>363</v>
      </c>
    </row>
    <row r="442" ht="15.75" customHeight="1">
      <c r="A442" s="133" t="str">
        <f>IFERROR(__xludf.DUMMYFUNCTION("""COMPUTED_VALUE"""),"TE15920RU")</f>
        <v>TE15920RU</v>
      </c>
      <c r="B442" s="164">
        <f>IFERROR(__xludf.DUMMYFUNCTION("""COMPUTED_VALUE"""),1.2612104E7)</f>
        <v>12612104</v>
      </c>
      <c r="C442" s="164" t="str">
        <f>IFERROR(__xludf.DUMMYFUNCTION("""COMPUTED_VALUE"""),"12612104M")</f>
        <v>12612104M</v>
      </c>
      <c r="D442" s="164" t="str">
        <f>IFERROR(__xludf.DUMMYFUNCTION("""COMPUTED_VALUE"""),"14 097 762")</f>
        <v>14 097 762</v>
      </c>
      <c r="E442" s="164" t="str">
        <f>IFERROR(__xludf.DUMMYFUNCTION("""COMPUTED_VALUE"""),"M")</f>
        <v>M</v>
      </c>
      <c r="F442" s="133" t="str">
        <f>IFERROR(__xludf.DUMMYFUNCTION("""COMPUTED_VALUE"""),"TE15920RUM")</f>
        <v>TE15920RUM</v>
      </c>
      <c r="G442" s="165">
        <f>IFERROR(__xludf.DUMMYFUNCTION("""COMPUTED_VALUE"""),363.0)</f>
        <v>363</v>
      </c>
    </row>
    <row r="443" ht="15.75" customHeight="1">
      <c r="A443" s="133" t="str">
        <f>IFERROR(__xludf.DUMMYFUNCTION("""COMPUTED_VALUE"""),"TE15920RU")</f>
        <v>TE15920RU</v>
      </c>
      <c r="B443" s="164">
        <f>IFERROR(__xludf.DUMMYFUNCTION("""COMPUTED_VALUE"""),1.2612104E7)</f>
        <v>12612104</v>
      </c>
      <c r="C443" s="164" t="str">
        <f>IFERROR(__xludf.DUMMYFUNCTION("""COMPUTED_VALUE"""),"12612104L")</f>
        <v>12612104L</v>
      </c>
      <c r="D443" s="164" t="str">
        <f>IFERROR(__xludf.DUMMYFUNCTION("""COMPUTED_VALUE"""),"14 097 762")</f>
        <v>14 097 762</v>
      </c>
      <c r="E443" s="164" t="str">
        <f>IFERROR(__xludf.DUMMYFUNCTION("""COMPUTED_VALUE"""),"L")</f>
        <v>L</v>
      </c>
      <c r="F443" s="133" t="str">
        <f>IFERROR(__xludf.DUMMYFUNCTION("""COMPUTED_VALUE"""),"TE15920RUL")</f>
        <v>TE15920RUL</v>
      </c>
      <c r="G443" s="165">
        <f>IFERROR(__xludf.DUMMYFUNCTION("""COMPUTED_VALUE"""),363.0)</f>
        <v>363</v>
      </c>
    </row>
    <row r="444" ht="15.75" customHeight="1">
      <c r="A444" s="133" t="str">
        <f>IFERROR(__xludf.DUMMYFUNCTION("""COMPUTED_VALUE"""),"TE16020RU")</f>
        <v>TE16020RU</v>
      </c>
      <c r="B444" s="164">
        <f>IFERROR(__xludf.DUMMYFUNCTION("""COMPUTED_VALUE"""),1.2612105E7)</f>
        <v>12612105</v>
      </c>
      <c r="C444" s="164" t="str">
        <f>IFERROR(__xludf.DUMMYFUNCTION("""COMPUTED_VALUE"""),"12612105S")</f>
        <v>12612105S</v>
      </c>
      <c r="D444" s="164" t="str">
        <f>IFERROR(__xludf.DUMMYFUNCTION("""COMPUTED_VALUE"""),"14 097 762")</f>
        <v>14 097 762</v>
      </c>
      <c r="E444" s="164" t="str">
        <f>IFERROR(__xludf.DUMMYFUNCTION("""COMPUTED_VALUE"""),"S")</f>
        <v>S</v>
      </c>
      <c r="F444" s="133" t="str">
        <f>IFERROR(__xludf.DUMMYFUNCTION("""COMPUTED_VALUE"""),"TE16020RUS")</f>
        <v>TE16020RUS</v>
      </c>
      <c r="G444" s="165">
        <f>IFERROR(__xludf.DUMMYFUNCTION("""COMPUTED_VALUE"""),365.0)</f>
        <v>365</v>
      </c>
    </row>
    <row r="445" ht="15.75" customHeight="1">
      <c r="A445" s="133" t="str">
        <f>IFERROR(__xludf.DUMMYFUNCTION("""COMPUTED_VALUE"""),"TE16020RU")</f>
        <v>TE16020RU</v>
      </c>
      <c r="B445" s="164">
        <f>IFERROR(__xludf.DUMMYFUNCTION("""COMPUTED_VALUE"""),1.2612105E7)</f>
        <v>12612105</v>
      </c>
      <c r="C445" s="164" t="str">
        <f>IFERROR(__xludf.DUMMYFUNCTION("""COMPUTED_VALUE"""),"12612105M")</f>
        <v>12612105M</v>
      </c>
      <c r="D445" s="164" t="str">
        <f>IFERROR(__xludf.DUMMYFUNCTION("""COMPUTED_VALUE"""),"14 097 762")</f>
        <v>14 097 762</v>
      </c>
      <c r="E445" s="164" t="str">
        <f>IFERROR(__xludf.DUMMYFUNCTION("""COMPUTED_VALUE"""),"M")</f>
        <v>M</v>
      </c>
      <c r="F445" s="133" t="str">
        <f>IFERROR(__xludf.DUMMYFUNCTION("""COMPUTED_VALUE"""),"TE16020RUM")</f>
        <v>TE16020RUM</v>
      </c>
      <c r="G445" s="165">
        <f>IFERROR(__xludf.DUMMYFUNCTION("""COMPUTED_VALUE"""),365.0)</f>
        <v>365</v>
      </c>
    </row>
    <row r="446" ht="15.75" customHeight="1">
      <c r="A446" s="133" t="str">
        <f>IFERROR(__xludf.DUMMYFUNCTION("""COMPUTED_VALUE"""),"TE16020RU")</f>
        <v>TE16020RU</v>
      </c>
      <c r="B446" s="164">
        <f>IFERROR(__xludf.DUMMYFUNCTION("""COMPUTED_VALUE"""),1.2612105E7)</f>
        <v>12612105</v>
      </c>
      <c r="C446" s="164" t="str">
        <f>IFERROR(__xludf.DUMMYFUNCTION("""COMPUTED_VALUE"""),"12612105L")</f>
        <v>12612105L</v>
      </c>
      <c r="D446" s="164" t="str">
        <f>IFERROR(__xludf.DUMMYFUNCTION("""COMPUTED_VALUE"""),"14 097 762")</f>
        <v>14 097 762</v>
      </c>
      <c r="E446" s="164" t="str">
        <f>IFERROR(__xludf.DUMMYFUNCTION("""COMPUTED_VALUE"""),"L")</f>
        <v>L</v>
      </c>
      <c r="F446" s="133" t="str">
        <f>IFERROR(__xludf.DUMMYFUNCTION("""COMPUTED_VALUE"""),"TE16020RUL")</f>
        <v>TE16020RUL</v>
      </c>
      <c r="G446" s="165">
        <f>IFERROR(__xludf.DUMMYFUNCTION("""COMPUTED_VALUE"""),365.0)</f>
        <v>365</v>
      </c>
    </row>
    <row r="447" ht="15.75" customHeight="1">
      <c r="A447" s="133" t="str">
        <f>IFERROR(__xludf.DUMMYFUNCTION("""COMPUTED_VALUE"""),"TE27420RU")</f>
        <v>TE27420RU</v>
      </c>
      <c r="B447" s="164">
        <f>IFERROR(__xludf.DUMMYFUNCTION("""COMPUTED_VALUE"""),1.581815E7)</f>
        <v>15818150</v>
      </c>
      <c r="C447" s="164" t="str">
        <f>IFERROR(__xludf.DUMMYFUNCTION("""COMPUTED_VALUE"""),"15818150S")</f>
        <v>15818150S</v>
      </c>
      <c r="D447" s="164" t="str">
        <f>IFERROR(__xludf.DUMMYFUNCTION("""COMPUTED_VALUE"""),"14 097 762")</f>
        <v>14 097 762</v>
      </c>
      <c r="E447" s="164" t="str">
        <f>IFERROR(__xludf.DUMMYFUNCTION("""COMPUTED_VALUE"""),"S")</f>
        <v>S</v>
      </c>
      <c r="F447" s="133" t="str">
        <f>IFERROR(__xludf.DUMMYFUNCTION("""COMPUTED_VALUE"""),"TE27420RUS")</f>
        <v>TE27420RUS</v>
      </c>
      <c r="G447" s="165">
        <f>IFERROR(__xludf.DUMMYFUNCTION("""COMPUTED_VALUE"""),308.0)</f>
        <v>308</v>
      </c>
    </row>
    <row r="448" ht="15.75" customHeight="1">
      <c r="A448" s="133" t="str">
        <f>IFERROR(__xludf.DUMMYFUNCTION("""COMPUTED_VALUE"""),"TE27420RU")</f>
        <v>TE27420RU</v>
      </c>
      <c r="B448" s="164">
        <f>IFERROR(__xludf.DUMMYFUNCTION("""COMPUTED_VALUE"""),1.581815E7)</f>
        <v>15818150</v>
      </c>
      <c r="C448" s="164" t="str">
        <f>IFERROR(__xludf.DUMMYFUNCTION("""COMPUTED_VALUE"""),"15818150M")</f>
        <v>15818150M</v>
      </c>
      <c r="D448" s="164" t="str">
        <f>IFERROR(__xludf.DUMMYFUNCTION("""COMPUTED_VALUE"""),"14 097 762")</f>
        <v>14 097 762</v>
      </c>
      <c r="E448" s="164" t="str">
        <f>IFERROR(__xludf.DUMMYFUNCTION("""COMPUTED_VALUE"""),"M")</f>
        <v>M</v>
      </c>
      <c r="F448" s="133" t="str">
        <f>IFERROR(__xludf.DUMMYFUNCTION("""COMPUTED_VALUE"""),"TE27420RUM")</f>
        <v>TE27420RUM</v>
      </c>
      <c r="G448" s="165">
        <f>IFERROR(__xludf.DUMMYFUNCTION("""COMPUTED_VALUE"""),308.0)</f>
        <v>308</v>
      </c>
    </row>
    <row r="449" ht="15.75" customHeight="1">
      <c r="A449" s="133" t="str">
        <f>IFERROR(__xludf.DUMMYFUNCTION("""COMPUTED_VALUE"""),"TE27420RU")</f>
        <v>TE27420RU</v>
      </c>
      <c r="B449" s="164">
        <f>IFERROR(__xludf.DUMMYFUNCTION("""COMPUTED_VALUE"""),1.581815E7)</f>
        <v>15818150</v>
      </c>
      <c r="C449" s="164" t="str">
        <f>IFERROR(__xludf.DUMMYFUNCTION("""COMPUTED_VALUE"""),"15818150L")</f>
        <v>15818150L</v>
      </c>
      <c r="D449" s="164" t="str">
        <f>IFERROR(__xludf.DUMMYFUNCTION("""COMPUTED_VALUE"""),"14 097 762")</f>
        <v>14 097 762</v>
      </c>
      <c r="E449" s="164" t="str">
        <f>IFERROR(__xludf.DUMMYFUNCTION("""COMPUTED_VALUE"""),"L")</f>
        <v>L</v>
      </c>
      <c r="F449" s="133" t="str">
        <f>IFERROR(__xludf.DUMMYFUNCTION("""COMPUTED_VALUE"""),"TE27420RUL")</f>
        <v>TE27420RUL</v>
      </c>
      <c r="G449" s="165">
        <f>IFERROR(__xludf.DUMMYFUNCTION("""COMPUTED_VALUE"""),308.0)</f>
        <v>308</v>
      </c>
    </row>
    <row r="450" ht="15.75" customHeight="1">
      <c r="A450" s="133" t="str">
        <f>IFERROR(__xludf.DUMMYFUNCTION("""COMPUTED_VALUE"""),"TE27520RU")</f>
        <v>TE27520RU</v>
      </c>
      <c r="B450" s="164">
        <f>IFERROR(__xludf.DUMMYFUNCTION("""COMPUTED_VALUE"""),1.5818151E7)</f>
        <v>15818151</v>
      </c>
      <c r="C450" s="164" t="str">
        <f>IFERROR(__xludf.DUMMYFUNCTION("""COMPUTED_VALUE"""),"15818151S")</f>
        <v>15818151S</v>
      </c>
      <c r="D450" s="164" t="str">
        <f>IFERROR(__xludf.DUMMYFUNCTION("""COMPUTED_VALUE"""),"14 097 762")</f>
        <v>14 097 762</v>
      </c>
      <c r="E450" s="164" t="str">
        <f>IFERROR(__xludf.DUMMYFUNCTION("""COMPUTED_VALUE"""),"S")</f>
        <v>S</v>
      </c>
      <c r="F450" s="133" t="str">
        <f>IFERROR(__xludf.DUMMYFUNCTION("""COMPUTED_VALUE"""),"TE27520RUS")</f>
        <v>TE27520RUS</v>
      </c>
      <c r="G450" s="165">
        <f>IFERROR(__xludf.DUMMYFUNCTION("""COMPUTED_VALUE"""),304.0)</f>
        <v>304</v>
      </c>
    </row>
    <row r="451" ht="15.75" customHeight="1">
      <c r="A451" s="133" t="str">
        <f>IFERROR(__xludf.DUMMYFUNCTION("""COMPUTED_VALUE"""),"TE27520RU")</f>
        <v>TE27520RU</v>
      </c>
      <c r="B451" s="164">
        <f>IFERROR(__xludf.DUMMYFUNCTION("""COMPUTED_VALUE"""),1.5818151E7)</f>
        <v>15818151</v>
      </c>
      <c r="C451" s="164" t="str">
        <f>IFERROR(__xludf.DUMMYFUNCTION("""COMPUTED_VALUE"""),"15818151M")</f>
        <v>15818151M</v>
      </c>
      <c r="D451" s="164" t="str">
        <f>IFERROR(__xludf.DUMMYFUNCTION("""COMPUTED_VALUE"""),"14 097 762")</f>
        <v>14 097 762</v>
      </c>
      <c r="E451" s="164" t="str">
        <f>IFERROR(__xludf.DUMMYFUNCTION("""COMPUTED_VALUE"""),"M")</f>
        <v>M</v>
      </c>
      <c r="F451" s="133" t="str">
        <f>IFERROR(__xludf.DUMMYFUNCTION("""COMPUTED_VALUE"""),"TE27520RUM")</f>
        <v>TE27520RUM</v>
      </c>
      <c r="G451" s="165">
        <f>IFERROR(__xludf.DUMMYFUNCTION("""COMPUTED_VALUE"""),304.0)</f>
        <v>304</v>
      </c>
    </row>
    <row r="452" ht="15.75" customHeight="1">
      <c r="A452" s="133" t="str">
        <f>IFERROR(__xludf.DUMMYFUNCTION("""COMPUTED_VALUE"""),"TE27520RU")</f>
        <v>TE27520RU</v>
      </c>
      <c r="B452" s="164">
        <f>IFERROR(__xludf.DUMMYFUNCTION("""COMPUTED_VALUE"""),1.5818151E7)</f>
        <v>15818151</v>
      </c>
      <c r="C452" s="164" t="str">
        <f>IFERROR(__xludf.DUMMYFUNCTION("""COMPUTED_VALUE"""),"15818151L")</f>
        <v>15818151L</v>
      </c>
      <c r="D452" s="164" t="str">
        <f>IFERROR(__xludf.DUMMYFUNCTION("""COMPUTED_VALUE"""),"14 097 762")</f>
        <v>14 097 762</v>
      </c>
      <c r="E452" s="164" t="str">
        <f>IFERROR(__xludf.DUMMYFUNCTION("""COMPUTED_VALUE"""),"L")</f>
        <v>L</v>
      </c>
      <c r="F452" s="133" t="str">
        <f>IFERROR(__xludf.DUMMYFUNCTION("""COMPUTED_VALUE"""),"TE27520RUL")</f>
        <v>TE27520RUL</v>
      </c>
      <c r="G452" s="165">
        <f>IFERROR(__xludf.DUMMYFUNCTION("""COMPUTED_VALUE"""),304.0)</f>
        <v>304</v>
      </c>
    </row>
    <row r="453" ht="15.75" customHeight="1">
      <c r="A453" s="133" t="str">
        <f>IFERROR(__xludf.DUMMYFUNCTION("""COMPUTED_VALUE"""),"TE27620RU")</f>
        <v>TE27620RU</v>
      </c>
      <c r="B453" s="164">
        <f>IFERROR(__xludf.DUMMYFUNCTION("""COMPUTED_VALUE"""),1.5818152E7)</f>
        <v>15818152</v>
      </c>
      <c r="C453" s="164" t="str">
        <f>IFERROR(__xludf.DUMMYFUNCTION("""COMPUTED_VALUE"""),"15818152S")</f>
        <v>15818152S</v>
      </c>
      <c r="D453" s="164" t="str">
        <f>IFERROR(__xludf.DUMMYFUNCTION("""COMPUTED_VALUE"""),"14 097 762")</f>
        <v>14 097 762</v>
      </c>
      <c r="E453" s="164" t="str">
        <f>IFERROR(__xludf.DUMMYFUNCTION("""COMPUTED_VALUE"""),"S")</f>
        <v>S</v>
      </c>
      <c r="F453" s="133" t="str">
        <f>IFERROR(__xludf.DUMMYFUNCTION("""COMPUTED_VALUE"""),"TE27620RUS")</f>
        <v>TE27620RUS</v>
      </c>
      <c r="G453" s="165">
        <f>IFERROR(__xludf.DUMMYFUNCTION("""COMPUTED_VALUE"""),304.0)</f>
        <v>304</v>
      </c>
    </row>
    <row r="454" ht="15.75" customHeight="1">
      <c r="A454" s="133" t="str">
        <f>IFERROR(__xludf.DUMMYFUNCTION("""COMPUTED_VALUE"""),"TE27620RU")</f>
        <v>TE27620RU</v>
      </c>
      <c r="B454" s="164">
        <f>IFERROR(__xludf.DUMMYFUNCTION("""COMPUTED_VALUE"""),1.5818152E7)</f>
        <v>15818152</v>
      </c>
      <c r="C454" s="164" t="str">
        <f>IFERROR(__xludf.DUMMYFUNCTION("""COMPUTED_VALUE"""),"15818152M")</f>
        <v>15818152M</v>
      </c>
      <c r="D454" s="164" t="str">
        <f>IFERROR(__xludf.DUMMYFUNCTION("""COMPUTED_VALUE"""),"14 097 762")</f>
        <v>14 097 762</v>
      </c>
      <c r="E454" s="164" t="str">
        <f>IFERROR(__xludf.DUMMYFUNCTION("""COMPUTED_VALUE"""),"M")</f>
        <v>M</v>
      </c>
      <c r="F454" s="133" t="str">
        <f>IFERROR(__xludf.DUMMYFUNCTION("""COMPUTED_VALUE"""),"TE27620RUM")</f>
        <v>TE27620RUM</v>
      </c>
      <c r="G454" s="165">
        <f>IFERROR(__xludf.DUMMYFUNCTION("""COMPUTED_VALUE"""),304.0)</f>
        <v>304</v>
      </c>
    </row>
    <row r="455" ht="15.75" customHeight="1">
      <c r="A455" s="133" t="str">
        <f>IFERROR(__xludf.DUMMYFUNCTION("""COMPUTED_VALUE"""),"TE27620RU")</f>
        <v>TE27620RU</v>
      </c>
      <c r="B455" s="164">
        <f>IFERROR(__xludf.DUMMYFUNCTION("""COMPUTED_VALUE"""),1.5818152E7)</f>
        <v>15818152</v>
      </c>
      <c r="C455" s="164" t="str">
        <f>IFERROR(__xludf.DUMMYFUNCTION("""COMPUTED_VALUE"""),"15818152L")</f>
        <v>15818152L</v>
      </c>
      <c r="D455" s="164" t="str">
        <f>IFERROR(__xludf.DUMMYFUNCTION("""COMPUTED_VALUE"""),"14 097 762")</f>
        <v>14 097 762</v>
      </c>
      <c r="E455" s="164" t="str">
        <f>IFERROR(__xludf.DUMMYFUNCTION("""COMPUTED_VALUE"""),"L")</f>
        <v>L</v>
      </c>
      <c r="F455" s="133" t="str">
        <f>IFERROR(__xludf.DUMMYFUNCTION("""COMPUTED_VALUE"""),"TE27620RUL")</f>
        <v>TE27620RUL</v>
      </c>
      <c r="G455" s="165">
        <f>IFERROR(__xludf.DUMMYFUNCTION("""COMPUTED_VALUE"""),304.0)</f>
        <v>304</v>
      </c>
    </row>
    <row r="456" ht="15.75" customHeight="1">
      <c r="A456" s="133" t="str">
        <f>IFERROR(__xludf.DUMMYFUNCTION("""COMPUTED_VALUE"""),"TE28120RU")</f>
        <v>TE28120RU</v>
      </c>
      <c r="B456" s="164">
        <f>IFERROR(__xludf.DUMMYFUNCTION("""COMPUTED_VALUE"""),1.5818153E7)</f>
        <v>15818153</v>
      </c>
      <c r="C456" s="164" t="str">
        <f>IFERROR(__xludf.DUMMYFUNCTION("""COMPUTED_VALUE"""),"15818153S")</f>
        <v>15818153S</v>
      </c>
      <c r="D456" s="164" t="str">
        <f>IFERROR(__xludf.DUMMYFUNCTION("""COMPUTED_VALUE"""),"14 097 762")</f>
        <v>14 097 762</v>
      </c>
      <c r="E456" s="164" t="str">
        <f>IFERROR(__xludf.DUMMYFUNCTION("""COMPUTED_VALUE"""),"S")</f>
        <v>S</v>
      </c>
      <c r="F456" s="133" t="str">
        <f>IFERROR(__xludf.DUMMYFUNCTION("""COMPUTED_VALUE"""),"TE28120RUS")</f>
        <v>TE28120RUS</v>
      </c>
      <c r="G456" s="165">
        <f>IFERROR(__xludf.DUMMYFUNCTION("""COMPUTED_VALUE"""),346.0)</f>
        <v>346</v>
      </c>
    </row>
    <row r="457" ht="15.75" customHeight="1">
      <c r="A457" s="133" t="str">
        <f>IFERROR(__xludf.DUMMYFUNCTION("""COMPUTED_VALUE"""),"TE28120RU")</f>
        <v>TE28120RU</v>
      </c>
      <c r="B457" s="164">
        <f>IFERROR(__xludf.DUMMYFUNCTION("""COMPUTED_VALUE"""),1.5818153E7)</f>
        <v>15818153</v>
      </c>
      <c r="C457" s="164" t="str">
        <f>IFERROR(__xludf.DUMMYFUNCTION("""COMPUTED_VALUE"""),"15818153M")</f>
        <v>15818153M</v>
      </c>
      <c r="D457" s="164" t="str">
        <f>IFERROR(__xludf.DUMMYFUNCTION("""COMPUTED_VALUE"""),"14 097 762")</f>
        <v>14 097 762</v>
      </c>
      <c r="E457" s="164" t="str">
        <f>IFERROR(__xludf.DUMMYFUNCTION("""COMPUTED_VALUE"""),"M")</f>
        <v>M</v>
      </c>
      <c r="F457" s="133" t="str">
        <f>IFERROR(__xludf.DUMMYFUNCTION("""COMPUTED_VALUE"""),"TE28120RUM")</f>
        <v>TE28120RUM</v>
      </c>
      <c r="G457" s="165">
        <f>IFERROR(__xludf.DUMMYFUNCTION("""COMPUTED_VALUE"""),346.0)</f>
        <v>346</v>
      </c>
    </row>
    <row r="458" ht="15.75" customHeight="1">
      <c r="A458" s="133" t="str">
        <f>IFERROR(__xludf.DUMMYFUNCTION("""COMPUTED_VALUE"""),"TE28120RU")</f>
        <v>TE28120RU</v>
      </c>
      <c r="B458" s="164">
        <f>IFERROR(__xludf.DUMMYFUNCTION("""COMPUTED_VALUE"""),1.5818153E7)</f>
        <v>15818153</v>
      </c>
      <c r="C458" s="164" t="str">
        <f>IFERROR(__xludf.DUMMYFUNCTION("""COMPUTED_VALUE"""),"15818153L")</f>
        <v>15818153L</v>
      </c>
      <c r="D458" s="164" t="str">
        <f>IFERROR(__xludf.DUMMYFUNCTION("""COMPUTED_VALUE"""),"14 097 762")</f>
        <v>14 097 762</v>
      </c>
      <c r="E458" s="164" t="str">
        <f>IFERROR(__xludf.DUMMYFUNCTION("""COMPUTED_VALUE"""),"L")</f>
        <v>L</v>
      </c>
      <c r="F458" s="133" t="str">
        <f>IFERROR(__xludf.DUMMYFUNCTION("""COMPUTED_VALUE"""),"TE28120RUL")</f>
        <v>TE28120RUL</v>
      </c>
      <c r="G458" s="165">
        <f>IFERROR(__xludf.DUMMYFUNCTION("""COMPUTED_VALUE"""),346.0)</f>
        <v>346</v>
      </c>
    </row>
    <row r="459" ht="15.75" customHeight="1">
      <c r="A459" s="133" t="str">
        <f>IFERROR(__xludf.DUMMYFUNCTION("""COMPUTED_VALUE"""),"TE28220RU")</f>
        <v>TE28220RU</v>
      </c>
      <c r="B459" s="164">
        <f>IFERROR(__xludf.DUMMYFUNCTION("""COMPUTED_VALUE"""),1.5818154E7)</f>
        <v>15818154</v>
      </c>
      <c r="C459" s="164" t="str">
        <f>IFERROR(__xludf.DUMMYFUNCTION("""COMPUTED_VALUE"""),"15818154S")</f>
        <v>15818154S</v>
      </c>
      <c r="D459" s="164" t="str">
        <f>IFERROR(__xludf.DUMMYFUNCTION("""COMPUTED_VALUE"""),"14 097 762")</f>
        <v>14 097 762</v>
      </c>
      <c r="E459" s="164" t="str">
        <f>IFERROR(__xludf.DUMMYFUNCTION("""COMPUTED_VALUE"""),"S")</f>
        <v>S</v>
      </c>
      <c r="F459" s="133" t="str">
        <f>IFERROR(__xludf.DUMMYFUNCTION("""COMPUTED_VALUE"""),"TE28220RUS")</f>
        <v>TE28220RUS</v>
      </c>
      <c r="G459" s="165">
        <f>IFERROR(__xludf.DUMMYFUNCTION("""COMPUTED_VALUE"""),328.0)</f>
        <v>328</v>
      </c>
    </row>
    <row r="460" ht="15.75" customHeight="1">
      <c r="A460" s="133" t="str">
        <f>IFERROR(__xludf.DUMMYFUNCTION("""COMPUTED_VALUE"""),"TE28220RU")</f>
        <v>TE28220RU</v>
      </c>
      <c r="B460" s="164">
        <f>IFERROR(__xludf.DUMMYFUNCTION("""COMPUTED_VALUE"""),1.5818154E7)</f>
        <v>15818154</v>
      </c>
      <c r="C460" s="164" t="str">
        <f>IFERROR(__xludf.DUMMYFUNCTION("""COMPUTED_VALUE"""),"15818154M")</f>
        <v>15818154M</v>
      </c>
      <c r="D460" s="164" t="str">
        <f>IFERROR(__xludf.DUMMYFUNCTION("""COMPUTED_VALUE"""),"14 097 762")</f>
        <v>14 097 762</v>
      </c>
      <c r="E460" s="164" t="str">
        <f>IFERROR(__xludf.DUMMYFUNCTION("""COMPUTED_VALUE"""),"M")</f>
        <v>M</v>
      </c>
      <c r="F460" s="133" t="str">
        <f>IFERROR(__xludf.DUMMYFUNCTION("""COMPUTED_VALUE"""),"TE28220RUM")</f>
        <v>TE28220RUM</v>
      </c>
      <c r="G460" s="165">
        <f>IFERROR(__xludf.DUMMYFUNCTION("""COMPUTED_VALUE"""),328.0)</f>
        <v>328</v>
      </c>
    </row>
    <row r="461" ht="15.75" customHeight="1">
      <c r="A461" s="133" t="str">
        <f>IFERROR(__xludf.DUMMYFUNCTION("""COMPUTED_VALUE"""),"TE28220RU")</f>
        <v>TE28220RU</v>
      </c>
      <c r="B461" s="164">
        <f>IFERROR(__xludf.DUMMYFUNCTION("""COMPUTED_VALUE"""),1.5818154E7)</f>
        <v>15818154</v>
      </c>
      <c r="C461" s="164" t="str">
        <f>IFERROR(__xludf.DUMMYFUNCTION("""COMPUTED_VALUE"""),"15818154L")</f>
        <v>15818154L</v>
      </c>
      <c r="D461" s="164" t="str">
        <f>IFERROR(__xludf.DUMMYFUNCTION("""COMPUTED_VALUE"""),"14 097 762")</f>
        <v>14 097 762</v>
      </c>
      <c r="E461" s="164" t="str">
        <f>IFERROR(__xludf.DUMMYFUNCTION("""COMPUTED_VALUE"""),"L")</f>
        <v>L</v>
      </c>
      <c r="F461" s="133" t="str">
        <f>IFERROR(__xludf.DUMMYFUNCTION("""COMPUTED_VALUE"""),"TE28220RUL")</f>
        <v>TE28220RUL</v>
      </c>
      <c r="G461" s="165">
        <f>IFERROR(__xludf.DUMMYFUNCTION("""COMPUTED_VALUE"""),328.0)</f>
        <v>328</v>
      </c>
    </row>
    <row r="462" ht="15.75" customHeight="1">
      <c r="A462" s="133" t="str">
        <f>IFERROR(__xludf.DUMMYFUNCTION("""COMPUTED_VALUE"""),"TL26920RU")</f>
        <v>TL26920RU</v>
      </c>
      <c r="B462" s="164">
        <f>IFERROR(__xludf.DUMMYFUNCTION("""COMPUTED_VALUE"""),1.5818155E7)</f>
        <v>15818155</v>
      </c>
      <c r="C462" s="164" t="str">
        <f>IFERROR(__xludf.DUMMYFUNCTION("""COMPUTED_VALUE"""),"15818155S")</f>
        <v>15818155S</v>
      </c>
      <c r="D462" s="164" t="str">
        <f>IFERROR(__xludf.DUMMYFUNCTION("""COMPUTED_VALUE"""),"14 097 762")</f>
        <v>14 097 762</v>
      </c>
      <c r="E462" s="164" t="str">
        <f>IFERROR(__xludf.DUMMYFUNCTION("""COMPUTED_VALUE"""),"S")</f>
        <v>S</v>
      </c>
      <c r="F462" s="133" t="str">
        <f>IFERROR(__xludf.DUMMYFUNCTION("""COMPUTED_VALUE"""),"TL26920RUS")</f>
        <v>TL26920RUS</v>
      </c>
      <c r="G462" s="165">
        <f>IFERROR(__xludf.DUMMYFUNCTION("""COMPUTED_VALUE"""),379.0)</f>
        <v>379</v>
      </c>
    </row>
    <row r="463" ht="15.75" customHeight="1">
      <c r="A463" s="133" t="str">
        <f>IFERROR(__xludf.DUMMYFUNCTION("""COMPUTED_VALUE"""),"TL26920RU")</f>
        <v>TL26920RU</v>
      </c>
      <c r="B463" s="164">
        <f>IFERROR(__xludf.DUMMYFUNCTION("""COMPUTED_VALUE"""),1.5818155E7)</f>
        <v>15818155</v>
      </c>
      <c r="C463" s="164" t="str">
        <f>IFERROR(__xludf.DUMMYFUNCTION("""COMPUTED_VALUE"""),"15818155M")</f>
        <v>15818155M</v>
      </c>
      <c r="D463" s="164" t="str">
        <f>IFERROR(__xludf.DUMMYFUNCTION("""COMPUTED_VALUE"""),"14 097 762")</f>
        <v>14 097 762</v>
      </c>
      <c r="E463" s="164" t="str">
        <f>IFERROR(__xludf.DUMMYFUNCTION("""COMPUTED_VALUE"""),"M")</f>
        <v>M</v>
      </c>
      <c r="F463" s="133" t="str">
        <f>IFERROR(__xludf.DUMMYFUNCTION("""COMPUTED_VALUE"""),"TL26920RUM")</f>
        <v>TL26920RUM</v>
      </c>
      <c r="G463" s="165">
        <f>IFERROR(__xludf.DUMMYFUNCTION("""COMPUTED_VALUE"""),379.0)</f>
        <v>379</v>
      </c>
    </row>
    <row r="464" ht="15.75" customHeight="1">
      <c r="A464" s="133" t="str">
        <f>IFERROR(__xludf.DUMMYFUNCTION("""COMPUTED_VALUE"""),"TL26920RU")</f>
        <v>TL26920RU</v>
      </c>
      <c r="B464" s="164">
        <f>IFERROR(__xludf.DUMMYFUNCTION("""COMPUTED_VALUE"""),1.5818155E7)</f>
        <v>15818155</v>
      </c>
      <c r="C464" s="164" t="str">
        <f>IFERROR(__xludf.DUMMYFUNCTION("""COMPUTED_VALUE"""),"15818155L")</f>
        <v>15818155L</v>
      </c>
      <c r="D464" s="164" t="str">
        <f>IFERROR(__xludf.DUMMYFUNCTION("""COMPUTED_VALUE"""),"14 097 762")</f>
        <v>14 097 762</v>
      </c>
      <c r="E464" s="164" t="str">
        <f>IFERROR(__xludf.DUMMYFUNCTION("""COMPUTED_VALUE"""),"L")</f>
        <v>L</v>
      </c>
      <c r="F464" s="133" t="str">
        <f>IFERROR(__xludf.DUMMYFUNCTION("""COMPUTED_VALUE"""),"TL26920RUL")</f>
        <v>TL26920RUL</v>
      </c>
      <c r="G464" s="165">
        <f>IFERROR(__xludf.DUMMYFUNCTION("""COMPUTED_VALUE"""),379.0)</f>
        <v>379</v>
      </c>
    </row>
    <row r="465" ht="15.75" customHeight="1">
      <c r="A465" s="133" t="str">
        <f>IFERROR(__xludf.DUMMYFUNCTION("""COMPUTED_VALUE"""),"TL27020RU")</f>
        <v>TL27020RU</v>
      </c>
      <c r="B465" s="164">
        <f>IFERROR(__xludf.DUMMYFUNCTION("""COMPUTED_VALUE"""),1.5818156E7)</f>
        <v>15818156</v>
      </c>
      <c r="C465" s="164" t="str">
        <f>IFERROR(__xludf.DUMMYFUNCTION("""COMPUTED_VALUE"""),"15818156S")</f>
        <v>15818156S</v>
      </c>
      <c r="D465" s="164" t="str">
        <f>IFERROR(__xludf.DUMMYFUNCTION("""COMPUTED_VALUE"""),"14 097 762")</f>
        <v>14 097 762</v>
      </c>
      <c r="E465" s="164" t="str">
        <f>IFERROR(__xludf.DUMMYFUNCTION("""COMPUTED_VALUE"""),"S")</f>
        <v>S</v>
      </c>
      <c r="F465" s="133" t="str">
        <f>IFERROR(__xludf.DUMMYFUNCTION("""COMPUTED_VALUE"""),"TL27020RUS")</f>
        <v>TL27020RUS</v>
      </c>
      <c r="G465" s="165">
        <f>IFERROR(__xludf.DUMMYFUNCTION("""COMPUTED_VALUE"""),377.0)</f>
        <v>377</v>
      </c>
    </row>
    <row r="466" ht="15.75" customHeight="1">
      <c r="A466" s="133" t="str">
        <f>IFERROR(__xludf.DUMMYFUNCTION("""COMPUTED_VALUE"""),"TL27020RU")</f>
        <v>TL27020RU</v>
      </c>
      <c r="B466" s="164">
        <f>IFERROR(__xludf.DUMMYFUNCTION("""COMPUTED_VALUE"""),1.5818156E7)</f>
        <v>15818156</v>
      </c>
      <c r="C466" s="164" t="str">
        <f>IFERROR(__xludf.DUMMYFUNCTION("""COMPUTED_VALUE"""),"15818156M")</f>
        <v>15818156M</v>
      </c>
      <c r="D466" s="164" t="str">
        <f>IFERROR(__xludf.DUMMYFUNCTION("""COMPUTED_VALUE"""),"14 097 762")</f>
        <v>14 097 762</v>
      </c>
      <c r="E466" s="164" t="str">
        <f>IFERROR(__xludf.DUMMYFUNCTION("""COMPUTED_VALUE"""),"M")</f>
        <v>M</v>
      </c>
      <c r="F466" s="133" t="str">
        <f>IFERROR(__xludf.DUMMYFUNCTION("""COMPUTED_VALUE"""),"TL27020RUM")</f>
        <v>TL27020RUM</v>
      </c>
      <c r="G466" s="165">
        <f>IFERROR(__xludf.DUMMYFUNCTION("""COMPUTED_VALUE"""),377.0)</f>
        <v>377</v>
      </c>
    </row>
    <row r="467" ht="15.75" customHeight="1">
      <c r="A467" s="133" t="str">
        <f>IFERROR(__xludf.DUMMYFUNCTION("""COMPUTED_VALUE"""),"TL27020RU")</f>
        <v>TL27020RU</v>
      </c>
      <c r="B467" s="164">
        <f>IFERROR(__xludf.DUMMYFUNCTION("""COMPUTED_VALUE"""),1.5818156E7)</f>
        <v>15818156</v>
      </c>
      <c r="C467" s="164" t="str">
        <f>IFERROR(__xludf.DUMMYFUNCTION("""COMPUTED_VALUE"""),"15818156L")</f>
        <v>15818156L</v>
      </c>
      <c r="D467" s="164" t="str">
        <f>IFERROR(__xludf.DUMMYFUNCTION("""COMPUTED_VALUE"""),"14 097 762")</f>
        <v>14 097 762</v>
      </c>
      <c r="E467" s="164" t="str">
        <f>IFERROR(__xludf.DUMMYFUNCTION("""COMPUTED_VALUE"""),"L")</f>
        <v>L</v>
      </c>
      <c r="F467" s="133" t="str">
        <f>IFERROR(__xludf.DUMMYFUNCTION("""COMPUTED_VALUE"""),"TL27020RUL")</f>
        <v>TL27020RUL</v>
      </c>
      <c r="G467" s="165">
        <f>IFERROR(__xludf.DUMMYFUNCTION("""COMPUTED_VALUE"""),377.0)</f>
        <v>377</v>
      </c>
    </row>
    <row r="468" ht="15.75" customHeight="1">
      <c r="A468" s="133" t="str">
        <f>IFERROR(__xludf.DUMMYFUNCTION("""COMPUTED_VALUE"""),"TL27120RU")</f>
        <v>TL27120RU</v>
      </c>
      <c r="B468" s="164">
        <f>IFERROR(__xludf.DUMMYFUNCTION("""COMPUTED_VALUE"""),1.5818157E7)</f>
        <v>15818157</v>
      </c>
      <c r="C468" s="164" t="str">
        <f>IFERROR(__xludf.DUMMYFUNCTION("""COMPUTED_VALUE"""),"15818157S")</f>
        <v>15818157S</v>
      </c>
      <c r="D468" s="164" t="str">
        <f>IFERROR(__xludf.DUMMYFUNCTION("""COMPUTED_VALUE"""),"14 097 762")</f>
        <v>14 097 762</v>
      </c>
      <c r="E468" s="164" t="str">
        <f>IFERROR(__xludf.DUMMYFUNCTION("""COMPUTED_VALUE"""),"S")</f>
        <v>S</v>
      </c>
      <c r="F468" s="133" t="str">
        <f>IFERROR(__xludf.DUMMYFUNCTION("""COMPUTED_VALUE"""),"TL27120RUS")</f>
        <v>TL27120RUS</v>
      </c>
      <c r="G468" s="165">
        <f>IFERROR(__xludf.DUMMYFUNCTION("""COMPUTED_VALUE"""),375.0)</f>
        <v>375</v>
      </c>
    </row>
    <row r="469" ht="15.75" customHeight="1">
      <c r="A469" s="133" t="str">
        <f>IFERROR(__xludf.DUMMYFUNCTION("""COMPUTED_VALUE"""),"TL27120RU")</f>
        <v>TL27120RU</v>
      </c>
      <c r="B469" s="164">
        <f>IFERROR(__xludf.DUMMYFUNCTION("""COMPUTED_VALUE"""),1.5818157E7)</f>
        <v>15818157</v>
      </c>
      <c r="C469" s="164" t="str">
        <f>IFERROR(__xludf.DUMMYFUNCTION("""COMPUTED_VALUE"""),"15818157M")</f>
        <v>15818157M</v>
      </c>
      <c r="D469" s="164" t="str">
        <f>IFERROR(__xludf.DUMMYFUNCTION("""COMPUTED_VALUE"""),"14 097 762")</f>
        <v>14 097 762</v>
      </c>
      <c r="E469" s="164" t="str">
        <f>IFERROR(__xludf.DUMMYFUNCTION("""COMPUTED_VALUE"""),"M")</f>
        <v>M</v>
      </c>
      <c r="F469" s="133" t="str">
        <f>IFERROR(__xludf.DUMMYFUNCTION("""COMPUTED_VALUE"""),"TL27120RUM")</f>
        <v>TL27120RUM</v>
      </c>
      <c r="G469" s="165">
        <f>IFERROR(__xludf.DUMMYFUNCTION("""COMPUTED_VALUE"""),375.0)</f>
        <v>375</v>
      </c>
    </row>
    <row r="470" ht="15.75" customHeight="1">
      <c r="A470" s="133" t="str">
        <f>IFERROR(__xludf.DUMMYFUNCTION("""COMPUTED_VALUE"""),"TL27120RU")</f>
        <v>TL27120RU</v>
      </c>
      <c r="B470" s="164">
        <f>IFERROR(__xludf.DUMMYFUNCTION("""COMPUTED_VALUE"""),1.5818157E7)</f>
        <v>15818157</v>
      </c>
      <c r="C470" s="164" t="str">
        <f>IFERROR(__xludf.DUMMYFUNCTION("""COMPUTED_VALUE"""),"15818157L")</f>
        <v>15818157L</v>
      </c>
      <c r="D470" s="164" t="str">
        <f>IFERROR(__xludf.DUMMYFUNCTION("""COMPUTED_VALUE"""),"14 097 762")</f>
        <v>14 097 762</v>
      </c>
      <c r="E470" s="164" t="str">
        <f>IFERROR(__xludf.DUMMYFUNCTION("""COMPUTED_VALUE"""),"L")</f>
        <v>L</v>
      </c>
      <c r="F470" s="133" t="str">
        <f>IFERROR(__xludf.DUMMYFUNCTION("""COMPUTED_VALUE"""),"TL27120RUL")</f>
        <v>TL27120RUL</v>
      </c>
      <c r="G470" s="165">
        <f>IFERROR(__xludf.DUMMYFUNCTION("""COMPUTED_VALUE"""),375.0)</f>
        <v>375</v>
      </c>
    </row>
    <row r="471" ht="15.75" customHeight="1">
      <c r="A471" s="133" t="str">
        <f>IFERROR(__xludf.DUMMYFUNCTION("""COMPUTED_VALUE"""),"TL27220RU")</f>
        <v>TL27220RU</v>
      </c>
      <c r="B471" s="164">
        <f>IFERROR(__xludf.DUMMYFUNCTION("""COMPUTED_VALUE"""),1.5818158E7)</f>
        <v>15818158</v>
      </c>
      <c r="C471" s="164" t="str">
        <f>IFERROR(__xludf.DUMMYFUNCTION("""COMPUTED_VALUE"""),"15818158S")</f>
        <v>15818158S</v>
      </c>
      <c r="D471" s="164" t="str">
        <f>IFERROR(__xludf.DUMMYFUNCTION("""COMPUTED_VALUE"""),"14 097 762")</f>
        <v>14 097 762</v>
      </c>
      <c r="E471" s="164" t="str">
        <f>IFERROR(__xludf.DUMMYFUNCTION("""COMPUTED_VALUE"""),"S")</f>
        <v>S</v>
      </c>
      <c r="F471" s="133" t="str">
        <f>IFERROR(__xludf.DUMMYFUNCTION("""COMPUTED_VALUE"""),"TL27220RUS")</f>
        <v>TL27220RUS</v>
      </c>
      <c r="G471" s="165">
        <f>IFERROR(__xludf.DUMMYFUNCTION("""COMPUTED_VALUE"""),369.0)</f>
        <v>369</v>
      </c>
    </row>
    <row r="472" ht="15.75" customHeight="1">
      <c r="A472" s="133" t="str">
        <f>IFERROR(__xludf.DUMMYFUNCTION("""COMPUTED_VALUE"""),"TL27220RU")</f>
        <v>TL27220RU</v>
      </c>
      <c r="B472" s="164">
        <f>IFERROR(__xludf.DUMMYFUNCTION("""COMPUTED_VALUE"""),1.5818158E7)</f>
        <v>15818158</v>
      </c>
      <c r="C472" s="164" t="str">
        <f>IFERROR(__xludf.DUMMYFUNCTION("""COMPUTED_VALUE"""),"15818158M")</f>
        <v>15818158M</v>
      </c>
      <c r="D472" s="164" t="str">
        <f>IFERROR(__xludf.DUMMYFUNCTION("""COMPUTED_VALUE"""),"14 097 762")</f>
        <v>14 097 762</v>
      </c>
      <c r="E472" s="164" t="str">
        <f>IFERROR(__xludf.DUMMYFUNCTION("""COMPUTED_VALUE"""),"M")</f>
        <v>M</v>
      </c>
      <c r="F472" s="133" t="str">
        <f>IFERROR(__xludf.DUMMYFUNCTION("""COMPUTED_VALUE"""),"TL27220RUM")</f>
        <v>TL27220RUM</v>
      </c>
      <c r="G472" s="165">
        <f>IFERROR(__xludf.DUMMYFUNCTION("""COMPUTED_VALUE"""),369.0)</f>
        <v>369</v>
      </c>
    </row>
    <row r="473" ht="15.75" customHeight="1">
      <c r="A473" s="133" t="str">
        <f>IFERROR(__xludf.DUMMYFUNCTION("""COMPUTED_VALUE"""),"TL27220RU")</f>
        <v>TL27220RU</v>
      </c>
      <c r="B473" s="164">
        <f>IFERROR(__xludf.DUMMYFUNCTION("""COMPUTED_VALUE"""),1.5818158E7)</f>
        <v>15818158</v>
      </c>
      <c r="C473" s="164" t="str">
        <f>IFERROR(__xludf.DUMMYFUNCTION("""COMPUTED_VALUE"""),"15818158L")</f>
        <v>15818158L</v>
      </c>
      <c r="D473" s="164" t="str">
        <f>IFERROR(__xludf.DUMMYFUNCTION("""COMPUTED_VALUE"""),"14 097 762")</f>
        <v>14 097 762</v>
      </c>
      <c r="E473" s="164" t="str">
        <f>IFERROR(__xludf.DUMMYFUNCTION("""COMPUTED_VALUE"""),"L")</f>
        <v>L</v>
      </c>
      <c r="F473" s="133" t="str">
        <f>IFERROR(__xludf.DUMMYFUNCTION("""COMPUTED_VALUE"""),"TL27220RUL")</f>
        <v>TL27220RUL</v>
      </c>
      <c r="G473" s="165">
        <f>IFERROR(__xludf.DUMMYFUNCTION("""COMPUTED_VALUE"""),369.0)</f>
        <v>369</v>
      </c>
    </row>
    <row r="474" ht="15.75" customHeight="1">
      <c r="A474" s="133" t="str">
        <f>IFERROR(__xludf.DUMMYFUNCTION("""COMPUTED_VALUE"""),"TL28420RU")</f>
        <v>TL28420RU</v>
      </c>
      <c r="B474" s="164">
        <f>IFERROR(__xludf.DUMMYFUNCTION("""COMPUTED_VALUE"""),1.5818159E7)</f>
        <v>15818159</v>
      </c>
      <c r="C474" s="164" t="str">
        <f>IFERROR(__xludf.DUMMYFUNCTION("""COMPUTED_VALUE"""),"15818159S")</f>
        <v>15818159S</v>
      </c>
      <c r="D474" s="164" t="str">
        <f>IFERROR(__xludf.DUMMYFUNCTION("""COMPUTED_VALUE"""),"14 097 762")</f>
        <v>14 097 762</v>
      </c>
      <c r="E474" s="164" t="str">
        <f>IFERROR(__xludf.DUMMYFUNCTION("""COMPUTED_VALUE"""),"S")</f>
        <v>S</v>
      </c>
      <c r="F474" s="133" t="str">
        <f>IFERROR(__xludf.DUMMYFUNCTION("""COMPUTED_VALUE"""),"TL28420RUS")</f>
        <v>TL28420RUS</v>
      </c>
      <c r="G474" s="165">
        <f>IFERROR(__xludf.DUMMYFUNCTION("""COMPUTED_VALUE"""),407.0)</f>
        <v>407</v>
      </c>
    </row>
    <row r="475" ht="15.75" customHeight="1">
      <c r="A475" s="133" t="str">
        <f>IFERROR(__xludf.DUMMYFUNCTION("""COMPUTED_VALUE"""),"TL28420RU")</f>
        <v>TL28420RU</v>
      </c>
      <c r="B475" s="164">
        <f>IFERROR(__xludf.DUMMYFUNCTION("""COMPUTED_VALUE"""),1.5818159E7)</f>
        <v>15818159</v>
      </c>
      <c r="C475" s="164" t="str">
        <f>IFERROR(__xludf.DUMMYFUNCTION("""COMPUTED_VALUE"""),"15818159M")</f>
        <v>15818159M</v>
      </c>
      <c r="D475" s="164" t="str">
        <f>IFERROR(__xludf.DUMMYFUNCTION("""COMPUTED_VALUE"""),"14 097 762")</f>
        <v>14 097 762</v>
      </c>
      <c r="E475" s="164" t="str">
        <f>IFERROR(__xludf.DUMMYFUNCTION("""COMPUTED_VALUE"""),"M")</f>
        <v>M</v>
      </c>
      <c r="F475" s="133" t="str">
        <f>IFERROR(__xludf.DUMMYFUNCTION("""COMPUTED_VALUE"""),"TL28420RUM")</f>
        <v>TL28420RUM</v>
      </c>
      <c r="G475" s="165">
        <f>IFERROR(__xludf.DUMMYFUNCTION("""COMPUTED_VALUE"""),407.0)</f>
        <v>407</v>
      </c>
    </row>
    <row r="476" ht="15.75" customHeight="1">
      <c r="A476" s="133" t="str">
        <f>IFERROR(__xludf.DUMMYFUNCTION("""COMPUTED_VALUE"""),"TL28420RU")</f>
        <v>TL28420RU</v>
      </c>
      <c r="B476" s="164">
        <f>IFERROR(__xludf.DUMMYFUNCTION("""COMPUTED_VALUE"""),1.5818159E7)</f>
        <v>15818159</v>
      </c>
      <c r="C476" s="164" t="str">
        <f>IFERROR(__xludf.DUMMYFUNCTION("""COMPUTED_VALUE"""),"15818159L")</f>
        <v>15818159L</v>
      </c>
      <c r="D476" s="164" t="str">
        <f>IFERROR(__xludf.DUMMYFUNCTION("""COMPUTED_VALUE"""),"14 097 762")</f>
        <v>14 097 762</v>
      </c>
      <c r="E476" s="164" t="str">
        <f>IFERROR(__xludf.DUMMYFUNCTION("""COMPUTED_VALUE"""),"L")</f>
        <v>L</v>
      </c>
      <c r="F476" s="133" t="str">
        <f>IFERROR(__xludf.DUMMYFUNCTION("""COMPUTED_VALUE"""),"TL28420RUL")</f>
        <v>TL28420RUL</v>
      </c>
      <c r="G476" s="165">
        <f>IFERROR(__xludf.DUMMYFUNCTION("""COMPUTED_VALUE"""),407.0)</f>
        <v>407</v>
      </c>
    </row>
    <row r="477" ht="15.75" customHeight="1">
      <c r="A477" s="133" t="str">
        <f>IFERROR(__xludf.DUMMYFUNCTION("""COMPUTED_VALUE"""),"K19020RUOB")</f>
        <v>K19020RUOB</v>
      </c>
      <c r="B477" s="164">
        <f>IFERROR(__xludf.DUMMYFUNCTION("""COMPUTED_VALUE"""),1.3513496E7)</f>
        <v>13513496</v>
      </c>
      <c r="C477" s="164" t="str">
        <f>IFERROR(__xludf.DUMMYFUNCTION("""COMPUTED_VALUE"""),"1351349690-105")</f>
        <v>1351349690-105</v>
      </c>
      <c r="D477" s="164" t="str">
        <f>IFERROR(__xludf.DUMMYFUNCTION("""COMPUTED_VALUE"""),"14 097 762")</f>
        <v>14 097 762</v>
      </c>
      <c r="E477" s="164" t="str">
        <f>IFERROR(__xludf.DUMMYFUNCTION("""COMPUTED_VALUE"""),"90-105")</f>
        <v>90-105</v>
      </c>
      <c r="F477" s="133" t="str">
        <f>IFERROR(__xludf.DUMMYFUNCTION("""COMPUTED_VALUE"""),"K19020RUOB90-105")</f>
        <v>K19020RUOB90-105</v>
      </c>
      <c r="G477" s="165">
        <f>IFERROR(__xludf.DUMMYFUNCTION("""COMPUTED_VALUE"""),512.0)</f>
        <v>512</v>
      </c>
    </row>
    <row r="478" ht="15.75" customHeight="1">
      <c r="A478" s="133" t="str">
        <f>IFERROR(__xludf.DUMMYFUNCTION("""COMPUTED_VALUE"""),"K19020RUOB")</f>
        <v>K19020RUOB</v>
      </c>
      <c r="B478" s="164">
        <f>IFERROR(__xludf.DUMMYFUNCTION("""COMPUTED_VALUE"""),1.3513496E7)</f>
        <v>13513496</v>
      </c>
      <c r="C478" s="164" t="str">
        <f>IFERROR(__xludf.DUMMYFUNCTION("""COMPUTED_VALUE"""),"13513496110-115")</f>
        <v>13513496110-115</v>
      </c>
      <c r="D478" s="164" t="str">
        <f>IFERROR(__xludf.DUMMYFUNCTION("""COMPUTED_VALUE"""),"14 097 762")</f>
        <v>14 097 762</v>
      </c>
      <c r="E478" s="164" t="str">
        <f>IFERROR(__xludf.DUMMYFUNCTION("""COMPUTED_VALUE"""),"110-115")</f>
        <v>110-115</v>
      </c>
      <c r="F478" s="133" t="str">
        <f>IFERROR(__xludf.DUMMYFUNCTION("""COMPUTED_VALUE"""),"K19020RUOB110-115")</f>
        <v>K19020RUOB110-115</v>
      </c>
      <c r="G478" s="165">
        <f>IFERROR(__xludf.DUMMYFUNCTION("""COMPUTED_VALUE"""),512.0)</f>
        <v>512</v>
      </c>
    </row>
    <row r="479" ht="15.75" customHeight="1">
      <c r="A479" s="133" t="str">
        <f>IFERROR(__xludf.DUMMYFUNCTION("""COMPUTED_VALUE"""),"K19020RUOB")</f>
        <v>K19020RUOB</v>
      </c>
      <c r="B479" s="164">
        <f>IFERROR(__xludf.DUMMYFUNCTION("""COMPUTED_VALUE"""),1.3513496E7)</f>
        <v>13513496</v>
      </c>
      <c r="C479" s="164" t="str">
        <f>IFERROR(__xludf.DUMMYFUNCTION("""COMPUTED_VALUE"""),"13513496115-125")</f>
        <v>13513496115-125</v>
      </c>
      <c r="D479" s="164" t="str">
        <f>IFERROR(__xludf.DUMMYFUNCTION("""COMPUTED_VALUE"""),"14 097 762")</f>
        <v>14 097 762</v>
      </c>
      <c r="E479" s="164" t="str">
        <f>IFERROR(__xludf.DUMMYFUNCTION("""COMPUTED_VALUE"""),"115-125")</f>
        <v>115-125</v>
      </c>
      <c r="F479" s="133" t="str">
        <f>IFERROR(__xludf.DUMMYFUNCTION("""COMPUTED_VALUE"""),"K19020RUOB115-125")</f>
        <v>K19020RUOB115-125</v>
      </c>
      <c r="G479" s="165">
        <f>IFERROR(__xludf.DUMMYFUNCTION("""COMPUTED_VALUE"""),512.0)</f>
        <v>512</v>
      </c>
    </row>
    <row r="480" ht="15.75" customHeight="1">
      <c r="A480" s="133" t="str">
        <f>IFERROR(__xludf.DUMMYFUNCTION("""COMPUTED_VALUE"""),"K19020RUOB")</f>
        <v>K19020RUOB</v>
      </c>
      <c r="B480" s="164">
        <f>IFERROR(__xludf.DUMMYFUNCTION("""COMPUTED_VALUE"""),1.3513496E7)</f>
        <v>13513496</v>
      </c>
      <c r="C480" s="164" t="str">
        <f>IFERROR(__xludf.DUMMYFUNCTION("""COMPUTED_VALUE"""),"13513496130-135")</f>
        <v>13513496130-135</v>
      </c>
      <c r="D480" s="164" t="str">
        <f>IFERROR(__xludf.DUMMYFUNCTION("""COMPUTED_VALUE"""),"14 097 762")</f>
        <v>14 097 762</v>
      </c>
      <c r="E480" s="164" t="str">
        <f>IFERROR(__xludf.DUMMYFUNCTION("""COMPUTED_VALUE"""),"130-135")</f>
        <v>130-135</v>
      </c>
      <c r="F480" s="133" t="str">
        <f>IFERROR(__xludf.DUMMYFUNCTION("""COMPUTED_VALUE"""),"K19020RUOB130-135")</f>
        <v>K19020RUOB130-135</v>
      </c>
      <c r="G480" s="165">
        <f>IFERROR(__xludf.DUMMYFUNCTION("""COMPUTED_VALUE"""),512.0)</f>
        <v>512</v>
      </c>
    </row>
    <row r="481" ht="15.75" customHeight="1">
      <c r="A481" s="133" t="str">
        <f>IFERROR(__xludf.DUMMYFUNCTION("""COMPUTED_VALUE"""),"K19020RUOB")</f>
        <v>K19020RUOB</v>
      </c>
      <c r="B481" s="164">
        <f>IFERROR(__xludf.DUMMYFUNCTION("""COMPUTED_VALUE"""),1.3513496E7)</f>
        <v>13513496</v>
      </c>
      <c r="C481" s="164" t="str">
        <f>IFERROR(__xludf.DUMMYFUNCTION("""COMPUTED_VALUE"""),"13513496140-145")</f>
        <v>13513496140-145</v>
      </c>
      <c r="D481" s="164" t="str">
        <f>IFERROR(__xludf.DUMMYFUNCTION("""COMPUTED_VALUE"""),"14 097 762")</f>
        <v>14 097 762</v>
      </c>
      <c r="E481" s="164" t="str">
        <f>IFERROR(__xludf.DUMMYFUNCTION("""COMPUTED_VALUE"""),"140-145")</f>
        <v>140-145</v>
      </c>
      <c r="F481" s="133" t="str">
        <f>IFERROR(__xludf.DUMMYFUNCTION("""COMPUTED_VALUE"""),"K19020RUOB140-145")</f>
        <v>K19020RUOB140-145</v>
      </c>
      <c r="G481" s="165">
        <f>IFERROR(__xludf.DUMMYFUNCTION("""COMPUTED_VALUE"""),512.0)</f>
        <v>512</v>
      </c>
    </row>
    <row r="482" ht="15.75" customHeight="1">
      <c r="A482" s="133" t="str">
        <f>IFERROR(__xludf.DUMMYFUNCTION("""COMPUTED_VALUE"""),"K19020RUOB")</f>
        <v>K19020RUOB</v>
      </c>
      <c r="B482" s="164">
        <f>IFERROR(__xludf.DUMMYFUNCTION("""COMPUTED_VALUE"""),1.3513496E7)</f>
        <v>13513496</v>
      </c>
      <c r="C482" s="164" t="str">
        <f>IFERROR(__xludf.DUMMYFUNCTION("""COMPUTED_VALUE"""),"13513496S")</f>
        <v>13513496S</v>
      </c>
      <c r="D482" s="164" t="str">
        <f>IFERROR(__xludf.DUMMYFUNCTION("""COMPUTED_VALUE"""),"14 097 762")</f>
        <v>14 097 762</v>
      </c>
      <c r="E482" s="164" t="str">
        <f>IFERROR(__xludf.DUMMYFUNCTION("""COMPUTED_VALUE"""),"S")</f>
        <v>S</v>
      </c>
      <c r="F482" s="133" t="str">
        <f>IFERROR(__xludf.DUMMYFUNCTION("""COMPUTED_VALUE"""),"K19020RUOBS")</f>
        <v>K19020RUOBS</v>
      </c>
      <c r="G482" s="165">
        <f>IFERROR(__xludf.DUMMYFUNCTION("""COMPUTED_VALUE"""),512.0)</f>
        <v>512</v>
      </c>
    </row>
    <row r="483" ht="15.75" customHeight="1">
      <c r="A483" s="133" t="str">
        <f>IFERROR(__xludf.DUMMYFUNCTION("""COMPUTED_VALUE"""),"K19020RUOB")</f>
        <v>K19020RUOB</v>
      </c>
      <c r="B483" s="164">
        <f>IFERROR(__xludf.DUMMYFUNCTION("""COMPUTED_VALUE"""),1.3513496E7)</f>
        <v>13513496</v>
      </c>
      <c r="C483" s="164" t="str">
        <f>IFERROR(__xludf.DUMMYFUNCTION("""COMPUTED_VALUE"""),"13513496M")</f>
        <v>13513496M</v>
      </c>
      <c r="D483" s="164" t="str">
        <f>IFERROR(__xludf.DUMMYFUNCTION("""COMPUTED_VALUE"""),"14 097 762")</f>
        <v>14 097 762</v>
      </c>
      <c r="E483" s="164" t="str">
        <f>IFERROR(__xludf.DUMMYFUNCTION("""COMPUTED_VALUE"""),"M")</f>
        <v>M</v>
      </c>
      <c r="F483" s="133" t="str">
        <f>IFERROR(__xludf.DUMMYFUNCTION("""COMPUTED_VALUE"""),"K19020RUOBM")</f>
        <v>K19020RUOBM</v>
      </c>
      <c r="G483" s="165">
        <f>IFERROR(__xludf.DUMMYFUNCTION("""COMPUTED_VALUE"""),512.0)</f>
        <v>512</v>
      </c>
    </row>
    <row r="484" ht="15.75" customHeight="1">
      <c r="A484" s="133" t="str">
        <f>IFERROR(__xludf.DUMMYFUNCTION("""COMPUTED_VALUE"""),"K19020RUOB")</f>
        <v>K19020RUOB</v>
      </c>
      <c r="B484" s="164">
        <f>IFERROR(__xludf.DUMMYFUNCTION("""COMPUTED_VALUE"""),1.3513496E7)</f>
        <v>13513496</v>
      </c>
      <c r="C484" s="164" t="str">
        <f>IFERROR(__xludf.DUMMYFUNCTION("""COMPUTED_VALUE"""),"13513496L")</f>
        <v>13513496L</v>
      </c>
      <c r="D484" s="164" t="str">
        <f>IFERROR(__xludf.DUMMYFUNCTION("""COMPUTED_VALUE"""),"14 097 762")</f>
        <v>14 097 762</v>
      </c>
      <c r="E484" s="164" t="str">
        <f>IFERROR(__xludf.DUMMYFUNCTION("""COMPUTED_VALUE"""),"L")</f>
        <v>L</v>
      </c>
      <c r="F484" s="133" t="str">
        <f>IFERROR(__xludf.DUMMYFUNCTION("""COMPUTED_VALUE"""),"K19020RUOBL")</f>
        <v>K19020RUOBL</v>
      </c>
      <c r="G484" s="165">
        <f>IFERROR(__xludf.DUMMYFUNCTION("""COMPUTED_VALUE"""),512.0)</f>
        <v>512</v>
      </c>
    </row>
    <row r="485" ht="15.75" customHeight="1">
      <c r="A485" s="133" t="str">
        <f>IFERROR(__xludf.DUMMYFUNCTION("""COMPUTED_VALUE"""),"K19020RUOB")</f>
        <v>K19020RUOB</v>
      </c>
      <c r="B485" s="164">
        <f>IFERROR(__xludf.DUMMYFUNCTION("""COMPUTED_VALUE"""),1.3513496E7)</f>
        <v>13513496</v>
      </c>
      <c r="C485" s="164" t="str">
        <f>IFERROR(__xludf.DUMMYFUNCTION("""COMPUTED_VALUE"""),"13513496XL")</f>
        <v>13513496XL</v>
      </c>
      <c r="D485" s="164" t="str">
        <f>IFERROR(__xludf.DUMMYFUNCTION("""COMPUTED_VALUE"""),"14 097 762")</f>
        <v>14 097 762</v>
      </c>
      <c r="E485" s="164" t="str">
        <f>IFERROR(__xludf.DUMMYFUNCTION("""COMPUTED_VALUE"""),"XL")</f>
        <v>XL</v>
      </c>
      <c r="F485" s="133" t="str">
        <f>IFERROR(__xludf.DUMMYFUNCTION("""COMPUTED_VALUE"""),"K19020RUOBXL")</f>
        <v>K19020RUOBXL</v>
      </c>
      <c r="G485" s="165">
        <f>IFERROR(__xludf.DUMMYFUNCTION("""COMPUTED_VALUE"""),512.0)</f>
        <v>512</v>
      </c>
    </row>
    <row r="486" ht="15.75" customHeight="1">
      <c r="A486" s="133" t="str">
        <f>IFERROR(__xludf.DUMMYFUNCTION("""COMPUTED_VALUE"""),"K19120RUOB")</f>
        <v>K19120RUOB</v>
      </c>
      <c r="B486" s="164">
        <f>IFERROR(__xludf.DUMMYFUNCTION("""COMPUTED_VALUE"""),1.3513497E7)</f>
        <v>13513497</v>
      </c>
      <c r="C486" s="164" t="str">
        <f>IFERROR(__xludf.DUMMYFUNCTION("""COMPUTED_VALUE"""),"1351349790-105")</f>
        <v>1351349790-105</v>
      </c>
      <c r="D486" s="164" t="str">
        <f>IFERROR(__xludf.DUMMYFUNCTION("""COMPUTED_VALUE"""),"14 097 762")</f>
        <v>14 097 762</v>
      </c>
      <c r="E486" s="164" t="str">
        <f>IFERROR(__xludf.DUMMYFUNCTION("""COMPUTED_VALUE"""),"90-105")</f>
        <v>90-105</v>
      </c>
      <c r="F486" s="133" t="str">
        <f>IFERROR(__xludf.DUMMYFUNCTION("""COMPUTED_VALUE"""),"K19120RUOB90-105")</f>
        <v>K19120RUOB90-105</v>
      </c>
      <c r="G486" s="165">
        <f>IFERROR(__xludf.DUMMYFUNCTION("""COMPUTED_VALUE"""),583.0)</f>
        <v>583</v>
      </c>
    </row>
    <row r="487" ht="15.75" customHeight="1">
      <c r="A487" s="133" t="str">
        <f>IFERROR(__xludf.DUMMYFUNCTION("""COMPUTED_VALUE"""),"K19120RUOB")</f>
        <v>K19120RUOB</v>
      </c>
      <c r="B487" s="164">
        <f>IFERROR(__xludf.DUMMYFUNCTION("""COMPUTED_VALUE"""),1.3513497E7)</f>
        <v>13513497</v>
      </c>
      <c r="C487" s="164" t="str">
        <f>IFERROR(__xludf.DUMMYFUNCTION("""COMPUTED_VALUE"""),"13513497110-115")</f>
        <v>13513497110-115</v>
      </c>
      <c r="D487" s="164" t="str">
        <f>IFERROR(__xludf.DUMMYFUNCTION("""COMPUTED_VALUE"""),"14 097 762")</f>
        <v>14 097 762</v>
      </c>
      <c r="E487" s="164" t="str">
        <f>IFERROR(__xludf.DUMMYFUNCTION("""COMPUTED_VALUE"""),"110-115")</f>
        <v>110-115</v>
      </c>
      <c r="F487" s="133" t="str">
        <f>IFERROR(__xludf.DUMMYFUNCTION("""COMPUTED_VALUE"""),"K19120RUOB110-115")</f>
        <v>K19120RUOB110-115</v>
      </c>
      <c r="G487" s="165">
        <f>IFERROR(__xludf.DUMMYFUNCTION("""COMPUTED_VALUE"""),583.0)</f>
        <v>583</v>
      </c>
    </row>
    <row r="488" ht="15.75" customHeight="1">
      <c r="A488" s="133" t="str">
        <f>IFERROR(__xludf.DUMMYFUNCTION("""COMPUTED_VALUE"""),"K19120RUOB")</f>
        <v>K19120RUOB</v>
      </c>
      <c r="B488" s="164">
        <f>IFERROR(__xludf.DUMMYFUNCTION("""COMPUTED_VALUE"""),1.3513497E7)</f>
        <v>13513497</v>
      </c>
      <c r="C488" s="164" t="str">
        <f>IFERROR(__xludf.DUMMYFUNCTION("""COMPUTED_VALUE"""),"13513497115-125")</f>
        <v>13513497115-125</v>
      </c>
      <c r="D488" s="164" t="str">
        <f>IFERROR(__xludf.DUMMYFUNCTION("""COMPUTED_VALUE"""),"14 097 762")</f>
        <v>14 097 762</v>
      </c>
      <c r="E488" s="164" t="str">
        <f>IFERROR(__xludf.DUMMYFUNCTION("""COMPUTED_VALUE"""),"115-125")</f>
        <v>115-125</v>
      </c>
      <c r="F488" s="133" t="str">
        <f>IFERROR(__xludf.DUMMYFUNCTION("""COMPUTED_VALUE"""),"K19120RUOB115-125")</f>
        <v>K19120RUOB115-125</v>
      </c>
      <c r="G488" s="165">
        <f>IFERROR(__xludf.DUMMYFUNCTION("""COMPUTED_VALUE"""),583.0)</f>
        <v>583</v>
      </c>
    </row>
    <row r="489" ht="15.75" customHeight="1">
      <c r="A489" s="133" t="str">
        <f>IFERROR(__xludf.DUMMYFUNCTION("""COMPUTED_VALUE"""),"K19120RUOB")</f>
        <v>K19120RUOB</v>
      </c>
      <c r="B489" s="164">
        <f>IFERROR(__xludf.DUMMYFUNCTION("""COMPUTED_VALUE"""),1.3513497E7)</f>
        <v>13513497</v>
      </c>
      <c r="C489" s="164" t="str">
        <f>IFERROR(__xludf.DUMMYFUNCTION("""COMPUTED_VALUE"""),"13513497130-135")</f>
        <v>13513497130-135</v>
      </c>
      <c r="D489" s="164" t="str">
        <f>IFERROR(__xludf.DUMMYFUNCTION("""COMPUTED_VALUE"""),"14 097 762")</f>
        <v>14 097 762</v>
      </c>
      <c r="E489" s="164" t="str">
        <f>IFERROR(__xludf.DUMMYFUNCTION("""COMPUTED_VALUE"""),"130-135")</f>
        <v>130-135</v>
      </c>
      <c r="F489" s="133" t="str">
        <f>IFERROR(__xludf.DUMMYFUNCTION("""COMPUTED_VALUE"""),"K19120RUOB130-135")</f>
        <v>K19120RUOB130-135</v>
      </c>
      <c r="G489" s="165">
        <f>IFERROR(__xludf.DUMMYFUNCTION("""COMPUTED_VALUE"""),583.0)</f>
        <v>583</v>
      </c>
    </row>
    <row r="490" ht="15.75" customHeight="1">
      <c r="A490" s="133" t="str">
        <f>IFERROR(__xludf.DUMMYFUNCTION("""COMPUTED_VALUE"""),"K19120RUOB")</f>
        <v>K19120RUOB</v>
      </c>
      <c r="B490" s="164">
        <f>IFERROR(__xludf.DUMMYFUNCTION("""COMPUTED_VALUE"""),1.3513497E7)</f>
        <v>13513497</v>
      </c>
      <c r="C490" s="164" t="str">
        <f>IFERROR(__xludf.DUMMYFUNCTION("""COMPUTED_VALUE"""),"13513497140-145")</f>
        <v>13513497140-145</v>
      </c>
      <c r="D490" s="164" t="str">
        <f>IFERROR(__xludf.DUMMYFUNCTION("""COMPUTED_VALUE"""),"14 097 762")</f>
        <v>14 097 762</v>
      </c>
      <c r="E490" s="164" t="str">
        <f>IFERROR(__xludf.DUMMYFUNCTION("""COMPUTED_VALUE"""),"140-145")</f>
        <v>140-145</v>
      </c>
      <c r="F490" s="133" t="str">
        <f>IFERROR(__xludf.DUMMYFUNCTION("""COMPUTED_VALUE"""),"K19120RUOB140-145")</f>
        <v>K19120RUOB140-145</v>
      </c>
      <c r="G490" s="165">
        <f>IFERROR(__xludf.DUMMYFUNCTION("""COMPUTED_VALUE"""),583.0)</f>
        <v>583</v>
      </c>
    </row>
    <row r="491" ht="15.75" customHeight="1">
      <c r="A491" s="133" t="str">
        <f>IFERROR(__xludf.DUMMYFUNCTION("""COMPUTED_VALUE"""),"K19120RUOB")</f>
        <v>K19120RUOB</v>
      </c>
      <c r="B491" s="164">
        <f>IFERROR(__xludf.DUMMYFUNCTION("""COMPUTED_VALUE"""),1.3513497E7)</f>
        <v>13513497</v>
      </c>
      <c r="C491" s="164" t="str">
        <f>IFERROR(__xludf.DUMMYFUNCTION("""COMPUTED_VALUE"""),"13513497S")</f>
        <v>13513497S</v>
      </c>
      <c r="D491" s="164" t="str">
        <f>IFERROR(__xludf.DUMMYFUNCTION("""COMPUTED_VALUE"""),"14 097 762")</f>
        <v>14 097 762</v>
      </c>
      <c r="E491" s="164" t="str">
        <f>IFERROR(__xludf.DUMMYFUNCTION("""COMPUTED_VALUE"""),"S")</f>
        <v>S</v>
      </c>
      <c r="F491" s="133" t="str">
        <f>IFERROR(__xludf.DUMMYFUNCTION("""COMPUTED_VALUE"""),"K19120RUOBS")</f>
        <v>K19120RUOBS</v>
      </c>
      <c r="G491" s="165">
        <f>IFERROR(__xludf.DUMMYFUNCTION("""COMPUTED_VALUE"""),583.0)</f>
        <v>583</v>
      </c>
    </row>
    <row r="492" ht="15.75" customHeight="1">
      <c r="A492" s="133" t="str">
        <f>IFERROR(__xludf.DUMMYFUNCTION("""COMPUTED_VALUE"""),"K19120RUOB")</f>
        <v>K19120RUOB</v>
      </c>
      <c r="B492" s="164">
        <f>IFERROR(__xludf.DUMMYFUNCTION("""COMPUTED_VALUE"""),1.3513497E7)</f>
        <v>13513497</v>
      </c>
      <c r="C492" s="164" t="str">
        <f>IFERROR(__xludf.DUMMYFUNCTION("""COMPUTED_VALUE"""),"13513497M")</f>
        <v>13513497M</v>
      </c>
      <c r="D492" s="164" t="str">
        <f>IFERROR(__xludf.DUMMYFUNCTION("""COMPUTED_VALUE"""),"14 097 762")</f>
        <v>14 097 762</v>
      </c>
      <c r="E492" s="164" t="str">
        <f>IFERROR(__xludf.DUMMYFUNCTION("""COMPUTED_VALUE"""),"M")</f>
        <v>M</v>
      </c>
      <c r="F492" s="133" t="str">
        <f>IFERROR(__xludf.DUMMYFUNCTION("""COMPUTED_VALUE"""),"K19120RUOBM")</f>
        <v>K19120RUOBM</v>
      </c>
      <c r="G492" s="165">
        <f>IFERROR(__xludf.DUMMYFUNCTION("""COMPUTED_VALUE"""),583.0)</f>
        <v>583</v>
      </c>
    </row>
    <row r="493" ht="15.75" customHeight="1">
      <c r="A493" s="133" t="str">
        <f>IFERROR(__xludf.DUMMYFUNCTION("""COMPUTED_VALUE"""),"K19120RUOB")</f>
        <v>K19120RUOB</v>
      </c>
      <c r="B493" s="164">
        <f>IFERROR(__xludf.DUMMYFUNCTION("""COMPUTED_VALUE"""),1.3513497E7)</f>
        <v>13513497</v>
      </c>
      <c r="C493" s="164" t="str">
        <f>IFERROR(__xludf.DUMMYFUNCTION("""COMPUTED_VALUE"""),"13513497L")</f>
        <v>13513497L</v>
      </c>
      <c r="D493" s="164" t="str">
        <f>IFERROR(__xludf.DUMMYFUNCTION("""COMPUTED_VALUE"""),"14 097 762")</f>
        <v>14 097 762</v>
      </c>
      <c r="E493" s="164" t="str">
        <f>IFERROR(__xludf.DUMMYFUNCTION("""COMPUTED_VALUE"""),"L")</f>
        <v>L</v>
      </c>
      <c r="F493" s="133" t="str">
        <f>IFERROR(__xludf.DUMMYFUNCTION("""COMPUTED_VALUE"""),"K19120RUOBL")</f>
        <v>K19120RUOBL</v>
      </c>
      <c r="G493" s="165">
        <f>IFERROR(__xludf.DUMMYFUNCTION("""COMPUTED_VALUE"""),583.0)</f>
        <v>583</v>
      </c>
    </row>
    <row r="494" ht="15.75" customHeight="1">
      <c r="A494" s="133" t="str">
        <f>IFERROR(__xludf.DUMMYFUNCTION("""COMPUTED_VALUE"""),"K19120RUOB")</f>
        <v>K19120RUOB</v>
      </c>
      <c r="B494" s="164">
        <f>IFERROR(__xludf.DUMMYFUNCTION("""COMPUTED_VALUE"""),1.3513497E7)</f>
        <v>13513497</v>
      </c>
      <c r="C494" s="164" t="str">
        <f>IFERROR(__xludf.DUMMYFUNCTION("""COMPUTED_VALUE"""),"13513497XL")</f>
        <v>13513497XL</v>
      </c>
      <c r="D494" s="164" t="str">
        <f>IFERROR(__xludf.DUMMYFUNCTION("""COMPUTED_VALUE"""),"14 097 762")</f>
        <v>14 097 762</v>
      </c>
      <c r="E494" s="164" t="str">
        <f>IFERROR(__xludf.DUMMYFUNCTION("""COMPUTED_VALUE"""),"XL")</f>
        <v>XL</v>
      </c>
      <c r="F494" s="133" t="str">
        <f>IFERROR(__xludf.DUMMYFUNCTION("""COMPUTED_VALUE"""),"K19120RUOBXL")</f>
        <v>K19120RUOBXL</v>
      </c>
      <c r="G494" s="165">
        <f>IFERROR(__xludf.DUMMYFUNCTION("""COMPUTED_VALUE"""),583.0)</f>
        <v>583</v>
      </c>
    </row>
    <row r="495" ht="15.75" customHeight="1">
      <c r="A495" s="133" t="str">
        <f>IFERROR(__xludf.DUMMYFUNCTION("""COMPUTED_VALUE"""),"K19220RUOB")</f>
        <v>K19220RUOB</v>
      </c>
      <c r="B495" s="164">
        <f>IFERROR(__xludf.DUMMYFUNCTION("""COMPUTED_VALUE"""),1.3513498E7)</f>
        <v>13513498</v>
      </c>
      <c r="C495" s="164" t="str">
        <f>IFERROR(__xludf.DUMMYFUNCTION("""COMPUTED_VALUE"""),"1351349890-105")</f>
        <v>1351349890-105</v>
      </c>
      <c r="D495" s="164" t="str">
        <f>IFERROR(__xludf.DUMMYFUNCTION("""COMPUTED_VALUE"""),"14 097 762")</f>
        <v>14 097 762</v>
      </c>
      <c r="E495" s="164" t="str">
        <f>IFERROR(__xludf.DUMMYFUNCTION("""COMPUTED_VALUE"""),"90-105")</f>
        <v>90-105</v>
      </c>
      <c r="F495" s="133" t="str">
        <f>IFERROR(__xludf.DUMMYFUNCTION("""COMPUTED_VALUE"""),"K19220RUOB90-105")</f>
        <v>K19220RUOB90-105</v>
      </c>
      <c r="G495" s="165">
        <f>IFERROR(__xludf.DUMMYFUNCTION("""COMPUTED_VALUE"""),537.0)</f>
        <v>537</v>
      </c>
    </row>
    <row r="496" ht="15.75" customHeight="1">
      <c r="A496" s="133" t="str">
        <f>IFERROR(__xludf.DUMMYFUNCTION("""COMPUTED_VALUE"""),"K19220RUOB")</f>
        <v>K19220RUOB</v>
      </c>
      <c r="B496" s="164">
        <f>IFERROR(__xludf.DUMMYFUNCTION("""COMPUTED_VALUE"""),1.3513498E7)</f>
        <v>13513498</v>
      </c>
      <c r="C496" s="164" t="str">
        <f>IFERROR(__xludf.DUMMYFUNCTION("""COMPUTED_VALUE"""),"13513498110-115")</f>
        <v>13513498110-115</v>
      </c>
      <c r="D496" s="164" t="str">
        <f>IFERROR(__xludf.DUMMYFUNCTION("""COMPUTED_VALUE"""),"14 097 762")</f>
        <v>14 097 762</v>
      </c>
      <c r="E496" s="164" t="str">
        <f>IFERROR(__xludf.DUMMYFUNCTION("""COMPUTED_VALUE"""),"110-115")</f>
        <v>110-115</v>
      </c>
      <c r="F496" s="133" t="str">
        <f>IFERROR(__xludf.DUMMYFUNCTION("""COMPUTED_VALUE"""),"K19220RUOB110-115")</f>
        <v>K19220RUOB110-115</v>
      </c>
      <c r="G496" s="165">
        <f>IFERROR(__xludf.DUMMYFUNCTION("""COMPUTED_VALUE"""),537.0)</f>
        <v>537</v>
      </c>
    </row>
    <row r="497" ht="15.75" customHeight="1">
      <c r="A497" s="133" t="str">
        <f>IFERROR(__xludf.DUMMYFUNCTION("""COMPUTED_VALUE"""),"K19220RUOB")</f>
        <v>K19220RUOB</v>
      </c>
      <c r="B497" s="164">
        <f>IFERROR(__xludf.DUMMYFUNCTION("""COMPUTED_VALUE"""),1.3513498E7)</f>
        <v>13513498</v>
      </c>
      <c r="C497" s="164" t="str">
        <f>IFERROR(__xludf.DUMMYFUNCTION("""COMPUTED_VALUE"""),"13513498115-125")</f>
        <v>13513498115-125</v>
      </c>
      <c r="D497" s="164" t="str">
        <f>IFERROR(__xludf.DUMMYFUNCTION("""COMPUTED_VALUE"""),"14 097 762")</f>
        <v>14 097 762</v>
      </c>
      <c r="E497" s="164" t="str">
        <f>IFERROR(__xludf.DUMMYFUNCTION("""COMPUTED_VALUE"""),"115-125")</f>
        <v>115-125</v>
      </c>
      <c r="F497" s="133" t="str">
        <f>IFERROR(__xludf.DUMMYFUNCTION("""COMPUTED_VALUE"""),"K19220RUOB115-125")</f>
        <v>K19220RUOB115-125</v>
      </c>
      <c r="G497" s="165">
        <f>IFERROR(__xludf.DUMMYFUNCTION("""COMPUTED_VALUE"""),537.0)</f>
        <v>537</v>
      </c>
    </row>
    <row r="498" ht="15.75" customHeight="1">
      <c r="A498" s="133" t="str">
        <f>IFERROR(__xludf.DUMMYFUNCTION("""COMPUTED_VALUE"""),"K19220RUOB")</f>
        <v>K19220RUOB</v>
      </c>
      <c r="B498" s="164">
        <f>IFERROR(__xludf.DUMMYFUNCTION("""COMPUTED_VALUE"""),1.3513498E7)</f>
        <v>13513498</v>
      </c>
      <c r="C498" s="164" t="str">
        <f>IFERROR(__xludf.DUMMYFUNCTION("""COMPUTED_VALUE"""),"13513498130-135")</f>
        <v>13513498130-135</v>
      </c>
      <c r="D498" s="164" t="str">
        <f>IFERROR(__xludf.DUMMYFUNCTION("""COMPUTED_VALUE"""),"14 097 762")</f>
        <v>14 097 762</v>
      </c>
      <c r="E498" s="164" t="str">
        <f>IFERROR(__xludf.DUMMYFUNCTION("""COMPUTED_VALUE"""),"130-135")</f>
        <v>130-135</v>
      </c>
      <c r="F498" s="133" t="str">
        <f>IFERROR(__xludf.DUMMYFUNCTION("""COMPUTED_VALUE"""),"K19220RUOB130-135")</f>
        <v>K19220RUOB130-135</v>
      </c>
      <c r="G498" s="165">
        <f>IFERROR(__xludf.DUMMYFUNCTION("""COMPUTED_VALUE"""),537.0)</f>
        <v>537</v>
      </c>
    </row>
    <row r="499" ht="15.75" customHeight="1">
      <c r="A499" s="133" t="str">
        <f>IFERROR(__xludf.DUMMYFUNCTION("""COMPUTED_VALUE"""),"K19220RUOB")</f>
        <v>K19220RUOB</v>
      </c>
      <c r="B499" s="164">
        <f>IFERROR(__xludf.DUMMYFUNCTION("""COMPUTED_VALUE"""),1.3513498E7)</f>
        <v>13513498</v>
      </c>
      <c r="C499" s="164" t="str">
        <f>IFERROR(__xludf.DUMMYFUNCTION("""COMPUTED_VALUE"""),"13513498140-145")</f>
        <v>13513498140-145</v>
      </c>
      <c r="D499" s="164" t="str">
        <f>IFERROR(__xludf.DUMMYFUNCTION("""COMPUTED_VALUE"""),"14 097 762")</f>
        <v>14 097 762</v>
      </c>
      <c r="E499" s="164" t="str">
        <f>IFERROR(__xludf.DUMMYFUNCTION("""COMPUTED_VALUE"""),"140-145")</f>
        <v>140-145</v>
      </c>
      <c r="F499" s="133" t="str">
        <f>IFERROR(__xludf.DUMMYFUNCTION("""COMPUTED_VALUE"""),"K19220RUOB140-145")</f>
        <v>K19220RUOB140-145</v>
      </c>
      <c r="G499" s="165">
        <f>IFERROR(__xludf.DUMMYFUNCTION("""COMPUTED_VALUE"""),537.0)</f>
        <v>537</v>
      </c>
    </row>
    <row r="500" ht="15.75" customHeight="1">
      <c r="A500" s="133" t="str">
        <f>IFERROR(__xludf.DUMMYFUNCTION("""COMPUTED_VALUE"""),"K19220RUOB")</f>
        <v>K19220RUOB</v>
      </c>
      <c r="B500" s="164">
        <f>IFERROR(__xludf.DUMMYFUNCTION("""COMPUTED_VALUE"""),1.3513498E7)</f>
        <v>13513498</v>
      </c>
      <c r="C500" s="164" t="str">
        <f>IFERROR(__xludf.DUMMYFUNCTION("""COMPUTED_VALUE"""),"13513498S")</f>
        <v>13513498S</v>
      </c>
      <c r="D500" s="164" t="str">
        <f>IFERROR(__xludf.DUMMYFUNCTION("""COMPUTED_VALUE"""),"14 097 762")</f>
        <v>14 097 762</v>
      </c>
      <c r="E500" s="164" t="str">
        <f>IFERROR(__xludf.DUMMYFUNCTION("""COMPUTED_VALUE"""),"S")</f>
        <v>S</v>
      </c>
      <c r="F500" s="133" t="str">
        <f>IFERROR(__xludf.DUMMYFUNCTION("""COMPUTED_VALUE"""),"K19220RUOBS")</f>
        <v>K19220RUOBS</v>
      </c>
      <c r="G500" s="165">
        <f>IFERROR(__xludf.DUMMYFUNCTION("""COMPUTED_VALUE"""),537.0)</f>
        <v>537</v>
      </c>
    </row>
    <row r="501" ht="15.75" customHeight="1">
      <c r="A501" s="133" t="str">
        <f>IFERROR(__xludf.DUMMYFUNCTION("""COMPUTED_VALUE"""),"K19220RUOB")</f>
        <v>K19220RUOB</v>
      </c>
      <c r="B501" s="164">
        <f>IFERROR(__xludf.DUMMYFUNCTION("""COMPUTED_VALUE"""),1.3513498E7)</f>
        <v>13513498</v>
      </c>
      <c r="C501" s="164" t="str">
        <f>IFERROR(__xludf.DUMMYFUNCTION("""COMPUTED_VALUE"""),"13513498M")</f>
        <v>13513498M</v>
      </c>
      <c r="D501" s="164" t="str">
        <f>IFERROR(__xludf.DUMMYFUNCTION("""COMPUTED_VALUE"""),"14 097 762")</f>
        <v>14 097 762</v>
      </c>
      <c r="E501" s="164" t="str">
        <f>IFERROR(__xludf.DUMMYFUNCTION("""COMPUTED_VALUE"""),"M")</f>
        <v>M</v>
      </c>
      <c r="F501" s="133" t="str">
        <f>IFERROR(__xludf.DUMMYFUNCTION("""COMPUTED_VALUE"""),"K19220RUOBM")</f>
        <v>K19220RUOBM</v>
      </c>
      <c r="G501" s="165">
        <f>IFERROR(__xludf.DUMMYFUNCTION("""COMPUTED_VALUE"""),537.0)</f>
        <v>537</v>
      </c>
    </row>
    <row r="502" ht="15.75" customHeight="1">
      <c r="A502" s="133" t="str">
        <f>IFERROR(__xludf.DUMMYFUNCTION("""COMPUTED_VALUE"""),"K19220RUOB")</f>
        <v>K19220RUOB</v>
      </c>
      <c r="B502" s="164">
        <f>IFERROR(__xludf.DUMMYFUNCTION("""COMPUTED_VALUE"""),1.3513498E7)</f>
        <v>13513498</v>
      </c>
      <c r="C502" s="164" t="str">
        <f>IFERROR(__xludf.DUMMYFUNCTION("""COMPUTED_VALUE"""),"13513498L")</f>
        <v>13513498L</v>
      </c>
      <c r="D502" s="164" t="str">
        <f>IFERROR(__xludf.DUMMYFUNCTION("""COMPUTED_VALUE"""),"14 097 762")</f>
        <v>14 097 762</v>
      </c>
      <c r="E502" s="164" t="str">
        <f>IFERROR(__xludf.DUMMYFUNCTION("""COMPUTED_VALUE"""),"L")</f>
        <v>L</v>
      </c>
      <c r="F502" s="133" t="str">
        <f>IFERROR(__xludf.DUMMYFUNCTION("""COMPUTED_VALUE"""),"K19220RUOBL")</f>
        <v>K19220RUOBL</v>
      </c>
      <c r="G502" s="165">
        <f>IFERROR(__xludf.DUMMYFUNCTION("""COMPUTED_VALUE"""),537.0)</f>
        <v>537</v>
      </c>
    </row>
    <row r="503" ht="15.75" customHeight="1">
      <c r="A503" s="133" t="str">
        <f>IFERROR(__xludf.DUMMYFUNCTION("""COMPUTED_VALUE"""),"K19220RUOB")</f>
        <v>K19220RUOB</v>
      </c>
      <c r="B503" s="164">
        <f>IFERROR(__xludf.DUMMYFUNCTION("""COMPUTED_VALUE"""),1.3513498E7)</f>
        <v>13513498</v>
      </c>
      <c r="C503" s="164" t="str">
        <f>IFERROR(__xludf.DUMMYFUNCTION("""COMPUTED_VALUE"""),"13513498XL")</f>
        <v>13513498XL</v>
      </c>
      <c r="D503" s="164" t="str">
        <f>IFERROR(__xludf.DUMMYFUNCTION("""COMPUTED_VALUE"""),"14 097 762")</f>
        <v>14 097 762</v>
      </c>
      <c r="E503" s="164" t="str">
        <f>IFERROR(__xludf.DUMMYFUNCTION("""COMPUTED_VALUE"""),"XL")</f>
        <v>XL</v>
      </c>
      <c r="F503" s="133" t="str">
        <f>IFERROR(__xludf.DUMMYFUNCTION("""COMPUTED_VALUE"""),"K19220RUOBXL")</f>
        <v>K19220RUOBXL</v>
      </c>
      <c r="G503" s="165">
        <f>IFERROR(__xludf.DUMMYFUNCTION("""COMPUTED_VALUE"""),537.0)</f>
        <v>537</v>
      </c>
    </row>
    <row r="504" ht="15.75" customHeight="1">
      <c r="A504" s="133" t="str">
        <f>IFERROR(__xludf.DUMMYFUNCTION("""COMPUTED_VALUE"""),"K19320RUOB")</f>
        <v>K19320RUOB</v>
      </c>
      <c r="B504" s="164">
        <f>IFERROR(__xludf.DUMMYFUNCTION("""COMPUTED_VALUE"""),1.3513499E7)</f>
        <v>13513499</v>
      </c>
      <c r="C504" s="164" t="str">
        <f>IFERROR(__xludf.DUMMYFUNCTION("""COMPUTED_VALUE"""),"1351349990-105")</f>
        <v>1351349990-105</v>
      </c>
      <c r="D504" s="164" t="str">
        <f>IFERROR(__xludf.DUMMYFUNCTION("""COMPUTED_VALUE"""),"14 097 762")</f>
        <v>14 097 762</v>
      </c>
      <c r="E504" s="164" t="str">
        <f>IFERROR(__xludf.DUMMYFUNCTION("""COMPUTED_VALUE"""),"90-105")</f>
        <v>90-105</v>
      </c>
      <c r="F504" s="133" t="str">
        <f>IFERROR(__xludf.DUMMYFUNCTION("""COMPUTED_VALUE"""),"K19320RUOB90-105")</f>
        <v>K19320RUOB90-105</v>
      </c>
      <c r="G504" s="165">
        <f>IFERROR(__xludf.DUMMYFUNCTION("""COMPUTED_VALUE"""),655.0)</f>
        <v>655</v>
      </c>
    </row>
    <row r="505" ht="15.75" customHeight="1">
      <c r="A505" s="133" t="str">
        <f>IFERROR(__xludf.DUMMYFUNCTION("""COMPUTED_VALUE"""),"K19320RUOB")</f>
        <v>K19320RUOB</v>
      </c>
      <c r="B505" s="164">
        <f>IFERROR(__xludf.DUMMYFUNCTION("""COMPUTED_VALUE"""),1.3513499E7)</f>
        <v>13513499</v>
      </c>
      <c r="C505" s="164" t="str">
        <f>IFERROR(__xludf.DUMMYFUNCTION("""COMPUTED_VALUE"""),"13513499110-115")</f>
        <v>13513499110-115</v>
      </c>
      <c r="D505" s="164" t="str">
        <f>IFERROR(__xludf.DUMMYFUNCTION("""COMPUTED_VALUE"""),"14 097 762")</f>
        <v>14 097 762</v>
      </c>
      <c r="E505" s="164" t="str">
        <f>IFERROR(__xludf.DUMMYFUNCTION("""COMPUTED_VALUE"""),"110-115")</f>
        <v>110-115</v>
      </c>
      <c r="F505" s="133" t="str">
        <f>IFERROR(__xludf.DUMMYFUNCTION("""COMPUTED_VALUE"""),"K19320RUOB110-115")</f>
        <v>K19320RUOB110-115</v>
      </c>
      <c r="G505" s="165">
        <f>IFERROR(__xludf.DUMMYFUNCTION("""COMPUTED_VALUE"""),655.0)</f>
        <v>655</v>
      </c>
    </row>
    <row r="506" ht="15.75" customHeight="1">
      <c r="A506" s="133" t="str">
        <f>IFERROR(__xludf.DUMMYFUNCTION("""COMPUTED_VALUE"""),"K19320RUOB")</f>
        <v>K19320RUOB</v>
      </c>
      <c r="B506" s="164">
        <f>IFERROR(__xludf.DUMMYFUNCTION("""COMPUTED_VALUE"""),1.3513499E7)</f>
        <v>13513499</v>
      </c>
      <c r="C506" s="164" t="str">
        <f>IFERROR(__xludf.DUMMYFUNCTION("""COMPUTED_VALUE"""),"13513499115-125")</f>
        <v>13513499115-125</v>
      </c>
      <c r="D506" s="164" t="str">
        <f>IFERROR(__xludf.DUMMYFUNCTION("""COMPUTED_VALUE"""),"14 097 762")</f>
        <v>14 097 762</v>
      </c>
      <c r="E506" s="164" t="str">
        <f>IFERROR(__xludf.DUMMYFUNCTION("""COMPUTED_VALUE"""),"115-125")</f>
        <v>115-125</v>
      </c>
      <c r="F506" s="133" t="str">
        <f>IFERROR(__xludf.DUMMYFUNCTION("""COMPUTED_VALUE"""),"K19320RUOB115-125")</f>
        <v>K19320RUOB115-125</v>
      </c>
      <c r="G506" s="165">
        <f>IFERROR(__xludf.DUMMYFUNCTION("""COMPUTED_VALUE"""),655.0)</f>
        <v>655</v>
      </c>
    </row>
    <row r="507" ht="15.75" customHeight="1">
      <c r="A507" s="133" t="str">
        <f>IFERROR(__xludf.DUMMYFUNCTION("""COMPUTED_VALUE"""),"K19320RUOB")</f>
        <v>K19320RUOB</v>
      </c>
      <c r="B507" s="164">
        <f>IFERROR(__xludf.DUMMYFUNCTION("""COMPUTED_VALUE"""),1.3513499E7)</f>
        <v>13513499</v>
      </c>
      <c r="C507" s="164" t="str">
        <f>IFERROR(__xludf.DUMMYFUNCTION("""COMPUTED_VALUE"""),"13513499130-135")</f>
        <v>13513499130-135</v>
      </c>
      <c r="D507" s="164" t="str">
        <f>IFERROR(__xludf.DUMMYFUNCTION("""COMPUTED_VALUE"""),"14 097 762")</f>
        <v>14 097 762</v>
      </c>
      <c r="E507" s="164" t="str">
        <f>IFERROR(__xludf.DUMMYFUNCTION("""COMPUTED_VALUE"""),"130-135")</f>
        <v>130-135</v>
      </c>
      <c r="F507" s="133" t="str">
        <f>IFERROR(__xludf.DUMMYFUNCTION("""COMPUTED_VALUE"""),"K19320RUOB130-135")</f>
        <v>K19320RUOB130-135</v>
      </c>
      <c r="G507" s="165">
        <f>IFERROR(__xludf.DUMMYFUNCTION("""COMPUTED_VALUE"""),655.0)</f>
        <v>655</v>
      </c>
    </row>
    <row r="508" ht="15.75" customHeight="1">
      <c r="A508" s="133" t="str">
        <f>IFERROR(__xludf.DUMMYFUNCTION("""COMPUTED_VALUE"""),"K19320RUOB")</f>
        <v>K19320RUOB</v>
      </c>
      <c r="B508" s="164">
        <f>IFERROR(__xludf.DUMMYFUNCTION("""COMPUTED_VALUE"""),1.3513499E7)</f>
        <v>13513499</v>
      </c>
      <c r="C508" s="164" t="str">
        <f>IFERROR(__xludf.DUMMYFUNCTION("""COMPUTED_VALUE"""),"13513499140-145")</f>
        <v>13513499140-145</v>
      </c>
      <c r="D508" s="164" t="str">
        <f>IFERROR(__xludf.DUMMYFUNCTION("""COMPUTED_VALUE"""),"14 097 762")</f>
        <v>14 097 762</v>
      </c>
      <c r="E508" s="164" t="str">
        <f>IFERROR(__xludf.DUMMYFUNCTION("""COMPUTED_VALUE"""),"140-145")</f>
        <v>140-145</v>
      </c>
      <c r="F508" s="133" t="str">
        <f>IFERROR(__xludf.DUMMYFUNCTION("""COMPUTED_VALUE"""),"K19320RUOB140-145")</f>
        <v>K19320RUOB140-145</v>
      </c>
      <c r="G508" s="165">
        <f>IFERROR(__xludf.DUMMYFUNCTION("""COMPUTED_VALUE"""),655.0)</f>
        <v>655</v>
      </c>
    </row>
    <row r="509" ht="15.75" customHeight="1">
      <c r="A509" s="133" t="str">
        <f>IFERROR(__xludf.DUMMYFUNCTION("""COMPUTED_VALUE"""),"K19320RUOB")</f>
        <v>K19320RUOB</v>
      </c>
      <c r="B509" s="164">
        <f>IFERROR(__xludf.DUMMYFUNCTION("""COMPUTED_VALUE"""),1.3513499E7)</f>
        <v>13513499</v>
      </c>
      <c r="C509" s="164" t="str">
        <f>IFERROR(__xludf.DUMMYFUNCTION("""COMPUTED_VALUE"""),"13513499S")</f>
        <v>13513499S</v>
      </c>
      <c r="D509" s="164" t="str">
        <f>IFERROR(__xludf.DUMMYFUNCTION("""COMPUTED_VALUE"""),"14 097 762")</f>
        <v>14 097 762</v>
      </c>
      <c r="E509" s="164" t="str">
        <f>IFERROR(__xludf.DUMMYFUNCTION("""COMPUTED_VALUE"""),"S")</f>
        <v>S</v>
      </c>
      <c r="F509" s="133" t="str">
        <f>IFERROR(__xludf.DUMMYFUNCTION("""COMPUTED_VALUE"""),"K19320RUOBS")</f>
        <v>K19320RUOBS</v>
      </c>
      <c r="G509" s="165">
        <f>IFERROR(__xludf.DUMMYFUNCTION("""COMPUTED_VALUE"""),655.0)</f>
        <v>655</v>
      </c>
    </row>
    <row r="510" ht="15.75" customHeight="1">
      <c r="A510" s="133" t="str">
        <f>IFERROR(__xludf.DUMMYFUNCTION("""COMPUTED_VALUE"""),"K19320RUOB")</f>
        <v>K19320RUOB</v>
      </c>
      <c r="B510" s="164">
        <f>IFERROR(__xludf.DUMMYFUNCTION("""COMPUTED_VALUE"""),1.3513499E7)</f>
        <v>13513499</v>
      </c>
      <c r="C510" s="164" t="str">
        <f>IFERROR(__xludf.DUMMYFUNCTION("""COMPUTED_VALUE"""),"13513499M")</f>
        <v>13513499M</v>
      </c>
      <c r="D510" s="164" t="str">
        <f>IFERROR(__xludf.DUMMYFUNCTION("""COMPUTED_VALUE"""),"14 097 762")</f>
        <v>14 097 762</v>
      </c>
      <c r="E510" s="164" t="str">
        <f>IFERROR(__xludf.DUMMYFUNCTION("""COMPUTED_VALUE"""),"M")</f>
        <v>M</v>
      </c>
      <c r="F510" s="133" t="str">
        <f>IFERROR(__xludf.DUMMYFUNCTION("""COMPUTED_VALUE"""),"K19320RUOBM")</f>
        <v>K19320RUOBM</v>
      </c>
      <c r="G510" s="165">
        <f>IFERROR(__xludf.DUMMYFUNCTION("""COMPUTED_VALUE"""),655.0)</f>
        <v>655</v>
      </c>
    </row>
    <row r="511" ht="15.75" customHeight="1">
      <c r="A511" s="133" t="str">
        <f>IFERROR(__xludf.DUMMYFUNCTION("""COMPUTED_VALUE"""),"K19320RUOB")</f>
        <v>K19320RUOB</v>
      </c>
      <c r="B511" s="164">
        <f>IFERROR(__xludf.DUMMYFUNCTION("""COMPUTED_VALUE"""),1.3513499E7)</f>
        <v>13513499</v>
      </c>
      <c r="C511" s="164" t="str">
        <f>IFERROR(__xludf.DUMMYFUNCTION("""COMPUTED_VALUE"""),"13513499L")</f>
        <v>13513499L</v>
      </c>
      <c r="D511" s="164" t="str">
        <f>IFERROR(__xludf.DUMMYFUNCTION("""COMPUTED_VALUE"""),"14 097 762")</f>
        <v>14 097 762</v>
      </c>
      <c r="E511" s="164" t="str">
        <f>IFERROR(__xludf.DUMMYFUNCTION("""COMPUTED_VALUE"""),"L")</f>
        <v>L</v>
      </c>
      <c r="F511" s="133" t="str">
        <f>IFERROR(__xludf.DUMMYFUNCTION("""COMPUTED_VALUE"""),"K19320RUOBL")</f>
        <v>K19320RUOBL</v>
      </c>
      <c r="G511" s="165">
        <f>IFERROR(__xludf.DUMMYFUNCTION("""COMPUTED_VALUE"""),655.0)</f>
        <v>655</v>
      </c>
    </row>
    <row r="512" ht="15.75" customHeight="1">
      <c r="A512" s="133" t="str">
        <f>IFERROR(__xludf.DUMMYFUNCTION("""COMPUTED_VALUE"""),"K19320RUOB")</f>
        <v>K19320RUOB</v>
      </c>
      <c r="B512" s="164">
        <f>IFERROR(__xludf.DUMMYFUNCTION("""COMPUTED_VALUE"""),1.3513499E7)</f>
        <v>13513499</v>
      </c>
      <c r="C512" s="164" t="str">
        <f>IFERROR(__xludf.DUMMYFUNCTION("""COMPUTED_VALUE"""),"13513499XL")</f>
        <v>13513499XL</v>
      </c>
      <c r="D512" s="164" t="str">
        <f>IFERROR(__xludf.DUMMYFUNCTION("""COMPUTED_VALUE"""),"14 097 762")</f>
        <v>14 097 762</v>
      </c>
      <c r="E512" s="164" t="str">
        <f>IFERROR(__xludf.DUMMYFUNCTION("""COMPUTED_VALUE"""),"XL")</f>
        <v>XL</v>
      </c>
      <c r="F512" s="133" t="str">
        <f>IFERROR(__xludf.DUMMYFUNCTION("""COMPUTED_VALUE"""),"K19320RUOBXL")</f>
        <v>K19320RUOBXL</v>
      </c>
      <c r="G512" s="165">
        <f>IFERROR(__xludf.DUMMYFUNCTION("""COMPUTED_VALUE"""),655.0)</f>
        <v>655</v>
      </c>
    </row>
    <row r="513" ht="15.75" customHeight="1">
      <c r="A513" s="133" t="str">
        <f>IFERROR(__xludf.DUMMYFUNCTION("""COMPUTED_VALUE"""),"K19420RUOB")</f>
        <v>K19420RUOB</v>
      </c>
      <c r="B513" s="164">
        <f>IFERROR(__xludf.DUMMYFUNCTION("""COMPUTED_VALUE"""),1.35135E7)</f>
        <v>13513500</v>
      </c>
      <c r="C513" s="164" t="str">
        <f>IFERROR(__xludf.DUMMYFUNCTION("""COMPUTED_VALUE"""),"1351350090-105")</f>
        <v>1351350090-105</v>
      </c>
      <c r="D513" s="164" t="str">
        <f>IFERROR(__xludf.DUMMYFUNCTION("""COMPUTED_VALUE"""),"14 097 762")</f>
        <v>14 097 762</v>
      </c>
      <c r="E513" s="164" t="str">
        <f>IFERROR(__xludf.DUMMYFUNCTION("""COMPUTED_VALUE"""),"90-105")</f>
        <v>90-105</v>
      </c>
      <c r="F513" s="133" t="str">
        <f>IFERROR(__xludf.DUMMYFUNCTION("""COMPUTED_VALUE"""),"K19420RUOB90-105")</f>
        <v>K19420RUOB90-105</v>
      </c>
      <c r="G513" s="165">
        <f>IFERROR(__xludf.DUMMYFUNCTION("""COMPUTED_VALUE"""),525.0)</f>
        <v>525</v>
      </c>
    </row>
    <row r="514" ht="15.75" customHeight="1">
      <c r="A514" s="133" t="str">
        <f>IFERROR(__xludf.DUMMYFUNCTION("""COMPUTED_VALUE"""),"K19420RUOB")</f>
        <v>K19420RUOB</v>
      </c>
      <c r="B514" s="164">
        <f>IFERROR(__xludf.DUMMYFUNCTION("""COMPUTED_VALUE"""),1.35135E7)</f>
        <v>13513500</v>
      </c>
      <c r="C514" s="164" t="str">
        <f>IFERROR(__xludf.DUMMYFUNCTION("""COMPUTED_VALUE"""),"13513500110-115")</f>
        <v>13513500110-115</v>
      </c>
      <c r="D514" s="164" t="str">
        <f>IFERROR(__xludf.DUMMYFUNCTION("""COMPUTED_VALUE"""),"14 097 762")</f>
        <v>14 097 762</v>
      </c>
      <c r="E514" s="164" t="str">
        <f>IFERROR(__xludf.DUMMYFUNCTION("""COMPUTED_VALUE"""),"110-115")</f>
        <v>110-115</v>
      </c>
      <c r="F514" s="133" t="str">
        <f>IFERROR(__xludf.DUMMYFUNCTION("""COMPUTED_VALUE"""),"K19420RUOB110-115")</f>
        <v>K19420RUOB110-115</v>
      </c>
      <c r="G514" s="165">
        <f>IFERROR(__xludf.DUMMYFUNCTION("""COMPUTED_VALUE"""),525.0)</f>
        <v>525</v>
      </c>
    </row>
    <row r="515" ht="15.75" customHeight="1">
      <c r="A515" s="133" t="str">
        <f>IFERROR(__xludf.DUMMYFUNCTION("""COMPUTED_VALUE"""),"K19420RUOB")</f>
        <v>K19420RUOB</v>
      </c>
      <c r="B515" s="164">
        <f>IFERROR(__xludf.DUMMYFUNCTION("""COMPUTED_VALUE"""),1.35135E7)</f>
        <v>13513500</v>
      </c>
      <c r="C515" s="164" t="str">
        <f>IFERROR(__xludf.DUMMYFUNCTION("""COMPUTED_VALUE"""),"13513500115-125")</f>
        <v>13513500115-125</v>
      </c>
      <c r="D515" s="164" t="str">
        <f>IFERROR(__xludf.DUMMYFUNCTION("""COMPUTED_VALUE"""),"14 097 762")</f>
        <v>14 097 762</v>
      </c>
      <c r="E515" s="164" t="str">
        <f>IFERROR(__xludf.DUMMYFUNCTION("""COMPUTED_VALUE"""),"115-125")</f>
        <v>115-125</v>
      </c>
      <c r="F515" s="133" t="str">
        <f>IFERROR(__xludf.DUMMYFUNCTION("""COMPUTED_VALUE"""),"K19420RUOB115-125")</f>
        <v>K19420RUOB115-125</v>
      </c>
      <c r="G515" s="165">
        <f>IFERROR(__xludf.DUMMYFUNCTION("""COMPUTED_VALUE"""),525.0)</f>
        <v>525</v>
      </c>
    </row>
    <row r="516" ht="15.75" customHeight="1">
      <c r="A516" s="133" t="str">
        <f>IFERROR(__xludf.DUMMYFUNCTION("""COMPUTED_VALUE"""),"K19420RUOB")</f>
        <v>K19420RUOB</v>
      </c>
      <c r="B516" s="164">
        <f>IFERROR(__xludf.DUMMYFUNCTION("""COMPUTED_VALUE"""),1.35135E7)</f>
        <v>13513500</v>
      </c>
      <c r="C516" s="164" t="str">
        <f>IFERROR(__xludf.DUMMYFUNCTION("""COMPUTED_VALUE"""),"13513500130-135")</f>
        <v>13513500130-135</v>
      </c>
      <c r="D516" s="164" t="str">
        <f>IFERROR(__xludf.DUMMYFUNCTION("""COMPUTED_VALUE"""),"14 097 762")</f>
        <v>14 097 762</v>
      </c>
      <c r="E516" s="164" t="str">
        <f>IFERROR(__xludf.DUMMYFUNCTION("""COMPUTED_VALUE"""),"130-135")</f>
        <v>130-135</v>
      </c>
      <c r="F516" s="133" t="str">
        <f>IFERROR(__xludf.DUMMYFUNCTION("""COMPUTED_VALUE"""),"K19420RUOB130-135")</f>
        <v>K19420RUOB130-135</v>
      </c>
      <c r="G516" s="165">
        <f>IFERROR(__xludf.DUMMYFUNCTION("""COMPUTED_VALUE"""),525.0)</f>
        <v>525</v>
      </c>
    </row>
    <row r="517" ht="15.75" customHeight="1">
      <c r="A517" s="133" t="str">
        <f>IFERROR(__xludf.DUMMYFUNCTION("""COMPUTED_VALUE"""),"K19420RUOB")</f>
        <v>K19420RUOB</v>
      </c>
      <c r="B517" s="164">
        <f>IFERROR(__xludf.DUMMYFUNCTION("""COMPUTED_VALUE"""),1.35135E7)</f>
        <v>13513500</v>
      </c>
      <c r="C517" s="164" t="str">
        <f>IFERROR(__xludf.DUMMYFUNCTION("""COMPUTED_VALUE"""),"13513500140-145")</f>
        <v>13513500140-145</v>
      </c>
      <c r="D517" s="164" t="str">
        <f>IFERROR(__xludf.DUMMYFUNCTION("""COMPUTED_VALUE"""),"14 097 762")</f>
        <v>14 097 762</v>
      </c>
      <c r="E517" s="164" t="str">
        <f>IFERROR(__xludf.DUMMYFUNCTION("""COMPUTED_VALUE"""),"140-145")</f>
        <v>140-145</v>
      </c>
      <c r="F517" s="133" t="str">
        <f>IFERROR(__xludf.DUMMYFUNCTION("""COMPUTED_VALUE"""),"K19420RUOB140-145")</f>
        <v>K19420RUOB140-145</v>
      </c>
      <c r="G517" s="165">
        <f>IFERROR(__xludf.DUMMYFUNCTION("""COMPUTED_VALUE"""),525.0)</f>
        <v>525</v>
      </c>
    </row>
    <row r="518" ht="15.75" customHeight="1">
      <c r="A518" s="133" t="str">
        <f>IFERROR(__xludf.DUMMYFUNCTION("""COMPUTED_VALUE"""),"K19420RUOB")</f>
        <v>K19420RUOB</v>
      </c>
      <c r="B518" s="164">
        <f>IFERROR(__xludf.DUMMYFUNCTION("""COMPUTED_VALUE"""),1.35135E7)</f>
        <v>13513500</v>
      </c>
      <c r="C518" s="164" t="str">
        <f>IFERROR(__xludf.DUMMYFUNCTION("""COMPUTED_VALUE"""),"13513500S")</f>
        <v>13513500S</v>
      </c>
      <c r="D518" s="164" t="str">
        <f>IFERROR(__xludf.DUMMYFUNCTION("""COMPUTED_VALUE"""),"14 097 762")</f>
        <v>14 097 762</v>
      </c>
      <c r="E518" s="164" t="str">
        <f>IFERROR(__xludf.DUMMYFUNCTION("""COMPUTED_VALUE"""),"S")</f>
        <v>S</v>
      </c>
      <c r="F518" s="133" t="str">
        <f>IFERROR(__xludf.DUMMYFUNCTION("""COMPUTED_VALUE"""),"K19420RUOBS")</f>
        <v>K19420RUOBS</v>
      </c>
      <c r="G518" s="165">
        <f>IFERROR(__xludf.DUMMYFUNCTION("""COMPUTED_VALUE"""),525.0)</f>
        <v>525</v>
      </c>
    </row>
    <row r="519" ht="15.75" customHeight="1">
      <c r="A519" s="133" t="str">
        <f>IFERROR(__xludf.DUMMYFUNCTION("""COMPUTED_VALUE"""),"K19420RUOB")</f>
        <v>K19420RUOB</v>
      </c>
      <c r="B519" s="164">
        <f>IFERROR(__xludf.DUMMYFUNCTION("""COMPUTED_VALUE"""),1.35135E7)</f>
        <v>13513500</v>
      </c>
      <c r="C519" s="164" t="str">
        <f>IFERROR(__xludf.DUMMYFUNCTION("""COMPUTED_VALUE"""),"13513500M")</f>
        <v>13513500M</v>
      </c>
      <c r="D519" s="164" t="str">
        <f>IFERROR(__xludf.DUMMYFUNCTION("""COMPUTED_VALUE"""),"14 097 762")</f>
        <v>14 097 762</v>
      </c>
      <c r="E519" s="164" t="str">
        <f>IFERROR(__xludf.DUMMYFUNCTION("""COMPUTED_VALUE"""),"M")</f>
        <v>M</v>
      </c>
      <c r="F519" s="133" t="str">
        <f>IFERROR(__xludf.DUMMYFUNCTION("""COMPUTED_VALUE"""),"K19420RUOBM")</f>
        <v>K19420RUOBM</v>
      </c>
      <c r="G519" s="165">
        <f>IFERROR(__xludf.DUMMYFUNCTION("""COMPUTED_VALUE"""),525.0)</f>
        <v>525</v>
      </c>
    </row>
    <row r="520" ht="15.75" customHeight="1">
      <c r="A520" s="133" t="str">
        <f>IFERROR(__xludf.DUMMYFUNCTION("""COMPUTED_VALUE"""),"K19420RUOB")</f>
        <v>K19420RUOB</v>
      </c>
      <c r="B520" s="164">
        <f>IFERROR(__xludf.DUMMYFUNCTION("""COMPUTED_VALUE"""),1.35135E7)</f>
        <v>13513500</v>
      </c>
      <c r="C520" s="164" t="str">
        <f>IFERROR(__xludf.DUMMYFUNCTION("""COMPUTED_VALUE"""),"13513500L")</f>
        <v>13513500L</v>
      </c>
      <c r="D520" s="164" t="str">
        <f>IFERROR(__xludf.DUMMYFUNCTION("""COMPUTED_VALUE"""),"14 097 762")</f>
        <v>14 097 762</v>
      </c>
      <c r="E520" s="164" t="str">
        <f>IFERROR(__xludf.DUMMYFUNCTION("""COMPUTED_VALUE"""),"L")</f>
        <v>L</v>
      </c>
      <c r="F520" s="133" t="str">
        <f>IFERROR(__xludf.DUMMYFUNCTION("""COMPUTED_VALUE"""),"K19420RUOBL")</f>
        <v>K19420RUOBL</v>
      </c>
      <c r="G520" s="165">
        <f>IFERROR(__xludf.DUMMYFUNCTION("""COMPUTED_VALUE"""),525.0)</f>
        <v>525</v>
      </c>
    </row>
    <row r="521" ht="15.75" customHeight="1">
      <c r="A521" s="133" t="str">
        <f>IFERROR(__xludf.DUMMYFUNCTION("""COMPUTED_VALUE"""),"K19420RUOB")</f>
        <v>K19420RUOB</v>
      </c>
      <c r="B521" s="164">
        <f>IFERROR(__xludf.DUMMYFUNCTION("""COMPUTED_VALUE"""),1.35135E7)</f>
        <v>13513500</v>
      </c>
      <c r="C521" s="164" t="str">
        <f>IFERROR(__xludf.DUMMYFUNCTION("""COMPUTED_VALUE"""),"13513500XL")</f>
        <v>13513500XL</v>
      </c>
      <c r="D521" s="164" t="str">
        <f>IFERROR(__xludf.DUMMYFUNCTION("""COMPUTED_VALUE"""),"14 097 762")</f>
        <v>14 097 762</v>
      </c>
      <c r="E521" s="164" t="str">
        <f>IFERROR(__xludf.DUMMYFUNCTION("""COMPUTED_VALUE"""),"XL")</f>
        <v>XL</v>
      </c>
      <c r="F521" s="133" t="str">
        <f>IFERROR(__xludf.DUMMYFUNCTION("""COMPUTED_VALUE"""),"K19420RUOBXL")</f>
        <v>K19420RUOBXL</v>
      </c>
      <c r="G521" s="165">
        <f>IFERROR(__xludf.DUMMYFUNCTION("""COMPUTED_VALUE"""),525.0)</f>
        <v>525</v>
      </c>
    </row>
    <row r="522" ht="15.75" customHeight="1">
      <c r="A522" s="133" t="str">
        <f>IFERROR(__xludf.DUMMYFUNCTION("""COMPUTED_VALUE"""),"K19520RUOB")</f>
        <v>K19520RUOB</v>
      </c>
      <c r="B522" s="164">
        <f>IFERROR(__xludf.DUMMYFUNCTION("""COMPUTED_VALUE"""),1.3513501E7)</f>
        <v>13513501</v>
      </c>
      <c r="C522" s="164" t="str">
        <f>IFERROR(__xludf.DUMMYFUNCTION("""COMPUTED_VALUE"""),"1351350190-105")</f>
        <v>1351350190-105</v>
      </c>
      <c r="D522" s="164" t="str">
        <f>IFERROR(__xludf.DUMMYFUNCTION("""COMPUTED_VALUE"""),"14 097 762")</f>
        <v>14 097 762</v>
      </c>
      <c r="E522" s="164" t="str">
        <f>IFERROR(__xludf.DUMMYFUNCTION("""COMPUTED_VALUE"""),"90-105")</f>
        <v>90-105</v>
      </c>
      <c r="F522" s="133" t="str">
        <f>IFERROR(__xludf.DUMMYFUNCTION("""COMPUTED_VALUE"""),"K19520RUOB90-105")</f>
        <v>K19520RUOB90-105</v>
      </c>
      <c r="G522" s="165">
        <f>IFERROR(__xludf.DUMMYFUNCTION("""COMPUTED_VALUE"""),662.0)</f>
        <v>662</v>
      </c>
    </row>
    <row r="523" ht="15.75" customHeight="1">
      <c r="A523" s="133" t="str">
        <f>IFERROR(__xludf.DUMMYFUNCTION("""COMPUTED_VALUE"""),"K19520RUOB")</f>
        <v>K19520RUOB</v>
      </c>
      <c r="B523" s="164">
        <f>IFERROR(__xludf.DUMMYFUNCTION("""COMPUTED_VALUE"""),1.3513501E7)</f>
        <v>13513501</v>
      </c>
      <c r="C523" s="164" t="str">
        <f>IFERROR(__xludf.DUMMYFUNCTION("""COMPUTED_VALUE"""),"13513501110-115")</f>
        <v>13513501110-115</v>
      </c>
      <c r="D523" s="164" t="str">
        <f>IFERROR(__xludf.DUMMYFUNCTION("""COMPUTED_VALUE"""),"14 097 762")</f>
        <v>14 097 762</v>
      </c>
      <c r="E523" s="164" t="str">
        <f>IFERROR(__xludf.DUMMYFUNCTION("""COMPUTED_VALUE"""),"110-115")</f>
        <v>110-115</v>
      </c>
      <c r="F523" s="133" t="str">
        <f>IFERROR(__xludf.DUMMYFUNCTION("""COMPUTED_VALUE"""),"K19520RUOB110-115")</f>
        <v>K19520RUOB110-115</v>
      </c>
      <c r="G523" s="165">
        <f>IFERROR(__xludf.DUMMYFUNCTION("""COMPUTED_VALUE"""),662.0)</f>
        <v>662</v>
      </c>
    </row>
    <row r="524" ht="15.75" customHeight="1">
      <c r="A524" s="133" t="str">
        <f>IFERROR(__xludf.DUMMYFUNCTION("""COMPUTED_VALUE"""),"K19520RUOB")</f>
        <v>K19520RUOB</v>
      </c>
      <c r="B524" s="164">
        <f>IFERROR(__xludf.DUMMYFUNCTION("""COMPUTED_VALUE"""),1.3513501E7)</f>
        <v>13513501</v>
      </c>
      <c r="C524" s="164" t="str">
        <f>IFERROR(__xludf.DUMMYFUNCTION("""COMPUTED_VALUE"""),"13513501115-125")</f>
        <v>13513501115-125</v>
      </c>
      <c r="D524" s="164" t="str">
        <f>IFERROR(__xludf.DUMMYFUNCTION("""COMPUTED_VALUE"""),"14 097 762")</f>
        <v>14 097 762</v>
      </c>
      <c r="E524" s="164" t="str">
        <f>IFERROR(__xludf.DUMMYFUNCTION("""COMPUTED_VALUE"""),"115-125")</f>
        <v>115-125</v>
      </c>
      <c r="F524" s="133" t="str">
        <f>IFERROR(__xludf.DUMMYFUNCTION("""COMPUTED_VALUE"""),"K19520RUOB115-125")</f>
        <v>K19520RUOB115-125</v>
      </c>
      <c r="G524" s="165">
        <f>IFERROR(__xludf.DUMMYFUNCTION("""COMPUTED_VALUE"""),662.0)</f>
        <v>662</v>
      </c>
    </row>
    <row r="525" ht="15.75" customHeight="1">
      <c r="A525" s="133" t="str">
        <f>IFERROR(__xludf.DUMMYFUNCTION("""COMPUTED_VALUE"""),"K19520RUOB")</f>
        <v>K19520RUOB</v>
      </c>
      <c r="B525" s="164">
        <f>IFERROR(__xludf.DUMMYFUNCTION("""COMPUTED_VALUE"""),1.3513501E7)</f>
        <v>13513501</v>
      </c>
      <c r="C525" s="164" t="str">
        <f>IFERROR(__xludf.DUMMYFUNCTION("""COMPUTED_VALUE"""),"13513501130-135")</f>
        <v>13513501130-135</v>
      </c>
      <c r="D525" s="164" t="str">
        <f>IFERROR(__xludf.DUMMYFUNCTION("""COMPUTED_VALUE"""),"14 097 762")</f>
        <v>14 097 762</v>
      </c>
      <c r="E525" s="164" t="str">
        <f>IFERROR(__xludf.DUMMYFUNCTION("""COMPUTED_VALUE"""),"130-135")</f>
        <v>130-135</v>
      </c>
      <c r="F525" s="133" t="str">
        <f>IFERROR(__xludf.DUMMYFUNCTION("""COMPUTED_VALUE"""),"K19520RUOB130-135")</f>
        <v>K19520RUOB130-135</v>
      </c>
      <c r="G525" s="165">
        <f>IFERROR(__xludf.DUMMYFUNCTION("""COMPUTED_VALUE"""),662.0)</f>
        <v>662</v>
      </c>
    </row>
    <row r="526" ht="15.75" customHeight="1">
      <c r="A526" s="133" t="str">
        <f>IFERROR(__xludf.DUMMYFUNCTION("""COMPUTED_VALUE"""),"K19520RUOB")</f>
        <v>K19520RUOB</v>
      </c>
      <c r="B526" s="164">
        <f>IFERROR(__xludf.DUMMYFUNCTION("""COMPUTED_VALUE"""),1.3513501E7)</f>
        <v>13513501</v>
      </c>
      <c r="C526" s="164" t="str">
        <f>IFERROR(__xludf.DUMMYFUNCTION("""COMPUTED_VALUE"""),"13513501140-145")</f>
        <v>13513501140-145</v>
      </c>
      <c r="D526" s="164" t="str">
        <f>IFERROR(__xludf.DUMMYFUNCTION("""COMPUTED_VALUE"""),"14 097 762")</f>
        <v>14 097 762</v>
      </c>
      <c r="E526" s="164" t="str">
        <f>IFERROR(__xludf.DUMMYFUNCTION("""COMPUTED_VALUE"""),"140-145")</f>
        <v>140-145</v>
      </c>
      <c r="F526" s="133" t="str">
        <f>IFERROR(__xludf.DUMMYFUNCTION("""COMPUTED_VALUE"""),"K19520RUOB140-145")</f>
        <v>K19520RUOB140-145</v>
      </c>
      <c r="G526" s="165">
        <f>IFERROR(__xludf.DUMMYFUNCTION("""COMPUTED_VALUE"""),662.0)</f>
        <v>662</v>
      </c>
    </row>
    <row r="527" ht="15.75" customHeight="1">
      <c r="A527" s="133" t="str">
        <f>IFERROR(__xludf.DUMMYFUNCTION("""COMPUTED_VALUE"""),"K19520RUOB")</f>
        <v>K19520RUOB</v>
      </c>
      <c r="B527" s="164">
        <f>IFERROR(__xludf.DUMMYFUNCTION("""COMPUTED_VALUE"""),1.3513501E7)</f>
        <v>13513501</v>
      </c>
      <c r="C527" s="164" t="str">
        <f>IFERROR(__xludf.DUMMYFUNCTION("""COMPUTED_VALUE"""),"13513501S")</f>
        <v>13513501S</v>
      </c>
      <c r="D527" s="164" t="str">
        <f>IFERROR(__xludf.DUMMYFUNCTION("""COMPUTED_VALUE"""),"14 097 762")</f>
        <v>14 097 762</v>
      </c>
      <c r="E527" s="164" t="str">
        <f>IFERROR(__xludf.DUMMYFUNCTION("""COMPUTED_VALUE"""),"S")</f>
        <v>S</v>
      </c>
      <c r="F527" s="133" t="str">
        <f>IFERROR(__xludf.DUMMYFUNCTION("""COMPUTED_VALUE"""),"K19520RUOBS")</f>
        <v>K19520RUOBS</v>
      </c>
      <c r="G527" s="165">
        <f>IFERROR(__xludf.DUMMYFUNCTION("""COMPUTED_VALUE"""),662.0)</f>
        <v>662</v>
      </c>
    </row>
    <row r="528" ht="15.75" customHeight="1">
      <c r="A528" s="133" t="str">
        <f>IFERROR(__xludf.DUMMYFUNCTION("""COMPUTED_VALUE"""),"K19520RUOB")</f>
        <v>K19520RUOB</v>
      </c>
      <c r="B528" s="164">
        <f>IFERROR(__xludf.DUMMYFUNCTION("""COMPUTED_VALUE"""),1.3513501E7)</f>
        <v>13513501</v>
      </c>
      <c r="C528" s="164" t="str">
        <f>IFERROR(__xludf.DUMMYFUNCTION("""COMPUTED_VALUE"""),"13513501M")</f>
        <v>13513501M</v>
      </c>
      <c r="D528" s="164" t="str">
        <f>IFERROR(__xludf.DUMMYFUNCTION("""COMPUTED_VALUE"""),"14 097 762")</f>
        <v>14 097 762</v>
      </c>
      <c r="E528" s="164" t="str">
        <f>IFERROR(__xludf.DUMMYFUNCTION("""COMPUTED_VALUE"""),"M")</f>
        <v>M</v>
      </c>
      <c r="F528" s="133" t="str">
        <f>IFERROR(__xludf.DUMMYFUNCTION("""COMPUTED_VALUE"""),"K19520RUOBM")</f>
        <v>K19520RUOBM</v>
      </c>
      <c r="G528" s="165">
        <f>IFERROR(__xludf.DUMMYFUNCTION("""COMPUTED_VALUE"""),662.0)</f>
        <v>662</v>
      </c>
    </row>
    <row r="529" ht="15.75" customHeight="1">
      <c r="A529" s="133" t="str">
        <f>IFERROR(__xludf.DUMMYFUNCTION("""COMPUTED_VALUE"""),"K19520RUOB")</f>
        <v>K19520RUOB</v>
      </c>
      <c r="B529" s="164">
        <f>IFERROR(__xludf.DUMMYFUNCTION("""COMPUTED_VALUE"""),1.3513501E7)</f>
        <v>13513501</v>
      </c>
      <c r="C529" s="164" t="str">
        <f>IFERROR(__xludf.DUMMYFUNCTION("""COMPUTED_VALUE"""),"13513501L")</f>
        <v>13513501L</v>
      </c>
      <c r="D529" s="164" t="str">
        <f>IFERROR(__xludf.DUMMYFUNCTION("""COMPUTED_VALUE"""),"14 097 762")</f>
        <v>14 097 762</v>
      </c>
      <c r="E529" s="164" t="str">
        <f>IFERROR(__xludf.DUMMYFUNCTION("""COMPUTED_VALUE"""),"L")</f>
        <v>L</v>
      </c>
      <c r="F529" s="133" t="str">
        <f>IFERROR(__xludf.DUMMYFUNCTION("""COMPUTED_VALUE"""),"K19520RUOBL")</f>
        <v>K19520RUOBL</v>
      </c>
      <c r="G529" s="165">
        <f>IFERROR(__xludf.DUMMYFUNCTION("""COMPUTED_VALUE"""),662.0)</f>
        <v>662</v>
      </c>
    </row>
    <row r="530" ht="15.75" customHeight="1">
      <c r="A530" s="133" t="str">
        <f>IFERROR(__xludf.DUMMYFUNCTION("""COMPUTED_VALUE"""),"K19520RUOB")</f>
        <v>K19520RUOB</v>
      </c>
      <c r="B530" s="164">
        <f>IFERROR(__xludf.DUMMYFUNCTION("""COMPUTED_VALUE"""),1.3513501E7)</f>
        <v>13513501</v>
      </c>
      <c r="C530" s="164" t="str">
        <f>IFERROR(__xludf.DUMMYFUNCTION("""COMPUTED_VALUE"""),"13513501XL")</f>
        <v>13513501XL</v>
      </c>
      <c r="D530" s="164" t="str">
        <f>IFERROR(__xludf.DUMMYFUNCTION("""COMPUTED_VALUE"""),"14 097 762")</f>
        <v>14 097 762</v>
      </c>
      <c r="E530" s="164" t="str">
        <f>IFERROR(__xludf.DUMMYFUNCTION("""COMPUTED_VALUE"""),"XL")</f>
        <v>XL</v>
      </c>
      <c r="F530" s="133" t="str">
        <f>IFERROR(__xludf.DUMMYFUNCTION("""COMPUTED_VALUE"""),"K19520RUOBXL")</f>
        <v>K19520RUOBXL</v>
      </c>
      <c r="G530" s="165">
        <f>IFERROR(__xludf.DUMMYFUNCTION("""COMPUTED_VALUE"""),662.0)</f>
        <v>662</v>
      </c>
    </row>
    <row r="531" ht="15.75" customHeight="1">
      <c r="A531" s="133" t="str">
        <f>IFERROR(__xludf.DUMMYFUNCTION("""COMPUTED_VALUE"""),"K19620RUOB")</f>
        <v>K19620RUOB</v>
      </c>
      <c r="B531" s="164">
        <f>IFERROR(__xludf.DUMMYFUNCTION("""COMPUTED_VALUE"""),1.3513502E7)</f>
        <v>13513502</v>
      </c>
      <c r="C531" s="164" t="str">
        <f>IFERROR(__xludf.DUMMYFUNCTION("""COMPUTED_VALUE"""),"1351350290-105")</f>
        <v>1351350290-105</v>
      </c>
      <c r="D531" s="164" t="str">
        <f>IFERROR(__xludf.DUMMYFUNCTION("""COMPUTED_VALUE"""),"14 097 762")</f>
        <v>14 097 762</v>
      </c>
      <c r="E531" s="164" t="str">
        <f>IFERROR(__xludf.DUMMYFUNCTION("""COMPUTED_VALUE"""),"90-105")</f>
        <v>90-105</v>
      </c>
      <c r="F531" s="133" t="str">
        <f>IFERROR(__xludf.DUMMYFUNCTION("""COMPUTED_VALUE"""),"K19620RUOB90-105")</f>
        <v>K19620RUOB90-105</v>
      </c>
      <c r="G531" s="165">
        <f>IFERROR(__xludf.DUMMYFUNCTION("""COMPUTED_VALUE"""),622.0)</f>
        <v>622</v>
      </c>
    </row>
    <row r="532" ht="15.75" customHeight="1">
      <c r="A532" s="133" t="str">
        <f>IFERROR(__xludf.DUMMYFUNCTION("""COMPUTED_VALUE"""),"K19620RUOB")</f>
        <v>K19620RUOB</v>
      </c>
      <c r="B532" s="164">
        <f>IFERROR(__xludf.DUMMYFUNCTION("""COMPUTED_VALUE"""),1.3513502E7)</f>
        <v>13513502</v>
      </c>
      <c r="C532" s="164" t="str">
        <f>IFERROR(__xludf.DUMMYFUNCTION("""COMPUTED_VALUE"""),"13513502110-115")</f>
        <v>13513502110-115</v>
      </c>
      <c r="D532" s="164" t="str">
        <f>IFERROR(__xludf.DUMMYFUNCTION("""COMPUTED_VALUE"""),"14 097 762")</f>
        <v>14 097 762</v>
      </c>
      <c r="E532" s="164" t="str">
        <f>IFERROR(__xludf.DUMMYFUNCTION("""COMPUTED_VALUE"""),"110-115")</f>
        <v>110-115</v>
      </c>
      <c r="F532" s="133" t="str">
        <f>IFERROR(__xludf.DUMMYFUNCTION("""COMPUTED_VALUE"""),"K19620RUOB110-115")</f>
        <v>K19620RUOB110-115</v>
      </c>
      <c r="G532" s="165">
        <f>IFERROR(__xludf.DUMMYFUNCTION("""COMPUTED_VALUE"""),622.0)</f>
        <v>622</v>
      </c>
    </row>
    <row r="533" ht="15.75" customHeight="1">
      <c r="A533" s="133" t="str">
        <f>IFERROR(__xludf.DUMMYFUNCTION("""COMPUTED_VALUE"""),"K19620RUOB")</f>
        <v>K19620RUOB</v>
      </c>
      <c r="B533" s="164">
        <f>IFERROR(__xludf.DUMMYFUNCTION("""COMPUTED_VALUE"""),1.3513502E7)</f>
        <v>13513502</v>
      </c>
      <c r="C533" s="164" t="str">
        <f>IFERROR(__xludf.DUMMYFUNCTION("""COMPUTED_VALUE"""),"13513502115-125")</f>
        <v>13513502115-125</v>
      </c>
      <c r="D533" s="164" t="str">
        <f>IFERROR(__xludf.DUMMYFUNCTION("""COMPUTED_VALUE"""),"14 097 762")</f>
        <v>14 097 762</v>
      </c>
      <c r="E533" s="164" t="str">
        <f>IFERROR(__xludf.DUMMYFUNCTION("""COMPUTED_VALUE"""),"115-125")</f>
        <v>115-125</v>
      </c>
      <c r="F533" s="133" t="str">
        <f>IFERROR(__xludf.DUMMYFUNCTION("""COMPUTED_VALUE"""),"K19620RUOB115-125")</f>
        <v>K19620RUOB115-125</v>
      </c>
      <c r="G533" s="165">
        <f>IFERROR(__xludf.DUMMYFUNCTION("""COMPUTED_VALUE"""),622.0)</f>
        <v>622</v>
      </c>
    </row>
    <row r="534" ht="15.75" customHeight="1">
      <c r="A534" s="133" t="str">
        <f>IFERROR(__xludf.DUMMYFUNCTION("""COMPUTED_VALUE"""),"K19620RUOB")</f>
        <v>K19620RUOB</v>
      </c>
      <c r="B534" s="164">
        <f>IFERROR(__xludf.DUMMYFUNCTION("""COMPUTED_VALUE"""),1.3513502E7)</f>
        <v>13513502</v>
      </c>
      <c r="C534" s="164" t="str">
        <f>IFERROR(__xludf.DUMMYFUNCTION("""COMPUTED_VALUE"""),"13513502130-135")</f>
        <v>13513502130-135</v>
      </c>
      <c r="D534" s="164" t="str">
        <f>IFERROR(__xludf.DUMMYFUNCTION("""COMPUTED_VALUE"""),"14 097 762")</f>
        <v>14 097 762</v>
      </c>
      <c r="E534" s="164" t="str">
        <f>IFERROR(__xludf.DUMMYFUNCTION("""COMPUTED_VALUE"""),"130-135")</f>
        <v>130-135</v>
      </c>
      <c r="F534" s="133" t="str">
        <f>IFERROR(__xludf.DUMMYFUNCTION("""COMPUTED_VALUE"""),"K19620RUOB130-135")</f>
        <v>K19620RUOB130-135</v>
      </c>
      <c r="G534" s="165">
        <f>IFERROR(__xludf.DUMMYFUNCTION("""COMPUTED_VALUE"""),622.0)</f>
        <v>622</v>
      </c>
    </row>
    <row r="535" ht="15.75" customHeight="1">
      <c r="A535" s="133" t="str">
        <f>IFERROR(__xludf.DUMMYFUNCTION("""COMPUTED_VALUE"""),"K19620RUOB")</f>
        <v>K19620RUOB</v>
      </c>
      <c r="B535" s="164">
        <f>IFERROR(__xludf.DUMMYFUNCTION("""COMPUTED_VALUE"""),1.3513502E7)</f>
        <v>13513502</v>
      </c>
      <c r="C535" s="164" t="str">
        <f>IFERROR(__xludf.DUMMYFUNCTION("""COMPUTED_VALUE"""),"13513502140-145")</f>
        <v>13513502140-145</v>
      </c>
      <c r="D535" s="164" t="str">
        <f>IFERROR(__xludf.DUMMYFUNCTION("""COMPUTED_VALUE"""),"14 097 762")</f>
        <v>14 097 762</v>
      </c>
      <c r="E535" s="164" t="str">
        <f>IFERROR(__xludf.DUMMYFUNCTION("""COMPUTED_VALUE"""),"140-145")</f>
        <v>140-145</v>
      </c>
      <c r="F535" s="133" t="str">
        <f>IFERROR(__xludf.DUMMYFUNCTION("""COMPUTED_VALUE"""),"K19620RUOB140-145")</f>
        <v>K19620RUOB140-145</v>
      </c>
      <c r="G535" s="165">
        <f>IFERROR(__xludf.DUMMYFUNCTION("""COMPUTED_VALUE"""),622.0)</f>
        <v>622</v>
      </c>
    </row>
    <row r="536" ht="15.75" customHeight="1">
      <c r="A536" s="133" t="str">
        <f>IFERROR(__xludf.DUMMYFUNCTION("""COMPUTED_VALUE"""),"K19620RUOB")</f>
        <v>K19620RUOB</v>
      </c>
      <c r="B536" s="164">
        <f>IFERROR(__xludf.DUMMYFUNCTION("""COMPUTED_VALUE"""),1.3513502E7)</f>
        <v>13513502</v>
      </c>
      <c r="C536" s="164" t="str">
        <f>IFERROR(__xludf.DUMMYFUNCTION("""COMPUTED_VALUE"""),"13513502S")</f>
        <v>13513502S</v>
      </c>
      <c r="D536" s="164" t="str">
        <f>IFERROR(__xludf.DUMMYFUNCTION("""COMPUTED_VALUE"""),"14 097 762")</f>
        <v>14 097 762</v>
      </c>
      <c r="E536" s="164" t="str">
        <f>IFERROR(__xludf.DUMMYFUNCTION("""COMPUTED_VALUE"""),"S")</f>
        <v>S</v>
      </c>
      <c r="F536" s="133" t="str">
        <f>IFERROR(__xludf.DUMMYFUNCTION("""COMPUTED_VALUE"""),"K19620RUOBS")</f>
        <v>K19620RUOBS</v>
      </c>
      <c r="G536" s="165">
        <f>IFERROR(__xludf.DUMMYFUNCTION("""COMPUTED_VALUE"""),622.0)</f>
        <v>622</v>
      </c>
    </row>
    <row r="537" ht="15.75" customHeight="1">
      <c r="A537" s="133" t="str">
        <f>IFERROR(__xludf.DUMMYFUNCTION("""COMPUTED_VALUE"""),"K19620RUOB")</f>
        <v>K19620RUOB</v>
      </c>
      <c r="B537" s="164">
        <f>IFERROR(__xludf.DUMMYFUNCTION("""COMPUTED_VALUE"""),1.3513502E7)</f>
        <v>13513502</v>
      </c>
      <c r="C537" s="164" t="str">
        <f>IFERROR(__xludf.DUMMYFUNCTION("""COMPUTED_VALUE"""),"13513502M")</f>
        <v>13513502M</v>
      </c>
      <c r="D537" s="164" t="str">
        <f>IFERROR(__xludf.DUMMYFUNCTION("""COMPUTED_VALUE"""),"14 097 762")</f>
        <v>14 097 762</v>
      </c>
      <c r="E537" s="164" t="str">
        <f>IFERROR(__xludf.DUMMYFUNCTION("""COMPUTED_VALUE"""),"M")</f>
        <v>M</v>
      </c>
      <c r="F537" s="133" t="str">
        <f>IFERROR(__xludf.DUMMYFUNCTION("""COMPUTED_VALUE"""),"K19620RUOBM")</f>
        <v>K19620RUOBM</v>
      </c>
      <c r="G537" s="165">
        <f>IFERROR(__xludf.DUMMYFUNCTION("""COMPUTED_VALUE"""),622.0)</f>
        <v>622</v>
      </c>
    </row>
    <row r="538" ht="15.75" customHeight="1">
      <c r="A538" s="133" t="str">
        <f>IFERROR(__xludf.DUMMYFUNCTION("""COMPUTED_VALUE"""),"K19620RUOB")</f>
        <v>K19620RUOB</v>
      </c>
      <c r="B538" s="164">
        <f>IFERROR(__xludf.DUMMYFUNCTION("""COMPUTED_VALUE"""),1.3513502E7)</f>
        <v>13513502</v>
      </c>
      <c r="C538" s="164" t="str">
        <f>IFERROR(__xludf.DUMMYFUNCTION("""COMPUTED_VALUE"""),"13513502L")</f>
        <v>13513502L</v>
      </c>
      <c r="D538" s="164" t="str">
        <f>IFERROR(__xludf.DUMMYFUNCTION("""COMPUTED_VALUE"""),"14 097 762")</f>
        <v>14 097 762</v>
      </c>
      <c r="E538" s="164" t="str">
        <f>IFERROR(__xludf.DUMMYFUNCTION("""COMPUTED_VALUE"""),"L")</f>
        <v>L</v>
      </c>
      <c r="F538" s="133" t="str">
        <f>IFERROR(__xludf.DUMMYFUNCTION("""COMPUTED_VALUE"""),"K19620RUOBL")</f>
        <v>K19620RUOBL</v>
      </c>
      <c r="G538" s="165">
        <f>IFERROR(__xludf.DUMMYFUNCTION("""COMPUTED_VALUE"""),622.0)</f>
        <v>622</v>
      </c>
    </row>
    <row r="539" ht="15.75" customHeight="1">
      <c r="A539" s="133" t="str">
        <f>IFERROR(__xludf.DUMMYFUNCTION("""COMPUTED_VALUE"""),"K19620RUOB")</f>
        <v>K19620RUOB</v>
      </c>
      <c r="B539" s="164">
        <f>IFERROR(__xludf.DUMMYFUNCTION("""COMPUTED_VALUE"""),1.3513502E7)</f>
        <v>13513502</v>
      </c>
      <c r="C539" s="164" t="str">
        <f>IFERROR(__xludf.DUMMYFUNCTION("""COMPUTED_VALUE"""),"13513502XL")</f>
        <v>13513502XL</v>
      </c>
      <c r="D539" s="164" t="str">
        <f>IFERROR(__xludf.DUMMYFUNCTION("""COMPUTED_VALUE"""),"14 097 762")</f>
        <v>14 097 762</v>
      </c>
      <c r="E539" s="164" t="str">
        <f>IFERROR(__xludf.DUMMYFUNCTION("""COMPUTED_VALUE"""),"XL")</f>
        <v>XL</v>
      </c>
      <c r="F539" s="133" t="str">
        <f>IFERROR(__xludf.DUMMYFUNCTION("""COMPUTED_VALUE"""),"K19620RUOBXL")</f>
        <v>K19620RUOBXL</v>
      </c>
      <c r="G539" s="165">
        <f>IFERROR(__xludf.DUMMYFUNCTION("""COMPUTED_VALUE"""),622.0)</f>
        <v>622</v>
      </c>
    </row>
    <row r="540" ht="15.75" customHeight="1">
      <c r="A540" s="133" t="str">
        <f>IFERROR(__xludf.DUMMYFUNCTION("""COMPUTED_VALUE"""),"K19720RUOB")</f>
        <v>K19720RUOB</v>
      </c>
      <c r="B540" s="164">
        <f>IFERROR(__xludf.DUMMYFUNCTION("""COMPUTED_VALUE"""),1.3513503E7)</f>
        <v>13513503</v>
      </c>
      <c r="C540" s="164" t="str">
        <f>IFERROR(__xludf.DUMMYFUNCTION("""COMPUTED_VALUE"""),"1351350390-105")</f>
        <v>1351350390-105</v>
      </c>
      <c r="D540" s="164" t="str">
        <f>IFERROR(__xludf.DUMMYFUNCTION("""COMPUTED_VALUE"""),"14 097 762")</f>
        <v>14 097 762</v>
      </c>
      <c r="E540" s="164" t="str">
        <f>IFERROR(__xludf.DUMMYFUNCTION("""COMPUTED_VALUE"""),"90-105")</f>
        <v>90-105</v>
      </c>
      <c r="F540" s="133" t="str">
        <f>IFERROR(__xludf.DUMMYFUNCTION("""COMPUTED_VALUE"""),"K19720RUOB90-105")</f>
        <v>K19720RUOB90-105</v>
      </c>
      <c r="G540" s="165">
        <f>IFERROR(__xludf.DUMMYFUNCTION("""COMPUTED_VALUE"""),633.0)</f>
        <v>633</v>
      </c>
    </row>
    <row r="541" ht="15.75" customHeight="1">
      <c r="A541" s="133" t="str">
        <f>IFERROR(__xludf.DUMMYFUNCTION("""COMPUTED_VALUE"""),"K19720RUOB")</f>
        <v>K19720RUOB</v>
      </c>
      <c r="B541" s="164">
        <f>IFERROR(__xludf.DUMMYFUNCTION("""COMPUTED_VALUE"""),1.3513503E7)</f>
        <v>13513503</v>
      </c>
      <c r="C541" s="164" t="str">
        <f>IFERROR(__xludf.DUMMYFUNCTION("""COMPUTED_VALUE"""),"13513503110-115")</f>
        <v>13513503110-115</v>
      </c>
      <c r="D541" s="164" t="str">
        <f>IFERROR(__xludf.DUMMYFUNCTION("""COMPUTED_VALUE"""),"14 097 762")</f>
        <v>14 097 762</v>
      </c>
      <c r="E541" s="164" t="str">
        <f>IFERROR(__xludf.DUMMYFUNCTION("""COMPUTED_VALUE"""),"110-115")</f>
        <v>110-115</v>
      </c>
      <c r="F541" s="133" t="str">
        <f>IFERROR(__xludf.DUMMYFUNCTION("""COMPUTED_VALUE"""),"K19720RUOB110-115")</f>
        <v>K19720RUOB110-115</v>
      </c>
      <c r="G541" s="165">
        <f>IFERROR(__xludf.DUMMYFUNCTION("""COMPUTED_VALUE"""),633.0)</f>
        <v>633</v>
      </c>
    </row>
    <row r="542" ht="15.75" customHeight="1">
      <c r="A542" s="133" t="str">
        <f>IFERROR(__xludf.DUMMYFUNCTION("""COMPUTED_VALUE"""),"K19720RUOB")</f>
        <v>K19720RUOB</v>
      </c>
      <c r="B542" s="164">
        <f>IFERROR(__xludf.DUMMYFUNCTION("""COMPUTED_VALUE"""),1.3513503E7)</f>
        <v>13513503</v>
      </c>
      <c r="C542" s="164" t="str">
        <f>IFERROR(__xludf.DUMMYFUNCTION("""COMPUTED_VALUE"""),"13513503115-125")</f>
        <v>13513503115-125</v>
      </c>
      <c r="D542" s="164" t="str">
        <f>IFERROR(__xludf.DUMMYFUNCTION("""COMPUTED_VALUE"""),"14 097 762")</f>
        <v>14 097 762</v>
      </c>
      <c r="E542" s="164" t="str">
        <f>IFERROR(__xludf.DUMMYFUNCTION("""COMPUTED_VALUE"""),"115-125")</f>
        <v>115-125</v>
      </c>
      <c r="F542" s="133" t="str">
        <f>IFERROR(__xludf.DUMMYFUNCTION("""COMPUTED_VALUE"""),"K19720RUOB115-125")</f>
        <v>K19720RUOB115-125</v>
      </c>
      <c r="G542" s="165">
        <f>IFERROR(__xludf.DUMMYFUNCTION("""COMPUTED_VALUE"""),633.0)</f>
        <v>633</v>
      </c>
    </row>
    <row r="543" ht="15.75" customHeight="1">
      <c r="A543" s="133" t="str">
        <f>IFERROR(__xludf.DUMMYFUNCTION("""COMPUTED_VALUE"""),"K19720RUOB")</f>
        <v>K19720RUOB</v>
      </c>
      <c r="B543" s="164">
        <f>IFERROR(__xludf.DUMMYFUNCTION("""COMPUTED_VALUE"""),1.3513503E7)</f>
        <v>13513503</v>
      </c>
      <c r="C543" s="164" t="str">
        <f>IFERROR(__xludf.DUMMYFUNCTION("""COMPUTED_VALUE"""),"13513503130-135")</f>
        <v>13513503130-135</v>
      </c>
      <c r="D543" s="164" t="str">
        <f>IFERROR(__xludf.DUMMYFUNCTION("""COMPUTED_VALUE"""),"14 097 762")</f>
        <v>14 097 762</v>
      </c>
      <c r="E543" s="164" t="str">
        <f>IFERROR(__xludf.DUMMYFUNCTION("""COMPUTED_VALUE"""),"130-135")</f>
        <v>130-135</v>
      </c>
      <c r="F543" s="133" t="str">
        <f>IFERROR(__xludf.DUMMYFUNCTION("""COMPUTED_VALUE"""),"K19720RUOB130-135")</f>
        <v>K19720RUOB130-135</v>
      </c>
      <c r="G543" s="165">
        <f>IFERROR(__xludf.DUMMYFUNCTION("""COMPUTED_VALUE"""),633.0)</f>
        <v>633</v>
      </c>
    </row>
    <row r="544" ht="15.75" customHeight="1">
      <c r="A544" s="133" t="str">
        <f>IFERROR(__xludf.DUMMYFUNCTION("""COMPUTED_VALUE"""),"K19720RUOB")</f>
        <v>K19720RUOB</v>
      </c>
      <c r="B544" s="164">
        <f>IFERROR(__xludf.DUMMYFUNCTION("""COMPUTED_VALUE"""),1.3513503E7)</f>
        <v>13513503</v>
      </c>
      <c r="C544" s="164" t="str">
        <f>IFERROR(__xludf.DUMMYFUNCTION("""COMPUTED_VALUE"""),"13513503140-145")</f>
        <v>13513503140-145</v>
      </c>
      <c r="D544" s="164" t="str">
        <f>IFERROR(__xludf.DUMMYFUNCTION("""COMPUTED_VALUE"""),"14 097 762")</f>
        <v>14 097 762</v>
      </c>
      <c r="E544" s="164" t="str">
        <f>IFERROR(__xludf.DUMMYFUNCTION("""COMPUTED_VALUE"""),"140-145")</f>
        <v>140-145</v>
      </c>
      <c r="F544" s="133" t="str">
        <f>IFERROR(__xludf.DUMMYFUNCTION("""COMPUTED_VALUE"""),"K19720RUOB140-145")</f>
        <v>K19720RUOB140-145</v>
      </c>
      <c r="G544" s="165">
        <f>IFERROR(__xludf.DUMMYFUNCTION("""COMPUTED_VALUE"""),633.0)</f>
        <v>633</v>
      </c>
    </row>
    <row r="545" ht="15.75" customHeight="1">
      <c r="A545" s="133" t="str">
        <f>IFERROR(__xludf.DUMMYFUNCTION("""COMPUTED_VALUE"""),"K19720RUOB")</f>
        <v>K19720RUOB</v>
      </c>
      <c r="B545" s="164">
        <f>IFERROR(__xludf.DUMMYFUNCTION("""COMPUTED_VALUE"""),1.3513503E7)</f>
        <v>13513503</v>
      </c>
      <c r="C545" s="164" t="str">
        <f>IFERROR(__xludf.DUMMYFUNCTION("""COMPUTED_VALUE"""),"13513503S")</f>
        <v>13513503S</v>
      </c>
      <c r="D545" s="164" t="str">
        <f>IFERROR(__xludf.DUMMYFUNCTION("""COMPUTED_VALUE"""),"14 097 762")</f>
        <v>14 097 762</v>
      </c>
      <c r="E545" s="164" t="str">
        <f>IFERROR(__xludf.DUMMYFUNCTION("""COMPUTED_VALUE"""),"S")</f>
        <v>S</v>
      </c>
      <c r="F545" s="133" t="str">
        <f>IFERROR(__xludf.DUMMYFUNCTION("""COMPUTED_VALUE"""),"K19720RUOBS")</f>
        <v>K19720RUOBS</v>
      </c>
      <c r="G545" s="165">
        <f>IFERROR(__xludf.DUMMYFUNCTION("""COMPUTED_VALUE"""),633.0)</f>
        <v>633</v>
      </c>
    </row>
    <row r="546" ht="15.75" customHeight="1">
      <c r="A546" s="133" t="str">
        <f>IFERROR(__xludf.DUMMYFUNCTION("""COMPUTED_VALUE"""),"K19720RUOB")</f>
        <v>K19720RUOB</v>
      </c>
      <c r="B546" s="164">
        <f>IFERROR(__xludf.DUMMYFUNCTION("""COMPUTED_VALUE"""),1.3513503E7)</f>
        <v>13513503</v>
      </c>
      <c r="C546" s="164" t="str">
        <f>IFERROR(__xludf.DUMMYFUNCTION("""COMPUTED_VALUE"""),"13513503M")</f>
        <v>13513503M</v>
      </c>
      <c r="D546" s="164" t="str">
        <f>IFERROR(__xludf.DUMMYFUNCTION("""COMPUTED_VALUE"""),"14 097 762")</f>
        <v>14 097 762</v>
      </c>
      <c r="E546" s="164" t="str">
        <f>IFERROR(__xludf.DUMMYFUNCTION("""COMPUTED_VALUE"""),"M")</f>
        <v>M</v>
      </c>
      <c r="F546" s="133" t="str">
        <f>IFERROR(__xludf.DUMMYFUNCTION("""COMPUTED_VALUE"""),"K19720RUOBM")</f>
        <v>K19720RUOBM</v>
      </c>
      <c r="G546" s="165">
        <f>IFERROR(__xludf.DUMMYFUNCTION("""COMPUTED_VALUE"""),633.0)</f>
        <v>633</v>
      </c>
    </row>
    <row r="547" ht="15.75" customHeight="1">
      <c r="A547" s="133" t="str">
        <f>IFERROR(__xludf.DUMMYFUNCTION("""COMPUTED_VALUE"""),"K19720RUOB")</f>
        <v>K19720RUOB</v>
      </c>
      <c r="B547" s="164">
        <f>IFERROR(__xludf.DUMMYFUNCTION("""COMPUTED_VALUE"""),1.3513503E7)</f>
        <v>13513503</v>
      </c>
      <c r="C547" s="164" t="str">
        <f>IFERROR(__xludf.DUMMYFUNCTION("""COMPUTED_VALUE"""),"13513503L")</f>
        <v>13513503L</v>
      </c>
      <c r="D547" s="164" t="str">
        <f>IFERROR(__xludf.DUMMYFUNCTION("""COMPUTED_VALUE"""),"14 097 762")</f>
        <v>14 097 762</v>
      </c>
      <c r="E547" s="164" t="str">
        <f>IFERROR(__xludf.DUMMYFUNCTION("""COMPUTED_VALUE"""),"L")</f>
        <v>L</v>
      </c>
      <c r="F547" s="133" t="str">
        <f>IFERROR(__xludf.DUMMYFUNCTION("""COMPUTED_VALUE"""),"K19720RUOBL")</f>
        <v>K19720RUOBL</v>
      </c>
      <c r="G547" s="165">
        <f>IFERROR(__xludf.DUMMYFUNCTION("""COMPUTED_VALUE"""),633.0)</f>
        <v>633</v>
      </c>
    </row>
    <row r="548" ht="15.75" customHeight="1">
      <c r="A548" s="133" t="str">
        <f>IFERROR(__xludf.DUMMYFUNCTION("""COMPUTED_VALUE"""),"K19720RUOB")</f>
        <v>K19720RUOB</v>
      </c>
      <c r="B548" s="164">
        <f>IFERROR(__xludf.DUMMYFUNCTION("""COMPUTED_VALUE"""),1.3513503E7)</f>
        <v>13513503</v>
      </c>
      <c r="C548" s="164" t="str">
        <f>IFERROR(__xludf.DUMMYFUNCTION("""COMPUTED_VALUE"""),"13513503XL")</f>
        <v>13513503XL</v>
      </c>
      <c r="D548" s="164" t="str">
        <f>IFERROR(__xludf.DUMMYFUNCTION("""COMPUTED_VALUE"""),"14 097 762")</f>
        <v>14 097 762</v>
      </c>
      <c r="E548" s="164" t="str">
        <f>IFERROR(__xludf.DUMMYFUNCTION("""COMPUTED_VALUE"""),"XL")</f>
        <v>XL</v>
      </c>
      <c r="F548" s="133" t="str">
        <f>IFERROR(__xludf.DUMMYFUNCTION("""COMPUTED_VALUE"""),"K19720RUOBXL")</f>
        <v>K19720RUOBXL</v>
      </c>
      <c r="G548" s="165">
        <f>IFERROR(__xludf.DUMMYFUNCTION("""COMPUTED_VALUE"""),633.0)</f>
        <v>633</v>
      </c>
    </row>
    <row r="549" ht="15.75" customHeight="1">
      <c r="A549" s="133" t="str">
        <f>IFERROR(__xludf.DUMMYFUNCTION("""COMPUTED_VALUE"""),"K19820RUOB")</f>
        <v>K19820RUOB</v>
      </c>
      <c r="B549" s="164">
        <f>IFERROR(__xludf.DUMMYFUNCTION("""COMPUTED_VALUE"""),1.3513504E7)</f>
        <v>13513504</v>
      </c>
      <c r="C549" s="164" t="str">
        <f>IFERROR(__xludf.DUMMYFUNCTION("""COMPUTED_VALUE"""),"1351350490-105")</f>
        <v>1351350490-105</v>
      </c>
      <c r="D549" s="164" t="str">
        <f>IFERROR(__xludf.DUMMYFUNCTION("""COMPUTED_VALUE"""),"14 097 762")</f>
        <v>14 097 762</v>
      </c>
      <c r="E549" s="164" t="str">
        <f>IFERROR(__xludf.DUMMYFUNCTION("""COMPUTED_VALUE"""),"90-105")</f>
        <v>90-105</v>
      </c>
      <c r="F549" s="133" t="str">
        <f>IFERROR(__xludf.DUMMYFUNCTION("""COMPUTED_VALUE"""),"K19820RUOB90-105")</f>
        <v>K19820RUOB90-105</v>
      </c>
      <c r="G549" s="165">
        <f>IFERROR(__xludf.DUMMYFUNCTION("""COMPUTED_VALUE"""),656.0)</f>
        <v>656</v>
      </c>
    </row>
    <row r="550" ht="15.75" customHeight="1">
      <c r="A550" s="133" t="str">
        <f>IFERROR(__xludf.DUMMYFUNCTION("""COMPUTED_VALUE"""),"K19820RUOB")</f>
        <v>K19820RUOB</v>
      </c>
      <c r="B550" s="164">
        <f>IFERROR(__xludf.DUMMYFUNCTION("""COMPUTED_VALUE"""),1.3513504E7)</f>
        <v>13513504</v>
      </c>
      <c r="C550" s="164" t="str">
        <f>IFERROR(__xludf.DUMMYFUNCTION("""COMPUTED_VALUE"""),"13513504110-115")</f>
        <v>13513504110-115</v>
      </c>
      <c r="D550" s="164" t="str">
        <f>IFERROR(__xludf.DUMMYFUNCTION("""COMPUTED_VALUE"""),"14 097 762")</f>
        <v>14 097 762</v>
      </c>
      <c r="E550" s="164" t="str">
        <f>IFERROR(__xludf.DUMMYFUNCTION("""COMPUTED_VALUE"""),"110-115")</f>
        <v>110-115</v>
      </c>
      <c r="F550" s="133" t="str">
        <f>IFERROR(__xludf.DUMMYFUNCTION("""COMPUTED_VALUE"""),"K19820RUOB110-115")</f>
        <v>K19820RUOB110-115</v>
      </c>
      <c r="G550" s="165">
        <f>IFERROR(__xludf.DUMMYFUNCTION("""COMPUTED_VALUE"""),656.0)</f>
        <v>656</v>
      </c>
    </row>
    <row r="551" ht="15.75" customHeight="1">
      <c r="A551" s="133" t="str">
        <f>IFERROR(__xludf.DUMMYFUNCTION("""COMPUTED_VALUE"""),"K19820RUOB")</f>
        <v>K19820RUOB</v>
      </c>
      <c r="B551" s="164">
        <f>IFERROR(__xludf.DUMMYFUNCTION("""COMPUTED_VALUE"""),1.3513504E7)</f>
        <v>13513504</v>
      </c>
      <c r="C551" s="164" t="str">
        <f>IFERROR(__xludf.DUMMYFUNCTION("""COMPUTED_VALUE"""),"13513504115-125")</f>
        <v>13513504115-125</v>
      </c>
      <c r="D551" s="164" t="str">
        <f>IFERROR(__xludf.DUMMYFUNCTION("""COMPUTED_VALUE"""),"14 097 762")</f>
        <v>14 097 762</v>
      </c>
      <c r="E551" s="164" t="str">
        <f>IFERROR(__xludf.DUMMYFUNCTION("""COMPUTED_VALUE"""),"115-125")</f>
        <v>115-125</v>
      </c>
      <c r="F551" s="133" t="str">
        <f>IFERROR(__xludf.DUMMYFUNCTION("""COMPUTED_VALUE"""),"K19820RUOB115-125")</f>
        <v>K19820RUOB115-125</v>
      </c>
      <c r="G551" s="165">
        <f>IFERROR(__xludf.DUMMYFUNCTION("""COMPUTED_VALUE"""),656.0)</f>
        <v>656</v>
      </c>
    </row>
    <row r="552" ht="15.75" customHeight="1">
      <c r="A552" s="133" t="str">
        <f>IFERROR(__xludf.DUMMYFUNCTION("""COMPUTED_VALUE"""),"K19820RUOB")</f>
        <v>K19820RUOB</v>
      </c>
      <c r="B552" s="164">
        <f>IFERROR(__xludf.DUMMYFUNCTION("""COMPUTED_VALUE"""),1.3513504E7)</f>
        <v>13513504</v>
      </c>
      <c r="C552" s="164" t="str">
        <f>IFERROR(__xludf.DUMMYFUNCTION("""COMPUTED_VALUE"""),"13513504130-135")</f>
        <v>13513504130-135</v>
      </c>
      <c r="D552" s="164" t="str">
        <f>IFERROR(__xludf.DUMMYFUNCTION("""COMPUTED_VALUE"""),"14 097 762")</f>
        <v>14 097 762</v>
      </c>
      <c r="E552" s="164" t="str">
        <f>IFERROR(__xludf.DUMMYFUNCTION("""COMPUTED_VALUE"""),"130-135")</f>
        <v>130-135</v>
      </c>
      <c r="F552" s="133" t="str">
        <f>IFERROR(__xludf.DUMMYFUNCTION("""COMPUTED_VALUE"""),"K19820RUOB130-135")</f>
        <v>K19820RUOB130-135</v>
      </c>
      <c r="G552" s="165">
        <f>IFERROR(__xludf.DUMMYFUNCTION("""COMPUTED_VALUE"""),656.0)</f>
        <v>656</v>
      </c>
    </row>
    <row r="553" ht="15.75" customHeight="1">
      <c r="A553" s="133" t="str">
        <f>IFERROR(__xludf.DUMMYFUNCTION("""COMPUTED_VALUE"""),"K19820RUOB")</f>
        <v>K19820RUOB</v>
      </c>
      <c r="B553" s="164">
        <f>IFERROR(__xludf.DUMMYFUNCTION("""COMPUTED_VALUE"""),1.3513504E7)</f>
        <v>13513504</v>
      </c>
      <c r="C553" s="164" t="str">
        <f>IFERROR(__xludf.DUMMYFUNCTION("""COMPUTED_VALUE"""),"13513504140-145")</f>
        <v>13513504140-145</v>
      </c>
      <c r="D553" s="164" t="str">
        <f>IFERROR(__xludf.DUMMYFUNCTION("""COMPUTED_VALUE"""),"14 097 762")</f>
        <v>14 097 762</v>
      </c>
      <c r="E553" s="164" t="str">
        <f>IFERROR(__xludf.DUMMYFUNCTION("""COMPUTED_VALUE"""),"140-145")</f>
        <v>140-145</v>
      </c>
      <c r="F553" s="133" t="str">
        <f>IFERROR(__xludf.DUMMYFUNCTION("""COMPUTED_VALUE"""),"K19820RUOB140-145")</f>
        <v>K19820RUOB140-145</v>
      </c>
      <c r="G553" s="165">
        <f>IFERROR(__xludf.DUMMYFUNCTION("""COMPUTED_VALUE"""),656.0)</f>
        <v>656</v>
      </c>
    </row>
    <row r="554" ht="15.75" customHeight="1">
      <c r="A554" s="133" t="str">
        <f>IFERROR(__xludf.DUMMYFUNCTION("""COMPUTED_VALUE"""),"K19820RUOB")</f>
        <v>K19820RUOB</v>
      </c>
      <c r="B554" s="164">
        <f>IFERROR(__xludf.DUMMYFUNCTION("""COMPUTED_VALUE"""),1.3513504E7)</f>
        <v>13513504</v>
      </c>
      <c r="C554" s="164" t="str">
        <f>IFERROR(__xludf.DUMMYFUNCTION("""COMPUTED_VALUE"""),"13513504S")</f>
        <v>13513504S</v>
      </c>
      <c r="D554" s="164" t="str">
        <f>IFERROR(__xludf.DUMMYFUNCTION("""COMPUTED_VALUE"""),"14 097 762")</f>
        <v>14 097 762</v>
      </c>
      <c r="E554" s="164" t="str">
        <f>IFERROR(__xludf.DUMMYFUNCTION("""COMPUTED_VALUE"""),"S")</f>
        <v>S</v>
      </c>
      <c r="F554" s="133" t="str">
        <f>IFERROR(__xludf.DUMMYFUNCTION("""COMPUTED_VALUE"""),"K19820RUOBS")</f>
        <v>K19820RUOBS</v>
      </c>
      <c r="G554" s="165">
        <f>IFERROR(__xludf.DUMMYFUNCTION("""COMPUTED_VALUE"""),656.0)</f>
        <v>656</v>
      </c>
    </row>
    <row r="555" ht="15.75" customHeight="1">
      <c r="A555" s="133" t="str">
        <f>IFERROR(__xludf.DUMMYFUNCTION("""COMPUTED_VALUE"""),"K19820RUOB")</f>
        <v>K19820RUOB</v>
      </c>
      <c r="B555" s="164">
        <f>IFERROR(__xludf.DUMMYFUNCTION("""COMPUTED_VALUE"""),1.3513504E7)</f>
        <v>13513504</v>
      </c>
      <c r="C555" s="164" t="str">
        <f>IFERROR(__xludf.DUMMYFUNCTION("""COMPUTED_VALUE"""),"13513504M")</f>
        <v>13513504M</v>
      </c>
      <c r="D555" s="164" t="str">
        <f>IFERROR(__xludf.DUMMYFUNCTION("""COMPUTED_VALUE"""),"14 097 762")</f>
        <v>14 097 762</v>
      </c>
      <c r="E555" s="164" t="str">
        <f>IFERROR(__xludf.DUMMYFUNCTION("""COMPUTED_VALUE"""),"M")</f>
        <v>M</v>
      </c>
      <c r="F555" s="133" t="str">
        <f>IFERROR(__xludf.DUMMYFUNCTION("""COMPUTED_VALUE"""),"K19820RUOBM")</f>
        <v>K19820RUOBM</v>
      </c>
      <c r="G555" s="165">
        <f>IFERROR(__xludf.DUMMYFUNCTION("""COMPUTED_VALUE"""),656.0)</f>
        <v>656</v>
      </c>
    </row>
    <row r="556" ht="15.75" customHeight="1">
      <c r="A556" s="133" t="str">
        <f>IFERROR(__xludf.DUMMYFUNCTION("""COMPUTED_VALUE"""),"K19820RUOB")</f>
        <v>K19820RUOB</v>
      </c>
      <c r="B556" s="164">
        <f>IFERROR(__xludf.DUMMYFUNCTION("""COMPUTED_VALUE"""),1.3513504E7)</f>
        <v>13513504</v>
      </c>
      <c r="C556" s="164" t="str">
        <f>IFERROR(__xludf.DUMMYFUNCTION("""COMPUTED_VALUE"""),"13513504L")</f>
        <v>13513504L</v>
      </c>
      <c r="D556" s="164" t="str">
        <f>IFERROR(__xludf.DUMMYFUNCTION("""COMPUTED_VALUE"""),"14 097 762")</f>
        <v>14 097 762</v>
      </c>
      <c r="E556" s="164" t="str">
        <f>IFERROR(__xludf.DUMMYFUNCTION("""COMPUTED_VALUE"""),"L")</f>
        <v>L</v>
      </c>
      <c r="F556" s="133" t="str">
        <f>IFERROR(__xludf.DUMMYFUNCTION("""COMPUTED_VALUE"""),"K19820RUOBL")</f>
        <v>K19820RUOBL</v>
      </c>
      <c r="G556" s="165">
        <f>IFERROR(__xludf.DUMMYFUNCTION("""COMPUTED_VALUE"""),656.0)</f>
        <v>656</v>
      </c>
    </row>
    <row r="557" ht="15.75" customHeight="1">
      <c r="A557" s="133" t="str">
        <f>IFERROR(__xludf.DUMMYFUNCTION("""COMPUTED_VALUE"""),"K19820RUOB")</f>
        <v>K19820RUOB</v>
      </c>
      <c r="B557" s="164">
        <f>IFERROR(__xludf.DUMMYFUNCTION("""COMPUTED_VALUE"""),1.3513504E7)</f>
        <v>13513504</v>
      </c>
      <c r="C557" s="164" t="str">
        <f>IFERROR(__xludf.DUMMYFUNCTION("""COMPUTED_VALUE"""),"13513504XL")</f>
        <v>13513504XL</v>
      </c>
      <c r="D557" s="164" t="str">
        <f>IFERROR(__xludf.DUMMYFUNCTION("""COMPUTED_VALUE"""),"14 097 762")</f>
        <v>14 097 762</v>
      </c>
      <c r="E557" s="164" t="str">
        <f>IFERROR(__xludf.DUMMYFUNCTION("""COMPUTED_VALUE"""),"XL")</f>
        <v>XL</v>
      </c>
      <c r="F557" s="133" t="str">
        <f>IFERROR(__xludf.DUMMYFUNCTION("""COMPUTED_VALUE"""),"K19820RUOBXL")</f>
        <v>K19820RUOBXL</v>
      </c>
      <c r="G557" s="165">
        <f>IFERROR(__xludf.DUMMYFUNCTION("""COMPUTED_VALUE"""),656.0)</f>
        <v>656</v>
      </c>
    </row>
    <row r="558" ht="15.75" customHeight="1">
      <c r="A558" s="133">
        <f>IFERROR(__xludf.DUMMYFUNCTION("""COMPUTED_VALUE"""),10014.0)</f>
        <v>10014</v>
      </c>
      <c r="B558" s="164">
        <f>IFERROR(__xludf.DUMMYFUNCTION("""COMPUTED_VALUE"""),5286912.0)</f>
        <v>5286912</v>
      </c>
      <c r="C558" s="164" t="str">
        <f>IFERROR(__xludf.DUMMYFUNCTION("""COMPUTED_VALUE"""),"5286912XXS")</f>
        <v>5286912XXS</v>
      </c>
      <c r="D558" s="164" t="str">
        <f>IFERROR(__xludf.DUMMYFUNCTION("""COMPUTED_VALUE"""),"черный")</f>
        <v>черный</v>
      </c>
      <c r="E558" s="164" t="str">
        <f>IFERROR(__xludf.DUMMYFUNCTION("""COMPUTED_VALUE"""),"XXS")</f>
        <v>XXS</v>
      </c>
      <c r="F558" s="133" t="str">
        <f>IFERROR(__xludf.DUMMYFUNCTION("""COMPUTED_VALUE"""),"10014XXS")</f>
        <v>10014XXS</v>
      </c>
      <c r="G558" s="165">
        <f>IFERROR(__xludf.DUMMYFUNCTION("""COMPUTED_VALUE"""),1167.0)</f>
        <v>1167</v>
      </c>
    </row>
    <row r="559" ht="15.75" customHeight="1">
      <c r="A559" s="133">
        <f>IFERROR(__xludf.DUMMYFUNCTION("""COMPUTED_VALUE"""),10014.0)</f>
        <v>10014</v>
      </c>
      <c r="B559" s="164">
        <f>IFERROR(__xludf.DUMMYFUNCTION("""COMPUTED_VALUE"""),5286912.0)</f>
        <v>5286912</v>
      </c>
      <c r="C559" s="164" t="str">
        <f>IFERROR(__xludf.DUMMYFUNCTION("""COMPUTED_VALUE"""),"5286912XS")</f>
        <v>5286912XS</v>
      </c>
      <c r="D559" s="164" t="str">
        <f>IFERROR(__xludf.DUMMYFUNCTION("""COMPUTED_VALUE"""),"черный")</f>
        <v>черный</v>
      </c>
      <c r="E559" s="164" t="str">
        <f>IFERROR(__xludf.DUMMYFUNCTION("""COMPUTED_VALUE"""),"XS")</f>
        <v>XS</v>
      </c>
      <c r="F559" s="133" t="str">
        <f>IFERROR(__xludf.DUMMYFUNCTION("""COMPUTED_VALUE"""),"10014XS")</f>
        <v>10014XS</v>
      </c>
      <c r="G559" s="165">
        <f>IFERROR(__xludf.DUMMYFUNCTION("""COMPUTED_VALUE"""),1167.0)</f>
        <v>1167</v>
      </c>
    </row>
    <row r="560" ht="15.75" customHeight="1">
      <c r="A560" s="133">
        <f>IFERROR(__xludf.DUMMYFUNCTION("""COMPUTED_VALUE"""),10014.0)</f>
        <v>10014</v>
      </c>
      <c r="B560" s="164">
        <f>IFERROR(__xludf.DUMMYFUNCTION("""COMPUTED_VALUE"""),5286912.0)</f>
        <v>5286912</v>
      </c>
      <c r="C560" s="164" t="str">
        <f>IFERROR(__xludf.DUMMYFUNCTION("""COMPUTED_VALUE"""),"5286912S")</f>
        <v>5286912S</v>
      </c>
      <c r="D560" s="164" t="str">
        <f>IFERROR(__xludf.DUMMYFUNCTION("""COMPUTED_VALUE"""),"черный")</f>
        <v>черный</v>
      </c>
      <c r="E560" s="164" t="str">
        <f>IFERROR(__xludf.DUMMYFUNCTION("""COMPUTED_VALUE"""),"S")</f>
        <v>S</v>
      </c>
      <c r="F560" s="133" t="str">
        <f>IFERROR(__xludf.DUMMYFUNCTION("""COMPUTED_VALUE"""),"10014S")</f>
        <v>10014S</v>
      </c>
      <c r="G560" s="165">
        <f>IFERROR(__xludf.DUMMYFUNCTION("""COMPUTED_VALUE"""),1167.0)</f>
        <v>1167</v>
      </c>
    </row>
    <row r="561" ht="15.75" customHeight="1">
      <c r="A561" s="133">
        <f>IFERROR(__xludf.DUMMYFUNCTION("""COMPUTED_VALUE"""),10014.0)</f>
        <v>10014</v>
      </c>
      <c r="B561" s="164">
        <f>IFERROR(__xludf.DUMMYFUNCTION("""COMPUTED_VALUE"""),5286912.0)</f>
        <v>5286912</v>
      </c>
      <c r="C561" s="164" t="str">
        <f>IFERROR(__xludf.DUMMYFUNCTION("""COMPUTED_VALUE"""),"5286912M")</f>
        <v>5286912M</v>
      </c>
      <c r="D561" s="164" t="str">
        <f>IFERROR(__xludf.DUMMYFUNCTION("""COMPUTED_VALUE"""),"черный")</f>
        <v>черный</v>
      </c>
      <c r="E561" s="164" t="str">
        <f>IFERROR(__xludf.DUMMYFUNCTION("""COMPUTED_VALUE"""),"M")</f>
        <v>M</v>
      </c>
      <c r="F561" s="133" t="str">
        <f>IFERROR(__xludf.DUMMYFUNCTION("""COMPUTED_VALUE"""),"10014M")</f>
        <v>10014M</v>
      </c>
      <c r="G561" s="165">
        <f>IFERROR(__xludf.DUMMYFUNCTION("""COMPUTED_VALUE"""),1167.0)</f>
        <v>1167</v>
      </c>
    </row>
    <row r="562" ht="15.75" customHeight="1">
      <c r="A562" s="133">
        <f>IFERROR(__xludf.DUMMYFUNCTION("""COMPUTED_VALUE"""),10014.0)</f>
        <v>10014</v>
      </c>
      <c r="B562" s="164">
        <f>IFERROR(__xludf.DUMMYFUNCTION("""COMPUTED_VALUE"""),5286912.0)</f>
        <v>5286912</v>
      </c>
      <c r="C562" s="164" t="str">
        <f>IFERROR(__xludf.DUMMYFUNCTION("""COMPUTED_VALUE"""),"5286912L")</f>
        <v>5286912L</v>
      </c>
      <c r="D562" s="164" t="str">
        <f>IFERROR(__xludf.DUMMYFUNCTION("""COMPUTED_VALUE"""),"черный")</f>
        <v>черный</v>
      </c>
      <c r="E562" s="164" t="str">
        <f>IFERROR(__xludf.DUMMYFUNCTION("""COMPUTED_VALUE"""),"L")</f>
        <v>L</v>
      </c>
      <c r="F562" s="133" t="str">
        <f>IFERROR(__xludf.DUMMYFUNCTION("""COMPUTED_VALUE"""),"10014L")</f>
        <v>10014L</v>
      </c>
      <c r="G562" s="165">
        <f>IFERROR(__xludf.DUMMYFUNCTION("""COMPUTED_VALUE"""),1167.0)</f>
        <v>1167</v>
      </c>
    </row>
    <row r="563" ht="15.75" customHeight="1">
      <c r="A563" s="133">
        <f>IFERROR(__xludf.DUMMYFUNCTION("""COMPUTED_VALUE"""),10014.0)</f>
        <v>10014</v>
      </c>
      <c r="B563" s="164">
        <f>IFERROR(__xludf.DUMMYFUNCTION("""COMPUTED_VALUE"""),5286912.0)</f>
        <v>5286912</v>
      </c>
      <c r="C563" s="164" t="str">
        <f>IFERROR(__xludf.DUMMYFUNCTION("""COMPUTED_VALUE"""),"5286912XL")</f>
        <v>5286912XL</v>
      </c>
      <c r="D563" s="164" t="str">
        <f>IFERROR(__xludf.DUMMYFUNCTION("""COMPUTED_VALUE"""),"черный")</f>
        <v>черный</v>
      </c>
      <c r="E563" s="164" t="str">
        <f>IFERROR(__xludf.DUMMYFUNCTION("""COMPUTED_VALUE"""),"XL")</f>
        <v>XL</v>
      </c>
      <c r="F563" s="133" t="str">
        <f>IFERROR(__xludf.DUMMYFUNCTION("""COMPUTED_VALUE"""),"10014XL")</f>
        <v>10014XL</v>
      </c>
      <c r="G563" s="165">
        <f>IFERROR(__xludf.DUMMYFUNCTION("""COMPUTED_VALUE"""),1167.0)</f>
        <v>1167</v>
      </c>
    </row>
    <row r="564" ht="15.75" customHeight="1">
      <c r="A564" s="133">
        <f>IFERROR(__xludf.DUMMYFUNCTION("""COMPUTED_VALUE"""),10014.0)</f>
        <v>10014</v>
      </c>
      <c r="B564" s="164">
        <f>IFERROR(__xludf.DUMMYFUNCTION("""COMPUTED_VALUE"""),5286912.0)</f>
        <v>5286912</v>
      </c>
      <c r="C564" s="164" t="str">
        <f>IFERROR(__xludf.DUMMYFUNCTION("""COMPUTED_VALUE"""),"5286912XXL")</f>
        <v>5286912XXL</v>
      </c>
      <c r="D564" s="164" t="str">
        <f>IFERROR(__xludf.DUMMYFUNCTION("""COMPUTED_VALUE"""),"черный")</f>
        <v>черный</v>
      </c>
      <c r="E564" s="164" t="str">
        <f>IFERROR(__xludf.DUMMYFUNCTION("""COMPUTED_VALUE"""),"XXL")</f>
        <v>XXL</v>
      </c>
      <c r="F564" s="133" t="str">
        <f>IFERROR(__xludf.DUMMYFUNCTION("""COMPUTED_VALUE"""),"10014XXL")</f>
        <v>10014XXL</v>
      </c>
      <c r="G564" s="165">
        <f>IFERROR(__xludf.DUMMYFUNCTION("""COMPUTED_VALUE"""),1167.0)</f>
        <v>1167</v>
      </c>
    </row>
    <row r="565" ht="15.75" customHeight="1">
      <c r="A565" s="133">
        <f>IFERROR(__xludf.DUMMYFUNCTION("""COMPUTED_VALUE"""),10015.0)</f>
        <v>10015</v>
      </c>
      <c r="B565" s="164">
        <f>IFERROR(__xludf.DUMMYFUNCTION("""COMPUTED_VALUE"""),5286913.0)</f>
        <v>5286913</v>
      </c>
      <c r="C565" s="164" t="str">
        <f>IFERROR(__xludf.DUMMYFUNCTION("""COMPUTED_VALUE"""),"5286913XXS")</f>
        <v>5286913XXS</v>
      </c>
      <c r="D565" s="164" t="str">
        <f>IFERROR(__xludf.DUMMYFUNCTION("""COMPUTED_VALUE"""),"синий")</f>
        <v>синий</v>
      </c>
      <c r="E565" s="164" t="str">
        <f>IFERROR(__xludf.DUMMYFUNCTION("""COMPUTED_VALUE"""),"XXS")</f>
        <v>XXS</v>
      </c>
      <c r="F565" s="133" t="str">
        <f>IFERROR(__xludf.DUMMYFUNCTION("""COMPUTED_VALUE"""),"10015XXS")</f>
        <v>10015XXS</v>
      </c>
      <c r="G565" s="165">
        <f>IFERROR(__xludf.DUMMYFUNCTION("""COMPUTED_VALUE"""),1167.0)</f>
        <v>1167</v>
      </c>
    </row>
    <row r="566" ht="15.75" customHeight="1">
      <c r="A566" s="133">
        <f>IFERROR(__xludf.DUMMYFUNCTION("""COMPUTED_VALUE"""),10015.0)</f>
        <v>10015</v>
      </c>
      <c r="B566" s="164">
        <f>IFERROR(__xludf.DUMMYFUNCTION("""COMPUTED_VALUE"""),5286913.0)</f>
        <v>5286913</v>
      </c>
      <c r="C566" s="164" t="str">
        <f>IFERROR(__xludf.DUMMYFUNCTION("""COMPUTED_VALUE"""),"5286913XS")</f>
        <v>5286913XS</v>
      </c>
      <c r="D566" s="164" t="str">
        <f>IFERROR(__xludf.DUMMYFUNCTION("""COMPUTED_VALUE"""),"синий")</f>
        <v>синий</v>
      </c>
      <c r="E566" s="164" t="str">
        <f>IFERROR(__xludf.DUMMYFUNCTION("""COMPUTED_VALUE"""),"XS")</f>
        <v>XS</v>
      </c>
      <c r="F566" s="133" t="str">
        <f>IFERROR(__xludf.DUMMYFUNCTION("""COMPUTED_VALUE"""),"10015XS")</f>
        <v>10015XS</v>
      </c>
      <c r="G566" s="165">
        <f>IFERROR(__xludf.DUMMYFUNCTION("""COMPUTED_VALUE"""),1167.0)</f>
        <v>1167</v>
      </c>
    </row>
    <row r="567" ht="15.75" customHeight="1">
      <c r="A567" s="133">
        <f>IFERROR(__xludf.DUMMYFUNCTION("""COMPUTED_VALUE"""),10015.0)</f>
        <v>10015</v>
      </c>
      <c r="B567" s="164">
        <f>IFERROR(__xludf.DUMMYFUNCTION("""COMPUTED_VALUE"""),5286913.0)</f>
        <v>5286913</v>
      </c>
      <c r="C567" s="164" t="str">
        <f>IFERROR(__xludf.DUMMYFUNCTION("""COMPUTED_VALUE"""),"5286913S")</f>
        <v>5286913S</v>
      </c>
      <c r="D567" s="164" t="str">
        <f>IFERROR(__xludf.DUMMYFUNCTION("""COMPUTED_VALUE"""),"синий")</f>
        <v>синий</v>
      </c>
      <c r="E567" s="164" t="str">
        <f>IFERROR(__xludf.DUMMYFUNCTION("""COMPUTED_VALUE"""),"S")</f>
        <v>S</v>
      </c>
      <c r="F567" s="133" t="str">
        <f>IFERROR(__xludf.DUMMYFUNCTION("""COMPUTED_VALUE"""),"10015S")</f>
        <v>10015S</v>
      </c>
      <c r="G567" s="165">
        <f>IFERROR(__xludf.DUMMYFUNCTION("""COMPUTED_VALUE"""),1167.0)</f>
        <v>1167</v>
      </c>
    </row>
    <row r="568" ht="15.75" customHeight="1">
      <c r="A568" s="133">
        <f>IFERROR(__xludf.DUMMYFUNCTION("""COMPUTED_VALUE"""),10015.0)</f>
        <v>10015</v>
      </c>
      <c r="B568" s="164">
        <f>IFERROR(__xludf.DUMMYFUNCTION("""COMPUTED_VALUE"""),5286913.0)</f>
        <v>5286913</v>
      </c>
      <c r="C568" s="164" t="str">
        <f>IFERROR(__xludf.DUMMYFUNCTION("""COMPUTED_VALUE"""),"5286913M")</f>
        <v>5286913M</v>
      </c>
      <c r="D568" s="164" t="str">
        <f>IFERROR(__xludf.DUMMYFUNCTION("""COMPUTED_VALUE"""),"синий")</f>
        <v>синий</v>
      </c>
      <c r="E568" s="164" t="str">
        <f>IFERROR(__xludf.DUMMYFUNCTION("""COMPUTED_VALUE"""),"M")</f>
        <v>M</v>
      </c>
      <c r="F568" s="133" t="str">
        <f>IFERROR(__xludf.DUMMYFUNCTION("""COMPUTED_VALUE"""),"10015M")</f>
        <v>10015M</v>
      </c>
      <c r="G568" s="165">
        <f>IFERROR(__xludf.DUMMYFUNCTION("""COMPUTED_VALUE"""),1167.0)</f>
        <v>1167</v>
      </c>
    </row>
    <row r="569" ht="15.75" customHeight="1">
      <c r="A569" s="133">
        <f>IFERROR(__xludf.DUMMYFUNCTION("""COMPUTED_VALUE"""),10015.0)</f>
        <v>10015</v>
      </c>
      <c r="B569" s="164">
        <f>IFERROR(__xludf.DUMMYFUNCTION("""COMPUTED_VALUE"""),5286913.0)</f>
        <v>5286913</v>
      </c>
      <c r="C569" s="164" t="str">
        <f>IFERROR(__xludf.DUMMYFUNCTION("""COMPUTED_VALUE"""),"5286913L")</f>
        <v>5286913L</v>
      </c>
      <c r="D569" s="164" t="str">
        <f>IFERROR(__xludf.DUMMYFUNCTION("""COMPUTED_VALUE"""),"синий")</f>
        <v>синий</v>
      </c>
      <c r="E569" s="164" t="str">
        <f>IFERROR(__xludf.DUMMYFUNCTION("""COMPUTED_VALUE"""),"L")</f>
        <v>L</v>
      </c>
      <c r="F569" s="133" t="str">
        <f>IFERROR(__xludf.DUMMYFUNCTION("""COMPUTED_VALUE"""),"10015L")</f>
        <v>10015L</v>
      </c>
      <c r="G569" s="165">
        <f>IFERROR(__xludf.DUMMYFUNCTION("""COMPUTED_VALUE"""),1167.0)</f>
        <v>1167</v>
      </c>
    </row>
    <row r="570" ht="15.75" customHeight="1">
      <c r="A570" s="133">
        <f>IFERROR(__xludf.DUMMYFUNCTION("""COMPUTED_VALUE"""),10015.0)</f>
        <v>10015</v>
      </c>
      <c r="B570" s="164">
        <f>IFERROR(__xludf.DUMMYFUNCTION("""COMPUTED_VALUE"""),5286913.0)</f>
        <v>5286913</v>
      </c>
      <c r="C570" s="164" t="str">
        <f>IFERROR(__xludf.DUMMYFUNCTION("""COMPUTED_VALUE"""),"5286913XL")</f>
        <v>5286913XL</v>
      </c>
      <c r="D570" s="164" t="str">
        <f>IFERROR(__xludf.DUMMYFUNCTION("""COMPUTED_VALUE"""),"синий")</f>
        <v>синий</v>
      </c>
      <c r="E570" s="164" t="str">
        <f>IFERROR(__xludf.DUMMYFUNCTION("""COMPUTED_VALUE"""),"XL")</f>
        <v>XL</v>
      </c>
      <c r="F570" s="133" t="str">
        <f>IFERROR(__xludf.DUMMYFUNCTION("""COMPUTED_VALUE"""),"10015XL")</f>
        <v>10015XL</v>
      </c>
      <c r="G570" s="165">
        <f>IFERROR(__xludf.DUMMYFUNCTION("""COMPUTED_VALUE"""),1167.0)</f>
        <v>1167</v>
      </c>
    </row>
    <row r="571" ht="15.75" customHeight="1">
      <c r="A571" s="133">
        <f>IFERROR(__xludf.DUMMYFUNCTION("""COMPUTED_VALUE"""),10015.0)</f>
        <v>10015</v>
      </c>
      <c r="B571" s="164">
        <f>IFERROR(__xludf.DUMMYFUNCTION("""COMPUTED_VALUE"""),5286913.0)</f>
        <v>5286913</v>
      </c>
      <c r="C571" s="164" t="str">
        <f>IFERROR(__xludf.DUMMYFUNCTION("""COMPUTED_VALUE"""),"5286913XXL")</f>
        <v>5286913XXL</v>
      </c>
      <c r="D571" s="164" t="str">
        <f>IFERROR(__xludf.DUMMYFUNCTION("""COMPUTED_VALUE"""),"синий")</f>
        <v>синий</v>
      </c>
      <c r="E571" s="164" t="str">
        <f>IFERROR(__xludf.DUMMYFUNCTION("""COMPUTED_VALUE"""),"XXL")</f>
        <v>XXL</v>
      </c>
      <c r="F571" s="133" t="str">
        <f>IFERROR(__xludf.DUMMYFUNCTION("""COMPUTED_VALUE"""),"10015XXL")</f>
        <v>10015XXL</v>
      </c>
      <c r="G571" s="165">
        <f>IFERROR(__xludf.DUMMYFUNCTION("""COMPUTED_VALUE"""),1167.0)</f>
        <v>1167</v>
      </c>
    </row>
    <row r="572" ht="15.75" customHeight="1">
      <c r="A572" s="133">
        <f>IFERROR(__xludf.DUMMYFUNCTION("""COMPUTED_VALUE"""),10017.0)</f>
        <v>10017</v>
      </c>
      <c r="B572" s="164">
        <f>IFERROR(__xludf.DUMMYFUNCTION("""COMPUTED_VALUE"""),5286915.0)</f>
        <v>5286915</v>
      </c>
      <c r="C572" s="164" t="str">
        <f>IFERROR(__xludf.DUMMYFUNCTION("""COMPUTED_VALUE"""),"5286915XXS")</f>
        <v>5286915XXS</v>
      </c>
      <c r="D572" s="164" t="str">
        <f>IFERROR(__xludf.DUMMYFUNCTION("""COMPUTED_VALUE"""),"белый/васильковый")</f>
        <v>белый/васильковый</v>
      </c>
      <c r="E572" s="164" t="str">
        <f>IFERROR(__xludf.DUMMYFUNCTION("""COMPUTED_VALUE"""),"XXS")</f>
        <v>XXS</v>
      </c>
      <c r="F572" s="133" t="str">
        <f>IFERROR(__xludf.DUMMYFUNCTION("""COMPUTED_VALUE"""),"10017XXS")</f>
        <v>10017XXS</v>
      </c>
      <c r="G572" s="165">
        <f>IFERROR(__xludf.DUMMYFUNCTION("""COMPUTED_VALUE"""),1167.0)</f>
        <v>1167</v>
      </c>
    </row>
    <row r="573" ht="15.75" customHeight="1">
      <c r="A573" s="133">
        <f>IFERROR(__xludf.DUMMYFUNCTION("""COMPUTED_VALUE"""),10017.0)</f>
        <v>10017</v>
      </c>
      <c r="B573" s="164">
        <f>IFERROR(__xludf.DUMMYFUNCTION("""COMPUTED_VALUE"""),5286915.0)</f>
        <v>5286915</v>
      </c>
      <c r="C573" s="164" t="str">
        <f>IFERROR(__xludf.DUMMYFUNCTION("""COMPUTED_VALUE"""),"5286915XS")</f>
        <v>5286915XS</v>
      </c>
      <c r="D573" s="164" t="str">
        <f>IFERROR(__xludf.DUMMYFUNCTION("""COMPUTED_VALUE"""),"белый/васильковый")</f>
        <v>белый/васильковый</v>
      </c>
      <c r="E573" s="164" t="str">
        <f>IFERROR(__xludf.DUMMYFUNCTION("""COMPUTED_VALUE"""),"XS")</f>
        <v>XS</v>
      </c>
      <c r="F573" s="133" t="str">
        <f>IFERROR(__xludf.DUMMYFUNCTION("""COMPUTED_VALUE"""),"10017XS")</f>
        <v>10017XS</v>
      </c>
      <c r="G573" s="165">
        <f>IFERROR(__xludf.DUMMYFUNCTION("""COMPUTED_VALUE"""),1167.0)</f>
        <v>1167</v>
      </c>
    </row>
    <row r="574" ht="15.75" customHeight="1">
      <c r="A574" s="133">
        <f>IFERROR(__xludf.DUMMYFUNCTION("""COMPUTED_VALUE"""),10017.0)</f>
        <v>10017</v>
      </c>
      <c r="B574" s="164">
        <f>IFERROR(__xludf.DUMMYFUNCTION("""COMPUTED_VALUE"""),5286915.0)</f>
        <v>5286915</v>
      </c>
      <c r="C574" s="164" t="str">
        <f>IFERROR(__xludf.DUMMYFUNCTION("""COMPUTED_VALUE"""),"5286915S")</f>
        <v>5286915S</v>
      </c>
      <c r="D574" s="164" t="str">
        <f>IFERROR(__xludf.DUMMYFUNCTION("""COMPUTED_VALUE"""),"белый/васильковый")</f>
        <v>белый/васильковый</v>
      </c>
      <c r="E574" s="164" t="str">
        <f>IFERROR(__xludf.DUMMYFUNCTION("""COMPUTED_VALUE"""),"S")</f>
        <v>S</v>
      </c>
      <c r="F574" s="133" t="str">
        <f>IFERROR(__xludf.DUMMYFUNCTION("""COMPUTED_VALUE"""),"10017S")</f>
        <v>10017S</v>
      </c>
      <c r="G574" s="165">
        <f>IFERROR(__xludf.DUMMYFUNCTION("""COMPUTED_VALUE"""),1167.0)</f>
        <v>1167</v>
      </c>
    </row>
    <row r="575" ht="15.75" customHeight="1">
      <c r="A575" s="133">
        <f>IFERROR(__xludf.DUMMYFUNCTION("""COMPUTED_VALUE"""),10017.0)</f>
        <v>10017</v>
      </c>
      <c r="B575" s="164">
        <f>IFERROR(__xludf.DUMMYFUNCTION("""COMPUTED_VALUE"""),5286915.0)</f>
        <v>5286915</v>
      </c>
      <c r="C575" s="164" t="str">
        <f>IFERROR(__xludf.DUMMYFUNCTION("""COMPUTED_VALUE"""),"5286915M")</f>
        <v>5286915M</v>
      </c>
      <c r="D575" s="164" t="str">
        <f>IFERROR(__xludf.DUMMYFUNCTION("""COMPUTED_VALUE"""),"белый/васильковый")</f>
        <v>белый/васильковый</v>
      </c>
      <c r="E575" s="164" t="str">
        <f>IFERROR(__xludf.DUMMYFUNCTION("""COMPUTED_VALUE"""),"M")</f>
        <v>M</v>
      </c>
      <c r="F575" s="133" t="str">
        <f>IFERROR(__xludf.DUMMYFUNCTION("""COMPUTED_VALUE"""),"10017M")</f>
        <v>10017M</v>
      </c>
      <c r="G575" s="165">
        <f>IFERROR(__xludf.DUMMYFUNCTION("""COMPUTED_VALUE"""),1167.0)</f>
        <v>1167</v>
      </c>
    </row>
    <row r="576" ht="15.75" customHeight="1">
      <c r="A576" s="133">
        <f>IFERROR(__xludf.DUMMYFUNCTION("""COMPUTED_VALUE"""),10017.0)</f>
        <v>10017</v>
      </c>
      <c r="B576" s="164">
        <f>IFERROR(__xludf.DUMMYFUNCTION("""COMPUTED_VALUE"""),5286915.0)</f>
        <v>5286915</v>
      </c>
      <c r="C576" s="164" t="str">
        <f>IFERROR(__xludf.DUMMYFUNCTION("""COMPUTED_VALUE"""),"5286915L")</f>
        <v>5286915L</v>
      </c>
      <c r="D576" s="164" t="str">
        <f>IFERROR(__xludf.DUMMYFUNCTION("""COMPUTED_VALUE"""),"белый/васильковый")</f>
        <v>белый/васильковый</v>
      </c>
      <c r="E576" s="164" t="str">
        <f>IFERROR(__xludf.DUMMYFUNCTION("""COMPUTED_VALUE"""),"L")</f>
        <v>L</v>
      </c>
      <c r="F576" s="133" t="str">
        <f>IFERROR(__xludf.DUMMYFUNCTION("""COMPUTED_VALUE"""),"10017L")</f>
        <v>10017L</v>
      </c>
      <c r="G576" s="165">
        <f>IFERROR(__xludf.DUMMYFUNCTION("""COMPUTED_VALUE"""),1167.0)</f>
        <v>1167</v>
      </c>
    </row>
    <row r="577" ht="15.75" customHeight="1">
      <c r="A577" s="133">
        <f>IFERROR(__xludf.DUMMYFUNCTION("""COMPUTED_VALUE"""),10017.0)</f>
        <v>10017</v>
      </c>
      <c r="B577" s="164">
        <f>IFERROR(__xludf.DUMMYFUNCTION("""COMPUTED_VALUE"""),5286915.0)</f>
        <v>5286915</v>
      </c>
      <c r="C577" s="164" t="str">
        <f>IFERROR(__xludf.DUMMYFUNCTION("""COMPUTED_VALUE"""),"5286915XL")</f>
        <v>5286915XL</v>
      </c>
      <c r="D577" s="164" t="str">
        <f>IFERROR(__xludf.DUMMYFUNCTION("""COMPUTED_VALUE"""),"белый/васильковый")</f>
        <v>белый/васильковый</v>
      </c>
      <c r="E577" s="164" t="str">
        <f>IFERROR(__xludf.DUMMYFUNCTION("""COMPUTED_VALUE"""),"XL")</f>
        <v>XL</v>
      </c>
      <c r="F577" s="133" t="str">
        <f>IFERROR(__xludf.DUMMYFUNCTION("""COMPUTED_VALUE"""),"10017XL")</f>
        <v>10017XL</v>
      </c>
      <c r="G577" s="165">
        <f>IFERROR(__xludf.DUMMYFUNCTION("""COMPUTED_VALUE"""),1167.0)</f>
        <v>1167</v>
      </c>
    </row>
    <row r="578" ht="15.75" customHeight="1">
      <c r="A578" s="133">
        <f>IFERROR(__xludf.DUMMYFUNCTION("""COMPUTED_VALUE"""),10017.0)</f>
        <v>10017</v>
      </c>
      <c r="B578" s="164">
        <f>IFERROR(__xludf.DUMMYFUNCTION("""COMPUTED_VALUE"""),5286915.0)</f>
        <v>5286915</v>
      </c>
      <c r="C578" s="164" t="str">
        <f>IFERROR(__xludf.DUMMYFUNCTION("""COMPUTED_VALUE"""),"5286915XXL")</f>
        <v>5286915XXL</v>
      </c>
      <c r="D578" s="164" t="str">
        <f>IFERROR(__xludf.DUMMYFUNCTION("""COMPUTED_VALUE"""),"белый/васильковый")</f>
        <v>белый/васильковый</v>
      </c>
      <c r="E578" s="164" t="str">
        <f>IFERROR(__xludf.DUMMYFUNCTION("""COMPUTED_VALUE"""),"XXL")</f>
        <v>XXL</v>
      </c>
      <c r="F578" s="133" t="str">
        <f>IFERROR(__xludf.DUMMYFUNCTION("""COMPUTED_VALUE"""),"10017XXL")</f>
        <v>10017XXL</v>
      </c>
      <c r="G578" s="165">
        <f>IFERROR(__xludf.DUMMYFUNCTION("""COMPUTED_VALUE"""),1167.0)</f>
        <v>1167</v>
      </c>
    </row>
    <row r="579" ht="15.75" customHeight="1">
      <c r="A579" s="133">
        <f>IFERROR(__xludf.DUMMYFUNCTION("""COMPUTED_VALUE"""),10018.0)</f>
        <v>10018</v>
      </c>
      <c r="B579" s="164">
        <f>IFERROR(__xludf.DUMMYFUNCTION("""COMPUTED_VALUE"""),5286916.0)</f>
        <v>5286916</v>
      </c>
      <c r="C579" s="164" t="str">
        <f>IFERROR(__xludf.DUMMYFUNCTION("""COMPUTED_VALUE"""),"5286916XXS")</f>
        <v>5286916XXS</v>
      </c>
      <c r="D579" s="164" t="str">
        <f>IFERROR(__xludf.DUMMYFUNCTION("""COMPUTED_VALUE"""),"синий с белым")</f>
        <v>синий с белым</v>
      </c>
      <c r="E579" s="164" t="str">
        <f>IFERROR(__xludf.DUMMYFUNCTION("""COMPUTED_VALUE"""),"XXS")</f>
        <v>XXS</v>
      </c>
      <c r="F579" s="133" t="str">
        <f>IFERROR(__xludf.DUMMYFUNCTION("""COMPUTED_VALUE"""),"10018XXS")</f>
        <v>10018XXS</v>
      </c>
      <c r="G579" s="165">
        <f>IFERROR(__xludf.DUMMYFUNCTION("""COMPUTED_VALUE"""),1167.0)</f>
        <v>1167</v>
      </c>
    </row>
    <row r="580" ht="15.75" customHeight="1">
      <c r="A580" s="133">
        <f>IFERROR(__xludf.DUMMYFUNCTION("""COMPUTED_VALUE"""),10018.0)</f>
        <v>10018</v>
      </c>
      <c r="B580" s="164">
        <f>IFERROR(__xludf.DUMMYFUNCTION("""COMPUTED_VALUE"""),5286916.0)</f>
        <v>5286916</v>
      </c>
      <c r="C580" s="164" t="str">
        <f>IFERROR(__xludf.DUMMYFUNCTION("""COMPUTED_VALUE"""),"5286916XS")</f>
        <v>5286916XS</v>
      </c>
      <c r="D580" s="164" t="str">
        <f>IFERROR(__xludf.DUMMYFUNCTION("""COMPUTED_VALUE"""),"синий с белым")</f>
        <v>синий с белым</v>
      </c>
      <c r="E580" s="164" t="str">
        <f>IFERROR(__xludf.DUMMYFUNCTION("""COMPUTED_VALUE"""),"XS")</f>
        <v>XS</v>
      </c>
      <c r="F580" s="133" t="str">
        <f>IFERROR(__xludf.DUMMYFUNCTION("""COMPUTED_VALUE"""),"10018XS")</f>
        <v>10018XS</v>
      </c>
      <c r="G580" s="165">
        <f>IFERROR(__xludf.DUMMYFUNCTION("""COMPUTED_VALUE"""),1167.0)</f>
        <v>1167</v>
      </c>
    </row>
    <row r="581" ht="15.75" customHeight="1">
      <c r="A581" s="133">
        <f>IFERROR(__xludf.DUMMYFUNCTION("""COMPUTED_VALUE"""),10018.0)</f>
        <v>10018</v>
      </c>
      <c r="B581" s="164">
        <f>IFERROR(__xludf.DUMMYFUNCTION("""COMPUTED_VALUE"""),5286916.0)</f>
        <v>5286916</v>
      </c>
      <c r="C581" s="164" t="str">
        <f>IFERROR(__xludf.DUMMYFUNCTION("""COMPUTED_VALUE"""),"5286916S")</f>
        <v>5286916S</v>
      </c>
      <c r="D581" s="164" t="str">
        <f>IFERROR(__xludf.DUMMYFUNCTION("""COMPUTED_VALUE"""),"синий с белым")</f>
        <v>синий с белым</v>
      </c>
      <c r="E581" s="164" t="str">
        <f>IFERROR(__xludf.DUMMYFUNCTION("""COMPUTED_VALUE"""),"S")</f>
        <v>S</v>
      </c>
      <c r="F581" s="133" t="str">
        <f>IFERROR(__xludf.DUMMYFUNCTION("""COMPUTED_VALUE"""),"10018S")</f>
        <v>10018S</v>
      </c>
      <c r="G581" s="165">
        <f>IFERROR(__xludf.DUMMYFUNCTION("""COMPUTED_VALUE"""),1167.0)</f>
        <v>1167</v>
      </c>
    </row>
    <row r="582" ht="15.75" customHeight="1">
      <c r="A582" s="133">
        <f>IFERROR(__xludf.DUMMYFUNCTION("""COMPUTED_VALUE"""),10018.0)</f>
        <v>10018</v>
      </c>
      <c r="B582" s="164">
        <f>IFERROR(__xludf.DUMMYFUNCTION("""COMPUTED_VALUE"""),5286916.0)</f>
        <v>5286916</v>
      </c>
      <c r="C582" s="164" t="str">
        <f>IFERROR(__xludf.DUMMYFUNCTION("""COMPUTED_VALUE"""),"5286916M")</f>
        <v>5286916M</v>
      </c>
      <c r="D582" s="164" t="str">
        <f>IFERROR(__xludf.DUMMYFUNCTION("""COMPUTED_VALUE"""),"синий с белым")</f>
        <v>синий с белым</v>
      </c>
      <c r="E582" s="164" t="str">
        <f>IFERROR(__xludf.DUMMYFUNCTION("""COMPUTED_VALUE"""),"M")</f>
        <v>M</v>
      </c>
      <c r="F582" s="133" t="str">
        <f>IFERROR(__xludf.DUMMYFUNCTION("""COMPUTED_VALUE"""),"10018M")</f>
        <v>10018M</v>
      </c>
      <c r="G582" s="165">
        <f>IFERROR(__xludf.DUMMYFUNCTION("""COMPUTED_VALUE"""),1167.0)</f>
        <v>1167</v>
      </c>
    </row>
    <row r="583" ht="15.75" customHeight="1">
      <c r="A583" s="133">
        <f>IFERROR(__xludf.DUMMYFUNCTION("""COMPUTED_VALUE"""),10018.0)</f>
        <v>10018</v>
      </c>
      <c r="B583" s="164">
        <f>IFERROR(__xludf.DUMMYFUNCTION("""COMPUTED_VALUE"""),5286916.0)</f>
        <v>5286916</v>
      </c>
      <c r="C583" s="164" t="str">
        <f>IFERROR(__xludf.DUMMYFUNCTION("""COMPUTED_VALUE"""),"5286916L")</f>
        <v>5286916L</v>
      </c>
      <c r="D583" s="164" t="str">
        <f>IFERROR(__xludf.DUMMYFUNCTION("""COMPUTED_VALUE"""),"синий с белым")</f>
        <v>синий с белым</v>
      </c>
      <c r="E583" s="164" t="str">
        <f>IFERROR(__xludf.DUMMYFUNCTION("""COMPUTED_VALUE"""),"L")</f>
        <v>L</v>
      </c>
      <c r="F583" s="133" t="str">
        <f>IFERROR(__xludf.DUMMYFUNCTION("""COMPUTED_VALUE"""),"10018L")</f>
        <v>10018L</v>
      </c>
      <c r="G583" s="165">
        <f>IFERROR(__xludf.DUMMYFUNCTION("""COMPUTED_VALUE"""),1167.0)</f>
        <v>1167</v>
      </c>
    </row>
    <row r="584" ht="15.75" customHeight="1">
      <c r="A584" s="133">
        <f>IFERROR(__xludf.DUMMYFUNCTION("""COMPUTED_VALUE"""),10018.0)</f>
        <v>10018</v>
      </c>
      <c r="B584" s="164">
        <f>IFERROR(__xludf.DUMMYFUNCTION("""COMPUTED_VALUE"""),5286916.0)</f>
        <v>5286916</v>
      </c>
      <c r="C584" s="164" t="str">
        <f>IFERROR(__xludf.DUMMYFUNCTION("""COMPUTED_VALUE"""),"5286916XL")</f>
        <v>5286916XL</v>
      </c>
      <c r="D584" s="164" t="str">
        <f>IFERROR(__xludf.DUMMYFUNCTION("""COMPUTED_VALUE"""),"синий с белым")</f>
        <v>синий с белым</v>
      </c>
      <c r="E584" s="164" t="str">
        <f>IFERROR(__xludf.DUMMYFUNCTION("""COMPUTED_VALUE"""),"XL")</f>
        <v>XL</v>
      </c>
      <c r="F584" s="133" t="str">
        <f>IFERROR(__xludf.DUMMYFUNCTION("""COMPUTED_VALUE"""),"10018XL")</f>
        <v>10018XL</v>
      </c>
      <c r="G584" s="165">
        <f>IFERROR(__xludf.DUMMYFUNCTION("""COMPUTED_VALUE"""),1167.0)</f>
        <v>1167</v>
      </c>
    </row>
    <row r="585" ht="15.75" customHeight="1">
      <c r="A585" s="133">
        <f>IFERROR(__xludf.DUMMYFUNCTION("""COMPUTED_VALUE"""),10018.0)</f>
        <v>10018</v>
      </c>
      <c r="B585" s="164">
        <f>IFERROR(__xludf.DUMMYFUNCTION("""COMPUTED_VALUE"""),5286916.0)</f>
        <v>5286916</v>
      </c>
      <c r="C585" s="164" t="str">
        <f>IFERROR(__xludf.DUMMYFUNCTION("""COMPUTED_VALUE"""),"5286916XXL")</f>
        <v>5286916XXL</v>
      </c>
      <c r="D585" s="164" t="str">
        <f>IFERROR(__xludf.DUMMYFUNCTION("""COMPUTED_VALUE"""),"синий с белым")</f>
        <v>синий с белым</v>
      </c>
      <c r="E585" s="164" t="str">
        <f>IFERROR(__xludf.DUMMYFUNCTION("""COMPUTED_VALUE"""),"XXL")</f>
        <v>XXL</v>
      </c>
      <c r="F585" s="133" t="str">
        <f>IFERROR(__xludf.DUMMYFUNCTION("""COMPUTED_VALUE"""),"10018XXL")</f>
        <v>10018XXL</v>
      </c>
      <c r="G585" s="165">
        <f>IFERROR(__xludf.DUMMYFUNCTION("""COMPUTED_VALUE"""),1167.0)</f>
        <v>1167</v>
      </c>
    </row>
    <row r="586" ht="15.75" customHeight="1">
      <c r="A586" s="133">
        <f>IFERROR(__xludf.DUMMYFUNCTION("""COMPUTED_VALUE"""),10019.0)</f>
        <v>10019</v>
      </c>
      <c r="B586" s="164">
        <f>IFERROR(__xludf.DUMMYFUNCTION("""COMPUTED_VALUE"""),5286917.0)</f>
        <v>5286917</v>
      </c>
      <c r="C586" s="164" t="str">
        <f>IFERROR(__xludf.DUMMYFUNCTION("""COMPUTED_VALUE"""),"5286917XXS")</f>
        <v>5286917XXS</v>
      </c>
      <c r="D586" s="164" t="str">
        <f>IFERROR(__xludf.DUMMYFUNCTION("""COMPUTED_VALUE"""),"красный с белым")</f>
        <v>красный с белым</v>
      </c>
      <c r="E586" s="164" t="str">
        <f>IFERROR(__xludf.DUMMYFUNCTION("""COMPUTED_VALUE"""),"XXS")</f>
        <v>XXS</v>
      </c>
      <c r="F586" s="133" t="str">
        <f>IFERROR(__xludf.DUMMYFUNCTION("""COMPUTED_VALUE"""),"10019XXS")</f>
        <v>10019XXS</v>
      </c>
      <c r="G586" s="165">
        <f>IFERROR(__xludf.DUMMYFUNCTION("""COMPUTED_VALUE"""),1167.0)</f>
        <v>1167</v>
      </c>
    </row>
    <row r="587" ht="15.75" customHeight="1">
      <c r="A587" s="133">
        <f>IFERROR(__xludf.DUMMYFUNCTION("""COMPUTED_VALUE"""),10019.0)</f>
        <v>10019</v>
      </c>
      <c r="B587" s="164">
        <f>IFERROR(__xludf.DUMMYFUNCTION("""COMPUTED_VALUE"""),5286917.0)</f>
        <v>5286917</v>
      </c>
      <c r="C587" s="164" t="str">
        <f>IFERROR(__xludf.DUMMYFUNCTION("""COMPUTED_VALUE"""),"5286917XS")</f>
        <v>5286917XS</v>
      </c>
      <c r="D587" s="164" t="str">
        <f>IFERROR(__xludf.DUMMYFUNCTION("""COMPUTED_VALUE"""),"красный с белым")</f>
        <v>красный с белым</v>
      </c>
      <c r="E587" s="164" t="str">
        <f>IFERROR(__xludf.DUMMYFUNCTION("""COMPUTED_VALUE"""),"XS")</f>
        <v>XS</v>
      </c>
      <c r="F587" s="133" t="str">
        <f>IFERROR(__xludf.DUMMYFUNCTION("""COMPUTED_VALUE"""),"10019XS")</f>
        <v>10019XS</v>
      </c>
      <c r="G587" s="165">
        <f>IFERROR(__xludf.DUMMYFUNCTION("""COMPUTED_VALUE"""),1167.0)</f>
        <v>1167</v>
      </c>
    </row>
    <row r="588" ht="15.75" customHeight="1">
      <c r="A588" s="133">
        <f>IFERROR(__xludf.DUMMYFUNCTION("""COMPUTED_VALUE"""),10019.0)</f>
        <v>10019</v>
      </c>
      <c r="B588" s="164">
        <f>IFERROR(__xludf.DUMMYFUNCTION("""COMPUTED_VALUE"""),5286917.0)</f>
        <v>5286917</v>
      </c>
      <c r="C588" s="164" t="str">
        <f>IFERROR(__xludf.DUMMYFUNCTION("""COMPUTED_VALUE"""),"5286917S")</f>
        <v>5286917S</v>
      </c>
      <c r="D588" s="164" t="str">
        <f>IFERROR(__xludf.DUMMYFUNCTION("""COMPUTED_VALUE"""),"красный с белым")</f>
        <v>красный с белым</v>
      </c>
      <c r="E588" s="164" t="str">
        <f>IFERROR(__xludf.DUMMYFUNCTION("""COMPUTED_VALUE"""),"S")</f>
        <v>S</v>
      </c>
      <c r="F588" s="133" t="str">
        <f>IFERROR(__xludf.DUMMYFUNCTION("""COMPUTED_VALUE"""),"10019S")</f>
        <v>10019S</v>
      </c>
      <c r="G588" s="165">
        <f>IFERROR(__xludf.DUMMYFUNCTION("""COMPUTED_VALUE"""),1167.0)</f>
        <v>1167</v>
      </c>
    </row>
    <row r="589" ht="15.75" customHeight="1">
      <c r="A589" s="133">
        <f>IFERROR(__xludf.DUMMYFUNCTION("""COMPUTED_VALUE"""),10019.0)</f>
        <v>10019</v>
      </c>
      <c r="B589" s="164">
        <f>IFERROR(__xludf.DUMMYFUNCTION("""COMPUTED_VALUE"""),5286917.0)</f>
        <v>5286917</v>
      </c>
      <c r="C589" s="164" t="str">
        <f>IFERROR(__xludf.DUMMYFUNCTION("""COMPUTED_VALUE"""),"5286917M")</f>
        <v>5286917M</v>
      </c>
      <c r="D589" s="164" t="str">
        <f>IFERROR(__xludf.DUMMYFUNCTION("""COMPUTED_VALUE"""),"красный с белым")</f>
        <v>красный с белым</v>
      </c>
      <c r="E589" s="164" t="str">
        <f>IFERROR(__xludf.DUMMYFUNCTION("""COMPUTED_VALUE"""),"M")</f>
        <v>M</v>
      </c>
      <c r="F589" s="133" t="str">
        <f>IFERROR(__xludf.DUMMYFUNCTION("""COMPUTED_VALUE"""),"10019M")</f>
        <v>10019M</v>
      </c>
      <c r="G589" s="165">
        <f>IFERROR(__xludf.DUMMYFUNCTION("""COMPUTED_VALUE"""),1167.0)</f>
        <v>1167</v>
      </c>
    </row>
    <row r="590" ht="15.75" customHeight="1">
      <c r="A590" s="133">
        <f>IFERROR(__xludf.DUMMYFUNCTION("""COMPUTED_VALUE"""),10019.0)</f>
        <v>10019</v>
      </c>
      <c r="B590" s="164">
        <f>IFERROR(__xludf.DUMMYFUNCTION("""COMPUTED_VALUE"""),5286917.0)</f>
        <v>5286917</v>
      </c>
      <c r="C590" s="164" t="str">
        <f>IFERROR(__xludf.DUMMYFUNCTION("""COMPUTED_VALUE"""),"5286917L")</f>
        <v>5286917L</v>
      </c>
      <c r="D590" s="164" t="str">
        <f>IFERROR(__xludf.DUMMYFUNCTION("""COMPUTED_VALUE"""),"красный с белым")</f>
        <v>красный с белым</v>
      </c>
      <c r="E590" s="164" t="str">
        <f>IFERROR(__xludf.DUMMYFUNCTION("""COMPUTED_VALUE"""),"L")</f>
        <v>L</v>
      </c>
      <c r="F590" s="133" t="str">
        <f>IFERROR(__xludf.DUMMYFUNCTION("""COMPUTED_VALUE"""),"10019L")</f>
        <v>10019L</v>
      </c>
      <c r="G590" s="165">
        <f>IFERROR(__xludf.DUMMYFUNCTION("""COMPUTED_VALUE"""),1167.0)</f>
        <v>1167</v>
      </c>
    </row>
    <row r="591" ht="15.75" customHeight="1">
      <c r="A591" s="133">
        <f>IFERROR(__xludf.DUMMYFUNCTION("""COMPUTED_VALUE"""),10019.0)</f>
        <v>10019</v>
      </c>
      <c r="B591" s="164">
        <f>IFERROR(__xludf.DUMMYFUNCTION("""COMPUTED_VALUE"""),5286917.0)</f>
        <v>5286917</v>
      </c>
      <c r="C591" s="164" t="str">
        <f>IFERROR(__xludf.DUMMYFUNCTION("""COMPUTED_VALUE"""),"5286917XL")</f>
        <v>5286917XL</v>
      </c>
      <c r="D591" s="164" t="str">
        <f>IFERROR(__xludf.DUMMYFUNCTION("""COMPUTED_VALUE"""),"красный с белым")</f>
        <v>красный с белым</v>
      </c>
      <c r="E591" s="164" t="str">
        <f>IFERROR(__xludf.DUMMYFUNCTION("""COMPUTED_VALUE"""),"XL")</f>
        <v>XL</v>
      </c>
      <c r="F591" s="133" t="str">
        <f>IFERROR(__xludf.DUMMYFUNCTION("""COMPUTED_VALUE"""),"10019XL")</f>
        <v>10019XL</v>
      </c>
      <c r="G591" s="165">
        <f>IFERROR(__xludf.DUMMYFUNCTION("""COMPUTED_VALUE"""),1167.0)</f>
        <v>1167</v>
      </c>
    </row>
    <row r="592" ht="15.75" customHeight="1">
      <c r="A592" s="133">
        <f>IFERROR(__xludf.DUMMYFUNCTION("""COMPUTED_VALUE"""),10019.0)</f>
        <v>10019</v>
      </c>
      <c r="B592" s="164">
        <f>IFERROR(__xludf.DUMMYFUNCTION("""COMPUTED_VALUE"""),5286917.0)</f>
        <v>5286917</v>
      </c>
      <c r="C592" s="164" t="str">
        <f>IFERROR(__xludf.DUMMYFUNCTION("""COMPUTED_VALUE"""),"5286917XXL")</f>
        <v>5286917XXL</v>
      </c>
      <c r="D592" s="164" t="str">
        <f>IFERROR(__xludf.DUMMYFUNCTION("""COMPUTED_VALUE"""),"красный с белым")</f>
        <v>красный с белым</v>
      </c>
      <c r="E592" s="164" t="str">
        <f>IFERROR(__xludf.DUMMYFUNCTION("""COMPUTED_VALUE"""),"XXL")</f>
        <v>XXL</v>
      </c>
      <c r="F592" s="133" t="str">
        <f>IFERROR(__xludf.DUMMYFUNCTION("""COMPUTED_VALUE"""),"10019XXL")</f>
        <v>10019XXL</v>
      </c>
      <c r="G592" s="165">
        <f>IFERROR(__xludf.DUMMYFUNCTION("""COMPUTED_VALUE"""),1167.0)</f>
        <v>1167</v>
      </c>
    </row>
    <row r="593" ht="15.75" customHeight="1">
      <c r="A593" s="133">
        <f>IFERROR(__xludf.DUMMYFUNCTION("""COMPUTED_VALUE"""),10025.0)</f>
        <v>10025</v>
      </c>
      <c r="B593" s="164">
        <f>IFERROR(__xludf.DUMMYFUNCTION("""COMPUTED_VALUE"""),5286923.0)</f>
        <v>5286923</v>
      </c>
      <c r="C593" s="164" t="str">
        <f>IFERROR(__xludf.DUMMYFUNCTION("""COMPUTED_VALUE"""),"5286923XXS")</f>
        <v>5286923XXS</v>
      </c>
      <c r="D593" s="164" t="str">
        <f>IFERROR(__xludf.DUMMYFUNCTION("""COMPUTED_VALUE"""),"красный/белый")</f>
        <v>красный/белый</v>
      </c>
      <c r="E593" s="164" t="str">
        <f>IFERROR(__xludf.DUMMYFUNCTION("""COMPUTED_VALUE"""),"XXS")</f>
        <v>XXS</v>
      </c>
      <c r="F593" s="133" t="str">
        <f>IFERROR(__xludf.DUMMYFUNCTION("""COMPUTED_VALUE"""),"10025XXS")</f>
        <v>10025XXS</v>
      </c>
      <c r="G593" s="165">
        <f>IFERROR(__xludf.DUMMYFUNCTION("""COMPUTED_VALUE"""),1167.0)</f>
        <v>1167</v>
      </c>
    </row>
    <row r="594" ht="15.75" customHeight="1">
      <c r="A594" s="133">
        <f>IFERROR(__xludf.DUMMYFUNCTION("""COMPUTED_VALUE"""),10025.0)</f>
        <v>10025</v>
      </c>
      <c r="B594" s="164">
        <f>IFERROR(__xludf.DUMMYFUNCTION("""COMPUTED_VALUE"""),5286923.0)</f>
        <v>5286923</v>
      </c>
      <c r="C594" s="164" t="str">
        <f>IFERROR(__xludf.DUMMYFUNCTION("""COMPUTED_VALUE"""),"5286923XS")</f>
        <v>5286923XS</v>
      </c>
      <c r="D594" s="164" t="str">
        <f>IFERROR(__xludf.DUMMYFUNCTION("""COMPUTED_VALUE"""),"красный/белый")</f>
        <v>красный/белый</v>
      </c>
      <c r="E594" s="164" t="str">
        <f>IFERROR(__xludf.DUMMYFUNCTION("""COMPUTED_VALUE"""),"XS")</f>
        <v>XS</v>
      </c>
      <c r="F594" s="133" t="str">
        <f>IFERROR(__xludf.DUMMYFUNCTION("""COMPUTED_VALUE"""),"10025XS")</f>
        <v>10025XS</v>
      </c>
      <c r="G594" s="165">
        <f>IFERROR(__xludf.DUMMYFUNCTION("""COMPUTED_VALUE"""),1167.0)</f>
        <v>1167</v>
      </c>
    </row>
    <row r="595" ht="15.75" customHeight="1">
      <c r="A595" s="133">
        <f>IFERROR(__xludf.DUMMYFUNCTION("""COMPUTED_VALUE"""),10025.0)</f>
        <v>10025</v>
      </c>
      <c r="B595" s="164">
        <f>IFERROR(__xludf.DUMMYFUNCTION("""COMPUTED_VALUE"""),5286923.0)</f>
        <v>5286923</v>
      </c>
      <c r="C595" s="164" t="str">
        <f>IFERROR(__xludf.DUMMYFUNCTION("""COMPUTED_VALUE"""),"5286923S")</f>
        <v>5286923S</v>
      </c>
      <c r="D595" s="164" t="str">
        <f>IFERROR(__xludf.DUMMYFUNCTION("""COMPUTED_VALUE"""),"красный/белый")</f>
        <v>красный/белый</v>
      </c>
      <c r="E595" s="164" t="str">
        <f>IFERROR(__xludf.DUMMYFUNCTION("""COMPUTED_VALUE"""),"S")</f>
        <v>S</v>
      </c>
      <c r="F595" s="133" t="str">
        <f>IFERROR(__xludf.DUMMYFUNCTION("""COMPUTED_VALUE"""),"10025S")</f>
        <v>10025S</v>
      </c>
      <c r="G595" s="165">
        <f>IFERROR(__xludf.DUMMYFUNCTION("""COMPUTED_VALUE"""),1167.0)</f>
        <v>1167</v>
      </c>
    </row>
    <row r="596" ht="15.75" customHeight="1">
      <c r="A596" s="133">
        <f>IFERROR(__xludf.DUMMYFUNCTION("""COMPUTED_VALUE"""),10025.0)</f>
        <v>10025</v>
      </c>
      <c r="B596" s="164">
        <f>IFERROR(__xludf.DUMMYFUNCTION("""COMPUTED_VALUE"""),5286923.0)</f>
        <v>5286923</v>
      </c>
      <c r="C596" s="164" t="str">
        <f>IFERROR(__xludf.DUMMYFUNCTION("""COMPUTED_VALUE"""),"5286923M")</f>
        <v>5286923M</v>
      </c>
      <c r="D596" s="164" t="str">
        <f>IFERROR(__xludf.DUMMYFUNCTION("""COMPUTED_VALUE"""),"красный/белый")</f>
        <v>красный/белый</v>
      </c>
      <c r="E596" s="164" t="str">
        <f>IFERROR(__xludf.DUMMYFUNCTION("""COMPUTED_VALUE"""),"M")</f>
        <v>M</v>
      </c>
      <c r="F596" s="133" t="str">
        <f>IFERROR(__xludf.DUMMYFUNCTION("""COMPUTED_VALUE"""),"10025M")</f>
        <v>10025M</v>
      </c>
      <c r="G596" s="165">
        <f>IFERROR(__xludf.DUMMYFUNCTION("""COMPUTED_VALUE"""),1167.0)</f>
        <v>1167</v>
      </c>
    </row>
    <row r="597" ht="15.75" customHeight="1">
      <c r="A597" s="133">
        <f>IFERROR(__xludf.DUMMYFUNCTION("""COMPUTED_VALUE"""),10025.0)</f>
        <v>10025</v>
      </c>
      <c r="B597" s="164">
        <f>IFERROR(__xludf.DUMMYFUNCTION("""COMPUTED_VALUE"""),5286923.0)</f>
        <v>5286923</v>
      </c>
      <c r="C597" s="164" t="str">
        <f>IFERROR(__xludf.DUMMYFUNCTION("""COMPUTED_VALUE"""),"5286923L")</f>
        <v>5286923L</v>
      </c>
      <c r="D597" s="164" t="str">
        <f>IFERROR(__xludf.DUMMYFUNCTION("""COMPUTED_VALUE"""),"красный/белый")</f>
        <v>красный/белый</v>
      </c>
      <c r="E597" s="164" t="str">
        <f>IFERROR(__xludf.DUMMYFUNCTION("""COMPUTED_VALUE"""),"L")</f>
        <v>L</v>
      </c>
      <c r="F597" s="133" t="str">
        <f>IFERROR(__xludf.DUMMYFUNCTION("""COMPUTED_VALUE"""),"10025L")</f>
        <v>10025L</v>
      </c>
      <c r="G597" s="165">
        <f>IFERROR(__xludf.DUMMYFUNCTION("""COMPUTED_VALUE"""),1167.0)</f>
        <v>1167</v>
      </c>
    </row>
    <row r="598" ht="15.75" customHeight="1">
      <c r="A598" s="133">
        <f>IFERROR(__xludf.DUMMYFUNCTION("""COMPUTED_VALUE"""),10025.0)</f>
        <v>10025</v>
      </c>
      <c r="B598" s="164">
        <f>IFERROR(__xludf.DUMMYFUNCTION("""COMPUTED_VALUE"""),5286923.0)</f>
        <v>5286923</v>
      </c>
      <c r="C598" s="164" t="str">
        <f>IFERROR(__xludf.DUMMYFUNCTION("""COMPUTED_VALUE"""),"5286923XL")</f>
        <v>5286923XL</v>
      </c>
      <c r="D598" s="164" t="str">
        <f>IFERROR(__xludf.DUMMYFUNCTION("""COMPUTED_VALUE"""),"красный/белый")</f>
        <v>красный/белый</v>
      </c>
      <c r="E598" s="164" t="str">
        <f>IFERROR(__xludf.DUMMYFUNCTION("""COMPUTED_VALUE"""),"XL")</f>
        <v>XL</v>
      </c>
      <c r="F598" s="133" t="str">
        <f>IFERROR(__xludf.DUMMYFUNCTION("""COMPUTED_VALUE"""),"10025XL")</f>
        <v>10025XL</v>
      </c>
      <c r="G598" s="165">
        <f>IFERROR(__xludf.DUMMYFUNCTION("""COMPUTED_VALUE"""),1167.0)</f>
        <v>1167</v>
      </c>
    </row>
    <row r="599" ht="15.75" customHeight="1">
      <c r="A599" s="133">
        <f>IFERROR(__xludf.DUMMYFUNCTION("""COMPUTED_VALUE"""),10025.0)</f>
        <v>10025</v>
      </c>
      <c r="B599" s="164">
        <f>IFERROR(__xludf.DUMMYFUNCTION("""COMPUTED_VALUE"""),5286923.0)</f>
        <v>5286923</v>
      </c>
      <c r="C599" s="164" t="str">
        <f>IFERROR(__xludf.DUMMYFUNCTION("""COMPUTED_VALUE"""),"5286923XXL")</f>
        <v>5286923XXL</v>
      </c>
      <c r="D599" s="164" t="str">
        <f>IFERROR(__xludf.DUMMYFUNCTION("""COMPUTED_VALUE"""),"красный/белый")</f>
        <v>красный/белый</v>
      </c>
      <c r="E599" s="164" t="str">
        <f>IFERROR(__xludf.DUMMYFUNCTION("""COMPUTED_VALUE"""),"XXL")</f>
        <v>XXL</v>
      </c>
      <c r="F599" s="133" t="str">
        <f>IFERROR(__xludf.DUMMYFUNCTION("""COMPUTED_VALUE"""),"10025XXL")</f>
        <v>10025XXL</v>
      </c>
      <c r="G599" s="165">
        <f>IFERROR(__xludf.DUMMYFUNCTION("""COMPUTED_VALUE"""),1167.0)</f>
        <v>1167</v>
      </c>
    </row>
    <row r="600" ht="15.75" customHeight="1">
      <c r="A600" s="133">
        <f>IFERROR(__xludf.DUMMYFUNCTION("""COMPUTED_VALUE"""),10031.0)</f>
        <v>10031</v>
      </c>
      <c r="B600" s="164">
        <f>IFERROR(__xludf.DUMMYFUNCTION("""COMPUTED_VALUE"""),5286929.0)</f>
        <v>5286929</v>
      </c>
      <c r="C600" s="164" t="str">
        <f>IFERROR(__xludf.DUMMYFUNCTION("""COMPUTED_VALUE"""),"5286929XXS")</f>
        <v>5286929XXS</v>
      </c>
      <c r="D600" s="164" t="str">
        <f>IFERROR(__xludf.DUMMYFUNCTION("""COMPUTED_VALUE"""),"синий")</f>
        <v>синий</v>
      </c>
      <c r="E600" s="164" t="str">
        <f>IFERROR(__xludf.DUMMYFUNCTION("""COMPUTED_VALUE"""),"XXS")</f>
        <v>XXS</v>
      </c>
      <c r="F600" s="133" t="str">
        <f>IFERROR(__xludf.DUMMYFUNCTION("""COMPUTED_VALUE"""),"10031XXS")</f>
        <v>10031XXS</v>
      </c>
      <c r="G600" s="165">
        <f>IFERROR(__xludf.DUMMYFUNCTION("""COMPUTED_VALUE"""),1167.0)</f>
        <v>1167</v>
      </c>
    </row>
    <row r="601" ht="15.75" customHeight="1">
      <c r="A601" s="133">
        <f>IFERROR(__xludf.DUMMYFUNCTION("""COMPUTED_VALUE"""),10031.0)</f>
        <v>10031</v>
      </c>
      <c r="B601" s="164">
        <f>IFERROR(__xludf.DUMMYFUNCTION("""COMPUTED_VALUE"""),5286929.0)</f>
        <v>5286929</v>
      </c>
      <c r="C601" s="164" t="str">
        <f>IFERROR(__xludf.DUMMYFUNCTION("""COMPUTED_VALUE"""),"5286929XS")</f>
        <v>5286929XS</v>
      </c>
      <c r="D601" s="164" t="str">
        <f>IFERROR(__xludf.DUMMYFUNCTION("""COMPUTED_VALUE"""),"синий")</f>
        <v>синий</v>
      </c>
      <c r="E601" s="164" t="str">
        <f>IFERROR(__xludf.DUMMYFUNCTION("""COMPUTED_VALUE"""),"XS")</f>
        <v>XS</v>
      </c>
      <c r="F601" s="133" t="str">
        <f>IFERROR(__xludf.DUMMYFUNCTION("""COMPUTED_VALUE"""),"10031XS")</f>
        <v>10031XS</v>
      </c>
      <c r="G601" s="165">
        <f>IFERROR(__xludf.DUMMYFUNCTION("""COMPUTED_VALUE"""),1167.0)</f>
        <v>1167</v>
      </c>
    </row>
    <row r="602" ht="15.75" customHeight="1">
      <c r="A602" s="133">
        <f>IFERROR(__xludf.DUMMYFUNCTION("""COMPUTED_VALUE"""),10031.0)</f>
        <v>10031</v>
      </c>
      <c r="B602" s="164">
        <f>IFERROR(__xludf.DUMMYFUNCTION("""COMPUTED_VALUE"""),5286929.0)</f>
        <v>5286929</v>
      </c>
      <c r="C602" s="164" t="str">
        <f>IFERROR(__xludf.DUMMYFUNCTION("""COMPUTED_VALUE"""),"5286929S")</f>
        <v>5286929S</v>
      </c>
      <c r="D602" s="164" t="str">
        <f>IFERROR(__xludf.DUMMYFUNCTION("""COMPUTED_VALUE"""),"синий")</f>
        <v>синий</v>
      </c>
      <c r="E602" s="164" t="str">
        <f>IFERROR(__xludf.DUMMYFUNCTION("""COMPUTED_VALUE"""),"S")</f>
        <v>S</v>
      </c>
      <c r="F602" s="133" t="str">
        <f>IFERROR(__xludf.DUMMYFUNCTION("""COMPUTED_VALUE"""),"10031S")</f>
        <v>10031S</v>
      </c>
      <c r="G602" s="165">
        <f>IFERROR(__xludf.DUMMYFUNCTION("""COMPUTED_VALUE"""),1167.0)</f>
        <v>1167</v>
      </c>
    </row>
    <row r="603" ht="15.75" customHeight="1">
      <c r="A603" s="133">
        <f>IFERROR(__xludf.DUMMYFUNCTION("""COMPUTED_VALUE"""),10031.0)</f>
        <v>10031</v>
      </c>
      <c r="B603" s="164">
        <f>IFERROR(__xludf.DUMMYFUNCTION("""COMPUTED_VALUE"""),5286929.0)</f>
        <v>5286929</v>
      </c>
      <c r="C603" s="164" t="str">
        <f>IFERROR(__xludf.DUMMYFUNCTION("""COMPUTED_VALUE"""),"5286929M")</f>
        <v>5286929M</v>
      </c>
      <c r="D603" s="164" t="str">
        <f>IFERROR(__xludf.DUMMYFUNCTION("""COMPUTED_VALUE"""),"синий")</f>
        <v>синий</v>
      </c>
      <c r="E603" s="164" t="str">
        <f>IFERROR(__xludf.DUMMYFUNCTION("""COMPUTED_VALUE"""),"M")</f>
        <v>M</v>
      </c>
      <c r="F603" s="133" t="str">
        <f>IFERROR(__xludf.DUMMYFUNCTION("""COMPUTED_VALUE"""),"10031M")</f>
        <v>10031M</v>
      </c>
      <c r="G603" s="165">
        <f>IFERROR(__xludf.DUMMYFUNCTION("""COMPUTED_VALUE"""),1167.0)</f>
        <v>1167</v>
      </c>
    </row>
    <row r="604" ht="15.75" customHeight="1">
      <c r="A604" s="133">
        <f>IFERROR(__xludf.DUMMYFUNCTION("""COMPUTED_VALUE"""),10031.0)</f>
        <v>10031</v>
      </c>
      <c r="B604" s="164">
        <f>IFERROR(__xludf.DUMMYFUNCTION("""COMPUTED_VALUE"""),5286929.0)</f>
        <v>5286929</v>
      </c>
      <c r="C604" s="164" t="str">
        <f>IFERROR(__xludf.DUMMYFUNCTION("""COMPUTED_VALUE"""),"5286929L")</f>
        <v>5286929L</v>
      </c>
      <c r="D604" s="164" t="str">
        <f>IFERROR(__xludf.DUMMYFUNCTION("""COMPUTED_VALUE"""),"синий")</f>
        <v>синий</v>
      </c>
      <c r="E604" s="164" t="str">
        <f>IFERROR(__xludf.DUMMYFUNCTION("""COMPUTED_VALUE"""),"L")</f>
        <v>L</v>
      </c>
      <c r="F604" s="133" t="str">
        <f>IFERROR(__xludf.DUMMYFUNCTION("""COMPUTED_VALUE"""),"10031L")</f>
        <v>10031L</v>
      </c>
      <c r="G604" s="165">
        <f>IFERROR(__xludf.DUMMYFUNCTION("""COMPUTED_VALUE"""),1167.0)</f>
        <v>1167</v>
      </c>
    </row>
    <row r="605" ht="15.75" customHeight="1">
      <c r="A605" s="133">
        <f>IFERROR(__xludf.DUMMYFUNCTION("""COMPUTED_VALUE"""),10031.0)</f>
        <v>10031</v>
      </c>
      <c r="B605" s="164">
        <f>IFERROR(__xludf.DUMMYFUNCTION("""COMPUTED_VALUE"""),5286929.0)</f>
        <v>5286929</v>
      </c>
      <c r="C605" s="164" t="str">
        <f>IFERROR(__xludf.DUMMYFUNCTION("""COMPUTED_VALUE"""),"5286929XL")</f>
        <v>5286929XL</v>
      </c>
      <c r="D605" s="164" t="str">
        <f>IFERROR(__xludf.DUMMYFUNCTION("""COMPUTED_VALUE"""),"синий")</f>
        <v>синий</v>
      </c>
      <c r="E605" s="164" t="str">
        <f>IFERROR(__xludf.DUMMYFUNCTION("""COMPUTED_VALUE"""),"XL")</f>
        <v>XL</v>
      </c>
      <c r="F605" s="133" t="str">
        <f>IFERROR(__xludf.DUMMYFUNCTION("""COMPUTED_VALUE"""),"10031XL")</f>
        <v>10031XL</v>
      </c>
      <c r="G605" s="165">
        <f>IFERROR(__xludf.DUMMYFUNCTION("""COMPUTED_VALUE"""),1167.0)</f>
        <v>1167</v>
      </c>
    </row>
    <row r="606" ht="15.75" customHeight="1">
      <c r="A606" s="133">
        <f>IFERROR(__xludf.DUMMYFUNCTION("""COMPUTED_VALUE"""),10031.0)</f>
        <v>10031</v>
      </c>
      <c r="B606" s="164">
        <f>IFERROR(__xludf.DUMMYFUNCTION("""COMPUTED_VALUE"""),5286929.0)</f>
        <v>5286929</v>
      </c>
      <c r="C606" s="164" t="str">
        <f>IFERROR(__xludf.DUMMYFUNCTION("""COMPUTED_VALUE"""),"5286929XXL")</f>
        <v>5286929XXL</v>
      </c>
      <c r="D606" s="164" t="str">
        <f>IFERROR(__xludf.DUMMYFUNCTION("""COMPUTED_VALUE"""),"синий")</f>
        <v>синий</v>
      </c>
      <c r="E606" s="164" t="str">
        <f>IFERROR(__xludf.DUMMYFUNCTION("""COMPUTED_VALUE"""),"XXL")</f>
        <v>XXL</v>
      </c>
      <c r="F606" s="133" t="str">
        <f>IFERROR(__xludf.DUMMYFUNCTION("""COMPUTED_VALUE"""),"10031XXL")</f>
        <v>10031XXL</v>
      </c>
      <c r="G606" s="165">
        <f>IFERROR(__xludf.DUMMYFUNCTION("""COMPUTED_VALUE"""),1167.0)</f>
        <v>1167</v>
      </c>
    </row>
    <row r="607" ht="15.75" customHeight="1">
      <c r="A607" s="133">
        <f>IFERROR(__xludf.DUMMYFUNCTION("""COMPUTED_VALUE"""),10033.0)</f>
        <v>10033</v>
      </c>
      <c r="B607" s="164">
        <f>IFERROR(__xludf.DUMMYFUNCTION("""COMPUTED_VALUE"""),6313114.0)</f>
        <v>6313114</v>
      </c>
      <c r="C607" s="164" t="str">
        <f>IFERROR(__xludf.DUMMYFUNCTION("""COMPUTED_VALUE"""),"6313114XXS")</f>
        <v>6313114XXS</v>
      </c>
      <c r="D607" s="164" t="str">
        <f>IFERROR(__xludf.DUMMYFUNCTION("""COMPUTED_VALUE"""),"Васильковый с белым")</f>
        <v>Васильковый с белым</v>
      </c>
      <c r="E607" s="164" t="str">
        <f>IFERROR(__xludf.DUMMYFUNCTION("""COMPUTED_VALUE"""),"XXS")</f>
        <v>XXS</v>
      </c>
      <c r="F607" s="133" t="str">
        <f>IFERROR(__xludf.DUMMYFUNCTION("""COMPUTED_VALUE"""),"10033XXS")</f>
        <v>10033XXS</v>
      </c>
      <c r="G607" s="165">
        <f>IFERROR(__xludf.DUMMYFUNCTION("""COMPUTED_VALUE"""),1167.0)</f>
        <v>1167</v>
      </c>
    </row>
    <row r="608" ht="15.75" customHeight="1">
      <c r="A608" s="133">
        <f>IFERROR(__xludf.DUMMYFUNCTION("""COMPUTED_VALUE"""),10033.0)</f>
        <v>10033</v>
      </c>
      <c r="B608" s="164">
        <f>IFERROR(__xludf.DUMMYFUNCTION("""COMPUTED_VALUE"""),6313114.0)</f>
        <v>6313114</v>
      </c>
      <c r="C608" s="164" t="str">
        <f>IFERROR(__xludf.DUMMYFUNCTION("""COMPUTED_VALUE"""),"6313114XS")</f>
        <v>6313114XS</v>
      </c>
      <c r="D608" s="164" t="str">
        <f>IFERROR(__xludf.DUMMYFUNCTION("""COMPUTED_VALUE"""),"Васильковый с белым")</f>
        <v>Васильковый с белым</v>
      </c>
      <c r="E608" s="164" t="str">
        <f>IFERROR(__xludf.DUMMYFUNCTION("""COMPUTED_VALUE"""),"XS")</f>
        <v>XS</v>
      </c>
      <c r="F608" s="133" t="str">
        <f>IFERROR(__xludf.DUMMYFUNCTION("""COMPUTED_VALUE"""),"10033XS")</f>
        <v>10033XS</v>
      </c>
      <c r="G608" s="165">
        <f>IFERROR(__xludf.DUMMYFUNCTION("""COMPUTED_VALUE"""),1167.0)</f>
        <v>1167</v>
      </c>
    </row>
    <row r="609" ht="15.75" customHeight="1">
      <c r="A609" s="133">
        <f>IFERROR(__xludf.DUMMYFUNCTION("""COMPUTED_VALUE"""),10033.0)</f>
        <v>10033</v>
      </c>
      <c r="B609" s="164">
        <f>IFERROR(__xludf.DUMMYFUNCTION("""COMPUTED_VALUE"""),6313114.0)</f>
        <v>6313114</v>
      </c>
      <c r="C609" s="164" t="str">
        <f>IFERROR(__xludf.DUMMYFUNCTION("""COMPUTED_VALUE"""),"6313114S")</f>
        <v>6313114S</v>
      </c>
      <c r="D609" s="164" t="str">
        <f>IFERROR(__xludf.DUMMYFUNCTION("""COMPUTED_VALUE"""),"Васильковый с белым")</f>
        <v>Васильковый с белым</v>
      </c>
      <c r="E609" s="164" t="str">
        <f>IFERROR(__xludf.DUMMYFUNCTION("""COMPUTED_VALUE"""),"S")</f>
        <v>S</v>
      </c>
      <c r="F609" s="133" t="str">
        <f>IFERROR(__xludf.DUMMYFUNCTION("""COMPUTED_VALUE"""),"10033S")</f>
        <v>10033S</v>
      </c>
      <c r="G609" s="165">
        <f>IFERROR(__xludf.DUMMYFUNCTION("""COMPUTED_VALUE"""),1167.0)</f>
        <v>1167</v>
      </c>
    </row>
    <row r="610" ht="15.75" customHeight="1">
      <c r="A610" s="133">
        <f>IFERROR(__xludf.DUMMYFUNCTION("""COMPUTED_VALUE"""),10033.0)</f>
        <v>10033</v>
      </c>
      <c r="B610" s="164">
        <f>IFERROR(__xludf.DUMMYFUNCTION("""COMPUTED_VALUE"""),6313114.0)</f>
        <v>6313114</v>
      </c>
      <c r="C610" s="164" t="str">
        <f>IFERROR(__xludf.DUMMYFUNCTION("""COMPUTED_VALUE"""),"6313114M")</f>
        <v>6313114M</v>
      </c>
      <c r="D610" s="164" t="str">
        <f>IFERROR(__xludf.DUMMYFUNCTION("""COMPUTED_VALUE"""),"Васильковый с белым")</f>
        <v>Васильковый с белым</v>
      </c>
      <c r="E610" s="164" t="str">
        <f>IFERROR(__xludf.DUMMYFUNCTION("""COMPUTED_VALUE"""),"M")</f>
        <v>M</v>
      </c>
      <c r="F610" s="133" t="str">
        <f>IFERROR(__xludf.DUMMYFUNCTION("""COMPUTED_VALUE"""),"10033M")</f>
        <v>10033M</v>
      </c>
      <c r="G610" s="165">
        <f>IFERROR(__xludf.DUMMYFUNCTION("""COMPUTED_VALUE"""),1167.0)</f>
        <v>1167</v>
      </c>
    </row>
    <row r="611" ht="15.75" customHeight="1">
      <c r="A611" s="133">
        <f>IFERROR(__xludf.DUMMYFUNCTION("""COMPUTED_VALUE"""),10033.0)</f>
        <v>10033</v>
      </c>
      <c r="B611" s="164">
        <f>IFERROR(__xludf.DUMMYFUNCTION("""COMPUTED_VALUE"""),6313114.0)</f>
        <v>6313114</v>
      </c>
      <c r="C611" s="164" t="str">
        <f>IFERROR(__xludf.DUMMYFUNCTION("""COMPUTED_VALUE"""),"6313114L")</f>
        <v>6313114L</v>
      </c>
      <c r="D611" s="164" t="str">
        <f>IFERROR(__xludf.DUMMYFUNCTION("""COMPUTED_VALUE"""),"Васильковый с белым")</f>
        <v>Васильковый с белым</v>
      </c>
      <c r="E611" s="164" t="str">
        <f>IFERROR(__xludf.DUMMYFUNCTION("""COMPUTED_VALUE"""),"L")</f>
        <v>L</v>
      </c>
      <c r="F611" s="133" t="str">
        <f>IFERROR(__xludf.DUMMYFUNCTION("""COMPUTED_VALUE"""),"10033L")</f>
        <v>10033L</v>
      </c>
      <c r="G611" s="165">
        <f>IFERROR(__xludf.DUMMYFUNCTION("""COMPUTED_VALUE"""),1167.0)</f>
        <v>1167</v>
      </c>
    </row>
    <row r="612" ht="15.75" customHeight="1">
      <c r="A612" s="133">
        <f>IFERROR(__xludf.DUMMYFUNCTION("""COMPUTED_VALUE"""),10033.0)</f>
        <v>10033</v>
      </c>
      <c r="B612" s="164">
        <f>IFERROR(__xludf.DUMMYFUNCTION("""COMPUTED_VALUE"""),6313114.0)</f>
        <v>6313114</v>
      </c>
      <c r="C612" s="164" t="str">
        <f>IFERROR(__xludf.DUMMYFUNCTION("""COMPUTED_VALUE"""),"6313114XL")</f>
        <v>6313114XL</v>
      </c>
      <c r="D612" s="164" t="str">
        <f>IFERROR(__xludf.DUMMYFUNCTION("""COMPUTED_VALUE"""),"Васильковый с белым")</f>
        <v>Васильковый с белым</v>
      </c>
      <c r="E612" s="164" t="str">
        <f>IFERROR(__xludf.DUMMYFUNCTION("""COMPUTED_VALUE"""),"XL")</f>
        <v>XL</v>
      </c>
      <c r="F612" s="133" t="str">
        <f>IFERROR(__xludf.DUMMYFUNCTION("""COMPUTED_VALUE"""),"10033XL")</f>
        <v>10033XL</v>
      </c>
      <c r="G612" s="165">
        <f>IFERROR(__xludf.DUMMYFUNCTION("""COMPUTED_VALUE"""),1167.0)</f>
        <v>1167</v>
      </c>
    </row>
    <row r="613" ht="15.75" customHeight="1">
      <c r="A613" s="133">
        <f>IFERROR(__xludf.DUMMYFUNCTION("""COMPUTED_VALUE"""),10033.0)</f>
        <v>10033</v>
      </c>
      <c r="B613" s="164">
        <f>IFERROR(__xludf.DUMMYFUNCTION("""COMPUTED_VALUE"""),6313114.0)</f>
        <v>6313114</v>
      </c>
      <c r="C613" s="164" t="str">
        <f>IFERROR(__xludf.DUMMYFUNCTION("""COMPUTED_VALUE"""),"6313114XXL")</f>
        <v>6313114XXL</v>
      </c>
      <c r="D613" s="164" t="str">
        <f>IFERROR(__xludf.DUMMYFUNCTION("""COMPUTED_VALUE"""),"Васильковый с белым")</f>
        <v>Васильковый с белым</v>
      </c>
      <c r="E613" s="164" t="str">
        <f>IFERROR(__xludf.DUMMYFUNCTION("""COMPUTED_VALUE"""),"XXL")</f>
        <v>XXL</v>
      </c>
      <c r="F613" s="133" t="str">
        <f>IFERROR(__xludf.DUMMYFUNCTION("""COMPUTED_VALUE"""),"10033XXL")</f>
        <v>10033XXL</v>
      </c>
      <c r="G613" s="165">
        <f>IFERROR(__xludf.DUMMYFUNCTION("""COMPUTED_VALUE"""),1167.0)</f>
        <v>1167</v>
      </c>
    </row>
    <row r="614" ht="15.75" customHeight="1">
      <c r="A614" s="133">
        <f>IFERROR(__xludf.DUMMYFUNCTION("""COMPUTED_VALUE"""),10040.0)</f>
        <v>10040</v>
      </c>
      <c r="B614" s="164">
        <f>IFERROR(__xludf.DUMMYFUNCTION("""COMPUTED_VALUE"""),6313121.0)</f>
        <v>6313121</v>
      </c>
      <c r="C614" s="164" t="str">
        <f>IFERROR(__xludf.DUMMYFUNCTION("""COMPUTED_VALUE"""),"6313121XXS")</f>
        <v>6313121XXS</v>
      </c>
      <c r="D614" s="164" t="str">
        <f>IFERROR(__xludf.DUMMYFUNCTION("""COMPUTED_VALUE"""),"синий")</f>
        <v>синий</v>
      </c>
      <c r="E614" s="164" t="str">
        <f>IFERROR(__xludf.DUMMYFUNCTION("""COMPUTED_VALUE"""),"XXS")</f>
        <v>XXS</v>
      </c>
      <c r="F614" s="133" t="str">
        <f>IFERROR(__xludf.DUMMYFUNCTION("""COMPUTED_VALUE"""),"10040XXS")</f>
        <v>10040XXS</v>
      </c>
      <c r="G614" s="165">
        <f>IFERROR(__xludf.DUMMYFUNCTION("""COMPUTED_VALUE"""),1167.0)</f>
        <v>1167</v>
      </c>
    </row>
    <row r="615" ht="15.75" customHeight="1">
      <c r="A615" s="133">
        <f>IFERROR(__xludf.DUMMYFUNCTION("""COMPUTED_VALUE"""),10040.0)</f>
        <v>10040</v>
      </c>
      <c r="B615" s="164">
        <f>IFERROR(__xludf.DUMMYFUNCTION("""COMPUTED_VALUE"""),6313121.0)</f>
        <v>6313121</v>
      </c>
      <c r="C615" s="164" t="str">
        <f>IFERROR(__xludf.DUMMYFUNCTION("""COMPUTED_VALUE"""),"6313121XS")</f>
        <v>6313121XS</v>
      </c>
      <c r="D615" s="164" t="str">
        <f>IFERROR(__xludf.DUMMYFUNCTION("""COMPUTED_VALUE"""),"синий")</f>
        <v>синий</v>
      </c>
      <c r="E615" s="164" t="str">
        <f>IFERROR(__xludf.DUMMYFUNCTION("""COMPUTED_VALUE"""),"XS")</f>
        <v>XS</v>
      </c>
      <c r="F615" s="133" t="str">
        <f>IFERROR(__xludf.DUMMYFUNCTION("""COMPUTED_VALUE"""),"10040XS")</f>
        <v>10040XS</v>
      </c>
      <c r="G615" s="165">
        <f>IFERROR(__xludf.DUMMYFUNCTION("""COMPUTED_VALUE"""),1167.0)</f>
        <v>1167</v>
      </c>
    </row>
    <row r="616" ht="15.75" customHeight="1">
      <c r="A616" s="133">
        <f>IFERROR(__xludf.DUMMYFUNCTION("""COMPUTED_VALUE"""),10040.0)</f>
        <v>10040</v>
      </c>
      <c r="B616" s="164">
        <f>IFERROR(__xludf.DUMMYFUNCTION("""COMPUTED_VALUE"""),6313121.0)</f>
        <v>6313121</v>
      </c>
      <c r="C616" s="164" t="str">
        <f>IFERROR(__xludf.DUMMYFUNCTION("""COMPUTED_VALUE"""),"6313121S")</f>
        <v>6313121S</v>
      </c>
      <c r="D616" s="164" t="str">
        <f>IFERROR(__xludf.DUMMYFUNCTION("""COMPUTED_VALUE"""),"синий")</f>
        <v>синий</v>
      </c>
      <c r="E616" s="164" t="str">
        <f>IFERROR(__xludf.DUMMYFUNCTION("""COMPUTED_VALUE"""),"S")</f>
        <v>S</v>
      </c>
      <c r="F616" s="133" t="str">
        <f>IFERROR(__xludf.DUMMYFUNCTION("""COMPUTED_VALUE"""),"10040S")</f>
        <v>10040S</v>
      </c>
      <c r="G616" s="165">
        <f>IFERROR(__xludf.DUMMYFUNCTION("""COMPUTED_VALUE"""),1167.0)</f>
        <v>1167</v>
      </c>
    </row>
    <row r="617" ht="15.75" customHeight="1">
      <c r="A617" s="133">
        <f>IFERROR(__xludf.DUMMYFUNCTION("""COMPUTED_VALUE"""),10040.0)</f>
        <v>10040</v>
      </c>
      <c r="B617" s="164">
        <f>IFERROR(__xludf.DUMMYFUNCTION("""COMPUTED_VALUE"""),6313121.0)</f>
        <v>6313121</v>
      </c>
      <c r="C617" s="164" t="str">
        <f>IFERROR(__xludf.DUMMYFUNCTION("""COMPUTED_VALUE"""),"6313121M")</f>
        <v>6313121M</v>
      </c>
      <c r="D617" s="164" t="str">
        <f>IFERROR(__xludf.DUMMYFUNCTION("""COMPUTED_VALUE"""),"синий")</f>
        <v>синий</v>
      </c>
      <c r="E617" s="164" t="str">
        <f>IFERROR(__xludf.DUMMYFUNCTION("""COMPUTED_VALUE"""),"M")</f>
        <v>M</v>
      </c>
      <c r="F617" s="133" t="str">
        <f>IFERROR(__xludf.DUMMYFUNCTION("""COMPUTED_VALUE"""),"10040M")</f>
        <v>10040M</v>
      </c>
      <c r="G617" s="165">
        <f>IFERROR(__xludf.DUMMYFUNCTION("""COMPUTED_VALUE"""),1167.0)</f>
        <v>1167</v>
      </c>
    </row>
    <row r="618" ht="15.75" customHeight="1">
      <c r="A618" s="133">
        <f>IFERROR(__xludf.DUMMYFUNCTION("""COMPUTED_VALUE"""),10040.0)</f>
        <v>10040</v>
      </c>
      <c r="B618" s="164">
        <f>IFERROR(__xludf.DUMMYFUNCTION("""COMPUTED_VALUE"""),6313121.0)</f>
        <v>6313121</v>
      </c>
      <c r="C618" s="164" t="str">
        <f>IFERROR(__xludf.DUMMYFUNCTION("""COMPUTED_VALUE"""),"6313121L")</f>
        <v>6313121L</v>
      </c>
      <c r="D618" s="164" t="str">
        <f>IFERROR(__xludf.DUMMYFUNCTION("""COMPUTED_VALUE"""),"синий")</f>
        <v>синий</v>
      </c>
      <c r="E618" s="164" t="str">
        <f>IFERROR(__xludf.DUMMYFUNCTION("""COMPUTED_VALUE"""),"L")</f>
        <v>L</v>
      </c>
      <c r="F618" s="133" t="str">
        <f>IFERROR(__xludf.DUMMYFUNCTION("""COMPUTED_VALUE"""),"10040L")</f>
        <v>10040L</v>
      </c>
      <c r="G618" s="165">
        <f>IFERROR(__xludf.DUMMYFUNCTION("""COMPUTED_VALUE"""),1167.0)</f>
        <v>1167</v>
      </c>
    </row>
    <row r="619" ht="15.75" customHeight="1">
      <c r="A619" s="133">
        <f>IFERROR(__xludf.DUMMYFUNCTION("""COMPUTED_VALUE"""),10040.0)</f>
        <v>10040</v>
      </c>
      <c r="B619" s="164">
        <f>IFERROR(__xludf.DUMMYFUNCTION("""COMPUTED_VALUE"""),6313121.0)</f>
        <v>6313121</v>
      </c>
      <c r="C619" s="164" t="str">
        <f>IFERROR(__xludf.DUMMYFUNCTION("""COMPUTED_VALUE"""),"6313121XL")</f>
        <v>6313121XL</v>
      </c>
      <c r="D619" s="164" t="str">
        <f>IFERROR(__xludf.DUMMYFUNCTION("""COMPUTED_VALUE"""),"синий")</f>
        <v>синий</v>
      </c>
      <c r="E619" s="164" t="str">
        <f>IFERROR(__xludf.DUMMYFUNCTION("""COMPUTED_VALUE"""),"XL")</f>
        <v>XL</v>
      </c>
      <c r="F619" s="133" t="str">
        <f>IFERROR(__xludf.DUMMYFUNCTION("""COMPUTED_VALUE"""),"10040XL")</f>
        <v>10040XL</v>
      </c>
      <c r="G619" s="165">
        <f>IFERROR(__xludf.DUMMYFUNCTION("""COMPUTED_VALUE"""),1167.0)</f>
        <v>1167</v>
      </c>
    </row>
    <row r="620" ht="15.75" customHeight="1">
      <c r="A620" s="133">
        <f>IFERROR(__xludf.DUMMYFUNCTION("""COMPUTED_VALUE"""),10040.0)</f>
        <v>10040</v>
      </c>
      <c r="B620" s="164">
        <f>IFERROR(__xludf.DUMMYFUNCTION("""COMPUTED_VALUE"""),6313121.0)</f>
        <v>6313121</v>
      </c>
      <c r="C620" s="164" t="str">
        <f>IFERROR(__xludf.DUMMYFUNCTION("""COMPUTED_VALUE"""),"6313121XXL")</f>
        <v>6313121XXL</v>
      </c>
      <c r="D620" s="164" t="str">
        <f>IFERROR(__xludf.DUMMYFUNCTION("""COMPUTED_VALUE"""),"синий")</f>
        <v>синий</v>
      </c>
      <c r="E620" s="164" t="str">
        <f>IFERROR(__xludf.DUMMYFUNCTION("""COMPUTED_VALUE"""),"XXL")</f>
        <v>XXL</v>
      </c>
      <c r="F620" s="133" t="str">
        <f>IFERROR(__xludf.DUMMYFUNCTION("""COMPUTED_VALUE"""),"10040XXL")</f>
        <v>10040XXL</v>
      </c>
      <c r="G620" s="165">
        <f>IFERROR(__xludf.DUMMYFUNCTION("""COMPUTED_VALUE"""),1167.0)</f>
        <v>1167</v>
      </c>
    </row>
    <row r="621" ht="15.75" customHeight="1">
      <c r="A621" s="133">
        <f>IFERROR(__xludf.DUMMYFUNCTION("""COMPUTED_VALUE"""),20008.0)</f>
        <v>20008</v>
      </c>
      <c r="B621" s="164">
        <f>IFERROR(__xludf.DUMMYFUNCTION("""COMPUTED_VALUE"""),5286937.0)</f>
        <v>5286937</v>
      </c>
      <c r="C621" s="164" t="str">
        <f>IFERROR(__xludf.DUMMYFUNCTION("""COMPUTED_VALUE"""),"5286937S")</f>
        <v>5286937S</v>
      </c>
      <c r="D621" s="164" t="str">
        <f>IFERROR(__xludf.DUMMYFUNCTION("""COMPUTED_VALUE"""),"синий")</f>
        <v>синий</v>
      </c>
      <c r="E621" s="164" t="str">
        <f>IFERROR(__xludf.DUMMYFUNCTION("""COMPUTED_VALUE"""),"S")</f>
        <v>S</v>
      </c>
      <c r="F621" s="133" t="str">
        <f>IFERROR(__xludf.DUMMYFUNCTION("""COMPUTED_VALUE"""),"20008S")</f>
        <v>20008S</v>
      </c>
      <c r="G621" s="165">
        <f>IFERROR(__xludf.DUMMYFUNCTION("""COMPUTED_VALUE"""),1236.0)</f>
        <v>1236</v>
      </c>
    </row>
    <row r="622" ht="15.75" customHeight="1">
      <c r="A622" s="133">
        <f>IFERROR(__xludf.DUMMYFUNCTION("""COMPUTED_VALUE"""),20008.0)</f>
        <v>20008</v>
      </c>
      <c r="B622" s="164">
        <f>IFERROR(__xludf.DUMMYFUNCTION("""COMPUTED_VALUE"""),5286937.0)</f>
        <v>5286937</v>
      </c>
      <c r="C622" s="164" t="str">
        <f>IFERROR(__xludf.DUMMYFUNCTION("""COMPUTED_VALUE"""),"5286937M")</f>
        <v>5286937M</v>
      </c>
      <c r="D622" s="164" t="str">
        <f>IFERROR(__xludf.DUMMYFUNCTION("""COMPUTED_VALUE"""),"синий")</f>
        <v>синий</v>
      </c>
      <c r="E622" s="164" t="str">
        <f>IFERROR(__xludf.DUMMYFUNCTION("""COMPUTED_VALUE"""),"M")</f>
        <v>M</v>
      </c>
      <c r="F622" s="133" t="str">
        <f>IFERROR(__xludf.DUMMYFUNCTION("""COMPUTED_VALUE"""),"20008M")</f>
        <v>20008M</v>
      </c>
      <c r="G622" s="165">
        <f>IFERROR(__xludf.DUMMYFUNCTION("""COMPUTED_VALUE"""),1236.0)</f>
        <v>1236</v>
      </c>
    </row>
    <row r="623" ht="15.75" customHeight="1">
      <c r="A623" s="133">
        <f>IFERROR(__xludf.DUMMYFUNCTION("""COMPUTED_VALUE"""),20008.0)</f>
        <v>20008</v>
      </c>
      <c r="B623" s="164">
        <f>IFERROR(__xludf.DUMMYFUNCTION("""COMPUTED_VALUE"""),5286937.0)</f>
        <v>5286937</v>
      </c>
      <c r="C623" s="164" t="str">
        <f>IFERROR(__xludf.DUMMYFUNCTION("""COMPUTED_VALUE"""),"5286937L")</f>
        <v>5286937L</v>
      </c>
      <c r="D623" s="164" t="str">
        <f>IFERROR(__xludf.DUMMYFUNCTION("""COMPUTED_VALUE"""),"синий")</f>
        <v>синий</v>
      </c>
      <c r="E623" s="164" t="str">
        <f>IFERROR(__xludf.DUMMYFUNCTION("""COMPUTED_VALUE"""),"L")</f>
        <v>L</v>
      </c>
      <c r="F623" s="133" t="str">
        <f>IFERROR(__xludf.DUMMYFUNCTION("""COMPUTED_VALUE"""),"20008L")</f>
        <v>20008L</v>
      </c>
      <c r="G623" s="165">
        <f>IFERROR(__xludf.DUMMYFUNCTION("""COMPUTED_VALUE"""),1236.0)</f>
        <v>1236</v>
      </c>
    </row>
    <row r="624" ht="15.75" customHeight="1">
      <c r="A624" s="133">
        <f>IFERROR(__xludf.DUMMYFUNCTION("""COMPUTED_VALUE"""),20008.0)</f>
        <v>20008</v>
      </c>
      <c r="B624" s="164">
        <f>IFERROR(__xludf.DUMMYFUNCTION("""COMPUTED_VALUE"""),5286937.0)</f>
        <v>5286937</v>
      </c>
      <c r="C624" s="164" t="str">
        <f>IFERROR(__xludf.DUMMYFUNCTION("""COMPUTED_VALUE"""),"5286937XL")</f>
        <v>5286937XL</v>
      </c>
      <c r="D624" s="164" t="str">
        <f>IFERROR(__xludf.DUMMYFUNCTION("""COMPUTED_VALUE"""),"синий")</f>
        <v>синий</v>
      </c>
      <c r="E624" s="164" t="str">
        <f>IFERROR(__xludf.DUMMYFUNCTION("""COMPUTED_VALUE"""),"XL")</f>
        <v>XL</v>
      </c>
      <c r="F624" s="133" t="str">
        <f>IFERROR(__xludf.DUMMYFUNCTION("""COMPUTED_VALUE"""),"20008XL")</f>
        <v>20008XL</v>
      </c>
      <c r="G624" s="165">
        <f>IFERROR(__xludf.DUMMYFUNCTION("""COMPUTED_VALUE"""),1236.0)</f>
        <v>1236</v>
      </c>
    </row>
    <row r="625" ht="15.75" customHeight="1">
      <c r="A625" s="133">
        <f>IFERROR(__xludf.DUMMYFUNCTION("""COMPUTED_VALUE"""),20008.0)</f>
        <v>20008</v>
      </c>
      <c r="B625" s="164">
        <f>IFERROR(__xludf.DUMMYFUNCTION("""COMPUTED_VALUE"""),5286937.0)</f>
        <v>5286937</v>
      </c>
      <c r="C625" s="164" t="str">
        <f>IFERROR(__xludf.DUMMYFUNCTION("""COMPUTED_VALUE"""),"5286937XXL")</f>
        <v>5286937XXL</v>
      </c>
      <c r="D625" s="164" t="str">
        <f>IFERROR(__xludf.DUMMYFUNCTION("""COMPUTED_VALUE"""),"синий")</f>
        <v>синий</v>
      </c>
      <c r="E625" s="164" t="str">
        <f>IFERROR(__xludf.DUMMYFUNCTION("""COMPUTED_VALUE"""),"XXL")</f>
        <v>XXL</v>
      </c>
      <c r="F625" s="133" t="str">
        <f>IFERROR(__xludf.DUMMYFUNCTION("""COMPUTED_VALUE"""),"20008XXL")</f>
        <v>20008XXL</v>
      </c>
      <c r="G625" s="165">
        <f>IFERROR(__xludf.DUMMYFUNCTION("""COMPUTED_VALUE"""),1236.0)</f>
        <v>1236</v>
      </c>
    </row>
    <row r="626" ht="15.75" customHeight="1">
      <c r="A626" s="133">
        <f>IFERROR(__xludf.DUMMYFUNCTION("""COMPUTED_VALUE"""),20008.0)</f>
        <v>20008</v>
      </c>
      <c r="B626" s="164">
        <f>IFERROR(__xludf.DUMMYFUNCTION("""COMPUTED_VALUE"""),5286937.0)</f>
        <v>5286937</v>
      </c>
      <c r="C626" s="164" t="str">
        <f>IFERROR(__xludf.DUMMYFUNCTION("""COMPUTED_VALUE"""),"5286937XXXL")</f>
        <v>5286937XXXL</v>
      </c>
      <c r="D626" s="164" t="str">
        <f>IFERROR(__xludf.DUMMYFUNCTION("""COMPUTED_VALUE"""),"синий")</f>
        <v>синий</v>
      </c>
      <c r="E626" s="164" t="str">
        <f>IFERROR(__xludf.DUMMYFUNCTION("""COMPUTED_VALUE"""),"XXXL")</f>
        <v>XXXL</v>
      </c>
      <c r="F626" s="133" t="str">
        <f>IFERROR(__xludf.DUMMYFUNCTION("""COMPUTED_VALUE"""),"20008XXXL")</f>
        <v>20008XXXL</v>
      </c>
      <c r="G626" s="165">
        <f>IFERROR(__xludf.DUMMYFUNCTION("""COMPUTED_VALUE"""),1236.0)</f>
        <v>1236</v>
      </c>
    </row>
    <row r="627" ht="15.75" customHeight="1">
      <c r="A627" s="133">
        <f>IFERROR(__xludf.DUMMYFUNCTION("""COMPUTED_VALUE"""),20009.0)</f>
        <v>20009</v>
      </c>
      <c r="B627" s="164">
        <f>IFERROR(__xludf.DUMMYFUNCTION("""COMPUTED_VALUE"""),5286938.0)</f>
        <v>5286938</v>
      </c>
      <c r="C627" s="164" t="str">
        <f>IFERROR(__xludf.DUMMYFUNCTION("""COMPUTED_VALUE"""),"5286938S")</f>
        <v>5286938S</v>
      </c>
      <c r="D627" s="164" t="str">
        <f>IFERROR(__xludf.DUMMYFUNCTION("""COMPUTED_VALUE"""),"красный/белый")</f>
        <v>красный/белый</v>
      </c>
      <c r="E627" s="164" t="str">
        <f>IFERROR(__xludf.DUMMYFUNCTION("""COMPUTED_VALUE"""),"S")</f>
        <v>S</v>
      </c>
      <c r="F627" s="133" t="str">
        <f>IFERROR(__xludf.DUMMYFUNCTION("""COMPUTED_VALUE"""),"20009S")</f>
        <v>20009S</v>
      </c>
      <c r="G627" s="165">
        <f>IFERROR(__xludf.DUMMYFUNCTION("""COMPUTED_VALUE"""),1236.0)</f>
        <v>1236</v>
      </c>
    </row>
    <row r="628" ht="15.75" customHeight="1">
      <c r="A628" s="133">
        <f>IFERROR(__xludf.DUMMYFUNCTION("""COMPUTED_VALUE"""),20009.0)</f>
        <v>20009</v>
      </c>
      <c r="B628" s="164">
        <f>IFERROR(__xludf.DUMMYFUNCTION("""COMPUTED_VALUE"""),5286938.0)</f>
        <v>5286938</v>
      </c>
      <c r="C628" s="164" t="str">
        <f>IFERROR(__xludf.DUMMYFUNCTION("""COMPUTED_VALUE"""),"5286938M")</f>
        <v>5286938M</v>
      </c>
      <c r="D628" s="164" t="str">
        <f>IFERROR(__xludf.DUMMYFUNCTION("""COMPUTED_VALUE"""),"красный/белый")</f>
        <v>красный/белый</v>
      </c>
      <c r="E628" s="164" t="str">
        <f>IFERROR(__xludf.DUMMYFUNCTION("""COMPUTED_VALUE"""),"M")</f>
        <v>M</v>
      </c>
      <c r="F628" s="133" t="str">
        <f>IFERROR(__xludf.DUMMYFUNCTION("""COMPUTED_VALUE"""),"20009M")</f>
        <v>20009M</v>
      </c>
      <c r="G628" s="165">
        <f>IFERROR(__xludf.DUMMYFUNCTION("""COMPUTED_VALUE"""),1236.0)</f>
        <v>1236</v>
      </c>
    </row>
    <row r="629" ht="15.75" customHeight="1">
      <c r="A629" s="133">
        <f>IFERROR(__xludf.DUMMYFUNCTION("""COMPUTED_VALUE"""),20009.0)</f>
        <v>20009</v>
      </c>
      <c r="B629" s="164">
        <f>IFERROR(__xludf.DUMMYFUNCTION("""COMPUTED_VALUE"""),5286938.0)</f>
        <v>5286938</v>
      </c>
      <c r="C629" s="164" t="str">
        <f>IFERROR(__xludf.DUMMYFUNCTION("""COMPUTED_VALUE"""),"5286938L")</f>
        <v>5286938L</v>
      </c>
      <c r="D629" s="164" t="str">
        <f>IFERROR(__xludf.DUMMYFUNCTION("""COMPUTED_VALUE"""),"красный/белый")</f>
        <v>красный/белый</v>
      </c>
      <c r="E629" s="164" t="str">
        <f>IFERROR(__xludf.DUMMYFUNCTION("""COMPUTED_VALUE"""),"L")</f>
        <v>L</v>
      </c>
      <c r="F629" s="133" t="str">
        <f>IFERROR(__xludf.DUMMYFUNCTION("""COMPUTED_VALUE"""),"20009L")</f>
        <v>20009L</v>
      </c>
      <c r="G629" s="165">
        <f>IFERROR(__xludf.DUMMYFUNCTION("""COMPUTED_VALUE"""),1236.0)</f>
        <v>1236</v>
      </c>
    </row>
    <row r="630" ht="15.75" customHeight="1">
      <c r="A630" s="133">
        <f>IFERROR(__xludf.DUMMYFUNCTION("""COMPUTED_VALUE"""),20009.0)</f>
        <v>20009</v>
      </c>
      <c r="B630" s="164">
        <f>IFERROR(__xludf.DUMMYFUNCTION("""COMPUTED_VALUE"""),5286938.0)</f>
        <v>5286938</v>
      </c>
      <c r="C630" s="164" t="str">
        <f>IFERROR(__xludf.DUMMYFUNCTION("""COMPUTED_VALUE"""),"5286938XL")</f>
        <v>5286938XL</v>
      </c>
      <c r="D630" s="164" t="str">
        <f>IFERROR(__xludf.DUMMYFUNCTION("""COMPUTED_VALUE"""),"красный/белый")</f>
        <v>красный/белый</v>
      </c>
      <c r="E630" s="164" t="str">
        <f>IFERROR(__xludf.DUMMYFUNCTION("""COMPUTED_VALUE"""),"XL")</f>
        <v>XL</v>
      </c>
      <c r="F630" s="133" t="str">
        <f>IFERROR(__xludf.DUMMYFUNCTION("""COMPUTED_VALUE"""),"20009XL")</f>
        <v>20009XL</v>
      </c>
      <c r="G630" s="165">
        <f>IFERROR(__xludf.DUMMYFUNCTION("""COMPUTED_VALUE"""),1236.0)</f>
        <v>1236</v>
      </c>
    </row>
    <row r="631" ht="15.75" customHeight="1">
      <c r="A631" s="133">
        <f>IFERROR(__xludf.DUMMYFUNCTION("""COMPUTED_VALUE"""),20009.0)</f>
        <v>20009</v>
      </c>
      <c r="B631" s="164">
        <f>IFERROR(__xludf.DUMMYFUNCTION("""COMPUTED_VALUE"""),5286938.0)</f>
        <v>5286938</v>
      </c>
      <c r="C631" s="164" t="str">
        <f>IFERROR(__xludf.DUMMYFUNCTION("""COMPUTED_VALUE"""),"5286938XXL")</f>
        <v>5286938XXL</v>
      </c>
      <c r="D631" s="164" t="str">
        <f>IFERROR(__xludf.DUMMYFUNCTION("""COMPUTED_VALUE"""),"красный/белый")</f>
        <v>красный/белый</v>
      </c>
      <c r="E631" s="164" t="str">
        <f>IFERROR(__xludf.DUMMYFUNCTION("""COMPUTED_VALUE"""),"XXL")</f>
        <v>XXL</v>
      </c>
      <c r="F631" s="133" t="str">
        <f>IFERROR(__xludf.DUMMYFUNCTION("""COMPUTED_VALUE"""),"20009XXL")</f>
        <v>20009XXL</v>
      </c>
      <c r="G631" s="165">
        <f>IFERROR(__xludf.DUMMYFUNCTION("""COMPUTED_VALUE"""),1236.0)</f>
        <v>1236</v>
      </c>
    </row>
    <row r="632" ht="15.75" customHeight="1">
      <c r="A632" s="133">
        <f>IFERROR(__xludf.DUMMYFUNCTION("""COMPUTED_VALUE"""),20009.0)</f>
        <v>20009</v>
      </c>
      <c r="B632" s="164">
        <f>IFERROR(__xludf.DUMMYFUNCTION("""COMPUTED_VALUE"""),5286938.0)</f>
        <v>5286938</v>
      </c>
      <c r="C632" s="164" t="str">
        <f>IFERROR(__xludf.DUMMYFUNCTION("""COMPUTED_VALUE"""),"5286938XXXL")</f>
        <v>5286938XXXL</v>
      </c>
      <c r="D632" s="164" t="str">
        <f>IFERROR(__xludf.DUMMYFUNCTION("""COMPUTED_VALUE"""),"красный/белый")</f>
        <v>красный/белый</v>
      </c>
      <c r="E632" s="164" t="str">
        <f>IFERROR(__xludf.DUMMYFUNCTION("""COMPUTED_VALUE"""),"XXXL")</f>
        <v>XXXL</v>
      </c>
      <c r="F632" s="133" t="str">
        <f>IFERROR(__xludf.DUMMYFUNCTION("""COMPUTED_VALUE"""),"20009XXXL")</f>
        <v>20009XXXL</v>
      </c>
      <c r="G632" s="165">
        <f>IFERROR(__xludf.DUMMYFUNCTION("""COMPUTED_VALUE"""),1236.0)</f>
        <v>1236</v>
      </c>
    </row>
    <row r="633" ht="15.75" customHeight="1">
      <c r="A633" s="133">
        <f>IFERROR(__xludf.DUMMYFUNCTION("""COMPUTED_VALUE"""),20017.0)</f>
        <v>20017</v>
      </c>
      <c r="B633" s="164">
        <f>IFERROR(__xludf.DUMMYFUNCTION("""COMPUTED_VALUE"""),5286946.0)</f>
        <v>5286946</v>
      </c>
      <c r="C633" s="164" t="str">
        <f>IFERROR(__xludf.DUMMYFUNCTION("""COMPUTED_VALUE"""),"5286946S")</f>
        <v>5286946S</v>
      </c>
      <c r="D633" s="164" t="str">
        <f>IFERROR(__xludf.DUMMYFUNCTION("""COMPUTED_VALUE"""),"синий")</f>
        <v>синий</v>
      </c>
      <c r="E633" s="164" t="str">
        <f>IFERROR(__xludf.DUMMYFUNCTION("""COMPUTED_VALUE"""),"S")</f>
        <v>S</v>
      </c>
      <c r="F633" s="133" t="str">
        <f>IFERROR(__xludf.DUMMYFUNCTION("""COMPUTED_VALUE"""),"20017S")</f>
        <v>20017S</v>
      </c>
      <c r="G633" s="165">
        <f>IFERROR(__xludf.DUMMYFUNCTION("""COMPUTED_VALUE"""),1236.0)</f>
        <v>1236</v>
      </c>
    </row>
    <row r="634" ht="15.75" customHeight="1">
      <c r="A634" s="133">
        <f>IFERROR(__xludf.DUMMYFUNCTION("""COMPUTED_VALUE"""),20017.0)</f>
        <v>20017</v>
      </c>
      <c r="B634" s="164">
        <f>IFERROR(__xludf.DUMMYFUNCTION("""COMPUTED_VALUE"""),5286946.0)</f>
        <v>5286946</v>
      </c>
      <c r="C634" s="164" t="str">
        <f>IFERROR(__xludf.DUMMYFUNCTION("""COMPUTED_VALUE"""),"5286946M")</f>
        <v>5286946M</v>
      </c>
      <c r="D634" s="164" t="str">
        <f>IFERROR(__xludf.DUMMYFUNCTION("""COMPUTED_VALUE"""),"синий")</f>
        <v>синий</v>
      </c>
      <c r="E634" s="164" t="str">
        <f>IFERROR(__xludf.DUMMYFUNCTION("""COMPUTED_VALUE"""),"M")</f>
        <v>M</v>
      </c>
      <c r="F634" s="133" t="str">
        <f>IFERROR(__xludf.DUMMYFUNCTION("""COMPUTED_VALUE"""),"20017M")</f>
        <v>20017M</v>
      </c>
      <c r="G634" s="165">
        <f>IFERROR(__xludf.DUMMYFUNCTION("""COMPUTED_VALUE"""),1236.0)</f>
        <v>1236</v>
      </c>
    </row>
    <row r="635" ht="15.75" customHeight="1">
      <c r="A635" s="133">
        <f>IFERROR(__xludf.DUMMYFUNCTION("""COMPUTED_VALUE"""),20017.0)</f>
        <v>20017</v>
      </c>
      <c r="B635" s="164">
        <f>IFERROR(__xludf.DUMMYFUNCTION("""COMPUTED_VALUE"""),5286946.0)</f>
        <v>5286946</v>
      </c>
      <c r="C635" s="164" t="str">
        <f>IFERROR(__xludf.DUMMYFUNCTION("""COMPUTED_VALUE"""),"5286946L")</f>
        <v>5286946L</v>
      </c>
      <c r="D635" s="164" t="str">
        <f>IFERROR(__xludf.DUMMYFUNCTION("""COMPUTED_VALUE"""),"синий")</f>
        <v>синий</v>
      </c>
      <c r="E635" s="164" t="str">
        <f>IFERROR(__xludf.DUMMYFUNCTION("""COMPUTED_VALUE"""),"L")</f>
        <v>L</v>
      </c>
      <c r="F635" s="133" t="str">
        <f>IFERROR(__xludf.DUMMYFUNCTION("""COMPUTED_VALUE"""),"20017L")</f>
        <v>20017L</v>
      </c>
      <c r="G635" s="165">
        <f>IFERROR(__xludf.DUMMYFUNCTION("""COMPUTED_VALUE"""),1236.0)</f>
        <v>1236</v>
      </c>
    </row>
    <row r="636" ht="15.75" customHeight="1">
      <c r="A636" s="133">
        <f>IFERROR(__xludf.DUMMYFUNCTION("""COMPUTED_VALUE"""),20017.0)</f>
        <v>20017</v>
      </c>
      <c r="B636" s="164">
        <f>IFERROR(__xludf.DUMMYFUNCTION("""COMPUTED_VALUE"""),5286946.0)</f>
        <v>5286946</v>
      </c>
      <c r="C636" s="164" t="str">
        <f>IFERROR(__xludf.DUMMYFUNCTION("""COMPUTED_VALUE"""),"5286946XL")</f>
        <v>5286946XL</v>
      </c>
      <c r="D636" s="164" t="str">
        <f>IFERROR(__xludf.DUMMYFUNCTION("""COMPUTED_VALUE"""),"синий")</f>
        <v>синий</v>
      </c>
      <c r="E636" s="164" t="str">
        <f>IFERROR(__xludf.DUMMYFUNCTION("""COMPUTED_VALUE"""),"XL")</f>
        <v>XL</v>
      </c>
      <c r="F636" s="133" t="str">
        <f>IFERROR(__xludf.DUMMYFUNCTION("""COMPUTED_VALUE"""),"20017XL")</f>
        <v>20017XL</v>
      </c>
      <c r="G636" s="165">
        <f>IFERROR(__xludf.DUMMYFUNCTION("""COMPUTED_VALUE"""),1236.0)</f>
        <v>1236</v>
      </c>
    </row>
    <row r="637" ht="15.75" customHeight="1">
      <c r="A637" s="133">
        <f>IFERROR(__xludf.DUMMYFUNCTION("""COMPUTED_VALUE"""),20017.0)</f>
        <v>20017</v>
      </c>
      <c r="B637" s="164">
        <f>IFERROR(__xludf.DUMMYFUNCTION("""COMPUTED_VALUE"""),5286946.0)</f>
        <v>5286946</v>
      </c>
      <c r="C637" s="164" t="str">
        <f>IFERROR(__xludf.DUMMYFUNCTION("""COMPUTED_VALUE"""),"5286946XXL")</f>
        <v>5286946XXL</v>
      </c>
      <c r="D637" s="164" t="str">
        <f>IFERROR(__xludf.DUMMYFUNCTION("""COMPUTED_VALUE"""),"синий")</f>
        <v>синий</v>
      </c>
      <c r="E637" s="164" t="str">
        <f>IFERROR(__xludf.DUMMYFUNCTION("""COMPUTED_VALUE"""),"XXL")</f>
        <v>XXL</v>
      </c>
      <c r="F637" s="133" t="str">
        <f>IFERROR(__xludf.DUMMYFUNCTION("""COMPUTED_VALUE"""),"20017XXL")</f>
        <v>20017XXL</v>
      </c>
      <c r="G637" s="165">
        <f>IFERROR(__xludf.DUMMYFUNCTION("""COMPUTED_VALUE"""),1236.0)</f>
        <v>1236</v>
      </c>
    </row>
    <row r="638" ht="15.75" customHeight="1">
      <c r="A638" s="133">
        <f>IFERROR(__xludf.DUMMYFUNCTION("""COMPUTED_VALUE"""),20017.0)</f>
        <v>20017</v>
      </c>
      <c r="B638" s="164">
        <f>IFERROR(__xludf.DUMMYFUNCTION("""COMPUTED_VALUE"""),5286946.0)</f>
        <v>5286946</v>
      </c>
      <c r="C638" s="164" t="str">
        <f>IFERROR(__xludf.DUMMYFUNCTION("""COMPUTED_VALUE"""),"5286946XXXL")</f>
        <v>5286946XXXL</v>
      </c>
      <c r="D638" s="164" t="str">
        <f>IFERROR(__xludf.DUMMYFUNCTION("""COMPUTED_VALUE"""),"синий")</f>
        <v>синий</v>
      </c>
      <c r="E638" s="164" t="str">
        <f>IFERROR(__xludf.DUMMYFUNCTION("""COMPUTED_VALUE"""),"XXXL")</f>
        <v>XXXL</v>
      </c>
      <c r="F638" s="133" t="str">
        <f>IFERROR(__xludf.DUMMYFUNCTION("""COMPUTED_VALUE"""),"20017XXXL")</f>
        <v>20017XXXL</v>
      </c>
      <c r="G638" s="165">
        <f>IFERROR(__xludf.DUMMYFUNCTION("""COMPUTED_VALUE"""),1236.0)</f>
        <v>1236</v>
      </c>
    </row>
    <row r="639" ht="15.75" customHeight="1">
      <c r="A639" s="133">
        <f>IFERROR(__xludf.DUMMYFUNCTION("""COMPUTED_VALUE"""),20018.0)</f>
        <v>20018</v>
      </c>
      <c r="B639" s="164">
        <f>IFERROR(__xludf.DUMMYFUNCTION("""COMPUTED_VALUE"""),5286947.0)</f>
        <v>5286947</v>
      </c>
      <c r="C639" s="164" t="str">
        <f>IFERROR(__xludf.DUMMYFUNCTION("""COMPUTED_VALUE"""),"5286947S")</f>
        <v>5286947S</v>
      </c>
      <c r="D639" s="164" t="str">
        <f>IFERROR(__xludf.DUMMYFUNCTION("""COMPUTED_VALUE"""),"красный/белый")</f>
        <v>красный/белый</v>
      </c>
      <c r="E639" s="164" t="str">
        <f>IFERROR(__xludf.DUMMYFUNCTION("""COMPUTED_VALUE"""),"S")</f>
        <v>S</v>
      </c>
      <c r="F639" s="133" t="str">
        <f>IFERROR(__xludf.DUMMYFUNCTION("""COMPUTED_VALUE"""),"20018S")</f>
        <v>20018S</v>
      </c>
      <c r="G639" s="165">
        <f>IFERROR(__xludf.DUMMYFUNCTION("""COMPUTED_VALUE"""),1236.0)</f>
        <v>1236</v>
      </c>
    </row>
    <row r="640" ht="15.75" customHeight="1">
      <c r="A640" s="133">
        <f>IFERROR(__xludf.DUMMYFUNCTION("""COMPUTED_VALUE"""),20018.0)</f>
        <v>20018</v>
      </c>
      <c r="B640" s="164">
        <f>IFERROR(__xludf.DUMMYFUNCTION("""COMPUTED_VALUE"""),5286947.0)</f>
        <v>5286947</v>
      </c>
      <c r="C640" s="164" t="str">
        <f>IFERROR(__xludf.DUMMYFUNCTION("""COMPUTED_VALUE"""),"5286947M")</f>
        <v>5286947M</v>
      </c>
      <c r="D640" s="164" t="str">
        <f>IFERROR(__xludf.DUMMYFUNCTION("""COMPUTED_VALUE"""),"красный/белый")</f>
        <v>красный/белый</v>
      </c>
      <c r="E640" s="164" t="str">
        <f>IFERROR(__xludf.DUMMYFUNCTION("""COMPUTED_VALUE"""),"M")</f>
        <v>M</v>
      </c>
      <c r="F640" s="133" t="str">
        <f>IFERROR(__xludf.DUMMYFUNCTION("""COMPUTED_VALUE"""),"20018M")</f>
        <v>20018M</v>
      </c>
      <c r="G640" s="165">
        <f>IFERROR(__xludf.DUMMYFUNCTION("""COMPUTED_VALUE"""),1236.0)</f>
        <v>1236</v>
      </c>
    </row>
    <row r="641" ht="15.75" customHeight="1">
      <c r="A641" s="133">
        <f>IFERROR(__xludf.DUMMYFUNCTION("""COMPUTED_VALUE"""),20018.0)</f>
        <v>20018</v>
      </c>
      <c r="B641" s="164">
        <f>IFERROR(__xludf.DUMMYFUNCTION("""COMPUTED_VALUE"""),5286947.0)</f>
        <v>5286947</v>
      </c>
      <c r="C641" s="164" t="str">
        <f>IFERROR(__xludf.DUMMYFUNCTION("""COMPUTED_VALUE"""),"5286947L")</f>
        <v>5286947L</v>
      </c>
      <c r="D641" s="164" t="str">
        <f>IFERROR(__xludf.DUMMYFUNCTION("""COMPUTED_VALUE"""),"красный/белый")</f>
        <v>красный/белый</v>
      </c>
      <c r="E641" s="164" t="str">
        <f>IFERROR(__xludf.DUMMYFUNCTION("""COMPUTED_VALUE"""),"L")</f>
        <v>L</v>
      </c>
      <c r="F641" s="133" t="str">
        <f>IFERROR(__xludf.DUMMYFUNCTION("""COMPUTED_VALUE"""),"20018L")</f>
        <v>20018L</v>
      </c>
      <c r="G641" s="165">
        <f>IFERROR(__xludf.DUMMYFUNCTION("""COMPUTED_VALUE"""),1236.0)</f>
        <v>1236</v>
      </c>
    </row>
    <row r="642" ht="15.75" customHeight="1">
      <c r="A642" s="133">
        <f>IFERROR(__xludf.DUMMYFUNCTION("""COMPUTED_VALUE"""),20018.0)</f>
        <v>20018</v>
      </c>
      <c r="B642" s="164">
        <f>IFERROR(__xludf.DUMMYFUNCTION("""COMPUTED_VALUE"""),5286947.0)</f>
        <v>5286947</v>
      </c>
      <c r="C642" s="164" t="str">
        <f>IFERROR(__xludf.DUMMYFUNCTION("""COMPUTED_VALUE"""),"5286947XL")</f>
        <v>5286947XL</v>
      </c>
      <c r="D642" s="164" t="str">
        <f>IFERROR(__xludf.DUMMYFUNCTION("""COMPUTED_VALUE"""),"красный/белый")</f>
        <v>красный/белый</v>
      </c>
      <c r="E642" s="164" t="str">
        <f>IFERROR(__xludf.DUMMYFUNCTION("""COMPUTED_VALUE"""),"XL")</f>
        <v>XL</v>
      </c>
      <c r="F642" s="133" t="str">
        <f>IFERROR(__xludf.DUMMYFUNCTION("""COMPUTED_VALUE"""),"20018XL")</f>
        <v>20018XL</v>
      </c>
      <c r="G642" s="165">
        <f>IFERROR(__xludf.DUMMYFUNCTION("""COMPUTED_VALUE"""),1236.0)</f>
        <v>1236</v>
      </c>
    </row>
    <row r="643" ht="15.75" customHeight="1">
      <c r="A643" s="133">
        <f>IFERROR(__xludf.DUMMYFUNCTION("""COMPUTED_VALUE"""),20018.0)</f>
        <v>20018</v>
      </c>
      <c r="B643" s="164">
        <f>IFERROR(__xludf.DUMMYFUNCTION("""COMPUTED_VALUE"""),5286947.0)</f>
        <v>5286947</v>
      </c>
      <c r="C643" s="164" t="str">
        <f>IFERROR(__xludf.DUMMYFUNCTION("""COMPUTED_VALUE"""),"5286947XXL")</f>
        <v>5286947XXL</v>
      </c>
      <c r="D643" s="164" t="str">
        <f>IFERROR(__xludf.DUMMYFUNCTION("""COMPUTED_VALUE"""),"красный/белый")</f>
        <v>красный/белый</v>
      </c>
      <c r="E643" s="164" t="str">
        <f>IFERROR(__xludf.DUMMYFUNCTION("""COMPUTED_VALUE"""),"XXL")</f>
        <v>XXL</v>
      </c>
      <c r="F643" s="133" t="str">
        <f>IFERROR(__xludf.DUMMYFUNCTION("""COMPUTED_VALUE"""),"20018XXL")</f>
        <v>20018XXL</v>
      </c>
      <c r="G643" s="165">
        <f>IFERROR(__xludf.DUMMYFUNCTION("""COMPUTED_VALUE"""),1236.0)</f>
        <v>1236</v>
      </c>
    </row>
    <row r="644" ht="15.75" customHeight="1">
      <c r="A644" s="133">
        <f>IFERROR(__xludf.DUMMYFUNCTION("""COMPUTED_VALUE"""),20018.0)</f>
        <v>20018</v>
      </c>
      <c r="B644" s="164">
        <f>IFERROR(__xludf.DUMMYFUNCTION("""COMPUTED_VALUE"""),5286947.0)</f>
        <v>5286947</v>
      </c>
      <c r="C644" s="164" t="str">
        <f>IFERROR(__xludf.DUMMYFUNCTION("""COMPUTED_VALUE"""),"5286947XXXL")</f>
        <v>5286947XXXL</v>
      </c>
      <c r="D644" s="164" t="str">
        <f>IFERROR(__xludf.DUMMYFUNCTION("""COMPUTED_VALUE"""),"красный/белый")</f>
        <v>красный/белый</v>
      </c>
      <c r="E644" s="164" t="str">
        <f>IFERROR(__xludf.DUMMYFUNCTION("""COMPUTED_VALUE"""),"XXXL")</f>
        <v>XXXL</v>
      </c>
      <c r="F644" s="133" t="str">
        <f>IFERROR(__xludf.DUMMYFUNCTION("""COMPUTED_VALUE"""),"20018XXXL")</f>
        <v>20018XXXL</v>
      </c>
      <c r="G644" s="165">
        <f>IFERROR(__xludf.DUMMYFUNCTION("""COMPUTED_VALUE"""),1236.0)</f>
        <v>1236</v>
      </c>
    </row>
    <row r="645" ht="15.75" customHeight="1">
      <c r="A645" s="133">
        <f>IFERROR(__xludf.DUMMYFUNCTION("""COMPUTED_VALUE"""),20020.0)</f>
        <v>20020</v>
      </c>
      <c r="B645" s="164">
        <f>IFERROR(__xludf.DUMMYFUNCTION("""COMPUTED_VALUE"""),5286949.0)</f>
        <v>5286949</v>
      </c>
      <c r="C645" s="164" t="str">
        <f>IFERROR(__xludf.DUMMYFUNCTION("""COMPUTED_VALUE"""),"5286949S")</f>
        <v>5286949S</v>
      </c>
      <c r="D645" s="164" t="str">
        <f>IFERROR(__xludf.DUMMYFUNCTION("""COMPUTED_VALUE"""),"белый")</f>
        <v>белый</v>
      </c>
      <c r="E645" s="164" t="str">
        <f>IFERROR(__xludf.DUMMYFUNCTION("""COMPUTED_VALUE"""),"S")</f>
        <v>S</v>
      </c>
      <c r="F645" s="133" t="str">
        <f>IFERROR(__xludf.DUMMYFUNCTION("""COMPUTED_VALUE"""),"20020S")</f>
        <v>20020S</v>
      </c>
      <c r="G645" s="165">
        <f>IFERROR(__xludf.DUMMYFUNCTION("""COMPUTED_VALUE"""),1236.0)</f>
        <v>1236</v>
      </c>
    </row>
    <row r="646" ht="15.75" customHeight="1">
      <c r="A646" s="133">
        <f>IFERROR(__xludf.DUMMYFUNCTION("""COMPUTED_VALUE"""),20020.0)</f>
        <v>20020</v>
      </c>
      <c r="B646" s="164">
        <f>IFERROR(__xludf.DUMMYFUNCTION("""COMPUTED_VALUE"""),5286949.0)</f>
        <v>5286949</v>
      </c>
      <c r="C646" s="164" t="str">
        <f>IFERROR(__xludf.DUMMYFUNCTION("""COMPUTED_VALUE"""),"5286949M")</f>
        <v>5286949M</v>
      </c>
      <c r="D646" s="164" t="str">
        <f>IFERROR(__xludf.DUMMYFUNCTION("""COMPUTED_VALUE"""),"белый")</f>
        <v>белый</v>
      </c>
      <c r="E646" s="164" t="str">
        <f>IFERROR(__xludf.DUMMYFUNCTION("""COMPUTED_VALUE"""),"M")</f>
        <v>M</v>
      </c>
      <c r="F646" s="133" t="str">
        <f>IFERROR(__xludf.DUMMYFUNCTION("""COMPUTED_VALUE"""),"20020M")</f>
        <v>20020M</v>
      </c>
      <c r="G646" s="165">
        <f>IFERROR(__xludf.DUMMYFUNCTION("""COMPUTED_VALUE"""),1236.0)</f>
        <v>1236</v>
      </c>
    </row>
    <row r="647" ht="15.75" customHeight="1">
      <c r="A647" s="133">
        <f>IFERROR(__xludf.DUMMYFUNCTION("""COMPUTED_VALUE"""),20020.0)</f>
        <v>20020</v>
      </c>
      <c r="B647" s="164">
        <f>IFERROR(__xludf.DUMMYFUNCTION("""COMPUTED_VALUE"""),5286949.0)</f>
        <v>5286949</v>
      </c>
      <c r="C647" s="164" t="str">
        <f>IFERROR(__xludf.DUMMYFUNCTION("""COMPUTED_VALUE"""),"5286949L")</f>
        <v>5286949L</v>
      </c>
      <c r="D647" s="164" t="str">
        <f>IFERROR(__xludf.DUMMYFUNCTION("""COMPUTED_VALUE"""),"белый")</f>
        <v>белый</v>
      </c>
      <c r="E647" s="164" t="str">
        <f>IFERROR(__xludf.DUMMYFUNCTION("""COMPUTED_VALUE"""),"L")</f>
        <v>L</v>
      </c>
      <c r="F647" s="133" t="str">
        <f>IFERROR(__xludf.DUMMYFUNCTION("""COMPUTED_VALUE"""),"20020L")</f>
        <v>20020L</v>
      </c>
      <c r="G647" s="165">
        <f>IFERROR(__xludf.DUMMYFUNCTION("""COMPUTED_VALUE"""),1236.0)</f>
        <v>1236</v>
      </c>
    </row>
    <row r="648" ht="15.75" customHeight="1">
      <c r="A648" s="133">
        <f>IFERROR(__xludf.DUMMYFUNCTION("""COMPUTED_VALUE"""),20020.0)</f>
        <v>20020</v>
      </c>
      <c r="B648" s="164">
        <f>IFERROR(__xludf.DUMMYFUNCTION("""COMPUTED_VALUE"""),5286949.0)</f>
        <v>5286949</v>
      </c>
      <c r="C648" s="164" t="str">
        <f>IFERROR(__xludf.DUMMYFUNCTION("""COMPUTED_VALUE"""),"5286949XL")</f>
        <v>5286949XL</v>
      </c>
      <c r="D648" s="164" t="str">
        <f>IFERROR(__xludf.DUMMYFUNCTION("""COMPUTED_VALUE"""),"белый")</f>
        <v>белый</v>
      </c>
      <c r="E648" s="164" t="str">
        <f>IFERROR(__xludf.DUMMYFUNCTION("""COMPUTED_VALUE"""),"XL")</f>
        <v>XL</v>
      </c>
      <c r="F648" s="133" t="str">
        <f>IFERROR(__xludf.DUMMYFUNCTION("""COMPUTED_VALUE"""),"20020XL")</f>
        <v>20020XL</v>
      </c>
      <c r="G648" s="165">
        <f>IFERROR(__xludf.DUMMYFUNCTION("""COMPUTED_VALUE"""),1236.0)</f>
        <v>1236</v>
      </c>
    </row>
    <row r="649" ht="15.75" customHeight="1">
      <c r="A649" s="133">
        <f>IFERROR(__xludf.DUMMYFUNCTION("""COMPUTED_VALUE"""),20020.0)</f>
        <v>20020</v>
      </c>
      <c r="B649" s="164">
        <f>IFERROR(__xludf.DUMMYFUNCTION("""COMPUTED_VALUE"""),5286949.0)</f>
        <v>5286949</v>
      </c>
      <c r="C649" s="164" t="str">
        <f>IFERROR(__xludf.DUMMYFUNCTION("""COMPUTED_VALUE"""),"5286949XXL")</f>
        <v>5286949XXL</v>
      </c>
      <c r="D649" s="164" t="str">
        <f>IFERROR(__xludf.DUMMYFUNCTION("""COMPUTED_VALUE"""),"белый")</f>
        <v>белый</v>
      </c>
      <c r="E649" s="164" t="str">
        <f>IFERROR(__xludf.DUMMYFUNCTION("""COMPUTED_VALUE"""),"XXL")</f>
        <v>XXL</v>
      </c>
      <c r="F649" s="133" t="str">
        <f>IFERROR(__xludf.DUMMYFUNCTION("""COMPUTED_VALUE"""),"20020XXL")</f>
        <v>20020XXL</v>
      </c>
      <c r="G649" s="165">
        <f>IFERROR(__xludf.DUMMYFUNCTION("""COMPUTED_VALUE"""),1236.0)</f>
        <v>1236</v>
      </c>
    </row>
    <row r="650" ht="15.75" customHeight="1">
      <c r="A650" s="133">
        <f>IFERROR(__xludf.DUMMYFUNCTION("""COMPUTED_VALUE"""),20020.0)</f>
        <v>20020</v>
      </c>
      <c r="B650" s="164">
        <f>IFERROR(__xludf.DUMMYFUNCTION("""COMPUTED_VALUE"""),5286949.0)</f>
        <v>5286949</v>
      </c>
      <c r="C650" s="164" t="str">
        <f>IFERROR(__xludf.DUMMYFUNCTION("""COMPUTED_VALUE"""),"5286949XXXL")</f>
        <v>5286949XXXL</v>
      </c>
      <c r="D650" s="164" t="str">
        <f>IFERROR(__xludf.DUMMYFUNCTION("""COMPUTED_VALUE"""),"белый")</f>
        <v>белый</v>
      </c>
      <c r="E650" s="164" t="str">
        <f>IFERROR(__xludf.DUMMYFUNCTION("""COMPUTED_VALUE"""),"XXXL")</f>
        <v>XXXL</v>
      </c>
      <c r="F650" s="133" t="str">
        <f>IFERROR(__xludf.DUMMYFUNCTION("""COMPUTED_VALUE"""),"20020XXXL")</f>
        <v>20020XXXL</v>
      </c>
      <c r="G650" s="165">
        <f>IFERROR(__xludf.DUMMYFUNCTION("""COMPUTED_VALUE"""),1236.0)</f>
        <v>1236</v>
      </c>
    </row>
    <row r="651" ht="15.75" customHeight="1">
      <c r="A651" s="133">
        <f>IFERROR(__xludf.DUMMYFUNCTION("""COMPUTED_VALUE"""),20022.0)</f>
        <v>20022</v>
      </c>
      <c r="B651" s="164">
        <f>IFERROR(__xludf.DUMMYFUNCTION("""COMPUTED_VALUE"""),5286951.0)</f>
        <v>5286951</v>
      </c>
      <c r="C651" s="164" t="str">
        <f>IFERROR(__xludf.DUMMYFUNCTION("""COMPUTED_VALUE"""),"5286951S")</f>
        <v>5286951S</v>
      </c>
      <c r="D651" s="164" t="str">
        <f>IFERROR(__xludf.DUMMYFUNCTION("""COMPUTED_VALUE"""),"бордовый")</f>
        <v>бордовый</v>
      </c>
      <c r="E651" s="164" t="str">
        <f>IFERROR(__xludf.DUMMYFUNCTION("""COMPUTED_VALUE"""),"S")</f>
        <v>S</v>
      </c>
      <c r="F651" s="133" t="str">
        <f>IFERROR(__xludf.DUMMYFUNCTION("""COMPUTED_VALUE"""),"20022S")</f>
        <v>20022S</v>
      </c>
      <c r="G651" s="165">
        <f>IFERROR(__xludf.DUMMYFUNCTION("""COMPUTED_VALUE"""),1236.0)</f>
        <v>1236</v>
      </c>
    </row>
    <row r="652" ht="15.75" customHeight="1">
      <c r="A652" s="133">
        <f>IFERROR(__xludf.DUMMYFUNCTION("""COMPUTED_VALUE"""),20022.0)</f>
        <v>20022</v>
      </c>
      <c r="B652" s="164">
        <f>IFERROR(__xludf.DUMMYFUNCTION("""COMPUTED_VALUE"""),5286951.0)</f>
        <v>5286951</v>
      </c>
      <c r="C652" s="164" t="str">
        <f>IFERROR(__xludf.DUMMYFUNCTION("""COMPUTED_VALUE"""),"5286951M")</f>
        <v>5286951M</v>
      </c>
      <c r="D652" s="164" t="str">
        <f>IFERROR(__xludf.DUMMYFUNCTION("""COMPUTED_VALUE"""),"бордовый")</f>
        <v>бордовый</v>
      </c>
      <c r="E652" s="164" t="str">
        <f>IFERROR(__xludf.DUMMYFUNCTION("""COMPUTED_VALUE"""),"M")</f>
        <v>M</v>
      </c>
      <c r="F652" s="133" t="str">
        <f>IFERROR(__xludf.DUMMYFUNCTION("""COMPUTED_VALUE"""),"20022M")</f>
        <v>20022M</v>
      </c>
      <c r="G652" s="165">
        <f>IFERROR(__xludf.DUMMYFUNCTION("""COMPUTED_VALUE"""),1236.0)</f>
        <v>1236</v>
      </c>
    </row>
    <row r="653" ht="15.75" customHeight="1">
      <c r="A653" s="133">
        <f>IFERROR(__xludf.DUMMYFUNCTION("""COMPUTED_VALUE"""),20022.0)</f>
        <v>20022</v>
      </c>
      <c r="B653" s="164">
        <f>IFERROR(__xludf.DUMMYFUNCTION("""COMPUTED_VALUE"""),5286951.0)</f>
        <v>5286951</v>
      </c>
      <c r="C653" s="164" t="str">
        <f>IFERROR(__xludf.DUMMYFUNCTION("""COMPUTED_VALUE"""),"5286951L")</f>
        <v>5286951L</v>
      </c>
      <c r="D653" s="164" t="str">
        <f>IFERROR(__xludf.DUMMYFUNCTION("""COMPUTED_VALUE"""),"бордовый")</f>
        <v>бордовый</v>
      </c>
      <c r="E653" s="164" t="str">
        <f>IFERROR(__xludf.DUMMYFUNCTION("""COMPUTED_VALUE"""),"L")</f>
        <v>L</v>
      </c>
      <c r="F653" s="133" t="str">
        <f>IFERROR(__xludf.DUMMYFUNCTION("""COMPUTED_VALUE"""),"20022L")</f>
        <v>20022L</v>
      </c>
      <c r="G653" s="165">
        <f>IFERROR(__xludf.DUMMYFUNCTION("""COMPUTED_VALUE"""),1236.0)</f>
        <v>1236</v>
      </c>
    </row>
    <row r="654" ht="15.75" customHeight="1">
      <c r="A654" s="133">
        <f>IFERROR(__xludf.DUMMYFUNCTION("""COMPUTED_VALUE"""),20022.0)</f>
        <v>20022</v>
      </c>
      <c r="B654" s="164">
        <f>IFERROR(__xludf.DUMMYFUNCTION("""COMPUTED_VALUE"""),5286951.0)</f>
        <v>5286951</v>
      </c>
      <c r="C654" s="164" t="str">
        <f>IFERROR(__xludf.DUMMYFUNCTION("""COMPUTED_VALUE"""),"5286951XL")</f>
        <v>5286951XL</v>
      </c>
      <c r="D654" s="164" t="str">
        <f>IFERROR(__xludf.DUMMYFUNCTION("""COMPUTED_VALUE"""),"бордовый")</f>
        <v>бордовый</v>
      </c>
      <c r="E654" s="164" t="str">
        <f>IFERROR(__xludf.DUMMYFUNCTION("""COMPUTED_VALUE"""),"XL")</f>
        <v>XL</v>
      </c>
      <c r="F654" s="133" t="str">
        <f>IFERROR(__xludf.DUMMYFUNCTION("""COMPUTED_VALUE"""),"20022XL")</f>
        <v>20022XL</v>
      </c>
      <c r="G654" s="165">
        <f>IFERROR(__xludf.DUMMYFUNCTION("""COMPUTED_VALUE"""),1236.0)</f>
        <v>1236</v>
      </c>
    </row>
    <row r="655" ht="15.75" customHeight="1">
      <c r="A655" s="133">
        <f>IFERROR(__xludf.DUMMYFUNCTION("""COMPUTED_VALUE"""),20022.0)</f>
        <v>20022</v>
      </c>
      <c r="B655" s="164">
        <f>IFERROR(__xludf.DUMMYFUNCTION("""COMPUTED_VALUE"""),5286951.0)</f>
        <v>5286951</v>
      </c>
      <c r="C655" s="164" t="str">
        <f>IFERROR(__xludf.DUMMYFUNCTION("""COMPUTED_VALUE"""),"5286951XXL")</f>
        <v>5286951XXL</v>
      </c>
      <c r="D655" s="164" t="str">
        <f>IFERROR(__xludf.DUMMYFUNCTION("""COMPUTED_VALUE"""),"бордовый")</f>
        <v>бордовый</v>
      </c>
      <c r="E655" s="164" t="str">
        <f>IFERROR(__xludf.DUMMYFUNCTION("""COMPUTED_VALUE"""),"XXL")</f>
        <v>XXL</v>
      </c>
      <c r="F655" s="133" t="str">
        <f>IFERROR(__xludf.DUMMYFUNCTION("""COMPUTED_VALUE"""),"20022XXL")</f>
        <v>20022XXL</v>
      </c>
      <c r="G655" s="165">
        <f>IFERROR(__xludf.DUMMYFUNCTION("""COMPUTED_VALUE"""),1236.0)</f>
        <v>1236</v>
      </c>
    </row>
    <row r="656" ht="15.75" customHeight="1">
      <c r="A656" s="133">
        <f>IFERROR(__xludf.DUMMYFUNCTION("""COMPUTED_VALUE"""),20022.0)</f>
        <v>20022</v>
      </c>
      <c r="B656" s="164">
        <f>IFERROR(__xludf.DUMMYFUNCTION("""COMPUTED_VALUE"""),5286951.0)</f>
        <v>5286951</v>
      </c>
      <c r="C656" s="164" t="str">
        <f>IFERROR(__xludf.DUMMYFUNCTION("""COMPUTED_VALUE"""),"5286951XXXL")</f>
        <v>5286951XXXL</v>
      </c>
      <c r="D656" s="164" t="str">
        <f>IFERROR(__xludf.DUMMYFUNCTION("""COMPUTED_VALUE"""),"бордовый")</f>
        <v>бордовый</v>
      </c>
      <c r="E656" s="164" t="str">
        <f>IFERROR(__xludf.DUMMYFUNCTION("""COMPUTED_VALUE"""),"XXXL")</f>
        <v>XXXL</v>
      </c>
      <c r="F656" s="133" t="str">
        <f>IFERROR(__xludf.DUMMYFUNCTION("""COMPUTED_VALUE"""),"20022XXXL")</f>
        <v>20022XXXL</v>
      </c>
      <c r="G656" s="165">
        <f>IFERROR(__xludf.DUMMYFUNCTION("""COMPUTED_VALUE"""),1236.0)</f>
        <v>1236</v>
      </c>
    </row>
    <row r="657" ht="15.75" customHeight="1">
      <c r="A657" s="133">
        <f>IFERROR(__xludf.DUMMYFUNCTION("""COMPUTED_VALUE"""),20027.0)</f>
        <v>20027</v>
      </c>
      <c r="B657" s="164">
        <f>IFERROR(__xludf.DUMMYFUNCTION("""COMPUTED_VALUE"""),6313126.0)</f>
        <v>6313126</v>
      </c>
      <c r="C657" s="164" t="str">
        <f>IFERROR(__xludf.DUMMYFUNCTION("""COMPUTED_VALUE"""),"6313126S")</f>
        <v>6313126S</v>
      </c>
      <c r="D657" s="164" t="str">
        <f>IFERROR(__xludf.DUMMYFUNCTION("""COMPUTED_VALUE"""),"красный/белый")</f>
        <v>красный/белый</v>
      </c>
      <c r="E657" s="164" t="str">
        <f>IFERROR(__xludf.DUMMYFUNCTION("""COMPUTED_VALUE"""),"S")</f>
        <v>S</v>
      </c>
      <c r="F657" s="133" t="str">
        <f>IFERROR(__xludf.DUMMYFUNCTION("""COMPUTED_VALUE"""),"20027S")</f>
        <v>20027S</v>
      </c>
      <c r="G657" s="165">
        <f>IFERROR(__xludf.DUMMYFUNCTION("""COMPUTED_VALUE"""),1236.0)</f>
        <v>1236</v>
      </c>
    </row>
    <row r="658" ht="15.75" customHeight="1">
      <c r="A658" s="133">
        <f>IFERROR(__xludf.DUMMYFUNCTION("""COMPUTED_VALUE"""),20027.0)</f>
        <v>20027</v>
      </c>
      <c r="B658" s="164">
        <f>IFERROR(__xludf.DUMMYFUNCTION("""COMPUTED_VALUE"""),6313126.0)</f>
        <v>6313126</v>
      </c>
      <c r="C658" s="164" t="str">
        <f>IFERROR(__xludf.DUMMYFUNCTION("""COMPUTED_VALUE"""),"6313126M")</f>
        <v>6313126M</v>
      </c>
      <c r="D658" s="164" t="str">
        <f>IFERROR(__xludf.DUMMYFUNCTION("""COMPUTED_VALUE"""),"красный/белый")</f>
        <v>красный/белый</v>
      </c>
      <c r="E658" s="164" t="str">
        <f>IFERROR(__xludf.DUMMYFUNCTION("""COMPUTED_VALUE"""),"M")</f>
        <v>M</v>
      </c>
      <c r="F658" s="133" t="str">
        <f>IFERROR(__xludf.DUMMYFUNCTION("""COMPUTED_VALUE"""),"20027M")</f>
        <v>20027M</v>
      </c>
      <c r="G658" s="165">
        <f>IFERROR(__xludf.DUMMYFUNCTION("""COMPUTED_VALUE"""),1236.0)</f>
        <v>1236</v>
      </c>
    </row>
    <row r="659" ht="15.75" customHeight="1">
      <c r="A659" s="133">
        <f>IFERROR(__xludf.DUMMYFUNCTION("""COMPUTED_VALUE"""),20027.0)</f>
        <v>20027</v>
      </c>
      <c r="B659" s="164">
        <f>IFERROR(__xludf.DUMMYFUNCTION("""COMPUTED_VALUE"""),6313126.0)</f>
        <v>6313126</v>
      </c>
      <c r="C659" s="164" t="str">
        <f>IFERROR(__xludf.DUMMYFUNCTION("""COMPUTED_VALUE"""),"6313126L")</f>
        <v>6313126L</v>
      </c>
      <c r="D659" s="164" t="str">
        <f>IFERROR(__xludf.DUMMYFUNCTION("""COMPUTED_VALUE"""),"красный/белый")</f>
        <v>красный/белый</v>
      </c>
      <c r="E659" s="164" t="str">
        <f>IFERROR(__xludf.DUMMYFUNCTION("""COMPUTED_VALUE"""),"L")</f>
        <v>L</v>
      </c>
      <c r="F659" s="133" t="str">
        <f>IFERROR(__xludf.DUMMYFUNCTION("""COMPUTED_VALUE"""),"20027L")</f>
        <v>20027L</v>
      </c>
      <c r="G659" s="165">
        <f>IFERROR(__xludf.DUMMYFUNCTION("""COMPUTED_VALUE"""),1236.0)</f>
        <v>1236</v>
      </c>
    </row>
    <row r="660" ht="15.75" customHeight="1">
      <c r="A660" s="133">
        <f>IFERROR(__xludf.DUMMYFUNCTION("""COMPUTED_VALUE"""),20027.0)</f>
        <v>20027</v>
      </c>
      <c r="B660" s="164">
        <f>IFERROR(__xludf.DUMMYFUNCTION("""COMPUTED_VALUE"""),6313126.0)</f>
        <v>6313126</v>
      </c>
      <c r="C660" s="164" t="str">
        <f>IFERROR(__xludf.DUMMYFUNCTION("""COMPUTED_VALUE"""),"6313126XL")</f>
        <v>6313126XL</v>
      </c>
      <c r="D660" s="164" t="str">
        <f>IFERROR(__xludf.DUMMYFUNCTION("""COMPUTED_VALUE"""),"красный/белый")</f>
        <v>красный/белый</v>
      </c>
      <c r="E660" s="164" t="str">
        <f>IFERROR(__xludf.DUMMYFUNCTION("""COMPUTED_VALUE"""),"XL")</f>
        <v>XL</v>
      </c>
      <c r="F660" s="133" t="str">
        <f>IFERROR(__xludf.DUMMYFUNCTION("""COMPUTED_VALUE"""),"20027XL")</f>
        <v>20027XL</v>
      </c>
      <c r="G660" s="165">
        <f>IFERROR(__xludf.DUMMYFUNCTION("""COMPUTED_VALUE"""),1236.0)</f>
        <v>1236</v>
      </c>
    </row>
    <row r="661" ht="15.75" customHeight="1">
      <c r="A661" s="133">
        <f>IFERROR(__xludf.DUMMYFUNCTION("""COMPUTED_VALUE"""),20027.0)</f>
        <v>20027</v>
      </c>
      <c r="B661" s="164">
        <f>IFERROR(__xludf.DUMMYFUNCTION("""COMPUTED_VALUE"""),6313126.0)</f>
        <v>6313126</v>
      </c>
      <c r="C661" s="164" t="str">
        <f>IFERROR(__xludf.DUMMYFUNCTION("""COMPUTED_VALUE"""),"6313126XXL")</f>
        <v>6313126XXL</v>
      </c>
      <c r="D661" s="164" t="str">
        <f>IFERROR(__xludf.DUMMYFUNCTION("""COMPUTED_VALUE"""),"красный/белый")</f>
        <v>красный/белый</v>
      </c>
      <c r="E661" s="164" t="str">
        <f>IFERROR(__xludf.DUMMYFUNCTION("""COMPUTED_VALUE"""),"XXL")</f>
        <v>XXL</v>
      </c>
      <c r="F661" s="133" t="str">
        <f>IFERROR(__xludf.DUMMYFUNCTION("""COMPUTED_VALUE"""),"20027XXL")</f>
        <v>20027XXL</v>
      </c>
      <c r="G661" s="165">
        <f>IFERROR(__xludf.DUMMYFUNCTION("""COMPUTED_VALUE"""),1236.0)</f>
        <v>1236</v>
      </c>
    </row>
    <row r="662" ht="15.75" customHeight="1">
      <c r="A662" s="133">
        <f>IFERROR(__xludf.DUMMYFUNCTION("""COMPUTED_VALUE"""),20027.0)</f>
        <v>20027</v>
      </c>
      <c r="B662" s="164">
        <f>IFERROR(__xludf.DUMMYFUNCTION("""COMPUTED_VALUE"""),6313126.0)</f>
        <v>6313126</v>
      </c>
      <c r="C662" s="164" t="str">
        <f>IFERROR(__xludf.DUMMYFUNCTION("""COMPUTED_VALUE"""),"6313126XXXL")</f>
        <v>6313126XXXL</v>
      </c>
      <c r="D662" s="164" t="str">
        <f>IFERROR(__xludf.DUMMYFUNCTION("""COMPUTED_VALUE"""),"красный/белый")</f>
        <v>красный/белый</v>
      </c>
      <c r="E662" s="164" t="str">
        <f>IFERROR(__xludf.DUMMYFUNCTION("""COMPUTED_VALUE"""),"XXXL")</f>
        <v>XXXL</v>
      </c>
      <c r="F662" s="133" t="str">
        <f>IFERROR(__xludf.DUMMYFUNCTION("""COMPUTED_VALUE"""),"20027XXXL")</f>
        <v>20027XXXL</v>
      </c>
      <c r="G662" s="165">
        <f>IFERROR(__xludf.DUMMYFUNCTION("""COMPUTED_VALUE"""),1236.0)</f>
        <v>1236</v>
      </c>
    </row>
    <row r="663" ht="15.75" customHeight="1">
      <c r="A663" s="133">
        <f>IFERROR(__xludf.DUMMYFUNCTION("""COMPUTED_VALUE"""),20029.0)</f>
        <v>20029</v>
      </c>
      <c r="B663" s="164">
        <f>IFERROR(__xludf.DUMMYFUNCTION("""COMPUTED_VALUE"""),6313128.0)</f>
        <v>6313128</v>
      </c>
      <c r="C663" s="164" t="str">
        <f>IFERROR(__xludf.DUMMYFUNCTION("""COMPUTED_VALUE"""),"6313128S")</f>
        <v>6313128S</v>
      </c>
      <c r="D663" s="164" t="str">
        <f>IFERROR(__xludf.DUMMYFUNCTION("""COMPUTED_VALUE"""),"Васильковый с синим")</f>
        <v>Васильковый с синим</v>
      </c>
      <c r="E663" s="164" t="str">
        <f>IFERROR(__xludf.DUMMYFUNCTION("""COMPUTED_VALUE"""),"S")</f>
        <v>S</v>
      </c>
      <c r="F663" s="133" t="str">
        <f>IFERROR(__xludf.DUMMYFUNCTION("""COMPUTED_VALUE"""),"20029S")</f>
        <v>20029S</v>
      </c>
      <c r="G663" s="165">
        <f>IFERROR(__xludf.DUMMYFUNCTION("""COMPUTED_VALUE"""),1236.0)</f>
        <v>1236</v>
      </c>
    </row>
    <row r="664" ht="15.75" customHeight="1">
      <c r="A664" s="133">
        <f>IFERROR(__xludf.DUMMYFUNCTION("""COMPUTED_VALUE"""),20029.0)</f>
        <v>20029</v>
      </c>
      <c r="B664" s="164">
        <f>IFERROR(__xludf.DUMMYFUNCTION("""COMPUTED_VALUE"""),6313128.0)</f>
        <v>6313128</v>
      </c>
      <c r="C664" s="164" t="str">
        <f>IFERROR(__xludf.DUMMYFUNCTION("""COMPUTED_VALUE"""),"6313128M")</f>
        <v>6313128M</v>
      </c>
      <c r="D664" s="164" t="str">
        <f>IFERROR(__xludf.DUMMYFUNCTION("""COMPUTED_VALUE"""),"Васильковый с синим")</f>
        <v>Васильковый с синим</v>
      </c>
      <c r="E664" s="164" t="str">
        <f>IFERROR(__xludf.DUMMYFUNCTION("""COMPUTED_VALUE"""),"M")</f>
        <v>M</v>
      </c>
      <c r="F664" s="133" t="str">
        <f>IFERROR(__xludf.DUMMYFUNCTION("""COMPUTED_VALUE"""),"20029M")</f>
        <v>20029M</v>
      </c>
      <c r="G664" s="165">
        <f>IFERROR(__xludf.DUMMYFUNCTION("""COMPUTED_VALUE"""),1236.0)</f>
        <v>1236</v>
      </c>
    </row>
    <row r="665" ht="15.75" customHeight="1">
      <c r="A665" s="133">
        <f>IFERROR(__xludf.DUMMYFUNCTION("""COMPUTED_VALUE"""),20029.0)</f>
        <v>20029</v>
      </c>
      <c r="B665" s="164">
        <f>IFERROR(__xludf.DUMMYFUNCTION("""COMPUTED_VALUE"""),6313128.0)</f>
        <v>6313128</v>
      </c>
      <c r="C665" s="164" t="str">
        <f>IFERROR(__xludf.DUMMYFUNCTION("""COMPUTED_VALUE"""),"6313128L")</f>
        <v>6313128L</v>
      </c>
      <c r="D665" s="164" t="str">
        <f>IFERROR(__xludf.DUMMYFUNCTION("""COMPUTED_VALUE"""),"Васильковый с синим")</f>
        <v>Васильковый с синим</v>
      </c>
      <c r="E665" s="164" t="str">
        <f>IFERROR(__xludf.DUMMYFUNCTION("""COMPUTED_VALUE"""),"L")</f>
        <v>L</v>
      </c>
      <c r="F665" s="133" t="str">
        <f>IFERROR(__xludf.DUMMYFUNCTION("""COMPUTED_VALUE"""),"20029L")</f>
        <v>20029L</v>
      </c>
      <c r="G665" s="165">
        <f>IFERROR(__xludf.DUMMYFUNCTION("""COMPUTED_VALUE"""),1236.0)</f>
        <v>1236</v>
      </c>
    </row>
    <row r="666" ht="15.75" customHeight="1">
      <c r="A666" s="133">
        <f>IFERROR(__xludf.DUMMYFUNCTION("""COMPUTED_VALUE"""),20029.0)</f>
        <v>20029</v>
      </c>
      <c r="B666" s="164">
        <f>IFERROR(__xludf.DUMMYFUNCTION("""COMPUTED_VALUE"""),6313128.0)</f>
        <v>6313128</v>
      </c>
      <c r="C666" s="164" t="str">
        <f>IFERROR(__xludf.DUMMYFUNCTION("""COMPUTED_VALUE"""),"6313128XL")</f>
        <v>6313128XL</v>
      </c>
      <c r="D666" s="164" t="str">
        <f>IFERROR(__xludf.DUMMYFUNCTION("""COMPUTED_VALUE"""),"Васильковый с синим")</f>
        <v>Васильковый с синим</v>
      </c>
      <c r="E666" s="164" t="str">
        <f>IFERROR(__xludf.DUMMYFUNCTION("""COMPUTED_VALUE"""),"XL")</f>
        <v>XL</v>
      </c>
      <c r="F666" s="133" t="str">
        <f>IFERROR(__xludf.DUMMYFUNCTION("""COMPUTED_VALUE"""),"20029XL")</f>
        <v>20029XL</v>
      </c>
      <c r="G666" s="165">
        <f>IFERROR(__xludf.DUMMYFUNCTION("""COMPUTED_VALUE"""),1236.0)</f>
        <v>1236</v>
      </c>
    </row>
    <row r="667" ht="15.75" customHeight="1">
      <c r="A667" s="133">
        <f>IFERROR(__xludf.DUMMYFUNCTION("""COMPUTED_VALUE"""),20029.0)</f>
        <v>20029</v>
      </c>
      <c r="B667" s="164">
        <f>IFERROR(__xludf.DUMMYFUNCTION("""COMPUTED_VALUE"""),6313128.0)</f>
        <v>6313128</v>
      </c>
      <c r="C667" s="164" t="str">
        <f>IFERROR(__xludf.DUMMYFUNCTION("""COMPUTED_VALUE"""),"6313128XXL")</f>
        <v>6313128XXL</v>
      </c>
      <c r="D667" s="164" t="str">
        <f>IFERROR(__xludf.DUMMYFUNCTION("""COMPUTED_VALUE"""),"Васильковый с синим")</f>
        <v>Васильковый с синим</v>
      </c>
      <c r="E667" s="164" t="str">
        <f>IFERROR(__xludf.DUMMYFUNCTION("""COMPUTED_VALUE"""),"XXL")</f>
        <v>XXL</v>
      </c>
      <c r="F667" s="133" t="str">
        <f>IFERROR(__xludf.DUMMYFUNCTION("""COMPUTED_VALUE"""),"20029XXL")</f>
        <v>20029XXL</v>
      </c>
      <c r="G667" s="165">
        <f>IFERROR(__xludf.DUMMYFUNCTION("""COMPUTED_VALUE"""),1236.0)</f>
        <v>1236</v>
      </c>
    </row>
    <row r="668" ht="15.75" customHeight="1">
      <c r="A668" s="133">
        <f>IFERROR(__xludf.DUMMYFUNCTION("""COMPUTED_VALUE"""),20029.0)</f>
        <v>20029</v>
      </c>
      <c r="B668" s="164">
        <f>IFERROR(__xludf.DUMMYFUNCTION("""COMPUTED_VALUE"""),6313128.0)</f>
        <v>6313128</v>
      </c>
      <c r="C668" s="164" t="str">
        <f>IFERROR(__xludf.DUMMYFUNCTION("""COMPUTED_VALUE"""),"6313128XXXL")</f>
        <v>6313128XXXL</v>
      </c>
      <c r="D668" s="164" t="str">
        <f>IFERROR(__xludf.DUMMYFUNCTION("""COMPUTED_VALUE"""),"Васильковый с синим")</f>
        <v>Васильковый с синим</v>
      </c>
      <c r="E668" s="164" t="str">
        <f>IFERROR(__xludf.DUMMYFUNCTION("""COMPUTED_VALUE"""),"XXXL")</f>
        <v>XXXL</v>
      </c>
      <c r="F668" s="133" t="str">
        <f>IFERROR(__xludf.DUMMYFUNCTION("""COMPUTED_VALUE"""),"20029XXXL")</f>
        <v>20029XXXL</v>
      </c>
      <c r="G668" s="165">
        <f>IFERROR(__xludf.DUMMYFUNCTION("""COMPUTED_VALUE"""),1236.0)</f>
        <v>1236</v>
      </c>
    </row>
    <row r="669" ht="15.75" customHeight="1">
      <c r="A669" s="133" t="str">
        <f>IFERROR(__xludf.DUMMYFUNCTION("""COMPUTED_VALUE"""),"10019BLW")</f>
        <v>10019BLW</v>
      </c>
      <c r="B669" s="164">
        <f>IFERROR(__xludf.DUMMYFUNCTION("""COMPUTED_VALUE"""),8955714.0)</f>
        <v>8955714</v>
      </c>
      <c r="C669" s="164" t="str">
        <f>IFERROR(__xludf.DUMMYFUNCTION("""COMPUTED_VALUE"""),"8955714XXS- 42")</f>
        <v>8955714XXS- 42</v>
      </c>
      <c r="D669" s="164" t="str">
        <f>IFERROR(__xludf.DUMMYFUNCTION("""COMPUTED_VALUE"""),"белый/василек")</f>
        <v>белый/василек</v>
      </c>
      <c r="E669" s="164" t="str">
        <f>IFERROR(__xludf.DUMMYFUNCTION("""COMPUTED_VALUE"""),"XXS- 42")</f>
        <v>XXS- 42</v>
      </c>
      <c r="F669" s="133" t="str">
        <f>IFERROR(__xludf.DUMMYFUNCTION("""COMPUTED_VALUE"""),"10019BLWXXS- 42")</f>
        <v>10019BLWXXS- 42</v>
      </c>
      <c r="G669" s="165">
        <f>IFERROR(__xludf.DUMMYFUNCTION("""COMPUTED_VALUE"""),1020.0)</f>
        <v>1020</v>
      </c>
    </row>
    <row r="670" ht="15.75" customHeight="1">
      <c r="A670" s="133" t="str">
        <f>IFERROR(__xludf.DUMMYFUNCTION("""COMPUTED_VALUE"""),"10019BLW")</f>
        <v>10019BLW</v>
      </c>
      <c r="B670" s="164">
        <f>IFERROR(__xludf.DUMMYFUNCTION("""COMPUTED_VALUE"""),8955714.0)</f>
        <v>8955714</v>
      </c>
      <c r="C670" s="164" t="str">
        <f>IFERROR(__xludf.DUMMYFUNCTION("""COMPUTED_VALUE"""),"8955714ХS-44")</f>
        <v>8955714ХS-44</v>
      </c>
      <c r="D670" s="164" t="str">
        <f>IFERROR(__xludf.DUMMYFUNCTION("""COMPUTED_VALUE"""),"белый/василек")</f>
        <v>белый/василек</v>
      </c>
      <c r="E670" s="164" t="str">
        <f>IFERROR(__xludf.DUMMYFUNCTION("""COMPUTED_VALUE"""),"ХS-44")</f>
        <v>ХS-44</v>
      </c>
      <c r="F670" s="133" t="str">
        <f>IFERROR(__xludf.DUMMYFUNCTION("""COMPUTED_VALUE"""),"10019BLWХS-44")</f>
        <v>10019BLWХS-44</v>
      </c>
      <c r="G670" s="165">
        <f>IFERROR(__xludf.DUMMYFUNCTION("""COMPUTED_VALUE"""),1020.0)</f>
        <v>1020</v>
      </c>
    </row>
    <row r="671" ht="15.75" customHeight="1">
      <c r="A671" s="133" t="str">
        <f>IFERROR(__xludf.DUMMYFUNCTION("""COMPUTED_VALUE"""),"10019BLW")</f>
        <v>10019BLW</v>
      </c>
      <c r="B671" s="164">
        <f>IFERROR(__xludf.DUMMYFUNCTION("""COMPUTED_VALUE"""),8955714.0)</f>
        <v>8955714</v>
      </c>
      <c r="C671" s="164" t="str">
        <f>IFERROR(__xludf.DUMMYFUNCTION("""COMPUTED_VALUE"""),"8955714S-46")</f>
        <v>8955714S-46</v>
      </c>
      <c r="D671" s="164" t="str">
        <f>IFERROR(__xludf.DUMMYFUNCTION("""COMPUTED_VALUE"""),"белый/василек")</f>
        <v>белый/василек</v>
      </c>
      <c r="E671" s="164" t="str">
        <f>IFERROR(__xludf.DUMMYFUNCTION("""COMPUTED_VALUE"""),"S-46")</f>
        <v>S-46</v>
      </c>
      <c r="F671" s="133" t="str">
        <f>IFERROR(__xludf.DUMMYFUNCTION("""COMPUTED_VALUE"""),"10019BLWS-46")</f>
        <v>10019BLWS-46</v>
      </c>
      <c r="G671" s="165">
        <f>IFERROR(__xludf.DUMMYFUNCTION("""COMPUTED_VALUE"""),1020.0)</f>
        <v>1020</v>
      </c>
    </row>
    <row r="672" ht="15.75" customHeight="1">
      <c r="A672" s="133" t="str">
        <f>IFERROR(__xludf.DUMMYFUNCTION("""COMPUTED_VALUE"""),"10019BLW")</f>
        <v>10019BLW</v>
      </c>
      <c r="B672" s="164">
        <f>IFERROR(__xludf.DUMMYFUNCTION("""COMPUTED_VALUE"""),8955714.0)</f>
        <v>8955714</v>
      </c>
      <c r="C672" s="164" t="str">
        <f>IFERROR(__xludf.DUMMYFUNCTION("""COMPUTED_VALUE"""),"8955714M-48")</f>
        <v>8955714M-48</v>
      </c>
      <c r="D672" s="164" t="str">
        <f>IFERROR(__xludf.DUMMYFUNCTION("""COMPUTED_VALUE"""),"белый/василек")</f>
        <v>белый/василек</v>
      </c>
      <c r="E672" s="164" t="str">
        <f>IFERROR(__xludf.DUMMYFUNCTION("""COMPUTED_VALUE"""),"M-48")</f>
        <v>M-48</v>
      </c>
      <c r="F672" s="133" t="str">
        <f>IFERROR(__xludf.DUMMYFUNCTION("""COMPUTED_VALUE"""),"10019BLWM-48")</f>
        <v>10019BLWM-48</v>
      </c>
      <c r="G672" s="165">
        <f>IFERROR(__xludf.DUMMYFUNCTION("""COMPUTED_VALUE"""),1020.0)</f>
        <v>1020</v>
      </c>
    </row>
    <row r="673" ht="15.75" customHeight="1">
      <c r="A673" s="133" t="str">
        <f>IFERROR(__xludf.DUMMYFUNCTION("""COMPUTED_VALUE"""),"10019BLW")</f>
        <v>10019BLW</v>
      </c>
      <c r="B673" s="164">
        <f>IFERROR(__xludf.DUMMYFUNCTION("""COMPUTED_VALUE"""),8955714.0)</f>
        <v>8955714</v>
      </c>
      <c r="C673" s="164" t="str">
        <f>IFERROR(__xludf.DUMMYFUNCTION("""COMPUTED_VALUE"""),"8955714L-50")</f>
        <v>8955714L-50</v>
      </c>
      <c r="D673" s="164" t="str">
        <f>IFERROR(__xludf.DUMMYFUNCTION("""COMPUTED_VALUE"""),"белый/василек")</f>
        <v>белый/василек</v>
      </c>
      <c r="E673" s="164" t="str">
        <f>IFERROR(__xludf.DUMMYFUNCTION("""COMPUTED_VALUE"""),"L-50")</f>
        <v>L-50</v>
      </c>
      <c r="F673" s="133" t="str">
        <f>IFERROR(__xludf.DUMMYFUNCTION("""COMPUTED_VALUE"""),"10019BLWL-50")</f>
        <v>10019BLWL-50</v>
      </c>
      <c r="G673" s="165">
        <f>IFERROR(__xludf.DUMMYFUNCTION("""COMPUTED_VALUE"""),1020.0)</f>
        <v>1020</v>
      </c>
    </row>
    <row r="674" ht="15.75" customHeight="1">
      <c r="A674" s="133" t="str">
        <f>IFERROR(__xludf.DUMMYFUNCTION("""COMPUTED_VALUE"""),"10019BLW")</f>
        <v>10019BLW</v>
      </c>
      <c r="B674" s="164">
        <f>IFERROR(__xludf.DUMMYFUNCTION("""COMPUTED_VALUE"""),8955714.0)</f>
        <v>8955714</v>
      </c>
      <c r="C674" s="164" t="str">
        <f>IFERROR(__xludf.DUMMYFUNCTION("""COMPUTED_VALUE"""),"8955714XL-52")</f>
        <v>8955714XL-52</v>
      </c>
      <c r="D674" s="164" t="str">
        <f>IFERROR(__xludf.DUMMYFUNCTION("""COMPUTED_VALUE"""),"белый/василек")</f>
        <v>белый/василек</v>
      </c>
      <c r="E674" s="164" t="str">
        <f>IFERROR(__xludf.DUMMYFUNCTION("""COMPUTED_VALUE"""),"XL-52")</f>
        <v>XL-52</v>
      </c>
      <c r="F674" s="133" t="str">
        <f>IFERROR(__xludf.DUMMYFUNCTION("""COMPUTED_VALUE"""),"10019BLWXL-52")</f>
        <v>10019BLWXL-52</v>
      </c>
      <c r="G674" s="165">
        <f>IFERROR(__xludf.DUMMYFUNCTION("""COMPUTED_VALUE"""),1020.0)</f>
        <v>1020</v>
      </c>
    </row>
    <row r="675" ht="15.75" customHeight="1">
      <c r="A675" s="133" t="str">
        <f>IFERROR(__xludf.DUMMYFUNCTION("""COMPUTED_VALUE"""),"10019BLW")</f>
        <v>10019BLW</v>
      </c>
      <c r="B675" s="164">
        <f>IFERROR(__xludf.DUMMYFUNCTION("""COMPUTED_VALUE"""),8955714.0)</f>
        <v>8955714</v>
      </c>
      <c r="C675" s="164" t="str">
        <f>IFERROR(__xludf.DUMMYFUNCTION("""COMPUTED_VALUE"""),"8955714XXL-54")</f>
        <v>8955714XXL-54</v>
      </c>
      <c r="D675" s="164" t="str">
        <f>IFERROR(__xludf.DUMMYFUNCTION("""COMPUTED_VALUE"""),"белый/василек")</f>
        <v>белый/василек</v>
      </c>
      <c r="E675" s="164" t="str">
        <f>IFERROR(__xludf.DUMMYFUNCTION("""COMPUTED_VALUE"""),"XXL-54")</f>
        <v>XXL-54</v>
      </c>
      <c r="F675" s="133" t="str">
        <f>IFERROR(__xludf.DUMMYFUNCTION("""COMPUTED_VALUE"""),"10019BLWXXL-54")</f>
        <v>10019BLWXXL-54</v>
      </c>
      <c r="G675" s="165">
        <f>IFERROR(__xludf.DUMMYFUNCTION("""COMPUTED_VALUE"""),1020.0)</f>
        <v>1020</v>
      </c>
    </row>
    <row r="676" ht="15.75" customHeight="1">
      <c r="A676" s="133" t="str">
        <f>IFERROR(__xludf.DUMMYFUNCTION("""COMPUTED_VALUE"""),"10119BLW")</f>
        <v>10119BLW</v>
      </c>
      <c r="B676" s="164">
        <f>IFERROR(__xludf.DUMMYFUNCTION("""COMPUTED_VALUE"""),8955715.0)</f>
        <v>8955715</v>
      </c>
      <c r="C676" s="164" t="str">
        <f>IFERROR(__xludf.DUMMYFUNCTION("""COMPUTED_VALUE"""),"8955715XXS- 42")</f>
        <v>8955715XXS- 42</v>
      </c>
      <c r="D676" s="164" t="str">
        <f>IFERROR(__xludf.DUMMYFUNCTION("""COMPUTED_VALUE"""),"красный/белый")</f>
        <v>красный/белый</v>
      </c>
      <c r="E676" s="164" t="str">
        <f>IFERROR(__xludf.DUMMYFUNCTION("""COMPUTED_VALUE"""),"XXS- 42")</f>
        <v>XXS- 42</v>
      </c>
      <c r="F676" s="133" t="str">
        <f>IFERROR(__xludf.DUMMYFUNCTION("""COMPUTED_VALUE"""),"10119BLWXXS- 42")</f>
        <v>10119BLWXXS- 42</v>
      </c>
      <c r="G676" s="165">
        <f>IFERROR(__xludf.DUMMYFUNCTION("""COMPUTED_VALUE"""),1020.0)</f>
        <v>1020</v>
      </c>
    </row>
    <row r="677" ht="15.75" customHeight="1">
      <c r="A677" s="133" t="str">
        <f>IFERROR(__xludf.DUMMYFUNCTION("""COMPUTED_VALUE"""),"10119BLW")</f>
        <v>10119BLW</v>
      </c>
      <c r="B677" s="164">
        <f>IFERROR(__xludf.DUMMYFUNCTION("""COMPUTED_VALUE"""),8955715.0)</f>
        <v>8955715</v>
      </c>
      <c r="C677" s="164" t="str">
        <f>IFERROR(__xludf.DUMMYFUNCTION("""COMPUTED_VALUE"""),"8955715ХS - 44")</f>
        <v>8955715ХS - 44</v>
      </c>
      <c r="D677" s="164" t="str">
        <f>IFERROR(__xludf.DUMMYFUNCTION("""COMPUTED_VALUE"""),"красный/белый")</f>
        <v>красный/белый</v>
      </c>
      <c r="E677" s="164" t="str">
        <f>IFERROR(__xludf.DUMMYFUNCTION("""COMPUTED_VALUE"""),"ХS - 44")</f>
        <v>ХS - 44</v>
      </c>
      <c r="F677" s="133" t="str">
        <f>IFERROR(__xludf.DUMMYFUNCTION("""COMPUTED_VALUE"""),"10119BLWХS - 44")</f>
        <v>10119BLWХS - 44</v>
      </c>
      <c r="G677" s="165">
        <f>IFERROR(__xludf.DUMMYFUNCTION("""COMPUTED_VALUE"""),1020.0)</f>
        <v>1020</v>
      </c>
    </row>
    <row r="678" ht="15.75" customHeight="1">
      <c r="A678" s="133" t="str">
        <f>IFERROR(__xludf.DUMMYFUNCTION("""COMPUTED_VALUE"""),"10119BLW")</f>
        <v>10119BLW</v>
      </c>
      <c r="B678" s="164">
        <f>IFERROR(__xludf.DUMMYFUNCTION("""COMPUTED_VALUE"""),8955715.0)</f>
        <v>8955715</v>
      </c>
      <c r="C678" s="164" t="str">
        <f>IFERROR(__xludf.DUMMYFUNCTION("""COMPUTED_VALUE"""),"8955715S - 46")</f>
        <v>8955715S - 46</v>
      </c>
      <c r="D678" s="164" t="str">
        <f>IFERROR(__xludf.DUMMYFUNCTION("""COMPUTED_VALUE"""),"красный/белый")</f>
        <v>красный/белый</v>
      </c>
      <c r="E678" s="164" t="str">
        <f>IFERROR(__xludf.DUMMYFUNCTION("""COMPUTED_VALUE"""),"S - 46")</f>
        <v>S - 46</v>
      </c>
      <c r="F678" s="133" t="str">
        <f>IFERROR(__xludf.DUMMYFUNCTION("""COMPUTED_VALUE"""),"10119BLWS - 46")</f>
        <v>10119BLWS - 46</v>
      </c>
      <c r="G678" s="165">
        <f>IFERROR(__xludf.DUMMYFUNCTION("""COMPUTED_VALUE"""),1020.0)</f>
        <v>1020</v>
      </c>
    </row>
    <row r="679" ht="15.75" customHeight="1">
      <c r="A679" s="133" t="str">
        <f>IFERROR(__xludf.DUMMYFUNCTION("""COMPUTED_VALUE"""),"10119BLW")</f>
        <v>10119BLW</v>
      </c>
      <c r="B679" s="164">
        <f>IFERROR(__xludf.DUMMYFUNCTION("""COMPUTED_VALUE"""),8955715.0)</f>
        <v>8955715</v>
      </c>
      <c r="C679" s="164" t="str">
        <f>IFERROR(__xludf.DUMMYFUNCTION("""COMPUTED_VALUE"""),"8955715M - 48")</f>
        <v>8955715M - 48</v>
      </c>
      <c r="D679" s="164" t="str">
        <f>IFERROR(__xludf.DUMMYFUNCTION("""COMPUTED_VALUE"""),"красный/белый")</f>
        <v>красный/белый</v>
      </c>
      <c r="E679" s="164" t="str">
        <f>IFERROR(__xludf.DUMMYFUNCTION("""COMPUTED_VALUE"""),"M - 48")</f>
        <v>M - 48</v>
      </c>
      <c r="F679" s="133" t="str">
        <f>IFERROR(__xludf.DUMMYFUNCTION("""COMPUTED_VALUE"""),"10119BLWM - 48")</f>
        <v>10119BLWM - 48</v>
      </c>
      <c r="G679" s="165">
        <f>IFERROR(__xludf.DUMMYFUNCTION("""COMPUTED_VALUE"""),1020.0)</f>
        <v>1020</v>
      </c>
    </row>
    <row r="680" ht="15.75" customHeight="1">
      <c r="A680" s="133" t="str">
        <f>IFERROR(__xludf.DUMMYFUNCTION("""COMPUTED_VALUE"""),"10119BLW")</f>
        <v>10119BLW</v>
      </c>
      <c r="B680" s="164">
        <f>IFERROR(__xludf.DUMMYFUNCTION("""COMPUTED_VALUE"""),8955715.0)</f>
        <v>8955715</v>
      </c>
      <c r="C680" s="164" t="str">
        <f>IFERROR(__xludf.DUMMYFUNCTION("""COMPUTED_VALUE"""),"8955715L - 50")</f>
        <v>8955715L - 50</v>
      </c>
      <c r="D680" s="164" t="str">
        <f>IFERROR(__xludf.DUMMYFUNCTION("""COMPUTED_VALUE"""),"красный/белый")</f>
        <v>красный/белый</v>
      </c>
      <c r="E680" s="164" t="str">
        <f>IFERROR(__xludf.DUMMYFUNCTION("""COMPUTED_VALUE"""),"L - 50")</f>
        <v>L - 50</v>
      </c>
      <c r="F680" s="133" t="str">
        <f>IFERROR(__xludf.DUMMYFUNCTION("""COMPUTED_VALUE"""),"10119BLWL - 50")</f>
        <v>10119BLWL - 50</v>
      </c>
      <c r="G680" s="165">
        <f>IFERROR(__xludf.DUMMYFUNCTION("""COMPUTED_VALUE"""),1020.0)</f>
        <v>1020</v>
      </c>
    </row>
    <row r="681" ht="15.75" customHeight="1">
      <c r="A681" s="133" t="str">
        <f>IFERROR(__xludf.DUMMYFUNCTION("""COMPUTED_VALUE"""),"10119BLW")</f>
        <v>10119BLW</v>
      </c>
      <c r="B681" s="164">
        <f>IFERROR(__xludf.DUMMYFUNCTION("""COMPUTED_VALUE"""),8955715.0)</f>
        <v>8955715</v>
      </c>
      <c r="C681" s="164" t="str">
        <f>IFERROR(__xludf.DUMMYFUNCTION("""COMPUTED_VALUE"""),"8955715XL-52")</f>
        <v>8955715XL-52</v>
      </c>
      <c r="D681" s="164" t="str">
        <f>IFERROR(__xludf.DUMMYFUNCTION("""COMPUTED_VALUE"""),"красный/белый")</f>
        <v>красный/белый</v>
      </c>
      <c r="E681" s="164" t="str">
        <f>IFERROR(__xludf.DUMMYFUNCTION("""COMPUTED_VALUE"""),"XL-52")</f>
        <v>XL-52</v>
      </c>
      <c r="F681" s="133" t="str">
        <f>IFERROR(__xludf.DUMMYFUNCTION("""COMPUTED_VALUE"""),"10119BLWXL-52")</f>
        <v>10119BLWXL-52</v>
      </c>
      <c r="G681" s="165">
        <f>IFERROR(__xludf.DUMMYFUNCTION("""COMPUTED_VALUE"""),1020.0)</f>
        <v>1020</v>
      </c>
    </row>
    <row r="682" ht="15.75" customHeight="1">
      <c r="A682" s="133" t="str">
        <f>IFERROR(__xludf.DUMMYFUNCTION("""COMPUTED_VALUE"""),"10119BLW")</f>
        <v>10119BLW</v>
      </c>
      <c r="B682" s="164">
        <f>IFERROR(__xludf.DUMMYFUNCTION("""COMPUTED_VALUE"""),8955715.0)</f>
        <v>8955715</v>
      </c>
      <c r="C682" s="164" t="str">
        <f>IFERROR(__xludf.DUMMYFUNCTION("""COMPUTED_VALUE"""),"8955715XXL - 54")</f>
        <v>8955715XXL - 54</v>
      </c>
      <c r="D682" s="164" t="str">
        <f>IFERROR(__xludf.DUMMYFUNCTION("""COMPUTED_VALUE"""),"красный/белый")</f>
        <v>красный/белый</v>
      </c>
      <c r="E682" s="164" t="str">
        <f>IFERROR(__xludf.DUMMYFUNCTION("""COMPUTED_VALUE"""),"XXL - 54")</f>
        <v>XXL - 54</v>
      </c>
      <c r="F682" s="133" t="str">
        <f>IFERROR(__xludf.DUMMYFUNCTION("""COMPUTED_VALUE"""),"10119BLWXXL - 54")</f>
        <v>10119BLWXXL - 54</v>
      </c>
      <c r="G682" s="165">
        <f>IFERROR(__xludf.DUMMYFUNCTION("""COMPUTED_VALUE"""),1020.0)</f>
        <v>1020</v>
      </c>
    </row>
    <row r="683" ht="15.75" customHeight="1">
      <c r="A683" s="133" t="str">
        <f>IFERROR(__xludf.DUMMYFUNCTION("""COMPUTED_VALUE"""),"10219BLW")</f>
        <v>10219BLW</v>
      </c>
      <c r="B683" s="164">
        <f>IFERROR(__xludf.DUMMYFUNCTION("""COMPUTED_VALUE"""),8955716.0)</f>
        <v>8955716</v>
      </c>
      <c r="C683" s="164" t="str">
        <f>IFERROR(__xludf.DUMMYFUNCTION("""COMPUTED_VALUE"""),"8955716XXS- 42")</f>
        <v>8955716XXS- 42</v>
      </c>
      <c r="D683" s="164" t="str">
        <f>IFERROR(__xludf.DUMMYFUNCTION("""COMPUTED_VALUE"""),"синий/белый")</f>
        <v>синий/белый</v>
      </c>
      <c r="E683" s="164" t="str">
        <f>IFERROR(__xludf.DUMMYFUNCTION("""COMPUTED_VALUE"""),"XXS- 42")</f>
        <v>XXS- 42</v>
      </c>
      <c r="F683" s="133" t="str">
        <f>IFERROR(__xludf.DUMMYFUNCTION("""COMPUTED_VALUE"""),"10219BLWXXS- 42")</f>
        <v>10219BLWXXS- 42</v>
      </c>
      <c r="G683" s="165">
        <f>IFERROR(__xludf.DUMMYFUNCTION("""COMPUTED_VALUE"""),973.0)</f>
        <v>973</v>
      </c>
    </row>
    <row r="684" ht="15.75" customHeight="1">
      <c r="A684" s="133" t="str">
        <f>IFERROR(__xludf.DUMMYFUNCTION("""COMPUTED_VALUE"""),"10219BLW")</f>
        <v>10219BLW</v>
      </c>
      <c r="B684" s="164">
        <f>IFERROR(__xludf.DUMMYFUNCTION("""COMPUTED_VALUE"""),8955716.0)</f>
        <v>8955716</v>
      </c>
      <c r="C684" s="164" t="str">
        <f>IFERROR(__xludf.DUMMYFUNCTION("""COMPUTED_VALUE"""),"8955716ХS - 44")</f>
        <v>8955716ХS - 44</v>
      </c>
      <c r="D684" s="164" t="str">
        <f>IFERROR(__xludf.DUMMYFUNCTION("""COMPUTED_VALUE"""),"синий/белый")</f>
        <v>синий/белый</v>
      </c>
      <c r="E684" s="164" t="str">
        <f>IFERROR(__xludf.DUMMYFUNCTION("""COMPUTED_VALUE"""),"ХS - 44")</f>
        <v>ХS - 44</v>
      </c>
      <c r="F684" s="133" t="str">
        <f>IFERROR(__xludf.DUMMYFUNCTION("""COMPUTED_VALUE"""),"10219BLWХS - 44")</f>
        <v>10219BLWХS - 44</v>
      </c>
      <c r="G684" s="165">
        <f>IFERROR(__xludf.DUMMYFUNCTION("""COMPUTED_VALUE"""),973.0)</f>
        <v>973</v>
      </c>
    </row>
    <row r="685" ht="15.75" customHeight="1">
      <c r="A685" s="133" t="str">
        <f>IFERROR(__xludf.DUMMYFUNCTION("""COMPUTED_VALUE"""),"10219BLW")</f>
        <v>10219BLW</v>
      </c>
      <c r="B685" s="164">
        <f>IFERROR(__xludf.DUMMYFUNCTION("""COMPUTED_VALUE"""),8955716.0)</f>
        <v>8955716</v>
      </c>
      <c r="C685" s="164" t="str">
        <f>IFERROR(__xludf.DUMMYFUNCTION("""COMPUTED_VALUE"""),"8955716S - 46")</f>
        <v>8955716S - 46</v>
      </c>
      <c r="D685" s="164" t="str">
        <f>IFERROR(__xludf.DUMMYFUNCTION("""COMPUTED_VALUE"""),"синий/белый")</f>
        <v>синий/белый</v>
      </c>
      <c r="E685" s="164" t="str">
        <f>IFERROR(__xludf.DUMMYFUNCTION("""COMPUTED_VALUE"""),"S - 46")</f>
        <v>S - 46</v>
      </c>
      <c r="F685" s="133" t="str">
        <f>IFERROR(__xludf.DUMMYFUNCTION("""COMPUTED_VALUE"""),"10219BLWS - 46")</f>
        <v>10219BLWS - 46</v>
      </c>
      <c r="G685" s="165">
        <f>IFERROR(__xludf.DUMMYFUNCTION("""COMPUTED_VALUE"""),973.0)</f>
        <v>973</v>
      </c>
    </row>
    <row r="686" ht="15.75" customHeight="1">
      <c r="A686" s="133" t="str">
        <f>IFERROR(__xludf.DUMMYFUNCTION("""COMPUTED_VALUE"""),"10219BLW")</f>
        <v>10219BLW</v>
      </c>
      <c r="B686" s="164">
        <f>IFERROR(__xludf.DUMMYFUNCTION("""COMPUTED_VALUE"""),8955716.0)</f>
        <v>8955716</v>
      </c>
      <c r="C686" s="164" t="str">
        <f>IFERROR(__xludf.DUMMYFUNCTION("""COMPUTED_VALUE"""),"8955716M - 48")</f>
        <v>8955716M - 48</v>
      </c>
      <c r="D686" s="164" t="str">
        <f>IFERROR(__xludf.DUMMYFUNCTION("""COMPUTED_VALUE"""),"синий/белый")</f>
        <v>синий/белый</v>
      </c>
      <c r="E686" s="164" t="str">
        <f>IFERROR(__xludf.DUMMYFUNCTION("""COMPUTED_VALUE"""),"M - 48")</f>
        <v>M - 48</v>
      </c>
      <c r="F686" s="133" t="str">
        <f>IFERROR(__xludf.DUMMYFUNCTION("""COMPUTED_VALUE"""),"10219BLWM - 48")</f>
        <v>10219BLWM - 48</v>
      </c>
      <c r="G686" s="165">
        <f>IFERROR(__xludf.DUMMYFUNCTION("""COMPUTED_VALUE"""),973.0)</f>
        <v>973</v>
      </c>
    </row>
    <row r="687" ht="15.75" customHeight="1">
      <c r="A687" s="133" t="str">
        <f>IFERROR(__xludf.DUMMYFUNCTION("""COMPUTED_VALUE"""),"10219BLW")</f>
        <v>10219BLW</v>
      </c>
      <c r="B687" s="164">
        <f>IFERROR(__xludf.DUMMYFUNCTION("""COMPUTED_VALUE"""),8955716.0)</f>
        <v>8955716</v>
      </c>
      <c r="C687" s="164" t="str">
        <f>IFERROR(__xludf.DUMMYFUNCTION("""COMPUTED_VALUE"""),"8955716L - 50")</f>
        <v>8955716L - 50</v>
      </c>
      <c r="D687" s="164" t="str">
        <f>IFERROR(__xludf.DUMMYFUNCTION("""COMPUTED_VALUE"""),"синий/белый")</f>
        <v>синий/белый</v>
      </c>
      <c r="E687" s="164" t="str">
        <f>IFERROR(__xludf.DUMMYFUNCTION("""COMPUTED_VALUE"""),"L - 50")</f>
        <v>L - 50</v>
      </c>
      <c r="F687" s="133" t="str">
        <f>IFERROR(__xludf.DUMMYFUNCTION("""COMPUTED_VALUE"""),"10219BLWL - 50")</f>
        <v>10219BLWL - 50</v>
      </c>
      <c r="G687" s="165">
        <f>IFERROR(__xludf.DUMMYFUNCTION("""COMPUTED_VALUE"""),973.0)</f>
        <v>973</v>
      </c>
    </row>
    <row r="688" ht="15.75" customHeight="1">
      <c r="A688" s="133" t="str">
        <f>IFERROR(__xludf.DUMMYFUNCTION("""COMPUTED_VALUE"""),"10219BLW")</f>
        <v>10219BLW</v>
      </c>
      <c r="B688" s="164">
        <f>IFERROR(__xludf.DUMMYFUNCTION("""COMPUTED_VALUE"""),8955716.0)</f>
        <v>8955716</v>
      </c>
      <c r="C688" s="164" t="str">
        <f>IFERROR(__xludf.DUMMYFUNCTION("""COMPUTED_VALUE"""),"8955716XL-52")</f>
        <v>8955716XL-52</v>
      </c>
      <c r="D688" s="164" t="str">
        <f>IFERROR(__xludf.DUMMYFUNCTION("""COMPUTED_VALUE"""),"синий/белый")</f>
        <v>синий/белый</v>
      </c>
      <c r="E688" s="164" t="str">
        <f>IFERROR(__xludf.DUMMYFUNCTION("""COMPUTED_VALUE"""),"XL-52")</f>
        <v>XL-52</v>
      </c>
      <c r="F688" s="133" t="str">
        <f>IFERROR(__xludf.DUMMYFUNCTION("""COMPUTED_VALUE"""),"10219BLWXL-52")</f>
        <v>10219BLWXL-52</v>
      </c>
      <c r="G688" s="165">
        <f>IFERROR(__xludf.DUMMYFUNCTION("""COMPUTED_VALUE"""),973.0)</f>
        <v>973</v>
      </c>
    </row>
    <row r="689" ht="15.75" customHeight="1">
      <c r="A689" s="133" t="str">
        <f>IFERROR(__xludf.DUMMYFUNCTION("""COMPUTED_VALUE"""),"10219BLW")</f>
        <v>10219BLW</v>
      </c>
      <c r="B689" s="164">
        <f>IFERROR(__xludf.DUMMYFUNCTION("""COMPUTED_VALUE"""),8955716.0)</f>
        <v>8955716</v>
      </c>
      <c r="C689" s="164" t="str">
        <f>IFERROR(__xludf.DUMMYFUNCTION("""COMPUTED_VALUE"""),"8955716XXL - 54")</f>
        <v>8955716XXL - 54</v>
      </c>
      <c r="D689" s="164" t="str">
        <f>IFERROR(__xludf.DUMMYFUNCTION("""COMPUTED_VALUE"""),"синий/белый")</f>
        <v>синий/белый</v>
      </c>
      <c r="E689" s="164" t="str">
        <f>IFERROR(__xludf.DUMMYFUNCTION("""COMPUTED_VALUE"""),"XXL - 54")</f>
        <v>XXL - 54</v>
      </c>
      <c r="F689" s="133" t="str">
        <f>IFERROR(__xludf.DUMMYFUNCTION("""COMPUTED_VALUE"""),"10219BLWXXL - 54")</f>
        <v>10219BLWXXL - 54</v>
      </c>
      <c r="G689" s="165">
        <f>IFERROR(__xludf.DUMMYFUNCTION("""COMPUTED_VALUE"""),973.0)</f>
        <v>973</v>
      </c>
    </row>
    <row r="690" ht="15.75" customHeight="1">
      <c r="A690" s="133" t="str">
        <f>IFERROR(__xludf.DUMMYFUNCTION("""COMPUTED_VALUE"""),"10419BLW")</f>
        <v>10419BLW</v>
      </c>
      <c r="B690" s="164">
        <f>IFERROR(__xludf.DUMMYFUNCTION("""COMPUTED_VALUE"""),8955717.0)</f>
        <v>8955717</v>
      </c>
      <c r="C690" s="164" t="str">
        <f>IFERROR(__xludf.DUMMYFUNCTION("""COMPUTED_VALUE"""),"8955717XXS- 42")</f>
        <v>8955717XXS- 42</v>
      </c>
      <c r="D690" s="164" t="str">
        <f>IFERROR(__xludf.DUMMYFUNCTION("""COMPUTED_VALUE"""),"красный/василек")</f>
        <v>красный/василек</v>
      </c>
      <c r="E690" s="164" t="str">
        <f>IFERROR(__xludf.DUMMYFUNCTION("""COMPUTED_VALUE"""),"XXS- 42")</f>
        <v>XXS- 42</v>
      </c>
      <c r="F690" s="133" t="str">
        <f>IFERROR(__xludf.DUMMYFUNCTION("""COMPUTED_VALUE"""),"10419BLWXXS- 42")</f>
        <v>10419BLWXXS- 42</v>
      </c>
      <c r="G690" s="165">
        <f>IFERROR(__xludf.DUMMYFUNCTION("""COMPUTED_VALUE"""),1028.0)</f>
        <v>1028</v>
      </c>
    </row>
    <row r="691" ht="15.75" customHeight="1">
      <c r="A691" s="133" t="str">
        <f>IFERROR(__xludf.DUMMYFUNCTION("""COMPUTED_VALUE"""),"10419BLW")</f>
        <v>10419BLW</v>
      </c>
      <c r="B691" s="164">
        <f>IFERROR(__xludf.DUMMYFUNCTION("""COMPUTED_VALUE"""),8955717.0)</f>
        <v>8955717</v>
      </c>
      <c r="C691" s="164" t="str">
        <f>IFERROR(__xludf.DUMMYFUNCTION("""COMPUTED_VALUE"""),"8955717ХS - 44")</f>
        <v>8955717ХS - 44</v>
      </c>
      <c r="D691" s="164" t="str">
        <f>IFERROR(__xludf.DUMMYFUNCTION("""COMPUTED_VALUE"""),"красный/василек")</f>
        <v>красный/василек</v>
      </c>
      <c r="E691" s="164" t="str">
        <f>IFERROR(__xludf.DUMMYFUNCTION("""COMPUTED_VALUE"""),"ХS - 44")</f>
        <v>ХS - 44</v>
      </c>
      <c r="F691" s="133" t="str">
        <f>IFERROR(__xludf.DUMMYFUNCTION("""COMPUTED_VALUE"""),"10419BLWХS - 44")</f>
        <v>10419BLWХS - 44</v>
      </c>
      <c r="G691" s="165">
        <f>IFERROR(__xludf.DUMMYFUNCTION("""COMPUTED_VALUE"""),1028.0)</f>
        <v>1028</v>
      </c>
    </row>
    <row r="692" ht="15.75" customHeight="1">
      <c r="A692" s="133" t="str">
        <f>IFERROR(__xludf.DUMMYFUNCTION("""COMPUTED_VALUE"""),"10419BLW")</f>
        <v>10419BLW</v>
      </c>
      <c r="B692" s="164">
        <f>IFERROR(__xludf.DUMMYFUNCTION("""COMPUTED_VALUE"""),8955717.0)</f>
        <v>8955717</v>
      </c>
      <c r="C692" s="164" t="str">
        <f>IFERROR(__xludf.DUMMYFUNCTION("""COMPUTED_VALUE"""),"8955717S - 46")</f>
        <v>8955717S - 46</v>
      </c>
      <c r="D692" s="164" t="str">
        <f>IFERROR(__xludf.DUMMYFUNCTION("""COMPUTED_VALUE"""),"красный/василек")</f>
        <v>красный/василек</v>
      </c>
      <c r="E692" s="164" t="str">
        <f>IFERROR(__xludf.DUMMYFUNCTION("""COMPUTED_VALUE"""),"S - 46")</f>
        <v>S - 46</v>
      </c>
      <c r="F692" s="133" t="str">
        <f>IFERROR(__xludf.DUMMYFUNCTION("""COMPUTED_VALUE"""),"10419BLWS - 46")</f>
        <v>10419BLWS - 46</v>
      </c>
      <c r="G692" s="165">
        <f>IFERROR(__xludf.DUMMYFUNCTION("""COMPUTED_VALUE"""),1028.0)</f>
        <v>1028</v>
      </c>
    </row>
    <row r="693" ht="15.75" customHeight="1">
      <c r="A693" s="133" t="str">
        <f>IFERROR(__xludf.DUMMYFUNCTION("""COMPUTED_VALUE"""),"10419BLW")</f>
        <v>10419BLW</v>
      </c>
      <c r="B693" s="164">
        <f>IFERROR(__xludf.DUMMYFUNCTION("""COMPUTED_VALUE"""),8955717.0)</f>
        <v>8955717</v>
      </c>
      <c r="C693" s="164" t="str">
        <f>IFERROR(__xludf.DUMMYFUNCTION("""COMPUTED_VALUE"""),"8955717M - 48")</f>
        <v>8955717M - 48</v>
      </c>
      <c r="D693" s="164" t="str">
        <f>IFERROR(__xludf.DUMMYFUNCTION("""COMPUTED_VALUE"""),"красный/василек")</f>
        <v>красный/василек</v>
      </c>
      <c r="E693" s="164" t="str">
        <f>IFERROR(__xludf.DUMMYFUNCTION("""COMPUTED_VALUE"""),"M - 48")</f>
        <v>M - 48</v>
      </c>
      <c r="F693" s="133" t="str">
        <f>IFERROR(__xludf.DUMMYFUNCTION("""COMPUTED_VALUE"""),"10419BLWM - 48")</f>
        <v>10419BLWM - 48</v>
      </c>
      <c r="G693" s="165">
        <f>IFERROR(__xludf.DUMMYFUNCTION("""COMPUTED_VALUE"""),1028.0)</f>
        <v>1028</v>
      </c>
    </row>
    <row r="694" ht="15.75" customHeight="1">
      <c r="A694" s="133" t="str">
        <f>IFERROR(__xludf.DUMMYFUNCTION("""COMPUTED_VALUE"""),"10419BLW")</f>
        <v>10419BLW</v>
      </c>
      <c r="B694" s="164">
        <f>IFERROR(__xludf.DUMMYFUNCTION("""COMPUTED_VALUE"""),8955717.0)</f>
        <v>8955717</v>
      </c>
      <c r="C694" s="164" t="str">
        <f>IFERROR(__xludf.DUMMYFUNCTION("""COMPUTED_VALUE"""),"8955717L - 50")</f>
        <v>8955717L - 50</v>
      </c>
      <c r="D694" s="164" t="str">
        <f>IFERROR(__xludf.DUMMYFUNCTION("""COMPUTED_VALUE"""),"красный/василек")</f>
        <v>красный/василек</v>
      </c>
      <c r="E694" s="164" t="str">
        <f>IFERROR(__xludf.DUMMYFUNCTION("""COMPUTED_VALUE"""),"L - 50")</f>
        <v>L - 50</v>
      </c>
      <c r="F694" s="133" t="str">
        <f>IFERROR(__xludf.DUMMYFUNCTION("""COMPUTED_VALUE"""),"10419BLWL - 50")</f>
        <v>10419BLWL - 50</v>
      </c>
      <c r="G694" s="165">
        <f>IFERROR(__xludf.DUMMYFUNCTION("""COMPUTED_VALUE"""),1028.0)</f>
        <v>1028</v>
      </c>
    </row>
    <row r="695" ht="15.75" customHeight="1">
      <c r="A695" s="133" t="str">
        <f>IFERROR(__xludf.DUMMYFUNCTION("""COMPUTED_VALUE"""),"10419BLW")</f>
        <v>10419BLW</v>
      </c>
      <c r="B695" s="164">
        <f>IFERROR(__xludf.DUMMYFUNCTION("""COMPUTED_VALUE"""),8955717.0)</f>
        <v>8955717</v>
      </c>
      <c r="C695" s="164" t="str">
        <f>IFERROR(__xludf.DUMMYFUNCTION("""COMPUTED_VALUE"""),"8955717XL-52")</f>
        <v>8955717XL-52</v>
      </c>
      <c r="D695" s="164" t="str">
        <f>IFERROR(__xludf.DUMMYFUNCTION("""COMPUTED_VALUE"""),"красный/василек")</f>
        <v>красный/василек</v>
      </c>
      <c r="E695" s="164" t="str">
        <f>IFERROR(__xludf.DUMMYFUNCTION("""COMPUTED_VALUE"""),"XL-52")</f>
        <v>XL-52</v>
      </c>
      <c r="F695" s="133" t="str">
        <f>IFERROR(__xludf.DUMMYFUNCTION("""COMPUTED_VALUE"""),"10419BLWXL-52")</f>
        <v>10419BLWXL-52</v>
      </c>
      <c r="G695" s="165">
        <f>IFERROR(__xludf.DUMMYFUNCTION("""COMPUTED_VALUE"""),1028.0)</f>
        <v>1028</v>
      </c>
    </row>
    <row r="696" ht="15.75" customHeight="1">
      <c r="A696" s="133" t="str">
        <f>IFERROR(__xludf.DUMMYFUNCTION("""COMPUTED_VALUE"""),"10419BLW")</f>
        <v>10419BLW</v>
      </c>
      <c r="B696" s="164">
        <f>IFERROR(__xludf.DUMMYFUNCTION("""COMPUTED_VALUE"""),8955717.0)</f>
        <v>8955717</v>
      </c>
      <c r="C696" s="164" t="str">
        <f>IFERROR(__xludf.DUMMYFUNCTION("""COMPUTED_VALUE"""),"8955717XXL - 54")</f>
        <v>8955717XXL - 54</v>
      </c>
      <c r="D696" s="164" t="str">
        <f>IFERROR(__xludf.DUMMYFUNCTION("""COMPUTED_VALUE"""),"красный/василек")</f>
        <v>красный/василек</v>
      </c>
      <c r="E696" s="164" t="str">
        <f>IFERROR(__xludf.DUMMYFUNCTION("""COMPUTED_VALUE"""),"XXL - 54")</f>
        <v>XXL - 54</v>
      </c>
      <c r="F696" s="133" t="str">
        <f>IFERROR(__xludf.DUMMYFUNCTION("""COMPUTED_VALUE"""),"10419BLWXXL - 54")</f>
        <v>10419BLWXXL - 54</v>
      </c>
      <c r="G696" s="165">
        <f>IFERROR(__xludf.DUMMYFUNCTION("""COMPUTED_VALUE"""),1028.0)</f>
        <v>1028</v>
      </c>
    </row>
    <row r="697" ht="15.75" customHeight="1">
      <c r="A697" s="133" t="str">
        <f>IFERROR(__xludf.DUMMYFUNCTION("""COMPUTED_VALUE"""),"10519BLW")</f>
        <v>10519BLW</v>
      </c>
      <c r="B697" s="164">
        <f>IFERROR(__xludf.DUMMYFUNCTION("""COMPUTED_VALUE"""),9032944.0)</f>
        <v>9032944</v>
      </c>
      <c r="C697" s="164" t="str">
        <f>IFERROR(__xludf.DUMMYFUNCTION("""COMPUTED_VALUE"""),"9032944XXS- 42")</f>
        <v>9032944XXS- 42</v>
      </c>
      <c r="D697" s="164" t="str">
        <f>IFERROR(__xludf.DUMMYFUNCTION("""COMPUTED_VALUE"""),"красный/василек")</f>
        <v>красный/василек</v>
      </c>
      <c r="E697" s="164" t="str">
        <f>IFERROR(__xludf.DUMMYFUNCTION("""COMPUTED_VALUE"""),"XXS- 42")</f>
        <v>XXS- 42</v>
      </c>
      <c r="F697" s="133" t="str">
        <f>IFERROR(__xludf.DUMMYFUNCTION("""COMPUTED_VALUE"""),"10519BLWXXS- 42")</f>
        <v>10519BLWXXS- 42</v>
      </c>
      <c r="G697" s="165">
        <f>IFERROR(__xludf.DUMMYFUNCTION("""COMPUTED_VALUE"""),1156.0)</f>
        <v>1156</v>
      </c>
    </row>
    <row r="698" ht="15.75" customHeight="1">
      <c r="A698" s="133" t="str">
        <f>IFERROR(__xludf.DUMMYFUNCTION("""COMPUTED_VALUE"""),"10519BLW")</f>
        <v>10519BLW</v>
      </c>
      <c r="B698" s="164">
        <f>IFERROR(__xludf.DUMMYFUNCTION("""COMPUTED_VALUE"""),9032944.0)</f>
        <v>9032944</v>
      </c>
      <c r="C698" s="164" t="str">
        <f>IFERROR(__xludf.DUMMYFUNCTION("""COMPUTED_VALUE"""),"9032944ХS - 44")</f>
        <v>9032944ХS - 44</v>
      </c>
      <c r="D698" s="164" t="str">
        <f>IFERROR(__xludf.DUMMYFUNCTION("""COMPUTED_VALUE"""),"красный/василек")</f>
        <v>красный/василек</v>
      </c>
      <c r="E698" s="164" t="str">
        <f>IFERROR(__xludf.DUMMYFUNCTION("""COMPUTED_VALUE"""),"ХS - 44")</f>
        <v>ХS - 44</v>
      </c>
      <c r="F698" s="133" t="str">
        <f>IFERROR(__xludf.DUMMYFUNCTION("""COMPUTED_VALUE"""),"10519BLWХS - 44")</f>
        <v>10519BLWХS - 44</v>
      </c>
      <c r="G698" s="165">
        <f>IFERROR(__xludf.DUMMYFUNCTION("""COMPUTED_VALUE"""),1156.0)</f>
        <v>1156</v>
      </c>
    </row>
    <row r="699" ht="15.75" customHeight="1">
      <c r="A699" s="133" t="str">
        <f>IFERROR(__xludf.DUMMYFUNCTION("""COMPUTED_VALUE"""),"10519BLW")</f>
        <v>10519BLW</v>
      </c>
      <c r="B699" s="164">
        <f>IFERROR(__xludf.DUMMYFUNCTION("""COMPUTED_VALUE"""),9032944.0)</f>
        <v>9032944</v>
      </c>
      <c r="C699" s="164" t="str">
        <f>IFERROR(__xludf.DUMMYFUNCTION("""COMPUTED_VALUE"""),"9032944S - 46")</f>
        <v>9032944S - 46</v>
      </c>
      <c r="D699" s="164" t="str">
        <f>IFERROR(__xludf.DUMMYFUNCTION("""COMPUTED_VALUE"""),"красный/василек")</f>
        <v>красный/василек</v>
      </c>
      <c r="E699" s="164" t="str">
        <f>IFERROR(__xludf.DUMMYFUNCTION("""COMPUTED_VALUE"""),"S - 46")</f>
        <v>S - 46</v>
      </c>
      <c r="F699" s="133" t="str">
        <f>IFERROR(__xludf.DUMMYFUNCTION("""COMPUTED_VALUE"""),"10519BLWS - 46")</f>
        <v>10519BLWS - 46</v>
      </c>
      <c r="G699" s="165">
        <f>IFERROR(__xludf.DUMMYFUNCTION("""COMPUTED_VALUE"""),1156.0)</f>
        <v>1156</v>
      </c>
    </row>
    <row r="700" ht="15.75" customHeight="1">
      <c r="A700" s="133" t="str">
        <f>IFERROR(__xludf.DUMMYFUNCTION("""COMPUTED_VALUE"""),"10519BLW")</f>
        <v>10519BLW</v>
      </c>
      <c r="B700" s="164">
        <f>IFERROR(__xludf.DUMMYFUNCTION("""COMPUTED_VALUE"""),9032944.0)</f>
        <v>9032944</v>
      </c>
      <c r="C700" s="164" t="str">
        <f>IFERROR(__xludf.DUMMYFUNCTION("""COMPUTED_VALUE"""),"9032944M - 48")</f>
        <v>9032944M - 48</v>
      </c>
      <c r="D700" s="164" t="str">
        <f>IFERROR(__xludf.DUMMYFUNCTION("""COMPUTED_VALUE"""),"красный/василек")</f>
        <v>красный/василек</v>
      </c>
      <c r="E700" s="164" t="str">
        <f>IFERROR(__xludf.DUMMYFUNCTION("""COMPUTED_VALUE"""),"M - 48")</f>
        <v>M - 48</v>
      </c>
      <c r="F700" s="133" t="str">
        <f>IFERROR(__xludf.DUMMYFUNCTION("""COMPUTED_VALUE"""),"10519BLWM - 48")</f>
        <v>10519BLWM - 48</v>
      </c>
      <c r="G700" s="165">
        <f>IFERROR(__xludf.DUMMYFUNCTION("""COMPUTED_VALUE"""),1156.0)</f>
        <v>1156</v>
      </c>
    </row>
    <row r="701" ht="15.75" customHeight="1">
      <c r="A701" s="133" t="str">
        <f>IFERROR(__xludf.DUMMYFUNCTION("""COMPUTED_VALUE"""),"10519BLW")</f>
        <v>10519BLW</v>
      </c>
      <c r="B701" s="164">
        <f>IFERROR(__xludf.DUMMYFUNCTION("""COMPUTED_VALUE"""),9032944.0)</f>
        <v>9032944</v>
      </c>
      <c r="C701" s="164" t="str">
        <f>IFERROR(__xludf.DUMMYFUNCTION("""COMPUTED_VALUE"""),"9032944L - 50")</f>
        <v>9032944L - 50</v>
      </c>
      <c r="D701" s="164" t="str">
        <f>IFERROR(__xludf.DUMMYFUNCTION("""COMPUTED_VALUE"""),"красный/василек")</f>
        <v>красный/василек</v>
      </c>
      <c r="E701" s="164" t="str">
        <f>IFERROR(__xludf.DUMMYFUNCTION("""COMPUTED_VALUE"""),"L - 50")</f>
        <v>L - 50</v>
      </c>
      <c r="F701" s="133" t="str">
        <f>IFERROR(__xludf.DUMMYFUNCTION("""COMPUTED_VALUE"""),"10519BLWL - 50")</f>
        <v>10519BLWL - 50</v>
      </c>
      <c r="G701" s="165">
        <f>IFERROR(__xludf.DUMMYFUNCTION("""COMPUTED_VALUE"""),1156.0)</f>
        <v>1156</v>
      </c>
    </row>
    <row r="702" ht="15.75" customHeight="1">
      <c r="A702" s="133" t="str">
        <f>IFERROR(__xludf.DUMMYFUNCTION("""COMPUTED_VALUE"""),"10519BLW")</f>
        <v>10519BLW</v>
      </c>
      <c r="B702" s="164">
        <f>IFERROR(__xludf.DUMMYFUNCTION("""COMPUTED_VALUE"""),9032944.0)</f>
        <v>9032944</v>
      </c>
      <c r="C702" s="164" t="str">
        <f>IFERROR(__xludf.DUMMYFUNCTION("""COMPUTED_VALUE"""),"9032944XL-52")</f>
        <v>9032944XL-52</v>
      </c>
      <c r="D702" s="164" t="str">
        <f>IFERROR(__xludf.DUMMYFUNCTION("""COMPUTED_VALUE"""),"красный/василек")</f>
        <v>красный/василек</v>
      </c>
      <c r="E702" s="164" t="str">
        <f>IFERROR(__xludf.DUMMYFUNCTION("""COMPUTED_VALUE"""),"XL-52")</f>
        <v>XL-52</v>
      </c>
      <c r="F702" s="133" t="str">
        <f>IFERROR(__xludf.DUMMYFUNCTION("""COMPUTED_VALUE"""),"10519BLWXL-52")</f>
        <v>10519BLWXL-52</v>
      </c>
      <c r="G702" s="165">
        <f>IFERROR(__xludf.DUMMYFUNCTION("""COMPUTED_VALUE"""),1156.0)</f>
        <v>1156</v>
      </c>
    </row>
    <row r="703" ht="15.75" customHeight="1">
      <c r="A703" s="133" t="str">
        <f>IFERROR(__xludf.DUMMYFUNCTION("""COMPUTED_VALUE"""),"10519BLW")</f>
        <v>10519BLW</v>
      </c>
      <c r="B703" s="164">
        <f>IFERROR(__xludf.DUMMYFUNCTION("""COMPUTED_VALUE"""),9032944.0)</f>
        <v>9032944</v>
      </c>
      <c r="C703" s="164" t="str">
        <f>IFERROR(__xludf.DUMMYFUNCTION("""COMPUTED_VALUE"""),"9032944XXL - 54")</f>
        <v>9032944XXL - 54</v>
      </c>
      <c r="D703" s="164" t="str">
        <f>IFERROR(__xludf.DUMMYFUNCTION("""COMPUTED_VALUE"""),"красный/василек")</f>
        <v>красный/василек</v>
      </c>
      <c r="E703" s="164" t="str">
        <f>IFERROR(__xludf.DUMMYFUNCTION("""COMPUTED_VALUE"""),"XXL - 54")</f>
        <v>XXL - 54</v>
      </c>
      <c r="F703" s="133" t="str">
        <f>IFERROR(__xludf.DUMMYFUNCTION("""COMPUTED_VALUE"""),"10519BLWXXL - 54")</f>
        <v>10519BLWXXL - 54</v>
      </c>
      <c r="G703" s="165">
        <f>IFERROR(__xludf.DUMMYFUNCTION("""COMPUTED_VALUE"""),1156.0)</f>
        <v>1156</v>
      </c>
    </row>
    <row r="704" ht="15.75" customHeight="1">
      <c r="A704" s="133" t="str">
        <f>IFERROR(__xludf.DUMMYFUNCTION("""COMPUTED_VALUE"""),"13519BLW")</f>
        <v>13519BLW</v>
      </c>
      <c r="B704" s="164">
        <f>IFERROR(__xludf.DUMMYFUNCTION("""COMPUTED_VALUE"""),9227766.0)</f>
        <v>9227766</v>
      </c>
      <c r="C704" s="164" t="str">
        <f>IFERROR(__xludf.DUMMYFUNCTION("""COMPUTED_VALUE"""),"9227766XXS- 42")</f>
        <v>9227766XXS- 42</v>
      </c>
      <c r="D704" s="164" t="str">
        <f>IFERROR(__xludf.DUMMYFUNCTION("""COMPUTED_VALUE"""),"бордовый, белый")</f>
        <v>бордовый, белый</v>
      </c>
      <c r="E704" s="164" t="str">
        <f>IFERROR(__xludf.DUMMYFUNCTION("""COMPUTED_VALUE"""),"XXS- 42")</f>
        <v>XXS- 42</v>
      </c>
      <c r="F704" s="133" t="str">
        <f>IFERROR(__xludf.DUMMYFUNCTION("""COMPUTED_VALUE"""),"13519BLWXXS- 42")</f>
        <v>13519BLWXXS- 42</v>
      </c>
      <c r="G704" s="165">
        <f>IFERROR(__xludf.DUMMYFUNCTION("""COMPUTED_VALUE"""),1020.0)</f>
        <v>1020</v>
      </c>
    </row>
    <row r="705" ht="15.75" customHeight="1">
      <c r="A705" s="133" t="str">
        <f>IFERROR(__xludf.DUMMYFUNCTION("""COMPUTED_VALUE"""),"13519BLW")</f>
        <v>13519BLW</v>
      </c>
      <c r="B705" s="164">
        <f>IFERROR(__xludf.DUMMYFUNCTION("""COMPUTED_VALUE"""),9227766.0)</f>
        <v>9227766</v>
      </c>
      <c r="C705" s="164" t="str">
        <f>IFERROR(__xludf.DUMMYFUNCTION("""COMPUTED_VALUE"""),"9227766ХS - 44")</f>
        <v>9227766ХS - 44</v>
      </c>
      <c r="D705" s="164" t="str">
        <f>IFERROR(__xludf.DUMMYFUNCTION("""COMPUTED_VALUE"""),"бордовый, белый")</f>
        <v>бордовый, белый</v>
      </c>
      <c r="E705" s="164" t="str">
        <f>IFERROR(__xludf.DUMMYFUNCTION("""COMPUTED_VALUE"""),"ХS - 44")</f>
        <v>ХS - 44</v>
      </c>
      <c r="F705" s="133" t="str">
        <f>IFERROR(__xludf.DUMMYFUNCTION("""COMPUTED_VALUE"""),"13519BLWХS - 44")</f>
        <v>13519BLWХS - 44</v>
      </c>
      <c r="G705" s="165">
        <f>IFERROR(__xludf.DUMMYFUNCTION("""COMPUTED_VALUE"""),1020.0)</f>
        <v>1020</v>
      </c>
    </row>
    <row r="706" ht="15.75" customHeight="1">
      <c r="A706" s="133" t="str">
        <f>IFERROR(__xludf.DUMMYFUNCTION("""COMPUTED_VALUE"""),"13519BLW")</f>
        <v>13519BLW</v>
      </c>
      <c r="B706" s="164">
        <f>IFERROR(__xludf.DUMMYFUNCTION("""COMPUTED_VALUE"""),9227766.0)</f>
        <v>9227766</v>
      </c>
      <c r="C706" s="164" t="str">
        <f>IFERROR(__xludf.DUMMYFUNCTION("""COMPUTED_VALUE"""),"9227766S - 46")</f>
        <v>9227766S - 46</v>
      </c>
      <c r="D706" s="164" t="str">
        <f>IFERROR(__xludf.DUMMYFUNCTION("""COMPUTED_VALUE"""),"бордовый, белый")</f>
        <v>бордовый, белый</v>
      </c>
      <c r="E706" s="164" t="str">
        <f>IFERROR(__xludf.DUMMYFUNCTION("""COMPUTED_VALUE"""),"S - 46")</f>
        <v>S - 46</v>
      </c>
      <c r="F706" s="133" t="str">
        <f>IFERROR(__xludf.DUMMYFUNCTION("""COMPUTED_VALUE"""),"13519BLWS - 46")</f>
        <v>13519BLWS - 46</v>
      </c>
      <c r="G706" s="165">
        <f>IFERROR(__xludf.DUMMYFUNCTION("""COMPUTED_VALUE"""),1020.0)</f>
        <v>1020</v>
      </c>
    </row>
    <row r="707" ht="15.75" customHeight="1">
      <c r="A707" s="133" t="str">
        <f>IFERROR(__xludf.DUMMYFUNCTION("""COMPUTED_VALUE"""),"13519BLW")</f>
        <v>13519BLW</v>
      </c>
      <c r="B707" s="164">
        <f>IFERROR(__xludf.DUMMYFUNCTION("""COMPUTED_VALUE"""),9227766.0)</f>
        <v>9227766</v>
      </c>
      <c r="C707" s="164" t="str">
        <f>IFERROR(__xludf.DUMMYFUNCTION("""COMPUTED_VALUE"""),"9227766M - 48")</f>
        <v>9227766M - 48</v>
      </c>
      <c r="D707" s="164" t="str">
        <f>IFERROR(__xludf.DUMMYFUNCTION("""COMPUTED_VALUE"""),"бордовый, белый")</f>
        <v>бордовый, белый</v>
      </c>
      <c r="E707" s="164" t="str">
        <f>IFERROR(__xludf.DUMMYFUNCTION("""COMPUTED_VALUE"""),"M - 48")</f>
        <v>M - 48</v>
      </c>
      <c r="F707" s="133" t="str">
        <f>IFERROR(__xludf.DUMMYFUNCTION("""COMPUTED_VALUE"""),"13519BLWM - 48")</f>
        <v>13519BLWM - 48</v>
      </c>
      <c r="G707" s="165">
        <f>IFERROR(__xludf.DUMMYFUNCTION("""COMPUTED_VALUE"""),1020.0)</f>
        <v>1020</v>
      </c>
    </row>
    <row r="708" ht="15.75" customHeight="1">
      <c r="A708" s="133" t="str">
        <f>IFERROR(__xludf.DUMMYFUNCTION("""COMPUTED_VALUE"""),"13519BLW")</f>
        <v>13519BLW</v>
      </c>
      <c r="B708" s="164">
        <f>IFERROR(__xludf.DUMMYFUNCTION("""COMPUTED_VALUE"""),9227766.0)</f>
        <v>9227766</v>
      </c>
      <c r="C708" s="164" t="str">
        <f>IFERROR(__xludf.DUMMYFUNCTION("""COMPUTED_VALUE"""),"9227766L - 50")</f>
        <v>9227766L - 50</v>
      </c>
      <c r="D708" s="164" t="str">
        <f>IFERROR(__xludf.DUMMYFUNCTION("""COMPUTED_VALUE"""),"бордовый, белый")</f>
        <v>бордовый, белый</v>
      </c>
      <c r="E708" s="164" t="str">
        <f>IFERROR(__xludf.DUMMYFUNCTION("""COMPUTED_VALUE"""),"L - 50")</f>
        <v>L - 50</v>
      </c>
      <c r="F708" s="133" t="str">
        <f>IFERROR(__xludf.DUMMYFUNCTION("""COMPUTED_VALUE"""),"13519BLWL - 50")</f>
        <v>13519BLWL - 50</v>
      </c>
      <c r="G708" s="165">
        <f>IFERROR(__xludf.DUMMYFUNCTION("""COMPUTED_VALUE"""),1020.0)</f>
        <v>1020</v>
      </c>
    </row>
    <row r="709" ht="15.75" customHeight="1">
      <c r="A709" s="133" t="str">
        <f>IFERROR(__xludf.DUMMYFUNCTION("""COMPUTED_VALUE"""),"13519BLW")</f>
        <v>13519BLW</v>
      </c>
      <c r="B709" s="164">
        <f>IFERROR(__xludf.DUMMYFUNCTION("""COMPUTED_VALUE"""),9227766.0)</f>
        <v>9227766</v>
      </c>
      <c r="C709" s="164" t="str">
        <f>IFERROR(__xludf.DUMMYFUNCTION("""COMPUTED_VALUE"""),"9227766XL-52")</f>
        <v>9227766XL-52</v>
      </c>
      <c r="D709" s="164" t="str">
        <f>IFERROR(__xludf.DUMMYFUNCTION("""COMPUTED_VALUE"""),"бордовый, белый")</f>
        <v>бордовый, белый</v>
      </c>
      <c r="E709" s="164" t="str">
        <f>IFERROR(__xludf.DUMMYFUNCTION("""COMPUTED_VALUE"""),"XL-52")</f>
        <v>XL-52</v>
      </c>
      <c r="F709" s="133" t="str">
        <f>IFERROR(__xludf.DUMMYFUNCTION("""COMPUTED_VALUE"""),"13519BLWXL-52")</f>
        <v>13519BLWXL-52</v>
      </c>
      <c r="G709" s="165">
        <f>IFERROR(__xludf.DUMMYFUNCTION("""COMPUTED_VALUE"""),1020.0)</f>
        <v>1020</v>
      </c>
    </row>
    <row r="710" ht="15.75" customHeight="1">
      <c r="A710" s="133" t="str">
        <f>IFERROR(__xludf.DUMMYFUNCTION("""COMPUTED_VALUE"""),"13519BLW")</f>
        <v>13519BLW</v>
      </c>
      <c r="B710" s="164">
        <f>IFERROR(__xludf.DUMMYFUNCTION("""COMPUTED_VALUE"""),9227766.0)</f>
        <v>9227766</v>
      </c>
      <c r="C710" s="164" t="str">
        <f>IFERROR(__xludf.DUMMYFUNCTION("""COMPUTED_VALUE"""),"9227766XXL - 54")</f>
        <v>9227766XXL - 54</v>
      </c>
      <c r="D710" s="164" t="str">
        <f>IFERROR(__xludf.DUMMYFUNCTION("""COMPUTED_VALUE"""),"бордовый, белый")</f>
        <v>бордовый, белый</v>
      </c>
      <c r="E710" s="164" t="str">
        <f>IFERROR(__xludf.DUMMYFUNCTION("""COMPUTED_VALUE"""),"XXL - 54")</f>
        <v>XXL - 54</v>
      </c>
      <c r="F710" s="133" t="str">
        <f>IFERROR(__xludf.DUMMYFUNCTION("""COMPUTED_VALUE"""),"13519BLWXXL - 54")</f>
        <v>13519BLWXXL - 54</v>
      </c>
      <c r="G710" s="165">
        <f>IFERROR(__xludf.DUMMYFUNCTION("""COMPUTED_VALUE"""),1020.0)</f>
        <v>1020</v>
      </c>
    </row>
    <row r="711" ht="15.75" customHeight="1">
      <c r="A711" s="133" t="str">
        <f>IFERROR(__xludf.DUMMYFUNCTION("""COMPUTED_VALUE"""),"24020BLW")</f>
        <v>24020BLW</v>
      </c>
      <c r="B711" s="164">
        <f>IFERROR(__xludf.DUMMYFUNCTION("""COMPUTED_VALUE"""),1.5833783E7)</f>
        <v>15833783</v>
      </c>
      <c r="C711" s="164" t="str">
        <f>IFERROR(__xludf.DUMMYFUNCTION("""COMPUTED_VALUE"""),"15833783XXS- 42")</f>
        <v>15833783XXS- 42</v>
      </c>
      <c r="D711" s="164" t="str">
        <f>IFERROR(__xludf.DUMMYFUNCTION("""COMPUTED_VALUE"""),"голубой, белый")</f>
        <v>голубой, белый</v>
      </c>
      <c r="E711" s="164" t="str">
        <f>IFERROR(__xludf.DUMMYFUNCTION("""COMPUTED_VALUE"""),"XXS- 42")</f>
        <v>XXS- 42</v>
      </c>
      <c r="F711" s="133" t="str">
        <f>IFERROR(__xludf.DUMMYFUNCTION("""COMPUTED_VALUE"""),"24020BLWXXS- 42")</f>
        <v>24020BLWXXS- 42</v>
      </c>
      <c r="G711" s="165">
        <f>IFERROR(__xludf.DUMMYFUNCTION("""COMPUTED_VALUE"""),1176.0)</f>
        <v>1176</v>
      </c>
    </row>
    <row r="712" ht="15.75" customHeight="1">
      <c r="A712" s="133" t="str">
        <f>IFERROR(__xludf.DUMMYFUNCTION("""COMPUTED_VALUE"""),"24020BLW")</f>
        <v>24020BLW</v>
      </c>
      <c r="B712" s="164">
        <f>IFERROR(__xludf.DUMMYFUNCTION("""COMPUTED_VALUE"""),1.5833783E7)</f>
        <v>15833783</v>
      </c>
      <c r="C712" s="164" t="str">
        <f>IFERROR(__xludf.DUMMYFUNCTION("""COMPUTED_VALUE"""),"15833783ХS - 44")</f>
        <v>15833783ХS - 44</v>
      </c>
      <c r="D712" s="164" t="str">
        <f>IFERROR(__xludf.DUMMYFUNCTION("""COMPUTED_VALUE"""),"голубой, белый")</f>
        <v>голубой, белый</v>
      </c>
      <c r="E712" s="164" t="str">
        <f>IFERROR(__xludf.DUMMYFUNCTION("""COMPUTED_VALUE"""),"ХS - 44")</f>
        <v>ХS - 44</v>
      </c>
      <c r="F712" s="133" t="str">
        <f>IFERROR(__xludf.DUMMYFUNCTION("""COMPUTED_VALUE"""),"24020BLWХS - 44")</f>
        <v>24020BLWХS - 44</v>
      </c>
      <c r="G712" s="165">
        <f>IFERROR(__xludf.DUMMYFUNCTION("""COMPUTED_VALUE"""),1176.0)</f>
        <v>1176</v>
      </c>
    </row>
    <row r="713" ht="15.75" customHeight="1">
      <c r="A713" s="133" t="str">
        <f>IFERROR(__xludf.DUMMYFUNCTION("""COMPUTED_VALUE"""),"24020BLW")</f>
        <v>24020BLW</v>
      </c>
      <c r="B713" s="164">
        <f>IFERROR(__xludf.DUMMYFUNCTION("""COMPUTED_VALUE"""),1.5833783E7)</f>
        <v>15833783</v>
      </c>
      <c r="C713" s="164" t="str">
        <f>IFERROR(__xludf.DUMMYFUNCTION("""COMPUTED_VALUE"""),"15833783S - 46")</f>
        <v>15833783S - 46</v>
      </c>
      <c r="D713" s="164" t="str">
        <f>IFERROR(__xludf.DUMMYFUNCTION("""COMPUTED_VALUE"""),"голубой, белый")</f>
        <v>голубой, белый</v>
      </c>
      <c r="E713" s="164" t="str">
        <f>IFERROR(__xludf.DUMMYFUNCTION("""COMPUTED_VALUE"""),"S - 46")</f>
        <v>S - 46</v>
      </c>
      <c r="F713" s="133" t="str">
        <f>IFERROR(__xludf.DUMMYFUNCTION("""COMPUTED_VALUE"""),"24020BLWS - 46")</f>
        <v>24020BLWS - 46</v>
      </c>
      <c r="G713" s="165">
        <f>IFERROR(__xludf.DUMMYFUNCTION("""COMPUTED_VALUE"""),1176.0)</f>
        <v>1176</v>
      </c>
    </row>
    <row r="714" ht="15.75" customHeight="1">
      <c r="A714" s="133" t="str">
        <f>IFERROR(__xludf.DUMMYFUNCTION("""COMPUTED_VALUE"""),"24020BLW")</f>
        <v>24020BLW</v>
      </c>
      <c r="B714" s="164">
        <f>IFERROR(__xludf.DUMMYFUNCTION("""COMPUTED_VALUE"""),1.5833783E7)</f>
        <v>15833783</v>
      </c>
      <c r="C714" s="164" t="str">
        <f>IFERROR(__xludf.DUMMYFUNCTION("""COMPUTED_VALUE"""),"15833783M - 48")</f>
        <v>15833783M - 48</v>
      </c>
      <c r="D714" s="164" t="str">
        <f>IFERROR(__xludf.DUMMYFUNCTION("""COMPUTED_VALUE"""),"голубой, белый")</f>
        <v>голубой, белый</v>
      </c>
      <c r="E714" s="164" t="str">
        <f>IFERROR(__xludf.DUMMYFUNCTION("""COMPUTED_VALUE"""),"M - 48")</f>
        <v>M - 48</v>
      </c>
      <c r="F714" s="133" t="str">
        <f>IFERROR(__xludf.DUMMYFUNCTION("""COMPUTED_VALUE"""),"24020BLWM - 48")</f>
        <v>24020BLWM - 48</v>
      </c>
      <c r="G714" s="165">
        <f>IFERROR(__xludf.DUMMYFUNCTION("""COMPUTED_VALUE"""),1176.0)</f>
        <v>1176</v>
      </c>
    </row>
    <row r="715" ht="15.75" customHeight="1">
      <c r="A715" s="133" t="str">
        <f>IFERROR(__xludf.DUMMYFUNCTION("""COMPUTED_VALUE"""),"24020BLW")</f>
        <v>24020BLW</v>
      </c>
      <c r="B715" s="164">
        <f>IFERROR(__xludf.DUMMYFUNCTION("""COMPUTED_VALUE"""),1.5833783E7)</f>
        <v>15833783</v>
      </c>
      <c r="C715" s="164" t="str">
        <f>IFERROR(__xludf.DUMMYFUNCTION("""COMPUTED_VALUE"""),"15833783L - 50")</f>
        <v>15833783L - 50</v>
      </c>
      <c r="D715" s="164" t="str">
        <f>IFERROR(__xludf.DUMMYFUNCTION("""COMPUTED_VALUE"""),"голубой, белый")</f>
        <v>голубой, белый</v>
      </c>
      <c r="E715" s="164" t="str">
        <f>IFERROR(__xludf.DUMMYFUNCTION("""COMPUTED_VALUE"""),"L - 50")</f>
        <v>L - 50</v>
      </c>
      <c r="F715" s="133" t="str">
        <f>IFERROR(__xludf.DUMMYFUNCTION("""COMPUTED_VALUE"""),"24020BLWL - 50")</f>
        <v>24020BLWL - 50</v>
      </c>
      <c r="G715" s="165">
        <f>IFERROR(__xludf.DUMMYFUNCTION("""COMPUTED_VALUE"""),1176.0)</f>
        <v>1176</v>
      </c>
    </row>
    <row r="716" ht="15.75" customHeight="1">
      <c r="A716" s="133" t="str">
        <f>IFERROR(__xludf.DUMMYFUNCTION("""COMPUTED_VALUE"""),"24020BLW")</f>
        <v>24020BLW</v>
      </c>
      <c r="B716" s="164">
        <f>IFERROR(__xludf.DUMMYFUNCTION("""COMPUTED_VALUE"""),1.5833783E7)</f>
        <v>15833783</v>
      </c>
      <c r="C716" s="164" t="str">
        <f>IFERROR(__xludf.DUMMYFUNCTION("""COMPUTED_VALUE"""),"15833783XL-52")</f>
        <v>15833783XL-52</v>
      </c>
      <c r="D716" s="164" t="str">
        <f>IFERROR(__xludf.DUMMYFUNCTION("""COMPUTED_VALUE"""),"голубой, белый")</f>
        <v>голубой, белый</v>
      </c>
      <c r="E716" s="164" t="str">
        <f>IFERROR(__xludf.DUMMYFUNCTION("""COMPUTED_VALUE"""),"XL-52")</f>
        <v>XL-52</v>
      </c>
      <c r="F716" s="133" t="str">
        <f>IFERROR(__xludf.DUMMYFUNCTION("""COMPUTED_VALUE"""),"24020BLWXL-52")</f>
        <v>24020BLWXL-52</v>
      </c>
      <c r="G716" s="165">
        <f>IFERROR(__xludf.DUMMYFUNCTION("""COMPUTED_VALUE"""),1176.0)</f>
        <v>1176</v>
      </c>
    </row>
    <row r="717" ht="15.75" customHeight="1">
      <c r="A717" s="133" t="str">
        <f>IFERROR(__xludf.DUMMYFUNCTION("""COMPUTED_VALUE"""),"24020BLW")</f>
        <v>24020BLW</v>
      </c>
      <c r="B717" s="164">
        <f>IFERROR(__xludf.DUMMYFUNCTION("""COMPUTED_VALUE"""),1.5833783E7)</f>
        <v>15833783</v>
      </c>
      <c r="C717" s="164" t="str">
        <f>IFERROR(__xludf.DUMMYFUNCTION("""COMPUTED_VALUE"""),"15833783XXL - 54")</f>
        <v>15833783XXL - 54</v>
      </c>
      <c r="D717" s="164" t="str">
        <f>IFERROR(__xludf.DUMMYFUNCTION("""COMPUTED_VALUE"""),"голубой, белый")</f>
        <v>голубой, белый</v>
      </c>
      <c r="E717" s="164" t="str">
        <f>IFERROR(__xludf.DUMMYFUNCTION("""COMPUTED_VALUE"""),"XXL - 54")</f>
        <v>XXL - 54</v>
      </c>
      <c r="F717" s="133" t="str">
        <f>IFERROR(__xludf.DUMMYFUNCTION("""COMPUTED_VALUE"""),"24020BLWXXL - 54")</f>
        <v>24020BLWXXL - 54</v>
      </c>
      <c r="G717" s="165">
        <f>IFERROR(__xludf.DUMMYFUNCTION("""COMPUTED_VALUE"""),1176.0)</f>
        <v>1176</v>
      </c>
    </row>
    <row r="718" ht="15.75" customHeight="1">
      <c r="A718" s="133" t="str">
        <f>IFERROR(__xludf.DUMMYFUNCTION("""COMPUTED_VALUE"""),"11519BLM")</f>
        <v>11519BLM</v>
      </c>
      <c r="B718" s="164">
        <f>IFERROR(__xludf.DUMMYFUNCTION("""COMPUTED_VALUE"""),8955721.0)</f>
        <v>8955721</v>
      </c>
      <c r="C718" s="164" t="str">
        <f>IFERROR(__xludf.DUMMYFUNCTION("""COMPUTED_VALUE"""),"8955721S -46")</f>
        <v>8955721S -46</v>
      </c>
      <c r="D718" s="164" t="str">
        <f>IFERROR(__xludf.DUMMYFUNCTION("""COMPUTED_VALUE"""),"красный/белый")</f>
        <v>красный/белый</v>
      </c>
      <c r="E718" s="164" t="str">
        <f>IFERROR(__xludf.DUMMYFUNCTION("""COMPUTED_VALUE"""),"S -46")</f>
        <v>S -46</v>
      </c>
      <c r="F718" s="133" t="str">
        <f>IFERROR(__xludf.DUMMYFUNCTION("""COMPUTED_VALUE"""),"11519BLMS -46")</f>
        <v>11519BLMS -46</v>
      </c>
      <c r="G718" s="165">
        <f>IFERROR(__xludf.DUMMYFUNCTION("""COMPUTED_VALUE"""),1103.0)</f>
        <v>1103</v>
      </c>
    </row>
    <row r="719" ht="15.75" customHeight="1">
      <c r="A719" s="133" t="str">
        <f>IFERROR(__xludf.DUMMYFUNCTION("""COMPUTED_VALUE"""),"11519BLM")</f>
        <v>11519BLM</v>
      </c>
      <c r="B719" s="164">
        <f>IFERROR(__xludf.DUMMYFUNCTION("""COMPUTED_VALUE"""),8955721.0)</f>
        <v>8955721</v>
      </c>
      <c r="C719" s="164" t="str">
        <f>IFERROR(__xludf.DUMMYFUNCTION("""COMPUTED_VALUE"""),"8955721M - 48")</f>
        <v>8955721M - 48</v>
      </c>
      <c r="D719" s="164" t="str">
        <f>IFERROR(__xludf.DUMMYFUNCTION("""COMPUTED_VALUE"""),"красный/белый")</f>
        <v>красный/белый</v>
      </c>
      <c r="E719" s="164" t="str">
        <f>IFERROR(__xludf.DUMMYFUNCTION("""COMPUTED_VALUE"""),"M - 48")</f>
        <v>M - 48</v>
      </c>
      <c r="F719" s="133" t="str">
        <f>IFERROR(__xludf.DUMMYFUNCTION("""COMPUTED_VALUE"""),"11519BLMM - 48")</f>
        <v>11519BLMM - 48</v>
      </c>
      <c r="G719" s="165">
        <f>IFERROR(__xludf.DUMMYFUNCTION("""COMPUTED_VALUE"""),1103.0)</f>
        <v>1103</v>
      </c>
    </row>
    <row r="720" ht="15.75" customHeight="1">
      <c r="A720" s="133" t="str">
        <f>IFERROR(__xludf.DUMMYFUNCTION("""COMPUTED_VALUE"""),"11519BLM")</f>
        <v>11519BLM</v>
      </c>
      <c r="B720" s="164">
        <f>IFERROR(__xludf.DUMMYFUNCTION("""COMPUTED_VALUE"""),8955721.0)</f>
        <v>8955721</v>
      </c>
      <c r="C720" s="164" t="str">
        <f>IFERROR(__xludf.DUMMYFUNCTION("""COMPUTED_VALUE"""),"8955721L - 50")</f>
        <v>8955721L - 50</v>
      </c>
      <c r="D720" s="164" t="str">
        <f>IFERROR(__xludf.DUMMYFUNCTION("""COMPUTED_VALUE"""),"красный/белый")</f>
        <v>красный/белый</v>
      </c>
      <c r="E720" s="164" t="str">
        <f>IFERROR(__xludf.DUMMYFUNCTION("""COMPUTED_VALUE"""),"L - 50")</f>
        <v>L - 50</v>
      </c>
      <c r="F720" s="133" t="str">
        <f>IFERROR(__xludf.DUMMYFUNCTION("""COMPUTED_VALUE"""),"11519BLML - 50")</f>
        <v>11519BLML - 50</v>
      </c>
      <c r="G720" s="165">
        <f>IFERROR(__xludf.DUMMYFUNCTION("""COMPUTED_VALUE"""),1103.0)</f>
        <v>1103</v>
      </c>
    </row>
    <row r="721" ht="15.75" customHeight="1">
      <c r="A721" s="133" t="str">
        <f>IFERROR(__xludf.DUMMYFUNCTION("""COMPUTED_VALUE"""),"11519BLM")</f>
        <v>11519BLM</v>
      </c>
      <c r="B721" s="164">
        <f>IFERROR(__xludf.DUMMYFUNCTION("""COMPUTED_VALUE"""),8955721.0)</f>
        <v>8955721</v>
      </c>
      <c r="C721" s="164" t="str">
        <f>IFERROR(__xludf.DUMMYFUNCTION("""COMPUTED_VALUE"""),"8955721XL - 52")</f>
        <v>8955721XL - 52</v>
      </c>
      <c r="D721" s="164" t="str">
        <f>IFERROR(__xludf.DUMMYFUNCTION("""COMPUTED_VALUE"""),"красный/белый")</f>
        <v>красный/белый</v>
      </c>
      <c r="E721" s="164" t="str">
        <f>IFERROR(__xludf.DUMMYFUNCTION("""COMPUTED_VALUE"""),"XL - 52")</f>
        <v>XL - 52</v>
      </c>
      <c r="F721" s="133" t="str">
        <f>IFERROR(__xludf.DUMMYFUNCTION("""COMPUTED_VALUE"""),"11519BLMXL - 52")</f>
        <v>11519BLMXL - 52</v>
      </c>
      <c r="G721" s="165">
        <f>IFERROR(__xludf.DUMMYFUNCTION("""COMPUTED_VALUE"""),1103.0)</f>
        <v>1103</v>
      </c>
    </row>
    <row r="722" ht="15.75" customHeight="1">
      <c r="A722" s="133" t="str">
        <f>IFERROR(__xludf.DUMMYFUNCTION("""COMPUTED_VALUE"""),"11519BLM")</f>
        <v>11519BLM</v>
      </c>
      <c r="B722" s="164">
        <f>IFERROR(__xludf.DUMMYFUNCTION("""COMPUTED_VALUE"""),8955721.0)</f>
        <v>8955721</v>
      </c>
      <c r="C722" s="164" t="str">
        <f>IFERROR(__xludf.DUMMYFUNCTION("""COMPUTED_VALUE"""),"8955721XXL - 54")</f>
        <v>8955721XXL - 54</v>
      </c>
      <c r="D722" s="164" t="str">
        <f>IFERROR(__xludf.DUMMYFUNCTION("""COMPUTED_VALUE"""),"красный/белый")</f>
        <v>красный/белый</v>
      </c>
      <c r="E722" s="164" t="str">
        <f>IFERROR(__xludf.DUMMYFUNCTION("""COMPUTED_VALUE"""),"XXL - 54")</f>
        <v>XXL - 54</v>
      </c>
      <c r="F722" s="133" t="str">
        <f>IFERROR(__xludf.DUMMYFUNCTION("""COMPUTED_VALUE"""),"11519BLMXXL - 54")</f>
        <v>11519BLMXXL - 54</v>
      </c>
      <c r="G722" s="165">
        <f>IFERROR(__xludf.DUMMYFUNCTION("""COMPUTED_VALUE"""),1103.0)</f>
        <v>1103</v>
      </c>
    </row>
    <row r="723" ht="15.75" customHeight="1">
      <c r="A723" s="133" t="str">
        <f>IFERROR(__xludf.DUMMYFUNCTION("""COMPUTED_VALUE"""),"11519BLM")</f>
        <v>11519BLM</v>
      </c>
      <c r="B723" s="164">
        <f>IFERROR(__xludf.DUMMYFUNCTION("""COMPUTED_VALUE"""),8955721.0)</f>
        <v>8955721</v>
      </c>
      <c r="C723" s="164" t="str">
        <f>IFERROR(__xludf.DUMMYFUNCTION("""COMPUTED_VALUE"""),"8955721XXXL - 56")</f>
        <v>8955721XXXL - 56</v>
      </c>
      <c r="D723" s="164" t="str">
        <f>IFERROR(__xludf.DUMMYFUNCTION("""COMPUTED_VALUE"""),"красный/белый")</f>
        <v>красный/белый</v>
      </c>
      <c r="E723" s="164" t="str">
        <f>IFERROR(__xludf.DUMMYFUNCTION("""COMPUTED_VALUE"""),"XXXL - 56")</f>
        <v>XXXL - 56</v>
      </c>
      <c r="F723" s="133" t="str">
        <f>IFERROR(__xludf.DUMMYFUNCTION("""COMPUTED_VALUE"""),"11519BLMXXXL - 56")</f>
        <v>11519BLMXXXL - 56</v>
      </c>
      <c r="G723" s="165">
        <f>IFERROR(__xludf.DUMMYFUNCTION("""COMPUTED_VALUE"""),1103.0)</f>
        <v>1103</v>
      </c>
    </row>
    <row r="724" ht="15.75" customHeight="1">
      <c r="A724" s="133" t="str">
        <f>IFERROR(__xludf.DUMMYFUNCTION("""COMPUTED_VALUE"""),"11619BLM")</f>
        <v>11619BLM</v>
      </c>
      <c r="B724" s="164">
        <f>IFERROR(__xludf.DUMMYFUNCTION("""COMPUTED_VALUE"""),8955722.0)</f>
        <v>8955722</v>
      </c>
      <c r="C724" s="164" t="str">
        <f>IFERROR(__xludf.DUMMYFUNCTION("""COMPUTED_VALUE"""),"8955722S -46")</f>
        <v>8955722S -46</v>
      </c>
      <c r="D724" s="164" t="str">
        <f>IFERROR(__xludf.DUMMYFUNCTION("""COMPUTED_VALUE"""),"синий/белый")</f>
        <v>синий/белый</v>
      </c>
      <c r="E724" s="164" t="str">
        <f>IFERROR(__xludf.DUMMYFUNCTION("""COMPUTED_VALUE"""),"S -46")</f>
        <v>S -46</v>
      </c>
      <c r="F724" s="133" t="str">
        <f>IFERROR(__xludf.DUMMYFUNCTION("""COMPUTED_VALUE"""),"11619BLMS -46")</f>
        <v>11619BLMS -46</v>
      </c>
      <c r="G724" s="165">
        <f>IFERROR(__xludf.DUMMYFUNCTION("""COMPUTED_VALUE"""),1138.0)</f>
        <v>1138</v>
      </c>
    </row>
    <row r="725" ht="15.75" customHeight="1">
      <c r="A725" s="133" t="str">
        <f>IFERROR(__xludf.DUMMYFUNCTION("""COMPUTED_VALUE"""),"11619BLM")</f>
        <v>11619BLM</v>
      </c>
      <c r="B725" s="164">
        <f>IFERROR(__xludf.DUMMYFUNCTION("""COMPUTED_VALUE"""),8955722.0)</f>
        <v>8955722</v>
      </c>
      <c r="C725" s="164" t="str">
        <f>IFERROR(__xludf.DUMMYFUNCTION("""COMPUTED_VALUE"""),"8955722M - 48")</f>
        <v>8955722M - 48</v>
      </c>
      <c r="D725" s="164" t="str">
        <f>IFERROR(__xludf.DUMMYFUNCTION("""COMPUTED_VALUE"""),"синий/белый")</f>
        <v>синий/белый</v>
      </c>
      <c r="E725" s="164" t="str">
        <f>IFERROR(__xludf.DUMMYFUNCTION("""COMPUTED_VALUE"""),"M - 48")</f>
        <v>M - 48</v>
      </c>
      <c r="F725" s="133" t="str">
        <f>IFERROR(__xludf.DUMMYFUNCTION("""COMPUTED_VALUE"""),"11619BLMM - 48")</f>
        <v>11619BLMM - 48</v>
      </c>
      <c r="G725" s="165">
        <f>IFERROR(__xludf.DUMMYFUNCTION("""COMPUTED_VALUE"""),1138.0)</f>
        <v>1138</v>
      </c>
    </row>
    <row r="726" ht="15.75" customHeight="1">
      <c r="A726" s="133" t="str">
        <f>IFERROR(__xludf.DUMMYFUNCTION("""COMPUTED_VALUE"""),"11619BLM")</f>
        <v>11619BLM</v>
      </c>
      <c r="B726" s="164">
        <f>IFERROR(__xludf.DUMMYFUNCTION("""COMPUTED_VALUE"""),8955722.0)</f>
        <v>8955722</v>
      </c>
      <c r="C726" s="164" t="str">
        <f>IFERROR(__xludf.DUMMYFUNCTION("""COMPUTED_VALUE"""),"8955722L - 50")</f>
        <v>8955722L - 50</v>
      </c>
      <c r="D726" s="164" t="str">
        <f>IFERROR(__xludf.DUMMYFUNCTION("""COMPUTED_VALUE"""),"синий/белый")</f>
        <v>синий/белый</v>
      </c>
      <c r="E726" s="164" t="str">
        <f>IFERROR(__xludf.DUMMYFUNCTION("""COMPUTED_VALUE"""),"L - 50")</f>
        <v>L - 50</v>
      </c>
      <c r="F726" s="133" t="str">
        <f>IFERROR(__xludf.DUMMYFUNCTION("""COMPUTED_VALUE"""),"11619BLML - 50")</f>
        <v>11619BLML - 50</v>
      </c>
      <c r="G726" s="165">
        <f>IFERROR(__xludf.DUMMYFUNCTION("""COMPUTED_VALUE"""),1138.0)</f>
        <v>1138</v>
      </c>
    </row>
    <row r="727" ht="15.75" customHeight="1">
      <c r="A727" s="133" t="str">
        <f>IFERROR(__xludf.DUMMYFUNCTION("""COMPUTED_VALUE"""),"11619BLM")</f>
        <v>11619BLM</v>
      </c>
      <c r="B727" s="164">
        <f>IFERROR(__xludf.DUMMYFUNCTION("""COMPUTED_VALUE"""),8955722.0)</f>
        <v>8955722</v>
      </c>
      <c r="C727" s="164" t="str">
        <f>IFERROR(__xludf.DUMMYFUNCTION("""COMPUTED_VALUE"""),"8955722XL - 52")</f>
        <v>8955722XL - 52</v>
      </c>
      <c r="D727" s="164" t="str">
        <f>IFERROR(__xludf.DUMMYFUNCTION("""COMPUTED_VALUE"""),"синий/белый")</f>
        <v>синий/белый</v>
      </c>
      <c r="E727" s="164" t="str">
        <f>IFERROR(__xludf.DUMMYFUNCTION("""COMPUTED_VALUE"""),"XL - 52")</f>
        <v>XL - 52</v>
      </c>
      <c r="F727" s="133" t="str">
        <f>IFERROR(__xludf.DUMMYFUNCTION("""COMPUTED_VALUE"""),"11619BLMXL - 52")</f>
        <v>11619BLMXL - 52</v>
      </c>
      <c r="G727" s="165">
        <f>IFERROR(__xludf.DUMMYFUNCTION("""COMPUTED_VALUE"""),1138.0)</f>
        <v>1138</v>
      </c>
    </row>
    <row r="728" ht="15.75" customHeight="1">
      <c r="A728" s="133" t="str">
        <f>IFERROR(__xludf.DUMMYFUNCTION("""COMPUTED_VALUE"""),"11619BLM")</f>
        <v>11619BLM</v>
      </c>
      <c r="B728" s="164">
        <f>IFERROR(__xludf.DUMMYFUNCTION("""COMPUTED_VALUE"""),8955722.0)</f>
        <v>8955722</v>
      </c>
      <c r="C728" s="164" t="str">
        <f>IFERROR(__xludf.DUMMYFUNCTION("""COMPUTED_VALUE"""),"8955722XXL - 54")</f>
        <v>8955722XXL - 54</v>
      </c>
      <c r="D728" s="164" t="str">
        <f>IFERROR(__xludf.DUMMYFUNCTION("""COMPUTED_VALUE"""),"синий/белый")</f>
        <v>синий/белый</v>
      </c>
      <c r="E728" s="164" t="str">
        <f>IFERROR(__xludf.DUMMYFUNCTION("""COMPUTED_VALUE"""),"XXL - 54")</f>
        <v>XXL - 54</v>
      </c>
      <c r="F728" s="133" t="str">
        <f>IFERROR(__xludf.DUMMYFUNCTION("""COMPUTED_VALUE"""),"11619BLMXXL - 54")</f>
        <v>11619BLMXXL - 54</v>
      </c>
      <c r="G728" s="165">
        <f>IFERROR(__xludf.DUMMYFUNCTION("""COMPUTED_VALUE"""),1138.0)</f>
        <v>1138</v>
      </c>
    </row>
    <row r="729" ht="15.75" customHeight="1">
      <c r="A729" s="133" t="str">
        <f>IFERROR(__xludf.DUMMYFUNCTION("""COMPUTED_VALUE"""),"11619BLM")</f>
        <v>11619BLM</v>
      </c>
      <c r="B729" s="164">
        <f>IFERROR(__xludf.DUMMYFUNCTION("""COMPUTED_VALUE"""),8955722.0)</f>
        <v>8955722</v>
      </c>
      <c r="C729" s="164" t="str">
        <f>IFERROR(__xludf.DUMMYFUNCTION("""COMPUTED_VALUE"""),"8955722XXXL - 56")</f>
        <v>8955722XXXL - 56</v>
      </c>
      <c r="D729" s="164" t="str">
        <f>IFERROR(__xludf.DUMMYFUNCTION("""COMPUTED_VALUE"""),"синий/белый")</f>
        <v>синий/белый</v>
      </c>
      <c r="E729" s="164" t="str">
        <f>IFERROR(__xludf.DUMMYFUNCTION("""COMPUTED_VALUE"""),"XXXL - 56")</f>
        <v>XXXL - 56</v>
      </c>
      <c r="F729" s="133" t="str">
        <f>IFERROR(__xludf.DUMMYFUNCTION("""COMPUTED_VALUE"""),"11619BLMXXXL - 56")</f>
        <v>11619BLMXXXL - 56</v>
      </c>
      <c r="G729" s="165">
        <f>IFERROR(__xludf.DUMMYFUNCTION("""COMPUTED_VALUE"""),1138.0)</f>
        <v>1138</v>
      </c>
    </row>
    <row r="730" ht="15.75" customHeight="1">
      <c r="A730" s="133" t="str">
        <f>IFERROR(__xludf.DUMMYFUNCTION("""COMPUTED_VALUE"""),"11819BLM")</f>
        <v>11819BLM</v>
      </c>
      <c r="B730" s="164">
        <f>IFERROR(__xludf.DUMMYFUNCTION("""COMPUTED_VALUE"""),8955723.0)</f>
        <v>8955723</v>
      </c>
      <c r="C730" s="164" t="str">
        <f>IFERROR(__xludf.DUMMYFUNCTION("""COMPUTED_VALUE"""),"8955723S -46")</f>
        <v>8955723S -46</v>
      </c>
      <c r="D730" s="164" t="str">
        <f>IFERROR(__xludf.DUMMYFUNCTION("""COMPUTED_VALUE"""),"красный/василек")</f>
        <v>красный/василек</v>
      </c>
      <c r="E730" s="164" t="str">
        <f>IFERROR(__xludf.DUMMYFUNCTION("""COMPUTED_VALUE"""),"S -46")</f>
        <v>S -46</v>
      </c>
      <c r="F730" s="133" t="str">
        <f>IFERROR(__xludf.DUMMYFUNCTION("""COMPUTED_VALUE"""),"11819BLMS -46")</f>
        <v>11819BLMS -46</v>
      </c>
      <c r="G730" s="165">
        <f>IFERROR(__xludf.DUMMYFUNCTION("""COMPUTED_VALUE"""),1028.0)</f>
        <v>1028</v>
      </c>
    </row>
    <row r="731" ht="15.75" customHeight="1">
      <c r="A731" s="133" t="str">
        <f>IFERROR(__xludf.DUMMYFUNCTION("""COMPUTED_VALUE"""),"11819BLM")</f>
        <v>11819BLM</v>
      </c>
      <c r="B731" s="164">
        <f>IFERROR(__xludf.DUMMYFUNCTION("""COMPUTED_VALUE"""),8955723.0)</f>
        <v>8955723</v>
      </c>
      <c r="C731" s="164" t="str">
        <f>IFERROR(__xludf.DUMMYFUNCTION("""COMPUTED_VALUE"""),"8955723M - 48")</f>
        <v>8955723M - 48</v>
      </c>
      <c r="D731" s="164" t="str">
        <f>IFERROR(__xludf.DUMMYFUNCTION("""COMPUTED_VALUE"""),"красный/василек")</f>
        <v>красный/василек</v>
      </c>
      <c r="E731" s="164" t="str">
        <f>IFERROR(__xludf.DUMMYFUNCTION("""COMPUTED_VALUE"""),"M - 48")</f>
        <v>M - 48</v>
      </c>
      <c r="F731" s="133" t="str">
        <f>IFERROR(__xludf.DUMMYFUNCTION("""COMPUTED_VALUE"""),"11819BLMM - 48")</f>
        <v>11819BLMM - 48</v>
      </c>
      <c r="G731" s="165">
        <f>IFERROR(__xludf.DUMMYFUNCTION("""COMPUTED_VALUE"""),1028.0)</f>
        <v>1028</v>
      </c>
    </row>
    <row r="732" ht="15.75" customHeight="1">
      <c r="A732" s="133" t="str">
        <f>IFERROR(__xludf.DUMMYFUNCTION("""COMPUTED_VALUE"""),"11819BLM")</f>
        <v>11819BLM</v>
      </c>
      <c r="B732" s="164">
        <f>IFERROR(__xludf.DUMMYFUNCTION("""COMPUTED_VALUE"""),8955723.0)</f>
        <v>8955723</v>
      </c>
      <c r="C732" s="164" t="str">
        <f>IFERROR(__xludf.DUMMYFUNCTION("""COMPUTED_VALUE"""),"8955723L - 50")</f>
        <v>8955723L - 50</v>
      </c>
      <c r="D732" s="164" t="str">
        <f>IFERROR(__xludf.DUMMYFUNCTION("""COMPUTED_VALUE"""),"красный/василек")</f>
        <v>красный/василек</v>
      </c>
      <c r="E732" s="164" t="str">
        <f>IFERROR(__xludf.DUMMYFUNCTION("""COMPUTED_VALUE"""),"L - 50")</f>
        <v>L - 50</v>
      </c>
      <c r="F732" s="133" t="str">
        <f>IFERROR(__xludf.DUMMYFUNCTION("""COMPUTED_VALUE"""),"11819BLML - 50")</f>
        <v>11819BLML - 50</v>
      </c>
      <c r="G732" s="165">
        <f>IFERROR(__xludf.DUMMYFUNCTION("""COMPUTED_VALUE"""),1028.0)</f>
        <v>1028</v>
      </c>
    </row>
    <row r="733" ht="15.75" customHeight="1">
      <c r="A733" s="133" t="str">
        <f>IFERROR(__xludf.DUMMYFUNCTION("""COMPUTED_VALUE"""),"11819BLM")</f>
        <v>11819BLM</v>
      </c>
      <c r="B733" s="164">
        <f>IFERROR(__xludf.DUMMYFUNCTION("""COMPUTED_VALUE"""),8955723.0)</f>
        <v>8955723</v>
      </c>
      <c r="C733" s="164" t="str">
        <f>IFERROR(__xludf.DUMMYFUNCTION("""COMPUTED_VALUE"""),"8955723XL - 52")</f>
        <v>8955723XL - 52</v>
      </c>
      <c r="D733" s="164" t="str">
        <f>IFERROR(__xludf.DUMMYFUNCTION("""COMPUTED_VALUE"""),"красный/василек")</f>
        <v>красный/василек</v>
      </c>
      <c r="E733" s="164" t="str">
        <f>IFERROR(__xludf.DUMMYFUNCTION("""COMPUTED_VALUE"""),"XL - 52")</f>
        <v>XL - 52</v>
      </c>
      <c r="F733" s="133" t="str">
        <f>IFERROR(__xludf.DUMMYFUNCTION("""COMPUTED_VALUE"""),"11819BLMXL - 52")</f>
        <v>11819BLMXL - 52</v>
      </c>
      <c r="G733" s="165">
        <f>IFERROR(__xludf.DUMMYFUNCTION("""COMPUTED_VALUE"""),1028.0)</f>
        <v>1028</v>
      </c>
    </row>
    <row r="734" ht="15.75" customHeight="1">
      <c r="A734" s="133" t="str">
        <f>IFERROR(__xludf.DUMMYFUNCTION("""COMPUTED_VALUE"""),"11819BLM")</f>
        <v>11819BLM</v>
      </c>
      <c r="B734" s="164">
        <f>IFERROR(__xludf.DUMMYFUNCTION("""COMPUTED_VALUE"""),8955723.0)</f>
        <v>8955723</v>
      </c>
      <c r="C734" s="164" t="str">
        <f>IFERROR(__xludf.DUMMYFUNCTION("""COMPUTED_VALUE"""),"8955723XXL - 54")</f>
        <v>8955723XXL - 54</v>
      </c>
      <c r="D734" s="164" t="str">
        <f>IFERROR(__xludf.DUMMYFUNCTION("""COMPUTED_VALUE"""),"красный/василек")</f>
        <v>красный/василек</v>
      </c>
      <c r="E734" s="164" t="str">
        <f>IFERROR(__xludf.DUMMYFUNCTION("""COMPUTED_VALUE"""),"XXL - 54")</f>
        <v>XXL - 54</v>
      </c>
      <c r="F734" s="133" t="str">
        <f>IFERROR(__xludf.DUMMYFUNCTION("""COMPUTED_VALUE"""),"11819BLMXXL - 54")</f>
        <v>11819BLMXXL - 54</v>
      </c>
      <c r="G734" s="165">
        <f>IFERROR(__xludf.DUMMYFUNCTION("""COMPUTED_VALUE"""),1028.0)</f>
        <v>1028</v>
      </c>
    </row>
    <row r="735" ht="15.75" customHeight="1">
      <c r="A735" s="133" t="str">
        <f>IFERROR(__xludf.DUMMYFUNCTION("""COMPUTED_VALUE"""),"11819BLM")</f>
        <v>11819BLM</v>
      </c>
      <c r="B735" s="164">
        <f>IFERROR(__xludf.DUMMYFUNCTION("""COMPUTED_VALUE"""),8955723.0)</f>
        <v>8955723</v>
      </c>
      <c r="C735" s="164" t="str">
        <f>IFERROR(__xludf.DUMMYFUNCTION("""COMPUTED_VALUE"""),"8955723XXXL - 56")</f>
        <v>8955723XXXL - 56</v>
      </c>
      <c r="D735" s="164" t="str">
        <f>IFERROR(__xludf.DUMMYFUNCTION("""COMPUTED_VALUE"""),"красный/василек")</f>
        <v>красный/василек</v>
      </c>
      <c r="E735" s="164" t="str">
        <f>IFERROR(__xludf.DUMMYFUNCTION("""COMPUTED_VALUE"""),"XXXL - 56")</f>
        <v>XXXL - 56</v>
      </c>
      <c r="F735" s="133" t="str">
        <f>IFERROR(__xludf.DUMMYFUNCTION("""COMPUTED_VALUE"""),"11819BLMXXXL - 56")</f>
        <v>11819BLMXXXL - 56</v>
      </c>
      <c r="G735" s="165">
        <f>IFERROR(__xludf.DUMMYFUNCTION("""COMPUTED_VALUE"""),1028.0)</f>
        <v>1028</v>
      </c>
    </row>
    <row r="736" ht="15.75" customHeight="1">
      <c r="A736" s="133" t="str">
        <f>IFERROR(__xludf.DUMMYFUNCTION("""COMPUTED_VALUE"""),"11919BLM")</f>
        <v>11919BLM</v>
      </c>
      <c r="B736" s="164">
        <f>IFERROR(__xludf.DUMMYFUNCTION("""COMPUTED_VALUE"""),8955724.0)</f>
        <v>8955724</v>
      </c>
      <c r="C736" s="164" t="str">
        <f>IFERROR(__xludf.DUMMYFUNCTION("""COMPUTED_VALUE"""),"8955724S -46")</f>
        <v>8955724S -46</v>
      </c>
      <c r="D736" s="164" t="str">
        <f>IFERROR(__xludf.DUMMYFUNCTION("""COMPUTED_VALUE"""),"васильковый")</f>
        <v>васильковый</v>
      </c>
      <c r="E736" s="164" t="str">
        <f>IFERROR(__xludf.DUMMYFUNCTION("""COMPUTED_VALUE"""),"S -46")</f>
        <v>S -46</v>
      </c>
      <c r="F736" s="133" t="str">
        <f>IFERROR(__xludf.DUMMYFUNCTION("""COMPUTED_VALUE"""),"11919BLMS -46")</f>
        <v>11919BLMS -46</v>
      </c>
      <c r="G736" s="165">
        <f>IFERROR(__xludf.DUMMYFUNCTION("""COMPUTED_VALUE"""),1028.0)</f>
        <v>1028</v>
      </c>
    </row>
    <row r="737" ht="15.75" customHeight="1">
      <c r="A737" s="133" t="str">
        <f>IFERROR(__xludf.DUMMYFUNCTION("""COMPUTED_VALUE"""),"11919BLM")</f>
        <v>11919BLM</v>
      </c>
      <c r="B737" s="164">
        <f>IFERROR(__xludf.DUMMYFUNCTION("""COMPUTED_VALUE"""),8955724.0)</f>
        <v>8955724</v>
      </c>
      <c r="C737" s="164" t="str">
        <f>IFERROR(__xludf.DUMMYFUNCTION("""COMPUTED_VALUE"""),"8955724M - 48")</f>
        <v>8955724M - 48</v>
      </c>
      <c r="D737" s="164" t="str">
        <f>IFERROR(__xludf.DUMMYFUNCTION("""COMPUTED_VALUE"""),"васильковый")</f>
        <v>васильковый</v>
      </c>
      <c r="E737" s="164" t="str">
        <f>IFERROR(__xludf.DUMMYFUNCTION("""COMPUTED_VALUE"""),"M - 48")</f>
        <v>M - 48</v>
      </c>
      <c r="F737" s="133" t="str">
        <f>IFERROR(__xludf.DUMMYFUNCTION("""COMPUTED_VALUE"""),"11919BLMM - 48")</f>
        <v>11919BLMM - 48</v>
      </c>
      <c r="G737" s="165">
        <f>IFERROR(__xludf.DUMMYFUNCTION("""COMPUTED_VALUE"""),1028.0)</f>
        <v>1028</v>
      </c>
    </row>
    <row r="738" ht="15.75" customHeight="1">
      <c r="A738" s="133" t="str">
        <f>IFERROR(__xludf.DUMMYFUNCTION("""COMPUTED_VALUE"""),"11919BLM")</f>
        <v>11919BLM</v>
      </c>
      <c r="B738" s="164">
        <f>IFERROR(__xludf.DUMMYFUNCTION("""COMPUTED_VALUE"""),8955724.0)</f>
        <v>8955724</v>
      </c>
      <c r="C738" s="164" t="str">
        <f>IFERROR(__xludf.DUMMYFUNCTION("""COMPUTED_VALUE"""),"8955724L - 50")</f>
        <v>8955724L - 50</v>
      </c>
      <c r="D738" s="164" t="str">
        <f>IFERROR(__xludf.DUMMYFUNCTION("""COMPUTED_VALUE"""),"васильковый")</f>
        <v>васильковый</v>
      </c>
      <c r="E738" s="164" t="str">
        <f>IFERROR(__xludf.DUMMYFUNCTION("""COMPUTED_VALUE"""),"L - 50")</f>
        <v>L - 50</v>
      </c>
      <c r="F738" s="133" t="str">
        <f>IFERROR(__xludf.DUMMYFUNCTION("""COMPUTED_VALUE"""),"11919BLML - 50")</f>
        <v>11919BLML - 50</v>
      </c>
      <c r="G738" s="165">
        <f>IFERROR(__xludf.DUMMYFUNCTION("""COMPUTED_VALUE"""),1028.0)</f>
        <v>1028</v>
      </c>
    </row>
    <row r="739" ht="15.75" customHeight="1">
      <c r="A739" s="133" t="str">
        <f>IFERROR(__xludf.DUMMYFUNCTION("""COMPUTED_VALUE"""),"11919BLM")</f>
        <v>11919BLM</v>
      </c>
      <c r="B739" s="164">
        <f>IFERROR(__xludf.DUMMYFUNCTION("""COMPUTED_VALUE"""),8955724.0)</f>
        <v>8955724</v>
      </c>
      <c r="C739" s="164" t="str">
        <f>IFERROR(__xludf.DUMMYFUNCTION("""COMPUTED_VALUE"""),"8955724XL - 52")</f>
        <v>8955724XL - 52</v>
      </c>
      <c r="D739" s="164" t="str">
        <f>IFERROR(__xludf.DUMMYFUNCTION("""COMPUTED_VALUE"""),"васильковый")</f>
        <v>васильковый</v>
      </c>
      <c r="E739" s="164" t="str">
        <f>IFERROR(__xludf.DUMMYFUNCTION("""COMPUTED_VALUE"""),"XL - 52")</f>
        <v>XL - 52</v>
      </c>
      <c r="F739" s="133" t="str">
        <f>IFERROR(__xludf.DUMMYFUNCTION("""COMPUTED_VALUE"""),"11919BLMXL - 52")</f>
        <v>11919BLMXL - 52</v>
      </c>
      <c r="G739" s="165">
        <f>IFERROR(__xludf.DUMMYFUNCTION("""COMPUTED_VALUE"""),1028.0)</f>
        <v>1028</v>
      </c>
    </row>
    <row r="740" ht="15.75" customHeight="1">
      <c r="A740" s="133" t="str">
        <f>IFERROR(__xludf.DUMMYFUNCTION("""COMPUTED_VALUE"""),"11919BLM")</f>
        <v>11919BLM</v>
      </c>
      <c r="B740" s="164">
        <f>IFERROR(__xludf.DUMMYFUNCTION("""COMPUTED_VALUE"""),8955724.0)</f>
        <v>8955724</v>
      </c>
      <c r="C740" s="164" t="str">
        <f>IFERROR(__xludf.DUMMYFUNCTION("""COMPUTED_VALUE"""),"8955724XXL - 54")</f>
        <v>8955724XXL - 54</v>
      </c>
      <c r="D740" s="164" t="str">
        <f>IFERROR(__xludf.DUMMYFUNCTION("""COMPUTED_VALUE"""),"васильковый")</f>
        <v>васильковый</v>
      </c>
      <c r="E740" s="164" t="str">
        <f>IFERROR(__xludf.DUMMYFUNCTION("""COMPUTED_VALUE"""),"XXL - 54")</f>
        <v>XXL - 54</v>
      </c>
      <c r="F740" s="133" t="str">
        <f>IFERROR(__xludf.DUMMYFUNCTION("""COMPUTED_VALUE"""),"11919BLMXXL - 54")</f>
        <v>11919BLMXXL - 54</v>
      </c>
      <c r="G740" s="165">
        <f>IFERROR(__xludf.DUMMYFUNCTION("""COMPUTED_VALUE"""),1028.0)</f>
        <v>1028</v>
      </c>
    </row>
    <row r="741" ht="15.75" customHeight="1">
      <c r="A741" s="133" t="str">
        <f>IFERROR(__xludf.DUMMYFUNCTION("""COMPUTED_VALUE"""),"11919BLM")</f>
        <v>11919BLM</v>
      </c>
      <c r="B741" s="164">
        <f>IFERROR(__xludf.DUMMYFUNCTION("""COMPUTED_VALUE"""),8955724.0)</f>
        <v>8955724</v>
      </c>
      <c r="C741" s="164" t="str">
        <f>IFERROR(__xludf.DUMMYFUNCTION("""COMPUTED_VALUE"""),"8955724XXXL - 56")</f>
        <v>8955724XXXL - 56</v>
      </c>
      <c r="D741" s="164" t="str">
        <f>IFERROR(__xludf.DUMMYFUNCTION("""COMPUTED_VALUE"""),"васильковый")</f>
        <v>васильковый</v>
      </c>
      <c r="E741" s="164" t="str">
        <f>IFERROR(__xludf.DUMMYFUNCTION("""COMPUTED_VALUE"""),"XXXL - 56")</f>
        <v>XXXL - 56</v>
      </c>
      <c r="F741" s="133" t="str">
        <f>IFERROR(__xludf.DUMMYFUNCTION("""COMPUTED_VALUE"""),"11919BLMXXXL - 56")</f>
        <v>11919BLMXXXL - 56</v>
      </c>
      <c r="G741" s="165">
        <f>IFERROR(__xludf.DUMMYFUNCTION("""COMPUTED_VALUE"""),1028.0)</f>
        <v>1028</v>
      </c>
    </row>
    <row r="742" ht="15.75" customHeight="1">
      <c r="A742" s="133" t="str">
        <f>IFERROR(__xludf.DUMMYFUNCTION("""COMPUTED_VALUE"""),"13819BLM")</f>
        <v>13819BLM</v>
      </c>
      <c r="B742" s="164">
        <f>IFERROR(__xludf.DUMMYFUNCTION("""COMPUTED_VALUE"""),9227768.0)</f>
        <v>9227768</v>
      </c>
      <c r="C742" s="164" t="str">
        <f>IFERROR(__xludf.DUMMYFUNCTION("""COMPUTED_VALUE"""),"9227768S -46")</f>
        <v>9227768S -46</v>
      </c>
      <c r="D742" s="164" t="str">
        <f>IFERROR(__xludf.DUMMYFUNCTION("""COMPUTED_VALUE"""),"бордовый, белый")</f>
        <v>бордовый, белый</v>
      </c>
      <c r="E742" s="164" t="str">
        <f>IFERROR(__xludf.DUMMYFUNCTION("""COMPUTED_VALUE"""),"S -46")</f>
        <v>S -46</v>
      </c>
      <c r="F742" s="133" t="str">
        <f>IFERROR(__xludf.DUMMYFUNCTION("""COMPUTED_VALUE"""),"13819BLMS -46")</f>
        <v>13819BLMS -46</v>
      </c>
      <c r="G742" s="165">
        <f>IFERROR(__xludf.DUMMYFUNCTION("""COMPUTED_VALUE"""),1075.0)</f>
        <v>1075</v>
      </c>
    </row>
    <row r="743" ht="15.75" customHeight="1">
      <c r="A743" s="133" t="str">
        <f>IFERROR(__xludf.DUMMYFUNCTION("""COMPUTED_VALUE"""),"13819BLM")</f>
        <v>13819BLM</v>
      </c>
      <c r="B743" s="164">
        <f>IFERROR(__xludf.DUMMYFUNCTION("""COMPUTED_VALUE"""),9227768.0)</f>
        <v>9227768</v>
      </c>
      <c r="C743" s="164" t="str">
        <f>IFERROR(__xludf.DUMMYFUNCTION("""COMPUTED_VALUE"""),"9227768M - 48")</f>
        <v>9227768M - 48</v>
      </c>
      <c r="D743" s="164" t="str">
        <f>IFERROR(__xludf.DUMMYFUNCTION("""COMPUTED_VALUE"""),"бордовый, белый")</f>
        <v>бордовый, белый</v>
      </c>
      <c r="E743" s="164" t="str">
        <f>IFERROR(__xludf.DUMMYFUNCTION("""COMPUTED_VALUE"""),"M - 48")</f>
        <v>M - 48</v>
      </c>
      <c r="F743" s="133" t="str">
        <f>IFERROR(__xludf.DUMMYFUNCTION("""COMPUTED_VALUE"""),"13819BLMM - 48")</f>
        <v>13819BLMM - 48</v>
      </c>
      <c r="G743" s="165">
        <f>IFERROR(__xludf.DUMMYFUNCTION("""COMPUTED_VALUE"""),1075.0)</f>
        <v>1075</v>
      </c>
    </row>
    <row r="744" ht="15.75" customHeight="1">
      <c r="A744" s="133" t="str">
        <f>IFERROR(__xludf.DUMMYFUNCTION("""COMPUTED_VALUE"""),"13819BLM")</f>
        <v>13819BLM</v>
      </c>
      <c r="B744" s="164">
        <f>IFERROR(__xludf.DUMMYFUNCTION("""COMPUTED_VALUE"""),9227768.0)</f>
        <v>9227768</v>
      </c>
      <c r="C744" s="164" t="str">
        <f>IFERROR(__xludf.DUMMYFUNCTION("""COMPUTED_VALUE"""),"9227768L - 50")</f>
        <v>9227768L - 50</v>
      </c>
      <c r="D744" s="164" t="str">
        <f>IFERROR(__xludf.DUMMYFUNCTION("""COMPUTED_VALUE"""),"бордовый, белый")</f>
        <v>бордовый, белый</v>
      </c>
      <c r="E744" s="164" t="str">
        <f>IFERROR(__xludf.DUMMYFUNCTION("""COMPUTED_VALUE"""),"L - 50")</f>
        <v>L - 50</v>
      </c>
      <c r="F744" s="133" t="str">
        <f>IFERROR(__xludf.DUMMYFUNCTION("""COMPUTED_VALUE"""),"13819BLML - 50")</f>
        <v>13819BLML - 50</v>
      </c>
      <c r="G744" s="165">
        <f>IFERROR(__xludf.DUMMYFUNCTION("""COMPUTED_VALUE"""),1075.0)</f>
        <v>1075</v>
      </c>
    </row>
    <row r="745" ht="15.75" customHeight="1">
      <c r="A745" s="133" t="str">
        <f>IFERROR(__xludf.DUMMYFUNCTION("""COMPUTED_VALUE"""),"13819BLM")</f>
        <v>13819BLM</v>
      </c>
      <c r="B745" s="164">
        <f>IFERROR(__xludf.DUMMYFUNCTION("""COMPUTED_VALUE"""),9227768.0)</f>
        <v>9227768</v>
      </c>
      <c r="C745" s="164" t="str">
        <f>IFERROR(__xludf.DUMMYFUNCTION("""COMPUTED_VALUE"""),"9227768XL - 52")</f>
        <v>9227768XL - 52</v>
      </c>
      <c r="D745" s="164" t="str">
        <f>IFERROR(__xludf.DUMMYFUNCTION("""COMPUTED_VALUE"""),"бордовый, белый")</f>
        <v>бордовый, белый</v>
      </c>
      <c r="E745" s="164" t="str">
        <f>IFERROR(__xludf.DUMMYFUNCTION("""COMPUTED_VALUE"""),"XL - 52")</f>
        <v>XL - 52</v>
      </c>
      <c r="F745" s="133" t="str">
        <f>IFERROR(__xludf.DUMMYFUNCTION("""COMPUTED_VALUE"""),"13819BLMXL - 52")</f>
        <v>13819BLMXL - 52</v>
      </c>
      <c r="G745" s="165">
        <f>IFERROR(__xludf.DUMMYFUNCTION("""COMPUTED_VALUE"""),1075.0)</f>
        <v>1075</v>
      </c>
    </row>
    <row r="746" ht="15.75" customHeight="1">
      <c r="A746" s="133" t="str">
        <f>IFERROR(__xludf.DUMMYFUNCTION("""COMPUTED_VALUE"""),"13819BLM")</f>
        <v>13819BLM</v>
      </c>
      <c r="B746" s="164">
        <f>IFERROR(__xludf.DUMMYFUNCTION("""COMPUTED_VALUE"""),9227768.0)</f>
        <v>9227768</v>
      </c>
      <c r="C746" s="164" t="str">
        <f>IFERROR(__xludf.DUMMYFUNCTION("""COMPUTED_VALUE"""),"9227768XXL - 54")</f>
        <v>9227768XXL - 54</v>
      </c>
      <c r="D746" s="164" t="str">
        <f>IFERROR(__xludf.DUMMYFUNCTION("""COMPUTED_VALUE"""),"бордовый, белый")</f>
        <v>бордовый, белый</v>
      </c>
      <c r="E746" s="164" t="str">
        <f>IFERROR(__xludf.DUMMYFUNCTION("""COMPUTED_VALUE"""),"XXL - 54")</f>
        <v>XXL - 54</v>
      </c>
      <c r="F746" s="133" t="str">
        <f>IFERROR(__xludf.DUMMYFUNCTION("""COMPUTED_VALUE"""),"13819BLMXXL - 54")</f>
        <v>13819BLMXXL - 54</v>
      </c>
      <c r="G746" s="165">
        <f>IFERROR(__xludf.DUMMYFUNCTION("""COMPUTED_VALUE"""),1075.0)</f>
        <v>1075</v>
      </c>
    </row>
    <row r="747" ht="15.75" customHeight="1">
      <c r="A747" s="133" t="str">
        <f>IFERROR(__xludf.DUMMYFUNCTION("""COMPUTED_VALUE"""),"13819BLM")</f>
        <v>13819BLM</v>
      </c>
      <c r="B747" s="164">
        <f>IFERROR(__xludf.DUMMYFUNCTION("""COMPUTED_VALUE"""),9227768.0)</f>
        <v>9227768</v>
      </c>
      <c r="C747" s="164" t="str">
        <f>IFERROR(__xludf.DUMMYFUNCTION("""COMPUTED_VALUE"""),"9227768XXXL - 56")</f>
        <v>9227768XXXL - 56</v>
      </c>
      <c r="D747" s="164" t="str">
        <f>IFERROR(__xludf.DUMMYFUNCTION("""COMPUTED_VALUE"""),"бордовый, белый")</f>
        <v>бордовый, белый</v>
      </c>
      <c r="E747" s="164" t="str">
        <f>IFERROR(__xludf.DUMMYFUNCTION("""COMPUTED_VALUE"""),"XXXL - 56")</f>
        <v>XXXL - 56</v>
      </c>
      <c r="F747" s="133" t="str">
        <f>IFERROR(__xludf.DUMMYFUNCTION("""COMPUTED_VALUE"""),"13819BLMXXXL - 56")</f>
        <v>13819BLMXXXL - 56</v>
      </c>
      <c r="G747" s="165">
        <f>IFERROR(__xludf.DUMMYFUNCTION("""COMPUTED_VALUE"""),1075.0)</f>
        <v>1075</v>
      </c>
    </row>
    <row r="748" ht="15.75" customHeight="1">
      <c r="A748" s="133" t="str">
        <f>IFERROR(__xludf.DUMMYFUNCTION("""COMPUTED_VALUE"""),"12519BLK")</f>
        <v>12519BLK</v>
      </c>
      <c r="B748" s="164">
        <f>IFERROR(__xludf.DUMMYFUNCTION("""COMPUTED_VALUE"""),8955728.0)</f>
        <v>8955728</v>
      </c>
      <c r="C748" s="164" t="str">
        <f>IFERROR(__xludf.DUMMYFUNCTION("""COMPUTED_VALUE"""),"895572898-104")</f>
        <v>895572898-104</v>
      </c>
      <c r="D748" s="164" t="str">
        <f>IFERROR(__xludf.DUMMYFUNCTION("""COMPUTED_VALUE"""),"белый/василек")</f>
        <v>белый/василек</v>
      </c>
      <c r="E748" s="164" t="str">
        <f>IFERROR(__xludf.DUMMYFUNCTION("""COMPUTED_VALUE"""),"98-104")</f>
        <v>98-104</v>
      </c>
      <c r="F748" s="133" t="str">
        <f>IFERROR(__xludf.DUMMYFUNCTION("""COMPUTED_VALUE"""),"12519BLK98-104")</f>
        <v>12519BLK98-104</v>
      </c>
      <c r="G748" s="165">
        <f>IFERROR(__xludf.DUMMYFUNCTION("""COMPUTED_VALUE"""),644.0)</f>
        <v>644</v>
      </c>
    </row>
    <row r="749" ht="15.75" customHeight="1">
      <c r="A749" s="133" t="str">
        <f>IFERROR(__xludf.DUMMYFUNCTION("""COMPUTED_VALUE"""),"12519BLK")</f>
        <v>12519BLK</v>
      </c>
      <c r="B749" s="164">
        <f>IFERROR(__xludf.DUMMYFUNCTION("""COMPUTED_VALUE"""),8955728.0)</f>
        <v>8955728</v>
      </c>
      <c r="C749" s="164" t="str">
        <f>IFERROR(__xludf.DUMMYFUNCTION("""COMPUTED_VALUE"""),"8955728110-116")</f>
        <v>8955728110-116</v>
      </c>
      <c r="D749" s="164" t="str">
        <f>IFERROR(__xludf.DUMMYFUNCTION("""COMPUTED_VALUE"""),"белый/василек")</f>
        <v>белый/василек</v>
      </c>
      <c r="E749" s="164" t="str">
        <f>IFERROR(__xludf.DUMMYFUNCTION("""COMPUTED_VALUE"""),"110-116")</f>
        <v>110-116</v>
      </c>
      <c r="F749" s="133" t="str">
        <f>IFERROR(__xludf.DUMMYFUNCTION("""COMPUTED_VALUE"""),"12519BLK110-116")</f>
        <v>12519BLK110-116</v>
      </c>
      <c r="G749" s="165">
        <f>IFERROR(__xludf.DUMMYFUNCTION("""COMPUTED_VALUE"""),644.0)</f>
        <v>644</v>
      </c>
    </row>
    <row r="750" ht="15.75" customHeight="1">
      <c r="A750" s="133" t="str">
        <f>IFERROR(__xludf.DUMMYFUNCTION("""COMPUTED_VALUE"""),"12519BLK")</f>
        <v>12519BLK</v>
      </c>
      <c r="B750" s="164">
        <f>IFERROR(__xludf.DUMMYFUNCTION("""COMPUTED_VALUE"""),8955728.0)</f>
        <v>8955728</v>
      </c>
      <c r="C750" s="164" t="str">
        <f>IFERROR(__xludf.DUMMYFUNCTION("""COMPUTED_VALUE"""),"8955728122-128")</f>
        <v>8955728122-128</v>
      </c>
      <c r="D750" s="164" t="str">
        <f>IFERROR(__xludf.DUMMYFUNCTION("""COMPUTED_VALUE"""),"белый/василек")</f>
        <v>белый/василек</v>
      </c>
      <c r="E750" s="164" t="str">
        <f>IFERROR(__xludf.DUMMYFUNCTION("""COMPUTED_VALUE"""),"122-128")</f>
        <v>122-128</v>
      </c>
      <c r="F750" s="133" t="str">
        <f>IFERROR(__xludf.DUMMYFUNCTION("""COMPUTED_VALUE"""),"12519BLK122-128")</f>
        <v>12519BLK122-128</v>
      </c>
      <c r="G750" s="165">
        <f>IFERROR(__xludf.DUMMYFUNCTION("""COMPUTED_VALUE"""),644.0)</f>
        <v>644</v>
      </c>
    </row>
    <row r="751" ht="15.75" customHeight="1">
      <c r="A751" s="133" t="str">
        <f>IFERROR(__xludf.DUMMYFUNCTION("""COMPUTED_VALUE"""),"12519BLK")</f>
        <v>12519BLK</v>
      </c>
      <c r="B751" s="164">
        <f>IFERROR(__xludf.DUMMYFUNCTION("""COMPUTED_VALUE"""),8955728.0)</f>
        <v>8955728</v>
      </c>
      <c r="C751" s="164" t="str">
        <f>IFERROR(__xludf.DUMMYFUNCTION("""COMPUTED_VALUE"""),"8955728134-140")</f>
        <v>8955728134-140</v>
      </c>
      <c r="D751" s="164" t="str">
        <f>IFERROR(__xludf.DUMMYFUNCTION("""COMPUTED_VALUE"""),"белый/василек")</f>
        <v>белый/василек</v>
      </c>
      <c r="E751" s="164" t="str">
        <f>IFERROR(__xludf.DUMMYFUNCTION("""COMPUTED_VALUE"""),"134-140")</f>
        <v>134-140</v>
      </c>
      <c r="F751" s="133" t="str">
        <f>IFERROR(__xludf.DUMMYFUNCTION("""COMPUTED_VALUE"""),"12519BLK134-140")</f>
        <v>12519BLK134-140</v>
      </c>
      <c r="G751" s="165">
        <f>IFERROR(__xludf.DUMMYFUNCTION("""COMPUTED_VALUE"""),644.0)</f>
        <v>644</v>
      </c>
    </row>
    <row r="752" ht="15.75" customHeight="1">
      <c r="A752" s="133" t="str">
        <f>IFERROR(__xludf.DUMMYFUNCTION("""COMPUTED_VALUE"""),"12519BLK")</f>
        <v>12519BLK</v>
      </c>
      <c r="B752" s="164">
        <f>IFERROR(__xludf.DUMMYFUNCTION("""COMPUTED_VALUE"""),8955728.0)</f>
        <v>8955728</v>
      </c>
      <c r="C752" s="164" t="str">
        <f>IFERROR(__xludf.DUMMYFUNCTION("""COMPUTED_VALUE"""),"8955728140-146")</f>
        <v>8955728140-146</v>
      </c>
      <c r="D752" s="164" t="str">
        <f>IFERROR(__xludf.DUMMYFUNCTION("""COMPUTED_VALUE"""),"белый/василек")</f>
        <v>белый/василек</v>
      </c>
      <c r="E752" s="164" t="str">
        <f>IFERROR(__xludf.DUMMYFUNCTION("""COMPUTED_VALUE"""),"140-146")</f>
        <v>140-146</v>
      </c>
      <c r="F752" s="133" t="str">
        <f>IFERROR(__xludf.DUMMYFUNCTION("""COMPUTED_VALUE"""),"12519BLK140-146")</f>
        <v>12519BLK140-146</v>
      </c>
      <c r="G752" s="165">
        <f>IFERROR(__xludf.DUMMYFUNCTION("""COMPUTED_VALUE"""),644.0)</f>
        <v>644</v>
      </c>
    </row>
    <row r="753" ht="15.75" customHeight="1">
      <c r="A753" s="133" t="str">
        <f>IFERROR(__xludf.DUMMYFUNCTION("""COMPUTED_VALUE"""),"12919BLK")</f>
        <v>12919BLK</v>
      </c>
      <c r="B753" s="164">
        <f>IFERROR(__xludf.DUMMYFUNCTION("""COMPUTED_VALUE"""),1.0056552E7)</f>
        <v>10056552</v>
      </c>
      <c r="C753" s="164" t="str">
        <f>IFERROR(__xludf.DUMMYFUNCTION("""COMPUTED_VALUE"""),"1005655298-104")</f>
        <v>1005655298-104</v>
      </c>
      <c r="D753" s="164" t="str">
        <f>IFERROR(__xludf.DUMMYFUNCTION("""COMPUTED_VALUE"""),"васильковый/светло-голубой")</f>
        <v>васильковый/светло-голубой</v>
      </c>
      <c r="E753" s="164" t="str">
        <f>IFERROR(__xludf.DUMMYFUNCTION("""COMPUTED_VALUE"""),"98-104")</f>
        <v>98-104</v>
      </c>
      <c r="F753" s="133" t="str">
        <f>IFERROR(__xludf.DUMMYFUNCTION("""COMPUTED_VALUE"""),"12919BLK98-104")</f>
        <v>12919BLK98-104</v>
      </c>
      <c r="G753" s="165">
        <f>IFERROR(__xludf.DUMMYFUNCTION("""COMPUTED_VALUE"""),644.0)</f>
        <v>644</v>
      </c>
    </row>
    <row r="754" ht="15.75" customHeight="1">
      <c r="A754" s="133" t="str">
        <f>IFERROR(__xludf.DUMMYFUNCTION("""COMPUTED_VALUE"""),"12919BLK")</f>
        <v>12919BLK</v>
      </c>
      <c r="B754" s="164">
        <f>IFERROR(__xludf.DUMMYFUNCTION("""COMPUTED_VALUE"""),1.0056552E7)</f>
        <v>10056552</v>
      </c>
      <c r="C754" s="164" t="str">
        <f>IFERROR(__xludf.DUMMYFUNCTION("""COMPUTED_VALUE"""),"10056552110-116")</f>
        <v>10056552110-116</v>
      </c>
      <c r="D754" s="164" t="str">
        <f>IFERROR(__xludf.DUMMYFUNCTION("""COMPUTED_VALUE"""),"васильковый/светло-голубой")</f>
        <v>васильковый/светло-голубой</v>
      </c>
      <c r="E754" s="164" t="str">
        <f>IFERROR(__xludf.DUMMYFUNCTION("""COMPUTED_VALUE"""),"110-116")</f>
        <v>110-116</v>
      </c>
      <c r="F754" s="133" t="str">
        <f>IFERROR(__xludf.DUMMYFUNCTION("""COMPUTED_VALUE"""),"12919BLK110-116")</f>
        <v>12919BLK110-116</v>
      </c>
      <c r="G754" s="165">
        <f>IFERROR(__xludf.DUMMYFUNCTION("""COMPUTED_VALUE"""),644.0)</f>
        <v>644</v>
      </c>
    </row>
    <row r="755" ht="15.75" customHeight="1">
      <c r="A755" s="133" t="str">
        <f>IFERROR(__xludf.DUMMYFUNCTION("""COMPUTED_VALUE"""),"12919BLK")</f>
        <v>12919BLK</v>
      </c>
      <c r="B755" s="164">
        <f>IFERROR(__xludf.DUMMYFUNCTION("""COMPUTED_VALUE"""),1.0056552E7)</f>
        <v>10056552</v>
      </c>
      <c r="C755" s="164" t="str">
        <f>IFERROR(__xludf.DUMMYFUNCTION("""COMPUTED_VALUE"""),"10056552122-128")</f>
        <v>10056552122-128</v>
      </c>
      <c r="D755" s="164" t="str">
        <f>IFERROR(__xludf.DUMMYFUNCTION("""COMPUTED_VALUE"""),"васильковый/светло-голубой")</f>
        <v>васильковый/светло-голубой</v>
      </c>
      <c r="E755" s="164" t="str">
        <f>IFERROR(__xludf.DUMMYFUNCTION("""COMPUTED_VALUE"""),"122-128")</f>
        <v>122-128</v>
      </c>
      <c r="F755" s="133" t="str">
        <f>IFERROR(__xludf.DUMMYFUNCTION("""COMPUTED_VALUE"""),"12919BLK122-128")</f>
        <v>12919BLK122-128</v>
      </c>
      <c r="G755" s="165">
        <f>IFERROR(__xludf.DUMMYFUNCTION("""COMPUTED_VALUE"""),644.0)</f>
        <v>644</v>
      </c>
    </row>
    <row r="756" ht="15.75" customHeight="1">
      <c r="A756" s="133" t="str">
        <f>IFERROR(__xludf.DUMMYFUNCTION("""COMPUTED_VALUE"""),"12919BLK")</f>
        <v>12919BLK</v>
      </c>
      <c r="B756" s="164">
        <f>IFERROR(__xludf.DUMMYFUNCTION("""COMPUTED_VALUE"""),1.0056552E7)</f>
        <v>10056552</v>
      </c>
      <c r="C756" s="164" t="str">
        <f>IFERROR(__xludf.DUMMYFUNCTION("""COMPUTED_VALUE"""),"10056552134-140")</f>
        <v>10056552134-140</v>
      </c>
      <c r="D756" s="164" t="str">
        <f>IFERROR(__xludf.DUMMYFUNCTION("""COMPUTED_VALUE"""),"васильковый/светло-голубой")</f>
        <v>васильковый/светло-голубой</v>
      </c>
      <c r="E756" s="164" t="str">
        <f>IFERROR(__xludf.DUMMYFUNCTION("""COMPUTED_VALUE"""),"134-140")</f>
        <v>134-140</v>
      </c>
      <c r="F756" s="133" t="str">
        <f>IFERROR(__xludf.DUMMYFUNCTION("""COMPUTED_VALUE"""),"12919BLK134-140")</f>
        <v>12919BLK134-140</v>
      </c>
      <c r="G756" s="165">
        <f>IFERROR(__xludf.DUMMYFUNCTION("""COMPUTED_VALUE"""),644.0)</f>
        <v>644</v>
      </c>
    </row>
    <row r="757" ht="15.75" customHeight="1">
      <c r="A757" s="133" t="str">
        <f>IFERROR(__xludf.DUMMYFUNCTION("""COMPUTED_VALUE"""),"12919BLK")</f>
        <v>12919BLK</v>
      </c>
      <c r="B757" s="164">
        <f>IFERROR(__xludf.DUMMYFUNCTION("""COMPUTED_VALUE"""),1.0056552E7)</f>
        <v>10056552</v>
      </c>
      <c r="C757" s="164" t="str">
        <f>IFERROR(__xludf.DUMMYFUNCTION("""COMPUTED_VALUE"""),"10056552140-146")</f>
        <v>10056552140-146</v>
      </c>
      <c r="D757" s="164" t="str">
        <f>IFERROR(__xludf.DUMMYFUNCTION("""COMPUTED_VALUE"""),"васильковый/светло-голубой")</f>
        <v>васильковый/светло-голубой</v>
      </c>
      <c r="E757" s="164" t="str">
        <f>IFERROR(__xludf.DUMMYFUNCTION("""COMPUTED_VALUE"""),"140-146")</f>
        <v>140-146</v>
      </c>
      <c r="F757" s="133" t="str">
        <f>IFERROR(__xludf.DUMMYFUNCTION("""COMPUTED_VALUE"""),"12919BLK140-146")</f>
        <v>12919BLK140-146</v>
      </c>
      <c r="G757" s="165">
        <f>IFERROR(__xludf.DUMMYFUNCTION("""COMPUTED_VALUE"""),644.0)</f>
        <v>644</v>
      </c>
    </row>
    <row r="758" ht="15.75" customHeight="1">
      <c r="A758" s="133" t="str">
        <f>IFERROR(__xludf.DUMMYFUNCTION("""COMPUTED_VALUE"""),"K11319RUM")</f>
        <v>K11319RUM</v>
      </c>
      <c r="B758" s="164">
        <f>IFERROR(__xludf.DUMMYFUNCTION("""COMPUTED_VALUE"""),1.1326382E7)</f>
        <v>11326382</v>
      </c>
      <c r="C758" s="164" t="str">
        <f>IFERROR(__xludf.DUMMYFUNCTION("""COMPUTED_VALUE"""),"11326382S")</f>
        <v>11326382S</v>
      </c>
      <c r="D758" s="164" t="str">
        <f>IFERROR(__xludf.DUMMYFUNCTION("""COMPUTED_VALUE"""),"Мужская пижама Голубой Единорог (ост.нет)")</f>
        <v>Мужская пижама Голубой Единорог (ост.нет)</v>
      </c>
      <c r="E758" s="164" t="str">
        <f>IFERROR(__xludf.DUMMYFUNCTION("""COMPUTED_VALUE"""),"S")</f>
        <v>S</v>
      </c>
      <c r="F758" s="133" t="str">
        <f>IFERROR(__xludf.DUMMYFUNCTION("""COMPUTED_VALUE"""),"K11319RUMS")</f>
        <v>K11319RUMS</v>
      </c>
      <c r="G758" s="165">
        <f>IFERROR(__xludf.DUMMYFUNCTION("""COMPUTED_VALUE"""),662.0)</f>
        <v>662</v>
      </c>
    </row>
    <row r="759" ht="15.75" customHeight="1">
      <c r="A759" s="133" t="str">
        <f>IFERROR(__xludf.DUMMYFUNCTION("""COMPUTED_VALUE"""),"K11319RUM")</f>
        <v>K11319RUM</v>
      </c>
      <c r="B759" s="164">
        <f>IFERROR(__xludf.DUMMYFUNCTION("""COMPUTED_VALUE"""),1.1326382E7)</f>
        <v>11326382</v>
      </c>
      <c r="C759" s="164" t="str">
        <f>IFERROR(__xludf.DUMMYFUNCTION("""COMPUTED_VALUE"""),"11326382M")</f>
        <v>11326382M</v>
      </c>
      <c r="D759" s="164" t="str">
        <f>IFERROR(__xludf.DUMMYFUNCTION("""COMPUTED_VALUE"""),"Мужская пижама Голубой Единорог (ост.нет)")</f>
        <v>Мужская пижама Голубой Единорог (ост.нет)</v>
      </c>
      <c r="E759" s="164" t="str">
        <f>IFERROR(__xludf.DUMMYFUNCTION("""COMPUTED_VALUE"""),"M")</f>
        <v>M</v>
      </c>
      <c r="F759" s="133" t="str">
        <f>IFERROR(__xludf.DUMMYFUNCTION("""COMPUTED_VALUE"""),"K11319RUMM")</f>
        <v>K11319RUMM</v>
      </c>
      <c r="G759" s="165">
        <f>IFERROR(__xludf.DUMMYFUNCTION("""COMPUTED_VALUE"""),662.0)</f>
        <v>662</v>
      </c>
    </row>
    <row r="760" ht="15.75" customHeight="1">
      <c r="A760" s="133" t="str">
        <f>IFERROR(__xludf.DUMMYFUNCTION("""COMPUTED_VALUE"""),"K11319RUM")</f>
        <v>K11319RUM</v>
      </c>
      <c r="B760" s="164">
        <f>IFERROR(__xludf.DUMMYFUNCTION("""COMPUTED_VALUE"""),1.1326382E7)</f>
        <v>11326382</v>
      </c>
      <c r="C760" s="164" t="str">
        <f>IFERROR(__xludf.DUMMYFUNCTION("""COMPUTED_VALUE"""),"11326382L")</f>
        <v>11326382L</v>
      </c>
      <c r="D760" s="164" t="str">
        <f>IFERROR(__xludf.DUMMYFUNCTION("""COMPUTED_VALUE"""),"Мужская пижама Голубой Единорог (ост.нет)")</f>
        <v>Мужская пижама Голубой Единорог (ост.нет)</v>
      </c>
      <c r="E760" s="164" t="str">
        <f>IFERROR(__xludf.DUMMYFUNCTION("""COMPUTED_VALUE"""),"L")</f>
        <v>L</v>
      </c>
      <c r="F760" s="133" t="str">
        <f>IFERROR(__xludf.DUMMYFUNCTION("""COMPUTED_VALUE"""),"K11319RUML")</f>
        <v>K11319RUML</v>
      </c>
      <c r="G760" s="165">
        <f>IFERROR(__xludf.DUMMYFUNCTION("""COMPUTED_VALUE"""),662.0)</f>
        <v>662</v>
      </c>
    </row>
    <row r="761" ht="15.75" customHeight="1">
      <c r="A761" s="133" t="str">
        <f>IFERROR(__xludf.DUMMYFUNCTION("""COMPUTED_VALUE"""),"K11319RUM")</f>
        <v>K11319RUM</v>
      </c>
      <c r="B761" s="164">
        <f>IFERROR(__xludf.DUMMYFUNCTION("""COMPUTED_VALUE"""),1.1326382E7)</f>
        <v>11326382</v>
      </c>
      <c r="C761" s="164" t="str">
        <f>IFERROR(__xludf.DUMMYFUNCTION("""COMPUTED_VALUE"""),"11326382XL")</f>
        <v>11326382XL</v>
      </c>
      <c r="D761" s="164" t="str">
        <f>IFERROR(__xludf.DUMMYFUNCTION("""COMPUTED_VALUE"""),"Мужская пижама Голубой Единорог (ост.нет)")</f>
        <v>Мужская пижама Голубой Единорог (ост.нет)</v>
      </c>
      <c r="E761" s="164" t="str">
        <f>IFERROR(__xludf.DUMMYFUNCTION("""COMPUTED_VALUE"""),"XL")</f>
        <v>XL</v>
      </c>
      <c r="F761" s="133" t="str">
        <f>IFERROR(__xludf.DUMMYFUNCTION("""COMPUTED_VALUE"""),"K11319RUMXL")</f>
        <v>K11319RUMXL</v>
      </c>
      <c r="G761" s="165">
        <f>IFERROR(__xludf.DUMMYFUNCTION("""COMPUTED_VALUE"""),662.0)</f>
        <v>662</v>
      </c>
    </row>
    <row r="762" ht="15.75" customHeight="1">
      <c r="A762" s="133" t="str">
        <f>IFERROR(__xludf.DUMMYFUNCTION("""COMPUTED_VALUE"""),"K11419RUM")</f>
        <v>K11419RUM</v>
      </c>
      <c r="B762" s="164">
        <f>IFERROR(__xludf.DUMMYFUNCTION("""COMPUTED_VALUE"""),1.1326383E7)</f>
        <v>11326383</v>
      </c>
      <c r="C762" s="164" t="str">
        <f>IFERROR(__xludf.DUMMYFUNCTION("""COMPUTED_VALUE"""),"11326383S")</f>
        <v>11326383S</v>
      </c>
      <c r="D762" s="164" t="str">
        <f>IFERROR(__xludf.DUMMYFUNCTION("""COMPUTED_VALUE"""),"Мужская пижама Розовый Единорог
 (ост.нет)")</f>
        <v>Мужская пижама Розовый Единорог
 (ост.нет)</v>
      </c>
      <c r="E762" s="164" t="str">
        <f>IFERROR(__xludf.DUMMYFUNCTION("""COMPUTED_VALUE"""),"S")</f>
        <v>S</v>
      </c>
      <c r="F762" s="133" t="str">
        <f>IFERROR(__xludf.DUMMYFUNCTION("""COMPUTED_VALUE"""),"K11419RUMS")</f>
        <v>K11419RUMS</v>
      </c>
      <c r="G762" s="165">
        <f>IFERROR(__xludf.DUMMYFUNCTION("""COMPUTED_VALUE"""),662.0)</f>
        <v>662</v>
      </c>
    </row>
    <row r="763" ht="15.75" customHeight="1">
      <c r="A763" s="133" t="str">
        <f>IFERROR(__xludf.DUMMYFUNCTION("""COMPUTED_VALUE"""),"K11419RUM")</f>
        <v>K11419RUM</v>
      </c>
      <c r="B763" s="164">
        <f>IFERROR(__xludf.DUMMYFUNCTION("""COMPUTED_VALUE"""),1.1326383E7)</f>
        <v>11326383</v>
      </c>
      <c r="C763" s="164" t="str">
        <f>IFERROR(__xludf.DUMMYFUNCTION("""COMPUTED_VALUE"""),"11326383M")</f>
        <v>11326383M</v>
      </c>
      <c r="D763" s="164" t="str">
        <f>IFERROR(__xludf.DUMMYFUNCTION("""COMPUTED_VALUE"""),"Мужская пижама Розовый Единорог
 (ост.нет)")</f>
        <v>Мужская пижама Розовый Единорог
 (ост.нет)</v>
      </c>
      <c r="E763" s="164" t="str">
        <f>IFERROR(__xludf.DUMMYFUNCTION("""COMPUTED_VALUE"""),"M")</f>
        <v>M</v>
      </c>
      <c r="F763" s="133" t="str">
        <f>IFERROR(__xludf.DUMMYFUNCTION("""COMPUTED_VALUE"""),"K11419RUMM")</f>
        <v>K11419RUMM</v>
      </c>
      <c r="G763" s="165">
        <f>IFERROR(__xludf.DUMMYFUNCTION("""COMPUTED_VALUE"""),662.0)</f>
        <v>662</v>
      </c>
    </row>
    <row r="764" ht="15.75" customHeight="1">
      <c r="A764" s="133" t="str">
        <f>IFERROR(__xludf.DUMMYFUNCTION("""COMPUTED_VALUE"""),"K11419RUM")</f>
        <v>K11419RUM</v>
      </c>
      <c r="B764" s="164">
        <f>IFERROR(__xludf.DUMMYFUNCTION("""COMPUTED_VALUE"""),1.1326383E7)</f>
        <v>11326383</v>
      </c>
      <c r="C764" s="164" t="str">
        <f>IFERROR(__xludf.DUMMYFUNCTION("""COMPUTED_VALUE"""),"11326383L")</f>
        <v>11326383L</v>
      </c>
      <c r="D764" s="164" t="str">
        <f>IFERROR(__xludf.DUMMYFUNCTION("""COMPUTED_VALUE"""),"Мужская пижама Розовый Единорог
 (ост.нет)")</f>
        <v>Мужская пижама Розовый Единорог
 (ост.нет)</v>
      </c>
      <c r="E764" s="164" t="str">
        <f>IFERROR(__xludf.DUMMYFUNCTION("""COMPUTED_VALUE"""),"L")</f>
        <v>L</v>
      </c>
      <c r="F764" s="133" t="str">
        <f>IFERROR(__xludf.DUMMYFUNCTION("""COMPUTED_VALUE"""),"K11419RUML")</f>
        <v>K11419RUML</v>
      </c>
      <c r="G764" s="165">
        <f>IFERROR(__xludf.DUMMYFUNCTION("""COMPUTED_VALUE"""),662.0)</f>
        <v>662</v>
      </c>
    </row>
    <row r="765" ht="15.75" customHeight="1">
      <c r="A765" s="133" t="str">
        <f>IFERROR(__xludf.DUMMYFUNCTION("""COMPUTED_VALUE"""),"K11419RUM")</f>
        <v>K11419RUM</v>
      </c>
      <c r="B765" s="164">
        <f>IFERROR(__xludf.DUMMYFUNCTION("""COMPUTED_VALUE"""),1.1326383E7)</f>
        <v>11326383</v>
      </c>
      <c r="C765" s="164" t="str">
        <f>IFERROR(__xludf.DUMMYFUNCTION("""COMPUTED_VALUE"""),"11326383XL")</f>
        <v>11326383XL</v>
      </c>
      <c r="D765" s="164" t="str">
        <f>IFERROR(__xludf.DUMMYFUNCTION("""COMPUTED_VALUE"""),"Мужская пижама Розовый Единорог
 (ост.нет)")</f>
        <v>Мужская пижама Розовый Единорог
 (ост.нет)</v>
      </c>
      <c r="E765" s="164" t="str">
        <f>IFERROR(__xludf.DUMMYFUNCTION("""COMPUTED_VALUE"""),"XL")</f>
        <v>XL</v>
      </c>
      <c r="F765" s="133" t="str">
        <f>IFERROR(__xludf.DUMMYFUNCTION("""COMPUTED_VALUE"""),"K11419RUMXL")</f>
        <v>K11419RUMXL</v>
      </c>
      <c r="G765" s="165">
        <f>IFERROR(__xludf.DUMMYFUNCTION("""COMPUTED_VALUE"""),662.0)</f>
        <v>662</v>
      </c>
    </row>
    <row r="766" ht="15.75" customHeight="1">
      <c r="A766" s="133" t="str">
        <f>IFERROR(__xludf.DUMMYFUNCTION("""COMPUTED_VALUE"""),"K11619RUM")</f>
        <v>K11619RUM</v>
      </c>
      <c r="B766" s="164">
        <f>IFERROR(__xludf.DUMMYFUNCTION("""COMPUTED_VALUE"""),1.1326385E7)</f>
        <v>11326385</v>
      </c>
      <c r="C766" s="164" t="str">
        <f>IFERROR(__xludf.DUMMYFUNCTION("""COMPUTED_VALUE"""),"11326385S")</f>
        <v>11326385S</v>
      </c>
      <c r="D766" s="164" t="str">
        <f>IFERROR(__xludf.DUMMYFUNCTION("""COMPUTED_VALUE"""),"Мужская пижама Радужный Единорог")</f>
        <v>Мужская пижама Радужный Единорог</v>
      </c>
      <c r="E766" s="164" t="str">
        <f>IFERROR(__xludf.DUMMYFUNCTION("""COMPUTED_VALUE"""),"S")</f>
        <v>S</v>
      </c>
      <c r="F766" s="133" t="str">
        <f>IFERROR(__xludf.DUMMYFUNCTION("""COMPUTED_VALUE"""),"K11619RUMS")</f>
        <v>K11619RUMS</v>
      </c>
      <c r="G766" s="165">
        <f>IFERROR(__xludf.DUMMYFUNCTION("""COMPUTED_VALUE"""),589.0)</f>
        <v>589</v>
      </c>
    </row>
    <row r="767" ht="15.75" customHeight="1">
      <c r="A767" s="133" t="str">
        <f>IFERROR(__xludf.DUMMYFUNCTION("""COMPUTED_VALUE"""),"K11619RUM")</f>
        <v>K11619RUM</v>
      </c>
      <c r="B767" s="164">
        <f>IFERROR(__xludf.DUMMYFUNCTION("""COMPUTED_VALUE"""),1.1326385E7)</f>
        <v>11326385</v>
      </c>
      <c r="C767" s="164" t="str">
        <f>IFERROR(__xludf.DUMMYFUNCTION("""COMPUTED_VALUE"""),"11326385M")</f>
        <v>11326385M</v>
      </c>
      <c r="D767" s="164" t="str">
        <f>IFERROR(__xludf.DUMMYFUNCTION("""COMPUTED_VALUE"""),"Мужская пижама Радужный Единорог")</f>
        <v>Мужская пижама Радужный Единорог</v>
      </c>
      <c r="E767" s="164" t="str">
        <f>IFERROR(__xludf.DUMMYFUNCTION("""COMPUTED_VALUE"""),"M")</f>
        <v>M</v>
      </c>
      <c r="F767" s="133" t="str">
        <f>IFERROR(__xludf.DUMMYFUNCTION("""COMPUTED_VALUE"""),"K11619RUMM")</f>
        <v>K11619RUMM</v>
      </c>
      <c r="G767" s="165">
        <f>IFERROR(__xludf.DUMMYFUNCTION("""COMPUTED_VALUE"""),589.0)</f>
        <v>589</v>
      </c>
    </row>
    <row r="768" ht="15.75" customHeight="1">
      <c r="A768" s="133" t="str">
        <f>IFERROR(__xludf.DUMMYFUNCTION("""COMPUTED_VALUE"""),"K11619RUM")</f>
        <v>K11619RUM</v>
      </c>
      <c r="B768" s="164">
        <f>IFERROR(__xludf.DUMMYFUNCTION("""COMPUTED_VALUE"""),1.1326385E7)</f>
        <v>11326385</v>
      </c>
      <c r="C768" s="164" t="str">
        <f>IFERROR(__xludf.DUMMYFUNCTION("""COMPUTED_VALUE"""),"11326385L")</f>
        <v>11326385L</v>
      </c>
      <c r="D768" s="164" t="str">
        <f>IFERROR(__xludf.DUMMYFUNCTION("""COMPUTED_VALUE"""),"Мужская пижама Радужный Единорог")</f>
        <v>Мужская пижама Радужный Единорог</v>
      </c>
      <c r="E768" s="164" t="str">
        <f>IFERROR(__xludf.DUMMYFUNCTION("""COMPUTED_VALUE"""),"L")</f>
        <v>L</v>
      </c>
      <c r="F768" s="133" t="str">
        <f>IFERROR(__xludf.DUMMYFUNCTION("""COMPUTED_VALUE"""),"K11619RUML")</f>
        <v>K11619RUML</v>
      </c>
      <c r="G768" s="165">
        <f>IFERROR(__xludf.DUMMYFUNCTION("""COMPUTED_VALUE"""),589.0)</f>
        <v>589</v>
      </c>
    </row>
    <row r="769" ht="15.75" customHeight="1">
      <c r="A769" s="133" t="str">
        <f>IFERROR(__xludf.DUMMYFUNCTION("""COMPUTED_VALUE"""),"K11619RUM")</f>
        <v>K11619RUM</v>
      </c>
      <c r="B769" s="164">
        <f>IFERROR(__xludf.DUMMYFUNCTION("""COMPUTED_VALUE"""),1.1326385E7)</f>
        <v>11326385</v>
      </c>
      <c r="C769" s="164" t="str">
        <f>IFERROR(__xludf.DUMMYFUNCTION("""COMPUTED_VALUE"""),"11326385XL")</f>
        <v>11326385XL</v>
      </c>
      <c r="D769" s="164" t="str">
        <f>IFERROR(__xludf.DUMMYFUNCTION("""COMPUTED_VALUE"""),"Мужская пижама Радужный Единорог")</f>
        <v>Мужская пижама Радужный Единорог</v>
      </c>
      <c r="E769" s="164" t="str">
        <f>IFERROR(__xludf.DUMMYFUNCTION("""COMPUTED_VALUE"""),"XL")</f>
        <v>XL</v>
      </c>
      <c r="F769" s="133" t="str">
        <f>IFERROR(__xludf.DUMMYFUNCTION("""COMPUTED_VALUE"""),"K11619RUMXL")</f>
        <v>K11619RUMXL</v>
      </c>
      <c r="G769" s="165">
        <f>IFERROR(__xludf.DUMMYFUNCTION("""COMPUTED_VALUE"""),589.0)</f>
        <v>589</v>
      </c>
    </row>
    <row r="770" ht="15.75" customHeight="1">
      <c r="A770" s="133" t="str">
        <f>IFERROR(__xludf.DUMMYFUNCTION("""COMPUTED_VALUE"""),"K11819RUM")</f>
        <v>K11819RUM</v>
      </c>
      <c r="B770" s="164">
        <f>IFERROR(__xludf.DUMMYFUNCTION("""COMPUTED_VALUE"""),1.1326387E7)</f>
        <v>11326387</v>
      </c>
      <c r="C770" s="164" t="str">
        <f>IFERROR(__xludf.DUMMYFUNCTION("""COMPUTED_VALUE"""),"11326387S")</f>
        <v>11326387S</v>
      </c>
      <c r="D770" s="164" t="str">
        <f>IFERROR(__xludf.DUMMYFUNCTION("""COMPUTED_VALUE"""),"Мужская пижама Звездный Единорог")</f>
        <v>Мужская пижама Звездный Единорог</v>
      </c>
      <c r="E770" s="164" t="str">
        <f>IFERROR(__xludf.DUMMYFUNCTION("""COMPUTED_VALUE"""),"S")</f>
        <v>S</v>
      </c>
      <c r="F770" s="133" t="str">
        <f>IFERROR(__xludf.DUMMYFUNCTION("""COMPUTED_VALUE"""),"K11819RUMS")</f>
        <v>K11819RUMS</v>
      </c>
      <c r="G770" s="165">
        <f>IFERROR(__xludf.DUMMYFUNCTION("""COMPUTED_VALUE"""),662.0)</f>
        <v>662</v>
      </c>
    </row>
    <row r="771" ht="15.75" customHeight="1">
      <c r="A771" s="133" t="str">
        <f>IFERROR(__xludf.DUMMYFUNCTION("""COMPUTED_VALUE"""),"K11819RUM")</f>
        <v>K11819RUM</v>
      </c>
      <c r="B771" s="164">
        <f>IFERROR(__xludf.DUMMYFUNCTION("""COMPUTED_VALUE"""),1.1326387E7)</f>
        <v>11326387</v>
      </c>
      <c r="C771" s="164" t="str">
        <f>IFERROR(__xludf.DUMMYFUNCTION("""COMPUTED_VALUE"""),"11326387M")</f>
        <v>11326387M</v>
      </c>
      <c r="D771" s="164" t="str">
        <f>IFERROR(__xludf.DUMMYFUNCTION("""COMPUTED_VALUE"""),"Мужская пижама Звездный Единорог")</f>
        <v>Мужская пижама Звездный Единорог</v>
      </c>
      <c r="E771" s="164" t="str">
        <f>IFERROR(__xludf.DUMMYFUNCTION("""COMPUTED_VALUE"""),"M")</f>
        <v>M</v>
      </c>
      <c r="F771" s="133" t="str">
        <f>IFERROR(__xludf.DUMMYFUNCTION("""COMPUTED_VALUE"""),"K11819RUMM")</f>
        <v>K11819RUMM</v>
      </c>
      <c r="G771" s="165">
        <f>IFERROR(__xludf.DUMMYFUNCTION("""COMPUTED_VALUE"""),662.0)</f>
        <v>662</v>
      </c>
    </row>
    <row r="772" ht="15.75" customHeight="1">
      <c r="A772" s="133" t="str">
        <f>IFERROR(__xludf.DUMMYFUNCTION("""COMPUTED_VALUE"""),"K11819RUM")</f>
        <v>K11819RUM</v>
      </c>
      <c r="B772" s="164">
        <f>IFERROR(__xludf.DUMMYFUNCTION("""COMPUTED_VALUE"""),1.1326387E7)</f>
        <v>11326387</v>
      </c>
      <c r="C772" s="164" t="str">
        <f>IFERROR(__xludf.DUMMYFUNCTION("""COMPUTED_VALUE"""),"11326387L")</f>
        <v>11326387L</v>
      </c>
      <c r="D772" s="164" t="str">
        <f>IFERROR(__xludf.DUMMYFUNCTION("""COMPUTED_VALUE"""),"Мужская пижама Звездный Единорог")</f>
        <v>Мужская пижама Звездный Единорог</v>
      </c>
      <c r="E772" s="164" t="str">
        <f>IFERROR(__xludf.DUMMYFUNCTION("""COMPUTED_VALUE"""),"L")</f>
        <v>L</v>
      </c>
      <c r="F772" s="133" t="str">
        <f>IFERROR(__xludf.DUMMYFUNCTION("""COMPUTED_VALUE"""),"K11819RUML")</f>
        <v>K11819RUML</v>
      </c>
      <c r="G772" s="165">
        <f>IFERROR(__xludf.DUMMYFUNCTION("""COMPUTED_VALUE"""),662.0)</f>
        <v>662</v>
      </c>
    </row>
    <row r="773" ht="15.75" customHeight="1">
      <c r="A773" s="133" t="str">
        <f>IFERROR(__xludf.DUMMYFUNCTION("""COMPUTED_VALUE"""),"K11819RUM")</f>
        <v>K11819RUM</v>
      </c>
      <c r="B773" s="164">
        <f>IFERROR(__xludf.DUMMYFUNCTION("""COMPUTED_VALUE"""),1.1326387E7)</f>
        <v>11326387</v>
      </c>
      <c r="C773" s="164" t="str">
        <f>IFERROR(__xludf.DUMMYFUNCTION("""COMPUTED_VALUE"""),"11326387XL")</f>
        <v>11326387XL</v>
      </c>
      <c r="D773" s="164" t="str">
        <f>IFERROR(__xludf.DUMMYFUNCTION("""COMPUTED_VALUE"""),"Мужская пижама Звездный Единорог")</f>
        <v>Мужская пижама Звездный Единорог</v>
      </c>
      <c r="E773" s="164" t="str">
        <f>IFERROR(__xludf.DUMMYFUNCTION("""COMPUTED_VALUE"""),"XL")</f>
        <v>XL</v>
      </c>
      <c r="F773" s="133" t="str">
        <f>IFERROR(__xludf.DUMMYFUNCTION("""COMPUTED_VALUE"""),"K11819RUMXL")</f>
        <v>K11819RUMXL</v>
      </c>
      <c r="G773" s="165">
        <f>IFERROR(__xludf.DUMMYFUNCTION("""COMPUTED_VALUE"""),662.0)</f>
        <v>662</v>
      </c>
    </row>
    <row r="774" ht="15.75" customHeight="1">
      <c r="A774" s="133" t="str">
        <f>IFERROR(__xludf.DUMMYFUNCTION("""COMPUTED_VALUE"""),"K13619RUM")</f>
        <v>K13619RUM</v>
      </c>
      <c r="B774" s="164">
        <f>IFERROR(__xludf.DUMMYFUNCTION("""COMPUTED_VALUE"""),1.1698247E7)</f>
        <v>11698247</v>
      </c>
      <c r="C774" s="164" t="str">
        <f>IFERROR(__xludf.DUMMYFUNCTION("""COMPUTED_VALUE"""),"11698247S")</f>
        <v>11698247S</v>
      </c>
      <c r="D774" s="164" t="str">
        <f>IFERROR(__xludf.DUMMYFUNCTION("""COMPUTED_VALUE"""),"Мужская пижама Лиса
 (ост.нет)")</f>
        <v>Мужская пижама Лиса
 (ост.нет)</v>
      </c>
      <c r="E774" s="164" t="str">
        <f>IFERROR(__xludf.DUMMYFUNCTION("""COMPUTED_VALUE"""),"S")</f>
        <v>S</v>
      </c>
      <c r="F774" s="133" t="str">
        <f>IFERROR(__xludf.DUMMYFUNCTION("""COMPUTED_VALUE"""),"K13619RUMS")</f>
        <v>K13619RUMS</v>
      </c>
      <c r="G774" s="165">
        <f>IFERROR(__xludf.DUMMYFUNCTION("""COMPUTED_VALUE"""),662.0)</f>
        <v>662</v>
      </c>
    </row>
    <row r="775" ht="15.75" customHeight="1">
      <c r="A775" s="133" t="str">
        <f>IFERROR(__xludf.DUMMYFUNCTION("""COMPUTED_VALUE"""),"K13619RUM")</f>
        <v>K13619RUM</v>
      </c>
      <c r="B775" s="164">
        <f>IFERROR(__xludf.DUMMYFUNCTION("""COMPUTED_VALUE"""),1.1698247E7)</f>
        <v>11698247</v>
      </c>
      <c r="C775" s="164" t="str">
        <f>IFERROR(__xludf.DUMMYFUNCTION("""COMPUTED_VALUE"""),"11698247M")</f>
        <v>11698247M</v>
      </c>
      <c r="D775" s="164" t="str">
        <f>IFERROR(__xludf.DUMMYFUNCTION("""COMPUTED_VALUE"""),"Мужская пижама Лиса
 (ост.нет)")</f>
        <v>Мужская пижама Лиса
 (ост.нет)</v>
      </c>
      <c r="E775" s="164" t="str">
        <f>IFERROR(__xludf.DUMMYFUNCTION("""COMPUTED_VALUE"""),"M")</f>
        <v>M</v>
      </c>
      <c r="F775" s="133" t="str">
        <f>IFERROR(__xludf.DUMMYFUNCTION("""COMPUTED_VALUE"""),"K13619RUMM")</f>
        <v>K13619RUMM</v>
      </c>
      <c r="G775" s="165">
        <f>IFERROR(__xludf.DUMMYFUNCTION("""COMPUTED_VALUE"""),662.0)</f>
        <v>662</v>
      </c>
    </row>
    <row r="776" ht="15.75" customHeight="1">
      <c r="A776" s="133" t="str">
        <f>IFERROR(__xludf.DUMMYFUNCTION("""COMPUTED_VALUE"""),"K13619RUM")</f>
        <v>K13619RUM</v>
      </c>
      <c r="B776" s="164">
        <f>IFERROR(__xludf.DUMMYFUNCTION("""COMPUTED_VALUE"""),1.1698247E7)</f>
        <v>11698247</v>
      </c>
      <c r="C776" s="164" t="str">
        <f>IFERROR(__xludf.DUMMYFUNCTION("""COMPUTED_VALUE"""),"11698247L")</f>
        <v>11698247L</v>
      </c>
      <c r="D776" s="164" t="str">
        <f>IFERROR(__xludf.DUMMYFUNCTION("""COMPUTED_VALUE"""),"Мужская пижама Лиса
 (ост.нет)")</f>
        <v>Мужская пижама Лиса
 (ост.нет)</v>
      </c>
      <c r="E776" s="164" t="str">
        <f>IFERROR(__xludf.DUMMYFUNCTION("""COMPUTED_VALUE"""),"L")</f>
        <v>L</v>
      </c>
      <c r="F776" s="133" t="str">
        <f>IFERROR(__xludf.DUMMYFUNCTION("""COMPUTED_VALUE"""),"K13619RUML")</f>
        <v>K13619RUML</v>
      </c>
      <c r="G776" s="165">
        <f>IFERROR(__xludf.DUMMYFUNCTION("""COMPUTED_VALUE"""),662.0)</f>
        <v>662</v>
      </c>
    </row>
    <row r="777" ht="15.75" customHeight="1">
      <c r="A777" s="133" t="str">
        <f>IFERROR(__xludf.DUMMYFUNCTION("""COMPUTED_VALUE"""),"K13619RUM")</f>
        <v>K13619RUM</v>
      </c>
      <c r="B777" s="164">
        <f>IFERROR(__xludf.DUMMYFUNCTION("""COMPUTED_VALUE"""),1.1698247E7)</f>
        <v>11698247</v>
      </c>
      <c r="C777" s="164" t="str">
        <f>IFERROR(__xludf.DUMMYFUNCTION("""COMPUTED_VALUE"""),"11698247XL")</f>
        <v>11698247XL</v>
      </c>
      <c r="D777" s="164" t="str">
        <f>IFERROR(__xludf.DUMMYFUNCTION("""COMPUTED_VALUE"""),"Мужская пижама Лиса
 (ост.нет)")</f>
        <v>Мужская пижама Лиса
 (ост.нет)</v>
      </c>
      <c r="E777" s="164" t="str">
        <f>IFERROR(__xludf.DUMMYFUNCTION("""COMPUTED_VALUE"""),"XL")</f>
        <v>XL</v>
      </c>
      <c r="F777" s="133" t="str">
        <f>IFERROR(__xludf.DUMMYFUNCTION("""COMPUTED_VALUE"""),"K13619RUMXL")</f>
        <v>K13619RUMXL</v>
      </c>
      <c r="G777" s="165">
        <f>IFERROR(__xludf.DUMMYFUNCTION("""COMPUTED_VALUE"""),662.0)</f>
        <v>662</v>
      </c>
    </row>
    <row r="778" ht="15.75" customHeight="1">
      <c r="A778" s="133" t="str">
        <f>IFERROR(__xludf.DUMMYFUNCTION("""COMPUTED_VALUE"""),"K13719RUM")</f>
        <v>K13719RUM</v>
      </c>
      <c r="B778" s="164">
        <f>IFERROR(__xludf.DUMMYFUNCTION("""COMPUTED_VALUE"""),1.1698248E7)</f>
        <v>11698248</v>
      </c>
      <c r="C778" s="164" t="str">
        <f>IFERROR(__xludf.DUMMYFUNCTION("""COMPUTED_VALUE"""),"11698248S")</f>
        <v>11698248S</v>
      </c>
      <c r="D778" s="164" t="str">
        <f>IFERROR(__xludf.DUMMYFUNCTION("""COMPUTED_VALUE"""),"Мужская пижама Кот Чии
 (ост.нет)")</f>
        <v>Мужская пижама Кот Чии
 (ост.нет)</v>
      </c>
      <c r="E778" s="164" t="str">
        <f>IFERROR(__xludf.DUMMYFUNCTION("""COMPUTED_VALUE"""),"S")</f>
        <v>S</v>
      </c>
      <c r="F778" s="133" t="str">
        <f>IFERROR(__xludf.DUMMYFUNCTION("""COMPUTED_VALUE"""),"K13719RUMS")</f>
        <v>K13719RUMS</v>
      </c>
      <c r="G778" s="165">
        <f>IFERROR(__xludf.DUMMYFUNCTION("""COMPUTED_VALUE"""),662.0)</f>
        <v>662</v>
      </c>
    </row>
    <row r="779" ht="15.75" customHeight="1">
      <c r="A779" s="133" t="str">
        <f>IFERROR(__xludf.DUMMYFUNCTION("""COMPUTED_VALUE"""),"K13719RUM")</f>
        <v>K13719RUM</v>
      </c>
      <c r="B779" s="164">
        <f>IFERROR(__xludf.DUMMYFUNCTION("""COMPUTED_VALUE"""),1.1698248E7)</f>
        <v>11698248</v>
      </c>
      <c r="C779" s="164" t="str">
        <f>IFERROR(__xludf.DUMMYFUNCTION("""COMPUTED_VALUE"""),"11698248M")</f>
        <v>11698248M</v>
      </c>
      <c r="D779" s="164" t="str">
        <f>IFERROR(__xludf.DUMMYFUNCTION("""COMPUTED_VALUE"""),"Мужская пижама Кот Чии
 (ост.нет)")</f>
        <v>Мужская пижама Кот Чии
 (ост.нет)</v>
      </c>
      <c r="E779" s="164" t="str">
        <f>IFERROR(__xludf.DUMMYFUNCTION("""COMPUTED_VALUE"""),"M")</f>
        <v>M</v>
      </c>
      <c r="F779" s="133" t="str">
        <f>IFERROR(__xludf.DUMMYFUNCTION("""COMPUTED_VALUE"""),"K13719RUMM")</f>
        <v>K13719RUMM</v>
      </c>
      <c r="G779" s="165">
        <f>IFERROR(__xludf.DUMMYFUNCTION("""COMPUTED_VALUE"""),662.0)</f>
        <v>662</v>
      </c>
    </row>
    <row r="780" ht="15.75" customHeight="1">
      <c r="A780" s="133" t="str">
        <f>IFERROR(__xludf.DUMMYFUNCTION("""COMPUTED_VALUE"""),"K13719RUM")</f>
        <v>K13719RUM</v>
      </c>
      <c r="B780" s="164">
        <f>IFERROR(__xludf.DUMMYFUNCTION("""COMPUTED_VALUE"""),1.1698248E7)</f>
        <v>11698248</v>
      </c>
      <c r="C780" s="164" t="str">
        <f>IFERROR(__xludf.DUMMYFUNCTION("""COMPUTED_VALUE"""),"11698248L")</f>
        <v>11698248L</v>
      </c>
      <c r="D780" s="164" t="str">
        <f>IFERROR(__xludf.DUMMYFUNCTION("""COMPUTED_VALUE"""),"Мужская пижама Кот Чии
 (ост.нет)")</f>
        <v>Мужская пижама Кот Чии
 (ост.нет)</v>
      </c>
      <c r="E780" s="164" t="str">
        <f>IFERROR(__xludf.DUMMYFUNCTION("""COMPUTED_VALUE"""),"L")</f>
        <v>L</v>
      </c>
      <c r="F780" s="133" t="str">
        <f>IFERROR(__xludf.DUMMYFUNCTION("""COMPUTED_VALUE"""),"K13719RUML")</f>
        <v>K13719RUML</v>
      </c>
      <c r="G780" s="165">
        <f>IFERROR(__xludf.DUMMYFUNCTION("""COMPUTED_VALUE"""),662.0)</f>
        <v>662</v>
      </c>
    </row>
    <row r="781" ht="15.75" customHeight="1">
      <c r="A781" s="133" t="str">
        <f>IFERROR(__xludf.DUMMYFUNCTION("""COMPUTED_VALUE"""),"K13719RUM")</f>
        <v>K13719RUM</v>
      </c>
      <c r="B781" s="164">
        <f>IFERROR(__xludf.DUMMYFUNCTION("""COMPUTED_VALUE"""),1.1698248E7)</f>
        <v>11698248</v>
      </c>
      <c r="C781" s="164" t="str">
        <f>IFERROR(__xludf.DUMMYFUNCTION("""COMPUTED_VALUE"""),"11698248XL")</f>
        <v>11698248XL</v>
      </c>
      <c r="D781" s="164" t="str">
        <f>IFERROR(__xludf.DUMMYFUNCTION("""COMPUTED_VALUE"""),"Мужская пижама Кот Чии
 (ост.нет)")</f>
        <v>Мужская пижама Кот Чии
 (ост.нет)</v>
      </c>
      <c r="E781" s="164" t="str">
        <f>IFERROR(__xludf.DUMMYFUNCTION("""COMPUTED_VALUE"""),"XL")</f>
        <v>XL</v>
      </c>
      <c r="F781" s="133" t="str">
        <f>IFERROR(__xludf.DUMMYFUNCTION("""COMPUTED_VALUE"""),"K13719RUMXL")</f>
        <v>K13719RUMXL</v>
      </c>
      <c r="G781" s="165">
        <f>IFERROR(__xludf.DUMMYFUNCTION("""COMPUTED_VALUE"""),662.0)</f>
        <v>662</v>
      </c>
    </row>
    <row r="782" ht="15.75" customHeight="1">
      <c r="A782" s="133" t="str">
        <f>IFERROR(__xludf.DUMMYFUNCTION("""COMPUTED_VALUE"""),"K13919RUM")</f>
        <v>K13919RUM</v>
      </c>
      <c r="B782" s="164">
        <f>IFERROR(__xludf.DUMMYFUNCTION("""COMPUTED_VALUE"""),1.169825E7)</f>
        <v>11698250</v>
      </c>
      <c r="C782" s="164" t="str">
        <f>IFERROR(__xludf.DUMMYFUNCTION("""COMPUTED_VALUE"""),"11698250S")</f>
        <v>11698250S</v>
      </c>
      <c r="D782" s="164" t="str">
        <f>IFERROR(__xludf.DUMMYFUNCTION("""COMPUTED_VALUE"""),"Мужская пижама Лемур")</f>
        <v>Мужская пижама Лемур</v>
      </c>
      <c r="E782" s="164" t="str">
        <f>IFERROR(__xludf.DUMMYFUNCTION("""COMPUTED_VALUE"""),"S")</f>
        <v>S</v>
      </c>
      <c r="F782" s="133" t="str">
        <f>IFERROR(__xludf.DUMMYFUNCTION("""COMPUTED_VALUE"""),"K13919RUMS")</f>
        <v>K13919RUMS</v>
      </c>
      <c r="G782" s="165">
        <f>IFERROR(__xludf.DUMMYFUNCTION("""COMPUTED_VALUE"""),657.0)</f>
        <v>657</v>
      </c>
    </row>
    <row r="783" ht="15.75" customHeight="1">
      <c r="A783" s="133" t="str">
        <f>IFERROR(__xludf.DUMMYFUNCTION("""COMPUTED_VALUE"""),"K13919RUM")</f>
        <v>K13919RUM</v>
      </c>
      <c r="B783" s="164">
        <f>IFERROR(__xludf.DUMMYFUNCTION("""COMPUTED_VALUE"""),1.169825E7)</f>
        <v>11698250</v>
      </c>
      <c r="C783" s="164" t="str">
        <f>IFERROR(__xludf.DUMMYFUNCTION("""COMPUTED_VALUE"""),"11698250M")</f>
        <v>11698250M</v>
      </c>
      <c r="D783" s="164" t="str">
        <f>IFERROR(__xludf.DUMMYFUNCTION("""COMPUTED_VALUE"""),"Мужская пижама Лемур")</f>
        <v>Мужская пижама Лемур</v>
      </c>
      <c r="E783" s="164" t="str">
        <f>IFERROR(__xludf.DUMMYFUNCTION("""COMPUTED_VALUE"""),"M")</f>
        <v>M</v>
      </c>
      <c r="F783" s="133" t="str">
        <f>IFERROR(__xludf.DUMMYFUNCTION("""COMPUTED_VALUE"""),"K13919RUMM")</f>
        <v>K13919RUMM</v>
      </c>
      <c r="G783" s="165">
        <f>IFERROR(__xludf.DUMMYFUNCTION("""COMPUTED_VALUE"""),657.0)</f>
        <v>657</v>
      </c>
    </row>
    <row r="784" ht="15.75" customHeight="1">
      <c r="A784" s="133" t="str">
        <f>IFERROR(__xludf.DUMMYFUNCTION("""COMPUTED_VALUE"""),"K13919RUM")</f>
        <v>K13919RUM</v>
      </c>
      <c r="B784" s="164">
        <f>IFERROR(__xludf.DUMMYFUNCTION("""COMPUTED_VALUE"""),1.169825E7)</f>
        <v>11698250</v>
      </c>
      <c r="C784" s="164" t="str">
        <f>IFERROR(__xludf.DUMMYFUNCTION("""COMPUTED_VALUE"""),"11698250L")</f>
        <v>11698250L</v>
      </c>
      <c r="D784" s="164" t="str">
        <f>IFERROR(__xludf.DUMMYFUNCTION("""COMPUTED_VALUE"""),"Мужская пижама Лемур")</f>
        <v>Мужская пижама Лемур</v>
      </c>
      <c r="E784" s="164" t="str">
        <f>IFERROR(__xludf.DUMMYFUNCTION("""COMPUTED_VALUE"""),"L")</f>
        <v>L</v>
      </c>
      <c r="F784" s="133" t="str">
        <f>IFERROR(__xludf.DUMMYFUNCTION("""COMPUTED_VALUE"""),"K13919RUML")</f>
        <v>K13919RUML</v>
      </c>
      <c r="G784" s="165">
        <f>IFERROR(__xludf.DUMMYFUNCTION("""COMPUTED_VALUE"""),657.0)</f>
        <v>657</v>
      </c>
    </row>
    <row r="785" ht="15.75" customHeight="1">
      <c r="A785" s="133" t="str">
        <f>IFERROR(__xludf.DUMMYFUNCTION("""COMPUTED_VALUE"""),"K13919RUM")</f>
        <v>K13919RUM</v>
      </c>
      <c r="B785" s="164">
        <f>IFERROR(__xludf.DUMMYFUNCTION("""COMPUTED_VALUE"""),1.169825E7)</f>
        <v>11698250</v>
      </c>
      <c r="C785" s="164" t="str">
        <f>IFERROR(__xludf.DUMMYFUNCTION("""COMPUTED_VALUE"""),"11698250XL")</f>
        <v>11698250XL</v>
      </c>
      <c r="D785" s="164" t="str">
        <f>IFERROR(__xludf.DUMMYFUNCTION("""COMPUTED_VALUE"""),"Мужская пижама Лемур")</f>
        <v>Мужская пижама Лемур</v>
      </c>
      <c r="E785" s="164" t="str">
        <f>IFERROR(__xludf.DUMMYFUNCTION("""COMPUTED_VALUE"""),"XL")</f>
        <v>XL</v>
      </c>
      <c r="F785" s="133" t="str">
        <f>IFERROR(__xludf.DUMMYFUNCTION("""COMPUTED_VALUE"""),"K13919RUMXL")</f>
        <v>K13919RUMXL</v>
      </c>
      <c r="G785" s="165">
        <f>IFERROR(__xludf.DUMMYFUNCTION("""COMPUTED_VALUE"""),657.0)</f>
        <v>657</v>
      </c>
    </row>
    <row r="786" ht="15.75" customHeight="1">
      <c r="A786" s="133" t="str">
        <f>IFERROR(__xludf.DUMMYFUNCTION("""COMPUTED_VALUE"""),"K17120RUM")</f>
        <v>K17120RUM</v>
      </c>
      <c r="B786" s="164">
        <f>IFERROR(__xludf.DUMMYFUNCTION("""COMPUTED_VALUE"""),1.2680859E7)</f>
        <v>12680859</v>
      </c>
      <c r="C786" s="164" t="str">
        <f>IFERROR(__xludf.DUMMYFUNCTION("""COMPUTED_VALUE"""),"12680859S")</f>
        <v>12680859S</v>
      </c>
      <c r="D786" s="164" t="str">
        <f>IFERROR(__xludf.DUMMYFUNCTION("""COMPUTED_VALUE"""),"Мужская пижама Жираф")</f>
        <v>Мужская пижама Жираф</v>
      </c>
      <c r="E786" s="164" t="str">
        <f>IFERROR(__xludf.DUMMYFUNCTION("""COMPUTED_VALUE"""),"S")</f>
        <v>S</v>
      </c>
      <c r="F786" s="133" t="str">
        <f>IFERROR(__xludf.DUMMYFUNCTION("""COMPUTED_VALUE"""),"K17120RUMS")</f>
        <v>K17120RUMS</v>
      </c>
      <c r="G786" s="165">
        <f>IFERROR(__xludf.DUMMYFUNCTION("""COMPUTED_VALUE"""),662.0)</f>
        <v>662</v>
      </c>
    </row>
    <row r="787" ht="15.75" customHeight="1">
      <c r="A787" s="133" t="str">
        <f>IFERROR(__xludf.DUMMYFUNCTION("""COMPUTED_VALUE"""),"K17120RUM")</f>
        <v>K17120RUM</v>
      </c>
      <c r="B787" s="164">
        <f>IFERROR(__xludf.DUMMYFUNCTION("""COMPUTED_VALUE"""),1.2680859E7)</f>
        <v>12680859</v>
      </c>
      <c r="C787" s="164" t="str">
        <f>IFERROR(__xludf.DUMMYFUNCTION("""COMPUTED_VALUE"""),"12680859M")</f>
        <v>12680859M</v>
      </c>
      <c r="D787" s="164" t="str">
        <f>IFERROR(__xludf.DUMMYFUNCTION("""COMPUTED_VALUE"""),"Мужская пижама Жираф")</f>
        <v>Мужская пижама Жираф</v>
      </c>
      <c r="E787" s="164" t="str">
        <f>IFERROR(__xludf.DUMMYFUNCTION("""COMPUTED_VALUE"""),"M")</f>
        <v>M</v>
      </c>
      <c r="F787" s="133" t="str">
        <f>IFERROR(__xludf.DUMMYFUNCTION("""COMPUTED_VALUE"""),"K17120RUMM")</f>
        <v>K17120RUMM</v>
      </c>
      <c r="G787" s="165">
        <f>IFERROR(__xludf.DUMMYFUNCTION("""COMPUTED_VALUE"""),662.0)</f>
        <v>662</v>
      </c>
    </row>
    <row r="788" ht="15.75" customHeight="1">
      <c r="A788" s="133" t="str">
        <f>IFERROR(__xludf.DUMMYFUNCTION("""COMPUTED_VALUE"""),"K17120RUM")</f>
        <v>K17120RUM</v>
      </c>
      <c r="B788" s="164">
        <f>IFERROR(__xludf.DUMMYFUNCTION("""COMPUTED_VALUE"""),1.2680859E7)</f>
        <v>12680859</v>
      </c>
      <c r="C788" s="164" t="str">
        <f>IFERROR(__xludf.DUMMYFUNCTION("""COMPUTED_VALUE"""),"12680859L")</f>
        <v>12680859L</v>
      </c>
      <c r="D788" s="164" t="str">
        <f>IFERROR(__xludf.DUMMYFUNCTION("""COMPUTED_VALUE"""),"Мужская пижама Жираф")</f>
        <v>Мужская пижама Жираф</v>
      </c>
      <c r="E788" s="164" t="str">
        <f>IFERROR(__xludf.DUMMYFUNCTION("""COMPUTED_VALUE"""),"L")</f>
        <v>L</v>
      </c>
      <c r="F788" s="133" t="str">
        <f>IFERROR(__xludf.DUMMYFUNCTION("""COMPUTED_VALUE"""),"K17120RUML")</f>
        <v>K17120RUML</v>
      </c>
      <c r="G788" s="165">
        <f>IFERROR(__xludf.DUMMYFUNCTION("""COMPUTED_VALUE"""),662.0)</f>
        <v>662</v>
      </c>
    </row>
    <row r="789" ht="15.75" customHeight="1">
      <c r="A789" s="133" t="str">
        <f>IFERROR(__xludf.DUMMYFUNCTION("""COMPUTED_VALUE"""),"K17120RUM")</f>
        <v>K17120RUM</v>
      </c>
      <c r="B789" s="164">
        <f>IFERROR(__xludf.DUMMYFUNCTION("""COMPUTED_VALUE"""),1.2680859E7)</f>
        <v>12680859</v>
      </c>
      <c r="C789" s="164" t="str">
        <f>IFERROR(__xludf.DUMMYFUNCTION("""COMPUTED_VALUE"""),"12680859XL")</f>
        <v>12680859XL</v>
      </c>
      <c r="D789" s="164" t="str">
        <f>IFERROR(__xludf.DUMMYFUNCTION("""COMPUTED_VALUE"""),"Мужская пижама Жираф")</f>
        <v>Мужская пижама Жираф</v>
      </c>
      <c r="E789" s="164" t="str">
        <f>IFERROR(__xludf.DUMMYFUNCTION("""COMPUTED_VALUE"""),"XL")</f>
        <v>XL</v>
      </c>
      <c r="F789" s="133" t="str">
        <f>IFERROR(__xludf.DUMMYFUNCTION("""COMPUTED_VALUE"""),"K17120RUMXL")</f>
        <v>K17120RUMXL</v>
      </c>
      <c r="G789" s="165">
        <f>IFERROR(__xludf.DUMMYFUNCTION("""COMPUTED_VALUE"""),662.0)</f>
        <v>662</v>
      </c>
    </row>
    <row r="790" ht="15.75" customHeight="1">
      <c r="A790" s="133" t="str">
        <f>IFERROR(__xludf.DUMMYFUNCTION("""COMPUTED_VALUE"""),"K17220RUM")</f>
        <v>K17220RUM</v>
      </c>
      <c r="B790" s="164">
        <f>IFERROR(__xludf.DUMMYFUNCTION("""COMPUTED_VALUE"""),1.268086E7)</f>
        <v>12680860</v>
      </c>
      <c r="C790" s="164" t="str">
        <f>IFERROR(__xludf.DUMMYFUNCTION("""COMPUTED_VALUE"""),"12680860S")</f>
        <v>12680860S</v>
      </c>
      <c r="D790" s="164" t="str">
        <f>IFERROR(__xludf.DUMMYFUNCTION("""COMPUTED_VALUE"""),"Мужская пижама Мышь")</f>
        <v>Мужская пижама Мышь</v>
      </c>
      <c r="E790" s="164" t="str">
        <f>IFERROR(__xludf.DUMMYFUNCTION("""COMPUTED_VALUE"""),"S")</f>
        <v>S</v>
      </c>
      <c r="F790" s="133" t="str">
        <f>IFERROR(__xludf.DUMMYFUNCTION("""COMPUTED_VALUE"""),"K17220RUMS")</f>
        <v>K17220RUMS</v>
      </c>
      <c r="G790" s="165">
        <f>IFERROR(__xludf.DUMMYFUNCTION("""COMPUTED_VALUE"""),662.0)</f>
        <v>662</v>
      </c>
    </row>
    <row r="791" ht="15.75" customHeight="1">
      <c r="A791" s="133" t="str">
        <f>IFERROR(__xludf.DUMMYFUNCTION("""COMPUTED_VALUE"""),"K17220RUM")</f>
        <v>K17220RUM</v>
      </c>
      <c r="B791" s="164">
        <f>IFERROR(__xludf.DUMMYFUNCTION("""COMPUTED_VALUE"""),1.268086E7)</f>
        <v>12680860</v>
      </c>
      <c r="C791" s="164" t="str">
        <f>IFERROR(__xludf.DUMMYFUNCTION("""COMPUTED_VALUE"""),"12680860M")</f>
        <v>12680860M</v>
      </c>
      <c r="D791" s="164" t="str">
        <f>IFERROR(__xludf.DUMMYFUNCTION("""COMPUTED_VALUE"""),"Мужская пижама Мышь")</f>
        <v>Мужская пижама Мышь</v>
      </c>
      <c r="E791" s="164" t="str">
        <f>IFERROR(__xludf.DUMMYFUNCTION("""COMPUTED_VALUE"""),"M")</f>
        <v>M</v>
      </c>
      <c r="F791" s="133" t="str">
        <f>IFERROR(__xludf.DUMMYFUNCTION("""COMPUTED_VALUE"""),"K17220RUMM")</f>
        <v>K17220RUMM</v>
      </c>
      <c r="G791" s="165">
        <f>IFERROR(__xludf.DUMMYFUNCTION("""COMPUTED_VALUE"""),662.0)</f>
        <v>662</v>
      </c>
    </row>
    <row r="792" ht="15.75" customHeight="1">
      <c r="A792" s="133" t="str">
        <f>IFERROR(__xludf.DUMMYFUNCTION("""COMPUTED_VALUE"""),"K17220RUM")</f>
        <v>K17220RUM</v>
      </c>
      <c r="B792" s="164">
        <f>IFERROR(__xludf.DUMMYFUNCTION("""COMPUTED_VALUE"""),1.268086E7)</f>
        <v>12680860</v>
      </c>
      <c r="C792" s="164" t="str">
        <f>IFERROR(__xludf.DUMMYFUNCTION("""COMPUTED_VALUE"""),"12680860L")</f>
        <v>12680860L</v>
      </c>
      <c r="D792" s="164" t="str">
        <f>IFERROR(__xludf.DUMMYFUNCTION("""COMPUTED_VALUE"""),"Мужская пижама Мышь")</f>
        <v>Мужская пижама Мышь</v>
      </c>
      <c r="E792" s="164" t="str">
        <f>IFERROR(__xludf.DUMMYFUNCTION("""COMPUTED_VALUE"""),"L")</f>
        <v>L</v>
      </c>
      <c r="F792" s="133" t="str">
        <f>IFERROR(__xludf.DUMMYFUNCTION("""COMPUTED_VALUE"""),"K17220RUML")</f>
        <v>K17220RUML</v>
      </c>
      <c r="G792" s="165">
        <f>IFERROR(__xludf.DUMMYFUNCTION("""COMPUTED_VALUE"""),662.0)</f>
        <v>662</v>
      </c>
    </row>
    <row r="793" ht="15.75" customHeight="1">
      <c r="A793" s="133" t="str">
        <f>IFERROR(__xludf.DUMMYFUNCTION("""COMPUTED_VALUE"""),"K17220RUM")</f>
        <v>K17220RUM</v>
      </c>
      <c r="B793" s="164">
        <f>IFERROR(__xludf.DUMMYFUNCTION("""COMPUTED_VALUE"""),1.268086E7)</f>
        <v>12680860</v>
      </c>
      <c r="C793" s="164" t="str">
        <f>IFERROR(__xludf.DUMMYFUNCTION("""COMPUTED_VALUE"""),"12680860XL")</f>
        <v>12680860XL</v>
      </c>
      <c r="D793" s="164" t="str">
        <f>IFERROR(__xludf.DUMMYFUNCTION("""COMPUTED_VALUE"""),"Мужская пижама Мышь")</f>
        <v>Мужская пижама Мышь</v>
      </c>
      <c r="E793" s="164" t="str">
        <f>IFERROR(__xludf.DUMMYFUNCTION("""COMPUTED_VALUE"""),"XL")</f>
        <v>XL</v>
      </c>
      <c r="F793" s="133" t="str">
        <f>IFERROR(__xludf.DUMMYFUNCTION("""COMPUTED_VALUE"""),"K17220RUMXL")</f>
        <v>K17220RUMXL</v>
      </c>
      <c r="G793" s="165">
        <f>IFERROR(__xludf.DUMMYFUNCTION("""COMPUTED_VALUE"""),662.0)</f>
        <v>662</v>
      </c>
    </row>
    <row r="794" ht="15.75" customHeight="1">
      <c r="A794" s="133" t="str">
        <f>IFERROR(__xludf.DUMMYFUNCTION("""COMPUTED_VALUE"""),"K16420RUM")</f>
        <v>K16420RUM</v>
      </c>
      <c r="B794" s="164">
        <f>IFERROR(__xludf.DUMMYFUNCTION("""COMPUTED_VALUE"""),1.3027887E7)</f>
        <v>13027887</v>
      </c>
      <c r="C794" s="164" t="str">
        <f>IFERROR(__xludf.DUMMYFUNCTION("""COMPUTED_VALUE"""),"13027887S")</f>
        <v>13027887S</v>
      </c>
      <c r="D794" s="164" t="str">
        <f>IFERROR(__xludf.DUMMYFUNCTION("""COMPUTED_VALUE"""),"Мужская пижама Скелет")</f>
        <v>Мужская пижама Скелет</v>
      </c>
      <c r="E794" s="164" t="str">
        <f>IFERROR(__xludf.DUMMYFUNCTION("""COMPUTED_VALUE"""),"S")</f>
        <v>S</v>
      </c>
      <c r="F794" s="133" t="str">
        <f>IFERROR(__xludf.DUMMYFUNCTION("""COMPUTED_VALUE"""),"K16420RUMS")</f>
        <v>K16420RUMS</v>
      </c>
      <c r="G794" s="165">
        <f>IFERROR(__xludf.DUMMYFUNCTION("""COMPUTED_VALUE"""),662.0)</f>
        <v>662</v>
      </c>
    </row>
    <row r="795" ht="15.75" customHeight="1">
      <c r="A795" s="133" t="str">
        <f>IFERROR(__xludf.DUMMYFUNCTION("""COMPUTED_VALUE"""),"K16420RUM")</f>
        <v>K16420RUM</v>
      </c>
      <c r="B795" s="164">
        <f>IFERROR(__xludf.DUMMYFUNCTION("""COMPUTED_VALUE"""),1.3027887E7)</f>
        <v>13027887</v>
      </c>
      <c r="C795" s="164" t="str">
        <f>IFERROR(__xludf.DUMMYFUNCTION("""COMPUTED_VALUE"""),"13027887M")</f>
        <v>13027887M</v>
      </c>
      <c r="D795" s="164" t="str">
        <f>IFERROR(__xludf.DUMMYFUNCTION("""COMPUTED_VALUE"""),"Мужская пижама Скелет")</f>
        <v>Мужская пижама Скелет</v>
      </c>
      <c r="E795" s="164" t="str">
        <f>IFERROR(__xludf.DUMMYFUNCTION("""COMPUTED_VALUE"""),"M")</f>
        <v>M</v>
      </c>
      <c r="F795" s="133" t="str">
        <f>IFERROR(__xludf.DUMMYFUNCTION("""COMPUTED_VALUE"""),"K16420RUMM")</f>
        <v>K16420RUMM</v>
      </c>
      <c r="G795" s="165">
        <f>IFERROR(__xludf.DUMMYFUNCTION("""COMPUTED_VALUE"""),662.0)</f>
        <v>662</v>
      </c>
    </row>
    <row r="796" ht="15.75" customHeight="1">
      <c r="A796" s="133" t="str">
        <f>IFERROR(__xludf.DUMMYFUNCTION("""COMPUTED_VALUE"""),"K16420RUM")</f>
        <v>K16420RUM</v>
      </c>
      <c r="B796" s="164">
        <f>IFERROR(__xludf.DUMMYFUNCTION("""COMPUTED_VALUE"""),1.3027887E7)</f>
        <v>13027887</v>
      </c>
      <c r="C796" s="164" t="str">
        <f>IFERROR(__xludf.DUMMYFUNCTION("""COMPUTED_VALUE"""),"13027887L")</f>
        <v>13027887L</v>
      </c>
      <c r="D796" s="164" t="str">
        <f>IFERROR(__xludf.DUMMYFUNCTION("""COMPUTED_VALUE"""),"Мужская пижама Скелет")</f>
        <v>Мужская пижама Скелет</v>
      </c>
      <c r="E796" s="164" t="str">
        <f>IFERROR(__xludf.DUMMYFUNCTION("""COMPUTED_VALUE"""),"L")</f>
        <v>L</v>
      </c>
      <c r="F796" s="133" t="str">
        <f>IFERROR(__xludf.DUMMYFUNCTION("""COMPUTED_VALUE"""),"K16420RUML")</f>
        <v>K16420RUML</v>
      </c>
      <c r="G796" s="165">
        <f>IFERROR(__xludf.DUMMYFUNCTION("""COMPUTED_VALUE"""),662.0)</f>
        <v>662</v>
      </c>
    </row>
    <row r="797" ht="15.75" customHeight="1">
      <c r="A797" s="133" t="str">
        <f>IFERROR(__xludf.DUMMYFUNCTION("""COMPUTED_VALUE"""),"K16420RUM")</f>
        <v>K16420RUM</v>
      </c>
      <c r="B797" s="164">
        <f>IFERROR(__xludf.DUMMYFUNCTION("""COMPUTED_VALUE"""),1.3027887E7)</f>
        <v>13027887</v>
      </c>
      <c r="C797" s="164" t="str">
        <f>IFERROR(__xludf.DUMMYFUNCTION("""COMPUTED_VALUE"""),"13027887XL")</f>
        <v>13027887XL</v>
      </c>
      <c r="D797" s="164" t="str">
        <f>IFERROR(__xludf.DUMMYFUNCTION("""COMPUTED_VALUE"""),"Мужская пижама Скелет")</f>
        <v>Мужская пижама Скелет</v>
      </c>
      <c r="E797" s="164" t="str">
        <f>IFERROR(__xludf.DUMMYFUNCTION("""COMPUTED_VALUE"""),"XL")</f>
        <v>XL</v>
      </c>
      <c r="F797" s="133" t="str">
        <f>IFERROR(__xludf.DUMMYFUNCTION("""COMPUTED_VALUE"""),"K16420RUMXL")</f>
        <v>K16420RUMXL</v>
      </c>
      <c r="G797" s="165">
        <f>IFERROR(__xludf.DUMMYFUNCTION("""COMPUTED_VALUE"""),662.0)</f>
        <v>662</v>
      </c>
    </row>
    <row r="798" ht="15.75" customHeight="1">
      <c r="A798" s="133" t="str">
        <f>IFERROR(__xludf.DUMMYFUNCTION("""COMPUTED_VALUE"""),"K17720RUM")</f>
        <v>K17720RUM</v>
      </c>
      <c r="B798" s="164">
        <f>IFERROR(__xludf.DUMMYFUNCTION("""COMPUTED_VALUE"""),1.3025862E7)</f>
        <v>13025862</v>
      </c>
      <c r="C798" s="164" t="str">
        <f>IFERROR(__xludf.DUMMYFUNCTION("""COMPUTED_VALUE"""),"13025862S")</f>
        <v>13025862S</v>
      </c>
      <c r="D798" s="164" t="str">
        <f>IFERROR(__xludf.DUMMYFUNCTION("""COMPUTED_VALUE"""),"Мужская пижама Единорог Бело-Голубой")</f>
        <v>Мужская пижама Единорог Бело-Голубой</v>
      </c>
      <c r="E798" s="164" t="str">
        <f>IFERROR(__xludf.DUMMYFUNCTION("""COMPUTED_VALUE"""),"S")</f>
        <v>S</v>
      </c>
      <c r="F798" s="133" t="str">
        <f>IFERROR(__xludf.DUMMYFUNCTION("""COMPUTED_VALUE"""),"K17720RUMS")</f>
        <v>K17720RUMS</v>
      </c>
      <c r="G798" s="165">
        <f>IFERROR(__xludf.DUMMYFUNCTION("""COMPUTED_VALUE"""),662.0)</f>
        <v>662</v>
      </c>
    </row>
    <row r="799" ht="15.75" customHeight="1">
      <c r="A799" s="133" t="str">
        <f>IFERROR(__xludf.DUMMYFUNCTION("""COMPUTED_VALUE"""),"K17720RUM")</f>
        <v>K17720RUM</v>
      </c>
      <c r="B799" s="164">
        <f>IFERROR(__xludf.DUMMYFUNCTION("""COMPUTED_VALUE"""),1.3025862E7)</f>
        <v>13025862</v>
      </c>
      <c r="C799" s="164" t="str">
        <f>IFERROR(__xludf.DUMMYFUNCTION("""COMPUTED_VALUE"""),"13025862M")</f>
        <v>13025862M</v>
      </c>
      <c r="D799" s="164" t="str">
        <f>IFERROR(__xludf.DUMMYFUNCTION("""COMPUTED_VALUE"""),"Мужская пижама Единорог Бело-Голубой")</f>
        <v>Мужская пижама Единорог Бело-Голубой</v>
      </c>
      <c r="E799" s="164" t="str">
        <f>IFERROR(__xludf.DUMMYFUNCTION("""COMPUTED_VALUE"""),"M")</f>
        <v>M</v>
      </c>
      <c r="F799" s="133" t="str">
        <f>IFERROR(__xludf.DUMMYFUNCTION("""COMPUTED_VALUE"""),"K17720RUMM")</f>
        <v>K17720RUMM</v>
      </c>
      <c r="G799" s="165">
        <f>IFERROR(__xludf.DUMMYFUNCTION("""COMPUTED_VALUE"""),662.0)</f>
        <v>662</v>
      </c>
    </row>
    <row r="800" ht="15.75" customHeight="1">
      <c r="A800" s="133" t="str">
        <f>IFERROR(__xludf.DUMMYFUNCTION("""COMPUTED_VALUE"""),"K17720RUM")</f>
        <v>K17720RUM</v>
      </c>
      <c r="B800" s="164">
        <f>IFERROR(__xludf.DUMMYFUNCTION("""COMPUTED_VALUE"""),1.3025862E7)</f>
        <v>13025862</v>
      </c>
      <c r="C800" s="164" t="str">
        <f>IFERROR(__xludf.DUMMYFUNCTION("""COMPUTED_VALUE"""),"13025862L")</f>
        <v>13025862L</v>
      </c>
      <c r="D800" s="164" t="str">
        <f>IFERROR(__xludf.DUMMYFUNCTION("""COMPUTED_VALUE"""),"Мужская пижама Единорог Бело-Голубой")</f>
        <v>Мужская пижама Единорог Бело-Голубой</v>
      </c>
      <c r="E800" s="164" t="str">
        <f>IFERROR(__xludf.DUMMYFUNCTION("""COMPUTED_VALUE"""),"L")</f>
        <v>L</v>
      </c>
      <c r="F800" s="133" t="str">
        <f>IFERROR(__xludf.DUMMYFUNCTION("""COMPUTED_VALUE"""),"K17720RUML")</f>
        <v>K17720RUML</v>
      </c>
      <c r="G800" s="165">
        <f>IFERROR(__xludf.DUMMYFUNCTION("""COMPUTED_VALUE"""),662.0)</f>
        <v>662</v>
      </c>
    </row>
    <row r="801" ht="15.75" customHeight="1">
      <c r="A801" s="133" t="str">
        <f>IFERROR(__xludf.DUMMYFUNCTION("""COMPUTED_VALUE"""),"K17720RUM")</f>
        <v>K17720RUM</v>
      </c>
      <c r="B801" s="164">
        <f>IFERROR(__xludf.DUMMYFUNCTION("""COMPUTED_VALUE"""),1.3025862E7)</f>
        <v>13025862</v>
      </c>
      <c r="C801" s="164" t="str">
        <f>IFERROR(__xludf.DUMMYFUNCTION("""COMPUTED_VALUE"""),"13025862XL")</f>
        <v>13025862XL</v>
      </c>
      <c r="D801" s="164" t="str">
        <f>IFERROR(__xludf.DUMMYFUNCTION("""COMPUTED_VALUE"""),"Мужская пижама Единорог Бело-Голубой")</f>
        <v>Мужская пижама Единорог Бело-Голубой</v>
      </c>
      <c r="E801" s="164" t="str">
        <f>IFERROR(__xludf.DUMMYFUNCTION("""COMPUTED_VALUE"""),"XL")</f>
        <v>XL</v>
      </c>
      <c r="F801" s="133" t="str">
        <f>IFERROR(__xludf.DUMMYFUNCTION("""COMPUTED_VALUE"""),"K17720RUMXL")</f>
        <v>K17720RUMXL</v>
      </c>
      <c r="G801" s="165">
        <f>IFERROR(__xludf.DUMMYFUNCTION("""COMPUTED_VALUE"""),662.0)</f>
        <v>662</v>
      </c>
    </row>
    <row r="802" ht="15.75" customHeight="1">
      <c r="A802" s="133" t="str">
        <f>IFERROR(__xludf.DUMMYFUNCTION("""COMPUTED_VALUE"""),"K17820RUM")</f>
        <v>K17820RUM</v>
      </c>
      <c r="B802" s="164">
        <f>IFERROR(__xludf.DUMMYFUNCTION("""COMPUTED_VALUE"""),1.3025863E7)</f>
        <v>13025863</v>
      </c>
      <c r="C802" s="164" t="str">
        <f>IFERROR(__xludf.DUMMYFUNCTION("""COMPUTED_VALUE"""),"13025863S")</f>
        <v>13025863S</v>
      </c>
      <c r="D802" s="164" t="str">
        <f>IFERROR(__xludf.DUMMYFUNCTION("""COMPUTED_VALUE"""),"Мужская пижама Единорог Бело-Розовый")</f>
        <v>Мужская пижама Единорог Бело-Розовый</v>
      </c>
      <c r="E802" s="164" t="str">
        <f>IFERROR(__xludf.DUMMYFUNCTION("""COMPUTED_VALUE"""),"S")</f>
        <v>S</v>
      </c>
      <c r="F802" s="133" t="str">
        <f>IFERROR(__xludf.DUMMYFUNCTION("""COMPUTED_VALUE"""),"K17820RUMS")</f>
        <v>K17820RUMS</v>
      </c>
      <c r="G802" s="165">
        <f>IFERROR(__xludf.DUMMYFUNCTION("""COMPUTED_VALUE"""),662.0)</f>
        <v>662</v>
      </c>
    </row>
    <row r="803" ht="15.75" customHeight="1">
      <c r="A803" s="133" t="str">
        <f>IFERROR(__xludf.DUMMYFUNCTION("""COMPUTED_VALUE"""),"K17820RUM")</f>
        <v>K17820RUM</v>
      </c>
      <c r="B803" s="164">
        <f>IFERROR(__xludf.DUMMYFUNCTION("""COMPUTED_VALUE"""),1.3025863E7)</f>
        <v>13025863</v>
      </c>
      <c r="C803" s="164" t="str">
        <f>IFERROR(__xludf.DUMMYFUNCTION("""COMPUTED_VALUE"""),"13025863M")</f>
        <v>13025863M</v>
      </c>
      <c r="D803" s="164" t="str">
        <f>IFERROR(__xludf.DUMMYFUNCTION("""COMPUTED_VALUE"""),"Мужская пижама Единорог Бело-Розовый")</f>
        <v>Мужская пижама Единорог Бело-Розовый</v>
      </c>
      <c r="E803" s="164" t="str">
        <f>IFERROR(__xludf.DUMMYFUNCTION("""COMPUTED_VALUE"""),"M")</f>
        <v>M</v>
      </c>
      <c r="F803" s="133" t="str">
        <f>IFERROR(__xludf.DUMMYFUNCTION("""COMPUTED_VALUE"""),"K17820RUMM")</f>
        <v>K17820RUMM</v>
      </c>
      <c r="G803" s="165">
        <f>IFERROR(__xludf.DUMMYFUNCTION("""COMPUTED_VALUE"""),662.0)</f>
        <v>662</v>
      </c>
    </row>
    <row r="804" ht="15.75" customHeight="1">
      <c r="A804" s="133" t="str">
        <f>IFERROR(__xludf.DUMMYFUNCTION("""COMPUTED_VALUE"""),"K17820RUM")</f>
        <v>K17820RUM</v>
      </c>
      <c r="B804" s="164">
        <f>IFERROR(__xludf.DUMMYFUNCTION("""COMPUTED_VALUE"""),1.3025863E7)</f>
        <v>13025863</v>
      </c>
      <c r="C804" s="164" t="str">
        <f>IFERROR(__xludf.DUMMYFUNCTION("""COMPUTED_VALUE"""),"13025863L")</f>
        <v>13025863L</v>
      </c>
      <c r="D804" s="164" t="str">
        <f>IFERROR(__xludf.DUMMYFUNCTION("""COMPUTED_VALUE"""),"Мужская пижама Единорог Бело-Розовый")</f>
        <v>Мужская пижама Единорог Бело-Розовый</v>
      </c>
      <c r="E804" s="164" t="str">
        <f>IFERROR(__xludf.DUMMYFUNCTION("""COMPUTED_VALUE"""),"L")</f>
        <v>L</v>
      </c>
      <c r="F804" s="133" t="str">
        <f>IFERROR(__xludf.DUMMYFUNCTION("""COMPUTED_VALUE"""),"K17820RUML")</f>
        <v>K17820RUML</v>
      </c>
      <c r="G804" s="165">
        <f>IFERROR(__xludf.DUMMYFUNCTION("""COMPUTED_VALUE"""),662.0)</f>
        <v>662</v>
      </c>
    </row>
    <row r="805" ht="15.75" customHeight="1">
      <c r="A805" s="133" t="str">
        <f>IFERROR(__xludf.DUMMYFUNCTION("""COMPUTED_VALUE"""),"K17820RUM")</f>
        <v>K17820RUM</v>
      </c>
      <c r="B805" s="164">
        <f>IFERROR(__xludf.DUMMYFUNCTION("""COMPUTED_VALUE"""),1.3025863E7)</f>
        <v>13025863</v>
      </c>
      <c r="C805" s="164" t="str">
        <f>IFERROR(__xludf.DUMMYFUNCTION("""COMPUTED_VALUE"""),"13025863XL")</f>
        <v>13025863XL</v>
      </c>
      <c r="D805" s="164" t="str">
        <f>IFERROR(__xludf.DUMMYFUNCTION("""COMPUTED_VALUE"""),"Мужская пижама Единорог Бело-Розовый")</f>
        <v>Мужская пижама Единорог Бело-Розовый</v>
      </c>
      <c r="E805" s="164" t="str">
        <f>IFERROR(__xludf.DUMMYFUNCTION("""COMPUTED_VALUE"""),"XL")</f>
        <v>XL</v>
      </c>
      <c r="F805" s="133" t="str">
        <f>IFERROR(__xludf.DUMMYFUNCTION("""COMPUTED_VALUE"""),"K17820RUMXL")</f>
        <v>K17820RUMXL</v>
      </c>
      <c r="G805" s="165">
        <f>IFERROR(__xludf.DUMMYFUNCTION("""COMPUTED_VALUE"""),662.0)</f>
        <v>662</v>
      </c>
    </row>
    <row r="806" ht="15.75" customHeight="1">
      <c r="A806" s="133" t="str">
        <f>IFERROR(__xludf.DUMMYFUNCTION("""COMPUTED_VALUE"""),"K18020RUM")</f>
        <v>K18020RUM</v>
      </c>
      <c r="B806" s="164">
        <f>IFERROR(__xludf.DUMMYFUNCTION("""COMPUTED_VALUE"""),1.3025864E7)</f>
        <v>13025864</v>
      </c>
      <c r="C806" s="164" t="str">
        <f>IFERROR(__xludf.DUMMYFUNCTION("""COMPUTED_VALUE"""),"13025864S")</f>
        <v>13025864S</v>
      </c>
      <c r="D806" s="164" t="str">
        <f>IFERROR(__xludf.DUMMYFUNCTION("""COMPUTED_VALUE"""),"Мужская пижама Корова")</f>
        <v>Мужская пижама Корова</v>
      </c>
      <c r="E806" s="164" t="str">
        <f>IFERROR(__xludf.DUMMYFUNCTION("""COMPUTED_VALUE"""),"S")</f>
        <v>S</v>
      </c>
      <c r="F806" s="133" t="str">
        <f>IFERROR(__xludf.DUMMYFUNCTION("""COMPUTED_VALUE"""),"K18020RUMS")</f>
        <v>K18020RUMS</v>
      </c>
      <c r="G806" s="165">
        <f>IFERROR(__xludf.DUMMYFUNCTION("""COMPUTED_VALUE"""),662.0)</f>
        <v>662</v>
      </c>
    </row>
    <row r="807" ht="15.75" customHeight="1">
      <c r="A807" s="133" t="str">
        <f>IFERROR(__xludf.DUMMYFUNCTION("""COMPUTED_VALUE"""),"K18020RUM")</f>
        <v>K18020RUM</v>
      </c>
      <c r="B807" s="164">
        <f>IFERROR(__xludf.DUMMYFUNCTION("""COMPUTED_VALUE"""),1.3025864E7)</f>
        <v>13025864</v>
      </c>
      <c r="C807" s="164" t="str">
        <f>IFERROR(__xludf.DUMMYFUNCTION("""COMPUTED_VALUE"""),"13025864M")</f>
        <v>13025864M</v>
      </c>
      <c r="D807" s="164" t="str">
        <f>IFERROR(__xludf.DUMMYFUNCTION("""COMPUTED_VALUE"""),"Мужская пижама Корова")</f>
        <v>Мужская пижама Корова</v>
      </c>
      <c r="E807" s="164" t="str">
        <f>IFERROR(__xludf.DUMMYFUNCTION("""COMPUTED_VALUE"""),"M")</f>
        <v>M</v>
      </c>
      <c r="F807" s="133" t="str">
        <f>IFERROR(__xludf.DUMMYFUNCTION("""COMPUTED_VALUE"""),"K18020RUMM")</f>
        <v>K18020RUMM</v>
      </c>
      <c r="G807" s="165">
        <f>IFERROR(__xludf.DUMMYFUNCTION("""COMPUTED_VALUE"""),662.0)</f>
        <v>662</v>
      </c>
    </row>
    <row r="808" ht="15.75" customHeight="1">
      <c r="A808" s="133" t="str">
        <f>IFERROR(__xludf.DUMMYFUNCTION("""COMPUTED_VALUE"""),"K18020RUM")</f>
        <v>K18020RUM</v>
      </c>
      <c r="B808" s="164">
        <f>IFERROR(__xludf.DUMMYFUNCTION("""COMPUTED_VALUE"""),1.3025864E7)</f>
        <v>13025864</v>
      </c>
      <c r="C808" s="164" t="str">
        <f>IFERROR(__xludf.DUMMYFUNCTION("""COMPUTED_VALUE"""),"13025864L")</f>
        <v>13025864L</v>
      </c>
      <c r="D808" s="164" t="str">
        <f>IFERROR(__xludf.DUMMYFUNCTION("""COMPUTED_VALUE"""),"Мужская пижама Корова")</f>
        <v>Мужская пижама Корова</v>
      </c>
      <c r="E808" s="164" t="str">
        <f>IFERROR(__xludf.DUMMYFUNCTION("""COMPUTED_VALUE"""),"L")</f>
        <v>L</v>
      </c>
      <c r="F808" s="133" t="str">
        <f>IFERROR(__xludf.DUMMYFUNCTION("""COMPUTED_VALUE"""),"K18020RUML")</f>
        <v>K18020RUML</v>
      </c>
      <c r="G808" s="165">
        <f>IFERROR(__xludf.DUMMYFUNCTION("""COMPUTED_VALUE"""),662.0)</f>
        <v>662</v>
      </c>
    </row>
    <row r="809" ht="15.75" customHeight="1">
      <c r="A809" s="133" t="str">
        <f>IFERROR(__xludf.DUMMYFUNCTION("""COMPUTED_VALUE"""),"K18020RUM")</f>
        <v>K18020RUM</v>
      </c>
      <c r="B809" s="164">
        <f>IFERROR(__xludf.DUMMYFUNCTION("""COMPUTED_VALUE"""),1.3025864E7)</f>
        <v>13025864</v>
      </c>
      <c r="C809" s="164" t="str">
        <f>IFERROR(__xludf.DUMMYFUNCTION("""COMPUTED_VALUE"""),"13025864XL")</f>
        <v>13025864XL</v>
      </c>
      <c r="D809" s="164" t="str">
        <f>IFERROR(__xludf.DUMMYFUNCTION("""COMPUTED_VALUE"""),"Мужская пижама Корова")</f>
        <v>Мужская пижама Корова</v>
      </c>
      <c r="E809" s="164" t="str">
        <f>IFERROR(__xludf.DUMMYFUNCTION("""COMPUTED_VALUE"""),"XL")</f>
        <v>XL</v>
      </c>
      <c r="F809" s="133" t="str">
        <f>IFERROR(__xludf.DUMMYFUNCTION("""COMPUTED_VALUE"""),"K18020RUMXL")</f>
        <v>K18020RUMXL</v>
      </c>
      <c r="G809" s="165">
        <f>IFERROR(__xludf.DUMMYFUNCTION("""COMPUTED_VALUE"""),662.0)</f>
        <v>662</v>
      </c>
    </row>
    <row r="810" ht="15.75" customHeight="1">
      <c r="A810" s="133" t="str">
        <f>IFERROR(__xludf.DUMMYFUNCTION("""COMPUTED_VALUE"""),"K18220RUM")</f>
        <v>K18220RUM</v>
      </c>
      <c r="B810" s="164">
        <f>IFERROR(__xludf.DUMMYFUNCTION("""COMPUTED_VALUE"""),1.3025866E7)</f>
        <v>13025866</v>
      </c>
      <c r="C810" s="164" t="str">
        <f>IFERROR(__xludf.DUMMYFUNCTION("""COMPUTED_VALUE"""),"13025866S")</f>
        <v>13025866S</v>
      </c>
      <c r="D810" s="164" t="str">
        <f>IFERROR(__xludf.DUMMYFUNCTION("""COMPUTED_VALUE"""),"Мужская пижама Кролик")</f>
        <v>Мужская пижама Кролик</v>
      </c>
      <c r="E810" s="164" t="str">
        <f>IFERROR(__xludf.DUMMYFUNCTION("""COMPUTED_VALUE"""),"S")</f>
        <v>S</v>
      </c>
      <c r="F810" s="133" t="str">
        <f>IFERROR(__xludf.DUMMYFUNCTION("""COMPUTED_VALUE"""),"K18220RUMS")</f>
        <v>K18220RUMS</v>
      </c>
      <c r="G810" s="165">
        <f>IFERROR(__xludf.DUMMYFUNCTION("""COMPUTED_VALUE"""),662.0)</f>
        <v>662</v>
      </c>
    </row>
    <row r="811" ht="15.75" customHeight="1">
      <c r="A811" s="133" t="str">
        <f>IFERROR(__xludf.DUMMYFUNCTION("""COMPUTED_VALUE"""),"K18220RUM")</f>
        <v>K18220RUM</v>
      </c>
      <c r="B811" s="164">
        <f>IFERROR(__xludf.DUMMYFUNCTION("""COMPUTED_VALUE"""),1.3025866E7)</f>
        <v>13025866</v>
      </c>
      <c r="C811" s="164" t="str">
        <f>IFERROR(__xludf.DUMMYFUNCTION("""COMPUTED_VALUE"""),"13025866M")</f>
        <v>13025866M</v>
      </c>
      <c r="D811" s="164" t="str">
        <f>IFERROR(__xludf.DUMMYFUNCTION("""COMPUTED_VALUE"""),"Мужская пижама Кролик")</f>
        <v>Мужская пижама Кролик</v>
      </c>
      <c r="E811" s="164" t="str">
        <f>IFERROR(__xludf.DUMMYFUNCTION("""COMPUTED_VALUE"""),"M")</f>
        <v>M</v>
      </c>
      <c r="F811" s="133" t="str">
        <f>IFERROR(__xludf.DUMMYFUNCTION("""COMPUTED_VALUE"""),"K18220RUMM")</f>
        <v>K18220RUMM</v>
      </c>
      <c r="G811" s="165">
        <f>IFERROR(__xludf.DUMMYFUNCTION("""COMPUTED_VALUE"""),662.0)</f>
        <v>662</v>
      </c>
    </row>
    <row r="812" ht="15.75" customHeight="1">
      <c r="A812" s="133" t="str">
        <f>IFERROR(__xludf.DUMMYFUNCTION("""COMPUTED_VALUE"""),"K18220RUM")</f>
        <v>K18220RUM</v>
      </c>
      <c r="B812" s="164">
        <f>IFERROR(__xludf.DUMMYFUNCTION("""COMPUTED_VALUE"""),1.3025866E7)</f>
        <v>13025866</v>
      </c>
      <c r="C812" s="164" t="str">
        <f>IFERROR(__xludf.DUMMYFUNCTION("""COMPUTED_VALUE"""),"13025866L")</f>
        <v>13025866L</v>
      </c>
      <c r="D812" s="164" t="str">
        <f>IFERROR(__xludf.DUMMYFUNCTION("""COMPUTED_VALUE"""),"Мужская пижама Кролик")</f>
        <v>Мужская пижама Кролик</v>
      </c>
      <c r="E812" s="164" t="str">
        <f>IFERROR(__xludf.DUMMYFUNCTION("""COMPUTED_VALUE"""),"L")</f>
        <v>L</v>
      </c>
      <c r="F812" s="133" t="str">
        <f>IFERROR(__xludf.DUMMYFUNCTION("""COMPUTED_VALUE"""),"K18220RUML")</f>
        <v>K18220RUML</v>
      </c>
      <c r="G812" s="165">
        <f>IFERROR(__xludf.DUMMYFUNCTION("""COMPUTED_VALUE"""),662.0)</f>
        <v>662</v>
      </c>
    </row>
    <row r="813" ht="15.75" customHeight="1">
      <c r="A813" s="133" t="str">
        <f>IFERROR(__xludf.DUMMYFUNCTION("""COMPUTED_VALUE"""),"K18220RUM")</f>
        <v>K18220RUM</v>
      </c>
      <c r="B813" s="164">
        <f>IFERROR(__xludf.DUMMYFUNCTION("""COMPUTED_VALUE"""),1.3025866E7)</f>
        <v>13025866</v>
      </c>
      <c r="C813" s="164" t="str">
        <f>IFERROR(__xludf.DUMMYFUNCTION("""COMPUTED_VALUE"""),"13025866XL")</f>
        <v>13025866XL</v>
      </c>
      <c r="D813" s="164" t="str">
        <f>IFERROR(__xludf.DUMMYFUNCTION("""COMPUTED_VALUE"""),"Мужская пижама Кролик")</f>
        <v>Мужская пижама Кролик</v>
      </c>
      <c r="E813" s="164" t="str">
        <f>IFERROR(__xludf.DUMMYFUNCTION("""COMPUTED_VALUE"""),"XL")</f>
        <v>XL</v>
      </c>
      <c r="F813" s="133" t="str">
        <f>IFERROR(__xludf.DUMMYFUNCTION("""COMPUTED_VALUE"""),"K18220RUMXL")</f>
        <v>K18220RUMXL</v>
      </c>
      <c r="G813" s="165">
        <f>IFERROR(__xludf.DUMMYFUNCTION("""COMPUTED_VALUE"""),662.0)</f>
        <v>662</v>
      </c>
    </row>
    <row r="814" ht="15.75" customHeight="1">
      <c r="A814" s="133" t="str">
        <f>IFERROR(__xludf.DUMMYFUNCTION("""COMPUTED_VALUE"""),"K18320RUM")</f>
        <v>K18320RUM</v>
      </c>
      <c r="B814" s="164">
        <f>IFERROR(__xludf.DUMMYFUNCTION("""COMPUTED_VALUE"""),1.3491298E7)</f>
        <v>13491298</v>
      </c>
      <c r="C814" s="164" t="str">
        <f>IFERROR(__xludf.DUMMYFUNCTION("""COMPUTED_VALUE"""),"13491298S")</f>
        <v>13491298S</v>
      </c>
      <c r="D814" s="164" t="str">
        <f>IFERROR(__xludf.DUMMYFUNCTION("""COMPUTED_VALUE"""),"Мужская пижама Лев")</f>
        <v>Мужская пижама Лев</v>
      </c>
      <c r="E814" s="164" t="str">
        <f>IFERROR(__xludf.DUMMYFUNCTION("""COMPUTED_VALUE"""),"S")</f>
        <v>S</v>
      </c>
      <c r="F814" s="133" t="str">
        <f>IFERROR(__xludf.DUMMYFUNCTION("""COMPUTED_VALUE"""),"K18320RUMS")</f>
        <v>K18320RUMS</v>
      </c>
      <c r="G814" s="165">
        <f>IFERROR(__xludf.DUMMYFUNCTION("""COMPUTED_VALUE"""),662.0)</f>
        <v>662</v>
      </c>
    </row>
    <row r="815" ht="15.75" customHeight="1">
      <c r="A815" s="133" t="str">
        <f>IFERROR(__xludf.DUMMYFUNCTION("""COMPUTED_VALUE"""),"K18320RUM")</f>
        <v>K18320RUM</v>
      </c>
      <c r="B815" s="164">
        <f>IFERROR(__xludf.DUMMYFUNCTION("""COMPUTED_VALUE"""),1.3491298E7)</f>
        <v>13491298</v>
      </c>
      <c r="C815" s="164" t="str">
        <f>IFERROR(__xludf.DUMMYFUNCTION("""COMPUTED_VALUE"""),"13491298M")</f>
        <v>13491298M</v>
      </c>
      <c r="D815" s="164" t="str">
        <f>IFERROR(__xludf.DUMMYFUNCTION("""COMPUTED_VALUE"""),"Мужская пижама Лев")</f>
        <v>Мужская пижама Лев</v>
      </c>
      <c r="E815" s="164" t="str">
        <f>IFERROR(__xludf.DUMMYFUNCTION("""COMPUTED_VALUE"""),"M")</f>
        <v>M</v>
      </c>
      <c r="F815" s="133" t="str">
        <f>IFERROR(__xludf.DUMMYFUNCTION("""COMPUTED_VALUE"""),"K18320RUMM")</f>
        <v>K18320RUMM</v>
      </c>
      <c r="G815" s="165">
        <f>IFERROR(__xludf.DUMMYFUNCTION("""COMPUTED_VALUE"""),662.0)</f>
        <v>662</v>
      </c>
    </row>
    <row r="816" ht="15.75" customHeight="1">
      <c r="A816" s="133" t="str">
        <f>IFERROR(__xludf.DUMMYFUNCTION("""COMPUTED_VALUE"""),"K18320RUM")</f>
        <v>K18320RUM</v>
      </c>
      <c r="B816" s="164">
        <f>IFERROR(__xludf.DUMMYFUNCTION("""COMPUTED_VALUE"""),1.3491298E7)</f>
        <v>13491298</v>
      </c>
      <c r="C816" s="164" t="str">
        <f>IFERROR(__xludf.DUMMYFUNCTION("""COMPUTED_VALUE"""),"13491298L")</f>
        <v>13491298L</v>
      </c>
      <c r="D816" s="164" t="str">
        <f>IFERROR(__xludf.DUMMYFUNCTION("""COMPUTED_VALUE"""),"Мужская пижама Лев")</f>
        <v>Мужская пижама Лев</v>
      </c>
      <c r="E816" s="164" t="str">
        <f>IFERROR(__xludf.DUMMYFUNCTION("""COMPUTED_VALUE"""),"L")</f>
        <v>L</v>
      </c>
      <c r="F816" s="133" t="str">
        <f>IFERROR(__xludf.DUMMYFUNCTION("""COMPUTED_VALUE"""),"K18320RUML")</f>
        <v>K18320RUML</v>
      </c>
      <c r="G816" s="165">
        <f>IFERROR(__xludf.DUMMYFUNCTION("""COMPUTED_VALUE"""),662.0)</f>
        <v>662</v>
      </c>
    </row>
    <row r="817" ht="15.75" customHeight="1">
      <c r="A817" s="133" t="str">
        <f>IFERROR(__xludf.DUMMYFUNCTION("""COMPUTED_VALUE"""),"K18320RUM")</f>
        <v>K18320RUM</v>
      </c>
      <c r="B817" s="164">
        <f>IFERROR(__xludf.DUMMYFUNCTION("""COMPUTED_VALUE"""),1.3491298E7)</f>
        <v>13491298</v>
      </c>
      <c r="C817" s="164" t="str">
        <f>IFERROR(__xludf.DUMMYFUNCTION("""COMPUTED_VALUE"""),"13491298XL")</f>
        <v>13491298XL</v>
      </c>
      <c r="D817" s="164" t="str">
        <f>IFERROR(__xludf.DUMMYFUNCTION("""COMPUTED_VALUE"""),"Мужская пижама Лев")</f>
        <v>Мужская пижама Лев</v>
      </c>
      <c r="E817" s="164" t="str">
        <f>IFERROR(__xludf.DUMMYFUNCTION("""COMPUTED_VALUE"""),"XL")</f>
        <v>XL</v>
      </c>
      <c r="F817" s="133" t="str">
        <f>IFERROR(__xludf.DUMMYFUNCTION("""COMPUTED_VALUE"""),"K18320RUMXL")</f>
        <v>K18320RUMXL</v>
      </c>
      <c r="G817" s="165">
        <f>IFERROR(__xludf.DUMMYFUNCTION("""COMPUTED_VALUE"""),662.0)</f>
        <v>662</v>
      </c>
    </row>
    <row r="818" ht="15.75" customHeight="1">
      <c r="A818" s="133" t="str">
        <f>IFERROR(__xludf.DUMMYFUNCTION("""COMPUTED_VALUE"""),"K18820RUM")</f>
        <v>K18820RUM</v>
      </c>
      <c r="B818" s="164">
        <f>IFERROR(__xludf.DUMMYFUNCTION("""COMPUTED_VALUE"""),1.3491302E7)</f>
        <v>13491302</v>
      </c>
      <c r="C818" s="164" t="str">
        <f>IFERROR(__xludf.DUMMYFUNCTION("""COMPUTED_VALUE"""),"13491302S")</f>
        <v>13491302S</v>
      </c>
      <c r="D818" s="164" t="str">
        <f>IFERROR(__xludf.DUMMYFUNCTION("""COMPUTED_VALUE"""),"Мужская пижама Оленёнок")</f>
        <v>Мужская пижама Оленёнок</v>
      </c>
      <c r="E818" s="164" t="str">
        <f>IFERROR(__xludf.DUMMYFUNCTION("""COMPUTED_VALUE"""),"S")</f>
        <v>S</v>
      </c>
      <c r="F818" s="133" t="str">
        <f>IFERROR(__xludf.DUMMYFUNCTION("""COMPUTED_VALUE"""),"K18820RUMS")</f>
        <v>K18820RUMS</v>
      </c>
      <c r="G818" s="165">
        <f>IFERROR(__xludf.DUMMYFUNCTION("""COMPUTED_VALUE"""),662.0)</f>
        <v>662</v>
      </c>
    </row>
    <row r="819" ht="15.75" customHeight="1">
      <c r="A819" s="133" t="str">
        <f>IFERROR(__xludf.DUMMYFUNCTION("""COMPUTED_VALUE"""),"K18820RUM")</f>
        <v>K18820RUM</v>
      </c>
      <c r="B819" s="164">
        <f>IFERROR(__xludf.DUMMYFUNCTION("""COMPUTED_VALUE"""),1.3491302E7)</f>
        <v>13491302</v>
      </c>
      <c r="C819" s="164" t="str">
        <f>IFERROR(__xludf.DUMMYFUNCTION("""COMPUTED_VALUE"""),"13491302M")</f>
        <v>13491302M</v>
      </c>
      <c r="D819" s="164" t="str">
        <f>IFERROR(__xludf.DUMMYFUNCTION("""COMPUTED_VALUE"""),"Мужская пижама Оленёнок")</f>
        <v>Мужская пижама Оленёнок</v>
      </c>
      <c r="E819" s="164" t="str">
        <f>IFERROR(__xludf.DUMMYFUNCTION("""COMPUTED_VALUE"""),"M")</f>
        <v>M</v>
      </c>
      <c r="F819" s="133" t="str">
        <f>IFERROR(__xludf.DUMMYFUNCTION("""COMPUTED_VALUE"""),"K18820RUMM")</f>
        <v>K18820RUMM</v>
      </c>
      <c r="G819" s="165">
        <f>IFERROR(__xludf.DUMMYFUNCTION("""COMPUTED_VALUE"""),662.0)</f>
        <v>662</v>
      </c>
    </row>
    <row r="820" ht="15.75" customHeight="1">
      <c r="A820" s="133" t="str">
        <f>IFERROR(__xludf.DUMMYFUNCTION("""COMPUTED_VALUE"""),"K18820RUM")</f>
        <v>K18820RUM</v>
      </c>
      <c r="B820" s="164">
        <f>IFERROR(__xludf.DUMMYFUNCTION("""COMPUTED_VALUE"""),1.3491302E7)</f>
        <v>13491302</v>
      </c>
      <c r="C820" s="164" t="str">
        <f>IFERROR(__xludf.DUMMYFUNCTION("""COMPUTED_VALUE"""),"13491302L")</f>
        <v>13491302L</v>
      </c>
      <c r="D820" s="164" t="str">
        <f>IFERROR(__xludf.DUMMYFUNCTION("""COMPUTED_VALUE"""),"Мужская пижама Оленёнок")</f>
        <v>Мужская пижама Оленёнок</v>
      </c>
      <c r="E820" s="164" t="str">
        <f>IFERROR(__xludf.DUMMYFUNCTION("""COMPUTED_VALUE"""),"L")</f>
        <v>L</v>
      </c>
      <c r="F820" s="133" t="str">
        <f>IFERROR(__xludf.DUMMYFUNCTION("""COMPUTED_VALUE"""),"K18820RUML")</f>
        <v>K18820RUML</v>
      </c>
      <c r="G820" s="165">
        <f>IFERROR(__xludf.DUMMYFUNCTION("""COMPUTED_VALUE"""),662.0)</f>
        <v>662</v>
      </c>
    </row>
    <row r="821" ht="15.75" customHeight="1">
      <c r="A821" s="133" t="str">
        <f>IFERROR(__xludf.DUMMYFUNCTION("""COMPUTED_VALUE"""),"K18820RUM")</f>
        <v>K18820RUM</v>
      </c>
      <c r="B821" s="164">
        <f>IFERROR(__xludf.DUMMYFUNCTION("""COMPUTED_VALUE"""),1.3491302E7)</f>
        <v>13491302</v>
      </c>
      <c r="C821" s="164" t="str">
        <f>IFERROR(__xludf.DUMMYFUNCTION("""COMPUTED_VALUE"""),"13491302XL")</f>
        <v>13491302XL</v>
      </c>
      <c r="D821" s="164" t="str">
        <f>IFERROR(__xludf.DUMMYFUNCTION("""COMPUTED_VALUE"""),"Мужская пижама Оленёнок")</f>
        <v>Мужская пижама Оленёнок</v>
      </c>
      <c r="E821" s="164" t="str">
        <f>IFERROR(__xludf.DUMMYFUNCTION("""COMPUTED_VALUE"""),"XL")</f>
        <v>XL</v>
      </c>
      <c r="F821" s="133" t="str">
        <f>IFERROR(__xludf.DUMMYFUNCTION("""COMPUTED_VALUE"""),"K18820RUMXL")</f>
        <v>K18820RUMXL</v>
      </c>
      <c r="G821" s="165">
        <f>IFERROR(__xludf.DUMMYFUNCTION("""COMPUTED_VALUE"""),662.0)</f>
        <v>662</v>
      </c>
    </row>
    <row r="822" ht="15.75" customHeight="1">
      <c r="A822" s="133" t="str">
        <f>IFERROR(__xludf.DUMMYFUNCTION("""COMPUTED_VALUE"""),"K10119RUW")</f>
        <v>K10119RUW</v>
      </c>
      <c r="B822" s="164">
        <f>IFERROR(__xludf.DUMMYFUNCTION("""COMPUTED_VALUE"""),1.1326372E7)</f>
        <v>11326372</v>
      </c>
      <c r="C822" s="164" t="str">
        <f>IFERROR(__xludf.DUMMYFUNCTION("""COMPUTED_VALUE"""),"11326372S")</f>
        <v>11326372S</v>
      </c>
      <c r="D822" s="164" t="str">
        <f>IFERROR(__xludf.DUMMYFUNCTION("""COMPUTED_VALUE"""),"Женская пижама Пикачу")</f>
        <v>Женская пижама Пикачу</v>
      </c>
      <c r="E822" s="164" t="str">
        <f>IFERROR(__xludf.DUMMYFUNCTION("""COMPUTED_VALUE"""),"S")</f>
        <v>S</v>
      </c>
      <c r="F822" s="133" t="str">
        <f>IFERROR(__xludf.DUMMYFUNCTION("""COMPUTED_VALUE"""),"K10119RUWS")</f>
        <v>K10119RUWS</v>
      </c>
      <c r="G822" s="165">
        <f>IFERROR(__xludf.DUMMYFUNCTION("""COMPUTED_VALUE"""),662.0)</f>
        <v>662</v>
      </c>
    </row>
    <row r="823" ht="15.75" customHeight="1">
      <c r="A823" s="133" t="str">
        <f>IFERROR(__xludf.DUMMYFUNCTION("""COMPUTED_VALUE"""),"K10119RUW")</f>
        <v>K10119RUW</v>
      </c>
      <c r="B823" s="164">
        <f>IFERROR(__xludf.DUMMYFUNCTION("""COMPUTED_VALUE"""),1.1326372E7)</f>
        <v>11326372</v>
      </c>
      <c r="C823" s="164" t="str">
        <f>IFERROR(__xludf.DUMMYFUNCTION("""COMPUTED_VALUE"""),"11326372M")</f>
        <v>11326372M</v>
      </c>
      <c r="D823" s="164" t="str">
        <f>IFERROR(__xludf.DUMMYFUNCTION("""COMPUTED_VALUE"""),"Женская пижама Пикачу")</f>
        <v>Женская пижама Пикачу</v>
      </c>
      <c r="E823" s="164" t="str">
        <f>IFERROR(__xludf.DUMMYFUNCTION("""COMPUTED_VALUE"""),"M")</f>
        <v>M</v>
      </c>
      <c r="F823" s="133" t="str">
        <f>IFERROR(__xludf.DUMMYFUNCTION("""COMPUTED_VALUE"""),"K10119RUWM")</f>
        <v>K10119RUWM</v>
      </c>
      <c r="G823" s="165">
        <f>IFERROR(__xludf.DUMMYFUNCTION("""COMPUTED_VALUE"""),662.0)</f>
        <v>662</v>
      </c>
    </row>
    <row r="824" ht="15.75" customHeight="1">
      <c r="A824" s="133" t="str">
        <f>IFERROR(__xludf.DUMMYFUNCTION("""COMPUTED_VALUE"""),"K10119RUW")</f>
        <v>K10119RUW</v>
      </c>
      <c r="B824" s="164">
        <f>IFERROR(__xludf.DUMMYFUNCTION("""COMPUTED_VALUE"""),1.1326372E7)</f>
        <v>11326372</v>
      </c>
      <c r="C824" s="164" t="str">
        <f>IFERROR(__xludf.DUMMYFUNCTION("""COMPUTED_VALUE"""),"11326372L")</f>
        <v>11326372L</v>
      </c>
      <c r="D824" s="164" t="str">
        <f>IFERROR(__xludf.DUMMYFUNCTION("""COMPUTED_VALUE"""),"Женская пижама Пикачу")</f>
        <v>Женская пижама Пикачу</v>
      </c>
      <c r="E824" s="164" t="str">
        <f>IFERROR(__xludf.DUMMYFUNCTION("""COMPUTED_VALUE"""),"L")</f>
        <v>L</v>
      </c>
      <c r="F824" s="133" t="str">
        <f>IFERROR(__xludf.DUMMYFUNCTION("""COMPUTED_VALUE"""),"K10119RUWL")</f>
        <v>K10119RUWL</v>
      </c>
      <c r="G824" s="165">
        <f>IFERROR(__xludf.DUMMYFUNCTION("""COMPUTED_VALUE"""),662.0)</f>
        <v>662</v>
      </c>
    </row>
    <row r="825" ht="15.75" customHeight="1">
      <c r="A825" s="133" t="str">
        <f>IFERROR(__xludf.DUMMYFUNCTION("""COMPUTED_VALUE"""),"K10119RUW")</f>
        <v>K10119RUW</v>
      </c>
      <c r="B825" s="164">
        <f>IFERROR(__xludf.DUMMYFUNCTION("""COMPUTED_VALUE"""),1.1326372E7)</f>
        <v>11326372</v>
      </c>
      <c r="C825" s="164" t="str">
        <f>IFERROR(__xludf.DUMMYFUNCTION("""COMPUTED_VALUE"""),"11326372XL")</f>
        <v>11326372XL</v>
      </c>
      <c r="D825" s="164" t="str">
        <f>IFERROR(__xludf.DUMMYFUNCTION("""COMPUTED_VALUE"""),"Женская пижама Пикачу")</f>
        <v>Женская пижама Пикачу</v>
      </c>
      <c r="E825" s="164" t="str">
        <f>IFERROR(__xludf.DUMMYFUNCTION("""COMPUTED_VALUE"""),"XL")</f>
        <v>XL</v>
      </c>
      <c r="F825" s="133" t="str">
        <f>IFERROR(__xludf.DUMMYFUNCTION("""COMPUTED_VALUE"""),"K10119RUWXL")</f>
        <v>K10119RUWXL</v>
      </c>
      <c r="G825" s="165">
        <f>IFERROR(__xludf.DUMMYFUNCTION("""COMPUTED_VALUE"""),662.0)</f>
        <v>662</v>
      </c>
    </row>
    <row r="826" ht="15.75" customHeight="1">
      <c r="A826" s="133" t="str">
        <f>IFERROR(__xludf.DUMMYFUNCTION("""COMPUTED_VALUE"""),"K10319RUW")</f>
        <v>K10319RUW</v>
      </c>
      <c r="B826" s="164">
        <f>IFERROR(__xludf.DUMMYFUNCTION("""COMPUTED_VALUE"""),1.1326373E7)</f>
        <v>11326373</v>
      </c>
      <c r="C826" s="164" t="str">
        <f>IFERROR(__xludf.DUMMYFUNCTION("""COMPUTED_VALUE"""),"11326373S")</f>
        <v>11326373S</v>
      </c>
      <c r="D826" s="164" t="str">
        <f>IFERROR(__xludf.DUMMYFUNCTION("""COMPUTED_VALUE"""),"Женская пижама Зеленый Динозавр")</f>
        <v>Женская пижама Зеленый Динозавр</v>
      </c>
      <c r="E826" s="164" t="str">
        <f>IFERROR(__xludf.DUMMYFUNCTION("""COMPUTED_VALUE"""),"S")</f>
        <v>S</v>
      </c>
      <c r="F826" s="133" t="str">
        <f>IFERROR(__xludf.DUMMYFUNCTION("""COMPUTED_VALUE"""),"K10319RUWS")</f>
        <v>K10319RUWS</v>
      </c>
      <c r="G826" s="165">
        <f>IFERROR(__xludf.DUMMYFUNCTION("""COMPUTED_VALUE"""),658.0)</f>
        <v>658</v>
      </c>
    </row>
    <row r="827" ht="15.75" customHeight="1">
      <c r="A827" s="133" t="str">
        <f>IFERROR(__xludf.DUMMYFUNCTION("""COMPUTED_VALUE"""),"K10319RUW")</f>
        <v>K10319RUW</v>
      </c>
      <c r="B827" s="164">
        <f>IFERROR(__xludf.DUMMYFUNCTION("""COMPUTED_VALUE"""),1.1326373E7)</f>
        <v>11326373</v>
      </c>
      <c r="C827" s="164" t="str">
        <f>IFERROR(__xludf.DUMMYFUNCTION("""COMPUTED_VALUE"""),"11326373M")</f>
        <v>11326373M</v>
      </c>
      <c r="D827" s="164" t="str">
        <f>IFERROR(__xludf.DUMMYFUNCTION("""COMPUTED_VALUE"""),"Женская пижама Зеленый Динозавр")</f>
        <v>Женская пижама Зеленый Динозавр</v>
      </c>
      <c r="E827" s="164" t="str">
        <f>IFERROR(__xludf.DUMMYFUNCTION("""COMPUTED_VALUE"""),"M")</f>
        <v>M</v>
      </c>
      <c r="F827" s="133" t="str">
        <f>IFERROR(__xludf.DUMMYFUNCTION("""COMPUTED_VALUE"""),"K10319RUWM")</f>
        <v>K10319RUWM</v>
      </c>
      <c r="G827" s="165">
        <f>IFERROR(__xludf.DUMMYFUNCTION("""COMPUTED_VALUE"""),658.0)</f>
        <v>658</v>
      </c>
    </row>
    <row r="828" ht="15.75" customHeight="1">
      <c r="A828" s="133" t="str">
        <f>IFERROR(__xludf.DUMMYFUNCTION("""COMPUTED_VALUE"""),"K10319RUW")</f>
        <v>K10319RUW</v>
      </c>
      <c r="B828" s="164">
        <f>IFERROR(__xludf.DUMMYFUNCTION("""COMPUTED_VALUE"""),1.1326373E7)</f>
        <v>11326373</v>
      </c>
      <c r="C828" s="164" t="str">
        <f>IFERROR(__xludf.DUMMYFUNCTION("""COMPUTED_VALUE"""),"11326373L")</f>
        <v>11326373L</v>
      </c>
      <c r="D828" s="164" t="str">
        <f>IFERROR(__xludf.DUMMYFUNCTION("""COMPUTED_VALUE"""),"Женская пижама Зеленый Динозавр")</f>
        <v>Женская пижама Зеленый Динозавр</v>
      </c>
      <c r="E828" s="164" t="str">
        <f>IFERROR(__xludf.DUMMYFUNCTION("""COMPUTED_VALUE"""),"L")</f>
        <v>L</v>
      </c>
      <c r="F828" s="133" t="str">
        <f>IFERROR(__xludf.DUMMYFUNCTION("""COMPUTED_VALUE"""),"K10319RUWL")</f>
        <v>K10319RUWL</v>
      </c>
      <c r="G828" s="165">
        <f>IFERROR(__xludf.DUMMYFUNCTION("""COMPUTED_VALUE"""),658.0)</f>
        <v>658</v>
      </c>
    </row>
    <row r="829" ht="15.75" customHeight="1">
      <c r="A829" s="133" t="str">
        <f>IFERROR(__xludf.DUMMYFUNCTION("""COMPUTED_VALUE"""),"K10319RUW")</f>
        <v>K10319RUW</v>
      </c>
      <c r="B829" s="164">
        <f>IFERROR(__xludf.DUMMYFUNCTION("""COMPUTED_VALUE"""),1.1326373E7)</f>
        <v>11326373</v>
      </c>
      <c r="C829" s="164" t="str">
        <f>IFERROR(__xludf.DUMMYFUNCTION("""COMPUTED_VALUE"""),"11326373XL")</f>
        <v>11326373XL</v>
      </c>
      <c r="D829" s="164" t="str">
        <f>IFERROR(__xludf.DUMMYFUNCTION("""COMPUTED_VALUE"""),"Женская пижама Зеленый Динозавр")</f>
        <v>Женская пижама Зеленый Динозавр</v>
      </c>
      <c r="E829" s="164" t="str">
        <f>IFERROR(__xludf.DUMMYFUNCTION("""COMPUTED_VALUE"""),"XL")</f>
        <v>XL</v>
      </c>
      <c r="F829" s="133" t="str">
        <f>IFERROR(__xludf.DUMMYFUNCTION("""COMPUTED_VALUE"""),"K10319RUWXL")</f>
        <v>K10319RUWXL</v>
      </c>
      <c r="G829" s="165">
        <f>IFERROR(__xludf.DUMMYFUNCTION("""COMPUTED_VALUE"""),658.0)</f>
        <v>658</v>
      </c>
    </row>
    <row r="830" ht="15.75" customHeight="1">
      <c r="A830" s="133" t="str">
        <f>IFERROR(__xludf.DUMMYFUNCTION("""COMPUTED_VALUE"""),"K10419RUW")</f>
        <v>K10419RUW</v>
      </c>
      <c r="B830" s="164">
        <f>IFERROR(__xludf.DUMMYFUNCTION("""COMPUTED_VALUE"""),1.1326374E7)</f>
        <v>11326374</v>
      </c>
      <c r="C830" s="164" t="str">
        <f>IFERROR(__xludf.DUMMYFUNCTION("""COMPUTED_VALUE"""),"11326374S")</f>
        <v>11326374S</v>
      </c>
      <c r="D830" s="164" t="str">
        <f>IFERROR(__xludf.DUMMYFUNCTION("""COMPUTED_VALUE"""),"Женская пижама Голубой Единорог (ост.нет)")</f>
        <v>Женская пижама Голубой Единорог (ост.нет)</v>
      </c>
      <c r="E830" s="164" t="str">
        <f>IFERROR(__xludf.DUMMYFUNCTION("""COMPUTED_VALUE"""),"S")</f>
        <v>S</v>
      </c>
      <c r="F830" s="133" t="str">
        <f>IFERROR(__xludf.DUMMYFUNCTION("""COMPUTED_VALUE"""),"K10419RUWS")</f>
        <v>K10419RUWS</v>
      </c>
      <c r="G830" s="165">
        <f>IFERROR(__xludf.DUMMYFUNCTION("""COMPUTED_VALUE"""),662.0)</f>
        <v>662</v>
      </c>
    </row>
    <row r="831" ht="15.75" customHeight="1">
      <c r="A831" s="133" t="str">
        <f>IFERROR(__xludf.DUMMYFUNCTION("""COMPUTED_VALUE"""),"K10419RUW")</f>
        <v>K10419RUW</v>
      </c>
      <c r="B831" s="164">
        <f>IFERROR(__xludf.DUMMYFUNCTION("""COMPUTED_VALUE"""),1.1326374E7)</f>
        <v>11326374</v>
      </c>
      <c r="C831" s="164" t="str">
        <f>IFERROR(__xludf.DUMMYFUNCTION("""COMPUTED_VALUE"""),"11326374M")</f>
        <v>11326374M</v>
      </c>
      <c r="D831" s="164" t="str">
        <f>IFERROR(__xludf.DUMMYFUNCTION("""COMPUTED_VALUE"""),"Женская пижама Голубой Единорог (ост.нет)")</f>
        <v>Женская пижама Голубой Единорог (ост.нет)</v>
      </c>
      <c r="E831" s="164" t="str">
        <f>IFERROR(__xludf.DUMMYFUNCTION("""COMPUTED_VALUE"""),"M")</f>
        <v>M</v>
      </c>
      <c r="F831" s="133" t="str">
        <f>IFERROR(__xludf.DUMMYFUNCTION("""COMPUTED_VALUE"""),"K10419RUWM")</f>
        <v>K10419RUWM</v>
      </c>
      <c r="G831" s="165">
        <f>IFERROR(__xludf.DUMMYFUNCTION("""COMPUTED_VALUE"""),662.0)</f>
        <v>662</v>
      </c>
    </row>
    <row r="832" ht="15.75" customHeight="1">
      <c r="A832" s="133" t="str">
        <f>IFERROR(__xludf.DUMMYFUNCTION("""COMPUTED_VALUE"""),"K10419RUW")</f>
        <v>K10419RUW</v>
      </c>
      <c r="B832" s="164">
        <f>IFERROR(__xludf.DUMMYFUNCTION("""COMPUTED_VALUE"""),1.1326374E7)</f>
        <v>11326374</v>
      </c>
      <c r="C832" s="164" t="str">
        <f>IFERROR(__xludf.DUMMYFUNCTION("""COMPUTED_VALUE"""),"11326374L")</f>
        <v>11326374L</v>
      </c>
      <c r="D832" s="164" t="str">
        <f>IFERROR(__xludf.DUMMYFUNCTION("""COMPUTED_VALUE"""),"Женская пижама Голубой Единорог (ост.нет)")</f>
        <v>Женская пижама Голубой Единорог (ост.нет)</v>
      </c>
      <c r="E832" s="164" t="str">
        <f>IFERROR(__xludf.DUMMYFUNCTION("""COMPUTED_VALUE"""),"L")</f>
        <v>L</v>
      </c>
      <c r="F832" s="133" t="str">
        <f>IFERROR(__xludf.DUMMYFUNCTION("""COMPUTED_VALUE"""),"K10419RUWL")</f>
        <v>K10419RUWL</v>
      </c>
      <c r="G832" s="165">
        <f>IFERROR(__xludf.DUMMYFUNCTION("""COMPUTED_VALUE"""),662.0)</f>
        <v>662</v>
      </c>
    </row>
    <row r="833" ht="15.75" customHeight="1">
      <c r="A833" s="133" t="str">
        <f>IFERROR(__xludf.DUMMYFUNCTION("""COMPUTED_VALUE"""),"K10419RUW")</f>
        <v>K10419RUW</v>
      </c>
      <c r="B833" s="164">
        <f>IFERROR(__xludf.DUMMYFUNCTION("""COMPUTED_VALUE"""),1.1326374E7)</f>
        <v>11326374</v>
      </c>
      <c r="C833" s="164" t="str">
        <f>IFERROR(__xludf.DUMMYFUNCTION("""COMPUTED_VALUE"""),"11326374XL")</f>
        <v>11326374XL</v>
      </c>
      <c r="D833" s="164" t="str">
        <f>IFERROR(__xludf.DUMMYFUNCTION("""COMPUTED_VALUE"""),"Женская пижама Голубой Единорог (ост.нет)")</f>
        <v>Женская пижама Голубой Единорог (ост.нет)</v>
      </c>
      <c r="E833" s="164" t="str">
        <f>IFERROR(__xludf.DUMMYFUNCTION("""COMPUTED_VALUE"""),"XL")</f>
        <v>XL</v>
      </c>
      <c r="F833" s="133" t="str">
        <f>IFERROR(__xludf.DUMMYFUNCTION("""COMPUTED_VALUE"""),"K10419RUWXL")</f>
        <v>K10419RUWXL</v>
      </c>
      <c r="G833" s="165">
        <f>IFERROR(__xludf.DUMMYFUNCTION("""COMPUTED_VALUE"""),662.0)</f>
        <v>662</v>
      </c>
    </row>
    <row r="834" ht="15.75" customHeight="1">
      <c r="A834" s="133" t="str">
        <f>IFERROR(__xludf.DUMMYFUNCTION("""COMPUTED_VALUE"""),"K10519RUW")</f>
        <v>K10519RUW</v>
      </c>
      <c r="B834" s="164">
        <f>IFERROR(__xludf.DUMMYFUNCTION("""COMPUTED_VALUE"""),1.1326375E7)</f>
        <v>11326375</v>
      </c>
      <c r="C834" s="164" t="str">
        <f>IFERROR(__xludf.DUMMYFUNCTION("""COMPUTED_VALUE"""),"11326375S")</f>
        <v>11326375S</v>
      </c>
      <c r="D834" s="164" t="str">
        <f>IFERROR(__xludf.DUMMYFUNCTION("""COMPUTED_VALUE"""),"Женская пижама Розовый Единорог
 (ост.нет)")</f>
        <v>Женская пижама Розовый Единорог
 (ост.нет)</v>
      </c>
      <c r="E834" s="164" t="str">
        <f>IFERROR(__xludf.DUMMYFUNCTION("""COMPUTED_VALUE"""),"S")</f>
        <v>S</v>
      </c>
      <c r="F834" s="133" t="str">
        <f>IFERROR(__xludf.DUMMYFUNCTION("""COMPUTED_VALUE"""),"K10519RUWS")</f>
        <v>K10519RUWS</v>
      </c>
      <c r="G834" s="165">
        <f>IFERROR(__xludf.DUMMYFUNCTION("""COMPUTED_VALUE"""),662.0)</f>
        <v>662</v>
      </c>
    </row>
    <row r="835" ht="15.75" customHeight="1">
      <c r="A835" s="133" t="str">
        <f>IFERROR(__xludf.DUMMYFUNCTION("""COMPUTED_VALUE"""),"K10519RUW")</f>
        <v>K10519RUW</v>
      </c>
      <c r="B835" s="164">
        <f>IFERROR(__xludf.DUMMYFUNCTION("""COMPUTED_VALUE"""),1.1326375E7)</f>
        <v>11326375</v>
      </c>
      <c r="C835" s="164" t="str">
        <f>IFERROR(__xludf.DUMMYFUNCTION("""COMPUTED_VALUE"""),"11326375M")</f>
        <v>11326375M</v>
      </c>
      <c r="D835" s="164" t="str">
        <f>IFERROR(__xludf.DUMMYFUNCTION("""COMPUTED_VALUE"""),"Женская пижама Розовый Единорог
 (ост.нет)")</f>
        <v>Женская пижама Розовый Единорог
 (ост.нет)</v>
      </c>
      <c r="E835" s="164" t="str">
        <f>IFERROR(__xludf.DUMMYFUNCTION("""COMPUTED_VALUE"""),"M")</f>
        <v>M</v>
      </c>
      <c r="F835" s="133" t="str">
        <f>IFERROR(__xludf.DUMMYFUNCTION("""COMPUTED_VALUE"""),"K10519RUWM")</f>
        <v>K10519RUWM</v>
      </c>
      <c r="G835" s="165">
        <f>IFERROR(__xludf.DUMMYFUNCTION("""COMPUTED_VALUE"""),662.0)</f>
        <v>662</v>
      </c>
    </row>
    <row r="836" ht="15.75" customHeight="1">
      <c r="A836" s="133" t="str">
        <f>IFERROR(__xludf.DUMMYFUNCTION("""COMPUTED_VALUE"""),"K10519RUW")</f>
        <v>K10519RUW</v>
      </c>
      <c r="B836" s="164">
        <f>IFERROR(__xludf.DUMMYFUNCTION("""COMPUTED_VALUE"""),1.1326375E7)</f>
        <v>11326375</v>
      </c>
      <c r="C836" s="164" t="str">
        <f>IFERROR(__xludf.DUMMYFUNCTION("""COMPUTED_VALUE"""),"11326375L")</f>
        <v>11326375L</v>
      </c>
      <c r="D836" s="164" t="str">
        <f>IFERROR(__xludf.DUMMYFUNCTION("""COMPUTED_VALUE"""),"Женская пижама Розовый Единорог
 (ост.нет)")</f>
        <v>Женская пижама Розовый Единорог
 (ост.нет)</v>
      </c>
      <c r="E836" s="164" t="str">
        <f>IFERROR(__xludf.DUMMYFUNCTION("""COMPUTED_VALUE"""),"L")</f>
        <v>L</v>
      </c>
      <c r="F836" s="133" t="str">
        <f>IFERROR(__xludf.DUMMYFUNCTION("""COMPUTED_VALUE"""),"K10519RUWL")</f>
        <v>K10519RUWL</v>
      </c>
      <c r="G836" s="165">
        <f>IFERROR(__xludf.DUMMYFUNCTION("""COMPUTED_VALUE"""),662.0)</f>
        <v>662</v>
      </c>
    </row>
    <row r="837" ht="15.75" customHeight="1">
      <c r="A837" s="133" t="str">
        <f>IFERROR(__xludf.DUMMYFUNCTION("""COMPUTED_VALUE"""),"K10519RUW")</f>
        <v>K10519RUW</v>
      </c>
      <c r="B837" s="164">
        <f>IFERROR(__xludf.DUMMYFUNCTION("""COMPUTED_VALUE"""),1.1326375E7)</f>
        <v>11326375</v>
      </c>
      <c r="C837" s="164" t="str">
        <f>IFERROR(__xludf.DUMMYFUNCTION("""COMPUTED_VALUE"""),"11326375XL")</f>
        <v>11326375XL</v>
      </c>
      <c r="D837" s="164" t="str">
        <f>IFERROR(__xludf.DUMMYFUNCTION("""COMPUTED_VALUE"""),"Женская пижама Розовый Единорог
 (ост.нет)")</f>
        <v>Женская пижама Розовый Единорог
 (ост.нет)</v>
      </c>
      <c r="E837" s="164" t="str">
        <f>IFERROR(__xludf.DUMMYFUNCTION("""COMPUTED_VALUE"""),"XL")</f>
        <v>XL</v>
      </c>
      <c r="F837" s="133" t="str">
        <f>IFERROR(__xludf.DUMMYFUNCTION("""COMPUTED_VALUE"""),"K10519RUWXL")</f>
        <v>K10519RUWXL</v>
      </c>
      <c r="G837" s="165">
        <f>IFERROR(__xludf.DUMMYFUNCTION("""COMPUTED_VALUE"""),662.0)</f>
        <v>662</v>
      </c>
    </row>
    <row r="838" ht="15.75" customHeight="1">
      <c r="A838" s="133" t="str">
        <f>IFERROR(__xludf.DUMMYFUNCTION("""COMPUTED_VALUE"""),"K10719RUW")</f>
        <v>K10719RUW</v>
      </c>
      <c r="B838" s="164">
        <f>IFERROR(__xludf.DUMMYFUNCTION("""COMPUTED_VALUE"""),1.1326377E7)</f>
        <v>11326377</v>
      </c>
      <c r="C838" s="164" t="str">
        <f>IFERROR(__xludf.DUMMYFUNCTION("""COMPUTED_VALUE"""),"11326377S")</f>
        <v>11326377S</v>
      </c>
      <c r="D838" s="164" t="str">
        <f>IFERROR(__xludf.DUMMYFUNCTION("""COMPUTED_VALUE"""),"Женская пижама Радужный Единорог")</f>
        <v>Женская пижама Радужный Единорог</v>
      </c>
      <c r="E838" s="164" t="str">
        <f>IFERROR(__xludf.DUMMYFUNCTION("""COMPUTED_VALUE"""),"S")</f>
        <v>S</v>
      </c>
      <c r="F838" s="133" t="str">
        <f>IFERROR(__xludf.DUMMYFUNCTION("""COMPUTED_VALUE"""),"K10719RUWS")</f>
        <v>K10719RUWS</v>
      </c>
      <c r="G838" s="165">
        <f>IFERROR(__xludf.DUMMYFUNCTION("""COMPUTED_VALUE"""),662.0)</f>
        <v>662</v>
      </c>
    </row>
    <row r="839" ht="15.75" customHeight="1">
      <c r="A839" s="133" t="str">
        <f>IFERROR(__xludf.DUMMYFUNCTION("""COMPUTED_VALUE"""),"K10719RUW")</f>
        <v>K10719RUW</v>
      </c>
      <c r="B839" s="164">
        <f>IFERROR(__xludf.DUMMYFUNCTION("""COMPUTED_VALUE"""),1.1326377E7)</f>
        <v>11326377</v>
      </c>
      <c r="C839" s="164" t="str">
        <f>IFERROR(__xludf.DUMMYFUNCTION("""COMPUTED_VALUE"""),"11326377M")</f>
        <v>11326377M</v>
      </c>
      <c r="D839" s="164" t="str">
        <f>IFERROR(__xludf.DUMMYFUNCTION("""COMPUTED_VALUE"""),"Женская пижама Радужный Единорог")</f>
        <v>Женская пижама Радужный Единорог</v>
      </c>
      <c r="E839" s="164" t="str">
        <f>IFERROR(__xludf.DUMMYFUNCTION("""COMPUTED_VALUE"""),"M")</f>
        <v>M</v>
      </c>
      <c r="F839" s="133" t="str">
        <f>IFERROR(__xludf.DUMMYFUNCTION("""COMPUTED_VALUE"""),"K10719RUWM")</f>
        <v>K10719RUWM</v>
      </c>
      <c r="G839" s="165">
        <f>IFERROR(__xludf.DUMMYFUNCTION("""COMPUTED_VALUE"""),662.0)</f>
        <v>662</v>
      </c>
    </row>
    <row r="840" ht="15.75" customHeight="1">
      <c r="A840" s="133" t="str">
        <f>IFERROR(__xludf.DUMMYFUNCTION("""COMPUTED_VALUE"""),"K10719RUW")</f>
        <v>K10719RUW</v>
      </c>
      <c r="B840" s="164">
        <f>IFERROR(__xludf.DUMMYFUNCTION("""COMPUTED_VALUE"""),1.1326377E7)</f>
        <v>11326377</v>
      </c>
      <c r="C840" s="164" t="str">
        <f>IFERROR(__xludf.DUMMYFUNCTION("""COMPUTED_VALUE"""),"11326377L")</f>
        <v>11326377L</v>
      </c>
      <c r="D840" s="164" t="str">
        <f>IFERROR(__xludf.DUMMYFUNCTION("""COMPUTED_VALUE"""),"Женская пижама Радужный Единорог")</f>
        <v>Женская пижама Радужный Единорог</v>
      </c>
      <c r="E840" s="164" t="str">
        <f>IFERROR(__xludf.DUMMYFUNCTION("""COMPUTED_VALUE"""),"L")</f>
        <v>L</v>
      </c>
      <c r="F840" s="133" t="str">
        <f>IFERROR(__xludf.DUMMYFUNCTION("""COMPUTED_VALUE"""),"K10719RUWL")</f>
        <v>K10719RUWL</v>
      </c>
      <c r="G840" s="165">
        <f>IFERROR(__xludf.DUMMYFUNCTION("""COMPUTED_VALUE"""),662.0)</f>
        <v>662</v>
      </c>
    </row>
    <row r="841" ht="15.75" customHeight="1">
      <c r="A841" s="133" t="str">
        <f>IFERROR(__xludf.DUMMYFUNCTION("""COMPUTED_VALUE"""),"K10719RUW")</f>
        <v>K10719RUW</v>
      </c>
      <c r="B841" s="164">
        <f>IFERROR(__xludf.DUMMYFUNCTION("""COMPUTED_VALUE"""),1.1326377E7)</f>
        <v>11326377</v>
      </c>
      <c r="C841" s="164" t="str">
        <f>IFERROR(__xludf.DUMMYFUNCTION("""COMPUTED_VALUE"""),"11326377XL")</f>
        <v>11326377XL</v>
      </c>
      <c r="D841" s="164" t="str">
        <f>IFERROR(__xludf.DUMMYFUNCTION("""COMPUTED_VALUE"""),"Женская пижама Радужный Единорог")</f>
        <v>Женская пижама Радужный Единорог</v>
      </c>
      <c r="E841" s="164" t="str">
        <f>IFERROR(__xludf.DUMMYFUNCTION("""COMPUTED_VALUE"""),"XL")</f>
        <v>XL</v>
      </c>
      <c r="F841" s="133" t="str">
        <f>IFERROR(__xludf.DUMMYFUNCTION("""COMPUTED_VALUE"""),"K10719RUWXL")</f>
        <v>K10719RUWXL</v>
      </c>
      <c r="G841" s="165">
        <f>IFERROR(__xludf.DUMMYFUNCTION("""COMPUTED_VALUE"""),662.0)</f>
        <v>662</v>
      </c>
    </row>
    <row r="842" ht="15.75" customHeight="1">
      <c r="A842" s="133" t="str">
        <f>IFERROR(__xludf.DUMMYFUNCTION("""COMPUTED_VALUE"""),"K12819RUW")</f>
        <v>K12819RUW</v>
      </c>
      <c r="B842" s="164">
        <f>IFERROR(__xludf.DUMMYFUNCTION("""COMPUTED_VALUE"""),1.1698239E7)</f>
        <v>11698239</v>
      </c>
      <c r="C842" s="164" t="str">
        <f>IFERROR(__xludf.DUMMYFUNCTION("""COMPUTED_VALUE"""),"11698239S")</f>
        <v>11698239S</v>
      </c>
      <c r="D842" s="164" t="str">
        <f>IFERROR(__xludf.DUMMYFUNCTION("""COMPUTED_VALUE"""),"Женская пижама Лиса")</f>
        <v>Женская пижама Лиса</v>
      </c>
      <c r="E842" s="164" t="str">
        <f>IFERROR(__xludf.DUMMYFUNCTION("""COMPUTED_VALUE"""),"S")</f>
        <v>S</v>
      </c>
      <c r="F842" s="133" t="str">
        <f>IFERROR(__xludf.DUMMYFUNCTION("""COMPUTED_VALUE"""),"K12819RUWS")</f>
        <v>K12819RUWS</v>
      </c>
      <c r="G842" s="165">
        <f>IFERROR(__xludf.DUMMYFUNCTION("""COMPUTED_VALUE"""),654.0)</f>
        <v>654</v>
      </c>
    </row>
    <row r="843" ht="15.75" customHeight="1">
      <c r="A843" s="133" t="str">
        <f>IFERROR(__xludf.DUMMYFUNCTION("""COMPUTED_VALUE"""),"K12819RUW")</f>
        <v>K12819RUW</v>
      </c>
      <c r="B843" s="164">
        <f>IFERROR(__xludf.DUMMYFUNCTION("""COMPUTED_VALUE"""),1.1698239E7)</f>
        <v>11698239</v>
      </c>
      <c r="C843" s="164" t="str">
        <f>IFERROR(__xludf.DUMMYFUNCTION("""COMPUTED_VALUE"""),"11698239M")</f>
        <v>11698239M</v>
      </c>
      <c r="D843" s="164" t="str">
        <f>IFERROR(__xludf.DUMMYFUNCTION("""COMPUTED_VALUE"""),"Женская пижама Лиса")</f>
        <v>Женская пижама Лиса</v>
      </c>
      <c r="E843" s="164" t="str">
        <f>IFERROR(__xludf.DUMMYFUNCTION("""COMPUTED_VALUE"""),"M")</f>
        <v>M</v>
      </c>
      <c r="F843" s="133" t="str">
        <f>IFERROR(__xludf.DUMMYFUNCTION("""COMPUTED_VALUE"""),"K12819RUWM")</f>
        <v>K12819RUWM</v>
      </c>
      <c r="G843" s="165">
        <f>IFERROR(__xludf.DUMMYFUNCTION("""COMPUTED_VALUE"""),654.0)</f>
        <v>654</v>
      </c>
    </row>
    <row r="844" ht="15.75" customHeight="1">
      <c r="A844" s="133" t="str">
        <f>IFERROR(__xludf.DUMMYFUNCTION("""COMPUTED_VALUE"""),"K12819RUW")</f>
        <v>K12819RUW</v>
      </c>
      <c r="B844" s="164">
        <f>IFERROR(__xludf.DUMMYFUNCTION("""COMPUTED_VALUE"""),1.1698239E7)</f>
        <v>11698239</v>
      </c>
      <c r="C844" s="164" t="str">
        <f>IFERROR(__xludf.DUMMYFUNCTION("""COMPUTED_VALUE"""),"11698239L")</f>
        <v>11698239L</v>
      </c>
      <c r="D844" s="164" t="str">
        <f>IFERROR(__xludf.DUMMYFUNCTION("""COMPUTED_VALUE"""),"Женская пижама Лиса")</f>
        <v>Женская пижама Лиса</v>
      </c>
      <c r="E844" s="164" t="str">
        <f>IFERROR(__xludf.DUMMYFUNCTION("""COMPUTED_VALUE"""),"L")</f>
        <v>L</v>
      </c>
      <c r="F844" s="133" t="str">
        <f>IFERROR(__xludf.DUMMYFUNCTION("""COMPUTED_VALUE"""),"K12819RUWL")</f>
        <v>K12819RUWL</v>
      </c>
      <c r="G844" s="165">
        <f>IFERROR(__xludf.DUMMYFUNCTION("""COMPUTED_VALUE"""),654.0)</f>
        <v>654</v>
      </c>
    </row>
    <row r="845" ht="15.75" customHeight="1">
      <c r="A845" s="133" t="str">
        <f>IFERROR(__xludf.DUMMYFUNCTION("""COMPUTED_VALUE"""),"K12819RUW")</f>
        <v>K12819RUW</v>
      </c>
      <c r="B845" s="164">
        <f>IFERROR(__xludf.DUMMYFUNCTION("""COMPUTED_VALUE"""),1.1698239E7)</f>
        <v>11698239</v>
      </c>
      <c r="C845" s="164" t="str">
        <f>IFERROR(__xludf.DUMMYFUNCTION("""COMPUTED_VALUE"""),"11698239XL")</f>
        <v>11698239XL</v>
      </c>
      <c r="D845" s="164" t="str">
        <f>IFERROR(__xludf.DUMMYFUNCTION("""COMPUTED_VALUE"""),"Женская пижама Лиса")</f>
        <v>Женская пижама Лиса</v>
      </c>
      <c r="E845" s="164" t="str">
        <f>IFERROR(__xludf.DUMMYFUNCTION("""COMPUTED_VALUE"""),"XL")</f>
        <v>XL</v>
      </c>
      <c r="F845" s="133" t="str">
        <f>IFERROR(__xludf.DUMMYFUNCTION("""COMPUTED_VALUE"""),"K12819RUWXL")</f>
        <v>K12819RUWXL</v>
      </c>
      <c r="G845" s="165">
        <f>IFERROR(__xludf.DUMMYFUNCTION("""COMPUTED_VALUE"""),654.0)</f>
        <v>654</v>
      </c>
    </row>
    <row r="846" ht="15.75" customHeight="1">
      <c r="A846" s="133" t="str">
        <f>IFERROR(__xludf.DUMMYFUNCTION("""COMPUTED_VALUE"""),"K12919RUW")</f>
        <v>K12919RUW</v>
      </c>
      <c r="B846" s="164">
        <f>IFERROR(__xludf.DUMMYFUNCTION("""COMPUTED_VALUE"""),1.169824E7)</f>
        <v>11698240</v>
      </c>
      <c r="C846" s="164" t="str">
        <f>IFERROR(__xludf.DUMMYFUNCTION("""COMPUTED_VALUE"""),"11698240S")</f>
        <v>11698240S</v>
      </c>
      <c r="D846" s="164" t="str">
        <f>IFERROR(__xludf.DUMMYFUNCTION("""COMPUTED_VALUE"""),"Женская пижама Лемур")</f>
        <v>Женская пижама Лемур</v>
      </c>
      <c r="E846" s="164" t="str">
        <f>IFERROR(__xludf.DUMMYFUNCTION("""COMPUTED_VALUE"""),"S")</f>
        <v>S</v>
      </c>
      <c r="F846" s="133" t="str">
        <f>IFERROR(__xludf.DUMMYFUNCTION("""COMPUTED_VALUE"""),"K12919RUWS")</f>
        <v>K12919RUWS</v>
      </c>
      <c r="G846" s="165">
        <f>IFERROR(__xludf.DUMMYFUNCTION("""COMPUTED_VALUE"""),662.0)</f>
        <v>662</v>
      </c>
    </row>
    <row r="847" ht="15.75" customHeight="1">
      <c r="A847" s="133" t="str">
        <f>IFERROR(__xludf.DUMMYFUNCTION("""COMPUTED_VALUE"""),"K12919RUW")</f>
        <v>K12919RUW</v>
      </c>
      <c r="B847" s="164">
        <f>IFERROR(__xludf.DUMMYFUNCTION("""COMPUTED_VALUE"""),1.169824E7)</f>
        <v>11698240</v>
      </c>
      <c r="C847" s="164" t="str">
        <f>IFERROR(__xludf.DUMMYFUNCTION("""COMPUTED_VALUE"""),"11698240M")</f>
        <v>11698240M</v>
      </c>
      <c r="D847" s="164" t="str">
        <f>IFERROR(__xludf.DUMMYFUNCTION("""COMPUTED_VALUE"""),"Женская пижама Лемур")</f>
        <v>Женская пижама Лемур</v>
      </c>
      <c r="E847" s="164" t="str">
        <f>IFERROR(__xludf.DUMMYFUNCTION("""COMPUTED_VALUE"""),"M")</f>
        <v>M</v>
      </c>
      <c r="F847" s="133" t="str">
        <f>IFERROR(__xludf.DUMMYFUNCTION("""COMPUTED_VALUE"""),"K12919RUWM")</f>
        <v>K12919RUWM</v>
      </c>
      <c r="G847" s="165">
        <f>IFERROR(__xludf.DUMMYFUNCTION("""COMPUTED_VALUE"""),662.0)</f>
        <v>662</v>
      </c>
    </row>
    <row r="848" ht="15.75" customHeight="1">
      <c r="A848" s="133" t="str">
        <f>IFERROR(__xludf.DUMMYFUNCTION("""COMPUTED_VALUE"""),"K12919RUW")</f>
        <v>K12919RUW</v>
      </c>
      <c r="B848" s="164">
        <f>IFERROR(__xludf.DUMMYFUNCTION("""COMPUTED_VALUE"""),1.169824E7)</f>
        <v>11698240</v>
      </c>
      <c r="C848" s="164" t="str">
        <f>IFERROR(__xludf.DUMMYFUNCTION("""COMPUTED_VALUE"""),"11698240L")</f>
        <v>11698240L</v>
      </c>
      <c r="D848" s="164" t="str">
        <f>IFERROR(__xludf.DUMMYFUNCTION("""COMPUTED_VALUE"""),"Женская пижама Лемур")</f>
        <v>Женская пижама Лемур</v>
      </c>
      <c r="E848" s="164" t="str">
        <f>IFERROR(__xludf.DUMMYFUNCTION("""COMPUTED_VALUE"""),"L")</f>
        <v>L</v>
      </c>
      <c r="F848" s="133" t="str">
        <f>IFERROR(__xludf.DUMMYFUNCTION("""COMPUTED_VALUE"""),"K12919RUWL")</f>
        <v>K12919RUWL</v>
      </c>
      <c r="G848" s="165">
        <f>IFERROR(__xludf.DUMMYFUNCTION("""COMPUTED_VALUE"""),662.0)</f>
        <v>662</v>
      </c>
    </row>
    <row r="849" ht="15.75" customHeight="1">
      <c r="A849" s="133" t="str">
        <f>IFERROR(__xludf.DUMMYFUNCTION("""COMPUTED_VALUE"""),"K12919RUW")</f>
        <v>K12919RUW</v>
      </c>
      <c r="B849" s="164">
        <f>IFERROR(__xludf.DUMMYFUNCTION("""COMPUTED_VALUE"""),1.169824E7)</f>
        <v>11698240</v>
      </c>
      <c r="C849" s="164" t="str">
        <f>IFERROR(__xludf.DUMMYFUNCTION("""COMPUTED_VALUE"""),"11698240XL")</f>
        <v>11698240XL</v>
      </c>
      <c r="D849" s="164" t="str">
        <f>IFERROR(__xludf.DUMMYFUNCTION("""COMPUTED_VALUE"""),"Женская пижама Лемур")</f>
        <v>Женская пижама Лемур</v>
      </c>
      <c r="E849" s="164" t="str">
        <f>IFERROR(__xludf.DUMMYFUNCTION("""COMPUTED_VALUE"""),"XL")</f>
        <v>XL</v>
      </c>
      <c r="F849" s="133" t="str">
        <f>IFERROR(__xludf.DUMMYFUNCTION("""COMPUTED_VALUE"""),"K12919RUWXL")</f>
        <v>K12919RUWXL</v>
      </c>
      <c r="G849" s="165">
        <f>IFERROR(__xludf.DUMMYFUNCTION("""COMPUTED_VALUE"""),662.0)</f>
        <v>662</v>
      </c>
    </row>
    <row r="850" ht="15.75" customHeight="1">
      <c r="A850" s="133" t="str">
        <f>IFERROR(__xludf.DUMMYFUNCTION("""COMPUTED_VALUE"""),"K13019RUW")</f>
        <v>K13019RUW</v>
      </c>
      <c r="B850" s="164">
        <f>IFERROR(__xludf.DUMMYFUNCTION("""COMPUTED_VALUE"""),1.1698241E7)</f>
        <v>11698241</v>
      </c>
      <c r="C850" s="164" t="str">
        <f>IFERROR(__xludf.DUMMYFUNCTION("""COMPUTED_VALUE"""),"11698241S")</f>
        <v>11698241S</v>
      </c>
      <c r="D850" s="164" t="str">
        <f>IFERROR(__xludf.DUMMYFUNCTION("""COMPUTED_VALUE"""),"Женская пижама Енот")</f>
        <v>Женская пижама Енот</v>
      </c>
      <c r="E850" s="164" t="str">
        <f>IFERROR(__xludf.DUMMYFUNCTION("""COMPUTED_VALUE"""),"S")</f>
        <v>S</v>
      </c>
      <c r="F850" s="133" t="str">
        <f>IFERROR(__xludf.DUMMYFUNCTION("""COMPUTED_VALUE"""),"K13019RUWS")</f>
        <v>K13019RUWS</v>
      </c>
      <c r="G850" s="165">
        <f>IFERROR(__xludf.DUMMYFUNCTION("""COMPUTED_VALUE"""),662.0)</f>
        <v>662</v>
      </c>
    </row>
    <row r="851" ht="15.75" customHeight="1">
      <c r="A851" s="133" t="str">
        <f>IFERROR(__xludf.DUMMYFUNCTION("""COMPUTED_VALUE"""),"K13019RUW")</f>
        <v>K13019RUW</v>
      </c>
      <c r="B851" s="164">
        <f>IFERROR(__xludf.DUMMYFUNCTION("""COMPUTED_VALUE"""),1.1698241E7)</f>
        <v>11698241</v>
      </c>
      <c r="C851" s="164" t="str">
        <f>IFERROR(__xludf.DUMMYFUNCTION("""COMPUTED_VALUE"""),"11698241M")</f>
        <v>11698241M</v>
      </c>
      <c r="D851" s="164" t="str">
        <f>IFERROR(__xludf.DUMMYFUNCTION("""COMPUTED_VALUE"""),"Женская пижама Енот")</f>
        <v>Женская пижама Енот</v>
      </c>
      <c r="E851" s="164" t="str">
        <f>IFERROR(__xludf.DUMMYFUNCTION("""COMPUTED_VALUE"""),"M")</f>
        <v>M</v>
      </c>
      <c r="F851" s="133" t="str">
        <f>IFERROR(__xludf.DUMMYFUNCTION("""COMPUTED_VALUE"""),"K13019RUWM")</f>
        <v>K13019RUWM</v>
      </c>
      <c r="G851" s="165">
        <f>IFERROR(__xludf.DUMMYFUNCTION("""COMPUTED_VALUE"""),662.0)</f>
        <v>662</v>
      </c>
    </row>
    <row r="852" ht="15.75" customHeight="1">
      <c r="A852" s="133" t="str">
        <f>IFERROR(__xludf.DUMMYFUNCTION("""COMPUTED_VALUE"""),"K13019RUW")</f>
        <v>K13019RUW</v>
      </c>
      <c r="B852" s="164">
        <f>IFERROR(__xludf.DUMMYFUNCTION("""COMPUTED_VALUE"""),1.1698241E7)</f>
        <v>11698241</v>
      </c>
      <c r="C852" s="164" t="str">
        <f>IFERROR(__xludf.DUMMYFUNCTION("""COMPUTED_VALUE"""),"11698241L")</f>
        <v>11698241L</v>
      </c>
      <c r="D852" s="164" t="str">
        <f>IFERROR(__xludf.DUMMYFUNCTION("""COMPUTED_VALUE"""),"Женская пижама Енот")</f>
        <v>Женская пижама Енот</v>
      </c>
      <c r="E852" s="164" t="str">
        <f>IFERROR(__xludf.DUMMYFUNCTION("""COMPUTED_VALUE"""),"L")</f>
        <v>L</v>
      </c>
      <c r="F852" s="133" t="str">
        <f>IFERROR(__xludf.DUMMYFUNCTION("""COMPUTED_VALUE"""),"K13019RUWL")</f>
        <v>K13019RUWL</v>
      </c>
      <c r="G852" s="165">
        <f>IFERROR(__xludf.DUMMYFUNCTION("""COMPUTED_VALUE"""),662.0)</f>
        <v>662</v>
      </c>
    </row>
    <row r="853" ht="15.75" customHeight="1">
      <c r="A853" s="133" t="str">
        <f>IFERROR(__xludf.DUMMYFUNCTION("""COMPUTED_VALUE"""),"K13019RUW")</f>
        <v>K13019RUW</v>
      </c>
      <c r="B853" s="164">
        <f>IFERROR(__xludf.DUMMYFUNCTION("""COMPUTED_VALUE"""),1.1698241E7)</f>
        <v>11698241</v>
      </c>
      <c r="C853" s="164" t="str">
        <f>IFERROR(__xludf.DUMMYFUNCTION("""COMPUTED_VALUE"""),"11698241XL")</f>
        <v>11698241XL</v>
      </c>
      <c r="D853" s="164" t="str">
        <f>IFERROR(__xludf.DUMMYFUNCTION("""COMPUTED_VALUE"""),"Женская пижама Енот")</f>
        <v>Женская пижама Енот</v>
      </c>
      <c r="E853" s="164" t="str">
        <f>IFERROR(__xludf.DUMMYFUNCTION("""COMPUTED_VALUE"""),"XL")</f>
        <v>XL</v>
      </c>
      <c r="F853" s="133" t="str">
        <f>IFERROR(__xludf.DUMMYFUNCTION("""COMPUTED_VALUE"""),"K13019RUWXL")</f>
        <v>K13019RUWXL</v>
      </c>
      <c r="G853" s="165">
        <f>IFERROR(__xludf.DUMMYFUNCTION("""COMPUTED_VALUE"""),662.0)</f>
        <v>662</v>
      </c>
    </row>
    <row r="854" ht="15.75" customHeight="1">
      <c r="A854" s="133" t="str">
        <f>IFERROR(__xludf.DUMMYFUNCTION("""COMPUTED_VALUE"""),"K13119RUW")</f>
        <v>K13119RUW</v>
      </c>
      <c r="B854" s="164">
        <f>IFERROR(__xludf.DUMMYFUNCTION("""COMPUTED_VALUE"""),1.1698242E7)</f>
        <v>11698242</v>
      </c>
      <c r="C854" s="164" t="str">
        <f>IFERROR(__xludf.DUMMYFUNCTION("""COMPUTED_VALUE"""),"11698242S")</f>
        <v>11698242S</v>
      </c>
      <c r="D854" s="164" t="str">
        <f>IFERROR(__xludf.DUMMYFUNCTION("""COMPUTED_VALUE"""),"Женская пижама Жираф")</f>
        <v>Женская пижама Жираф</v>
      </c>
      <c r="E854" s="164" t="str">
        <f>IFERROR(__xludf.DUMMYFUNCTION("""COMPUTED_VALUE"""),"S")</f>
        <v>S</v>
      </c>
      <c r="F854" s="133" t="str">
        <f>IFERROR(__xludf.DUMMYFUNCTION("""COMPUTED_VALUE"""),"K13119RUWS")</f>
        <v>K13119RUWS</v>
      </c>
      <c r="G854" s="165">
        <f>IFERROR(__xludf.DUMMYFUNCTION("""COMPUTED_VALUE"""),662.0)</f>
        <v>662</v>
      </c>
    </row>
    <row r="855" ht="15.75" customHeight="1">
      <c r="A855" s="133" t="str">
        <f>IFERROR(__xludf.DUMMYFUNCTION("""COMPUTED_VALUE"""),"K13119RUW")</f>
        <v>K13119RUW</v>
      </c>
      <c r="B855" s="164">
        <f>IFERROR(__xludf.DUMMYFUNCTION("""COMPUTED_VALUE"""),1.1698242E7)</f>
        <v>11698242</v>
      </c>
      <c r="C855" s="164" t="str">
        <f>IFERROR(__xludf.DUMMYFUNCTION("""COMPUTED_VALUE"""),"11698242M")</f>
        <v>11698242M</v>
      </c>
      <c r="D855" s="164" t="str">
        <f>IFERROR(__xludf.DUMMYFUNCTION("""COMPUTED_VALUE"""),"Женская пижама Жираф")</f>
        <v>Женская пижама Жираф</v>
      </c>
      <c r="E855" s="164" t="str">
        <f>IFERROR(__xludf.DUMMYFUNCTION("""COMPUTED_VALUE"""),"M")</f>
        <v>M</v>
      </c>
      <c r="F855" s="133" t="str">
        <f>IFERROR(__xludf.DUMMYFUNCTION("""COMPUTED_VALUE"""),"K13119RUWM")</f>
        <v>K13119RUWM</v>
      </c>
      <c r="G855" s="165">
        <f>IFERROR(__xludf.DUMMYFUNCTION("""COMPUTED_VALUE"""),662.0)</f>
        <v>662</v>
      </c>
    </row>
    <row r="856" ht="15.75" customHeight="1">
      <c r="A856" s="133" t="str">
        <f>IFERROR(__xludf.DUMMYFUNCTION("""COMPUTED_VALUE"""),"K13119RUW")</f>
        <v>K13119RUW</v>
      </c>
      <c r="B856" s="164">
        <f>IFERROR(__xludf.DUMMYFUNCTION("""COMPUTED_VALUE"""),1.1698242E7)</f>
        <v>11698242</v>
      </c>
      <c r="C856" s="164" t="str">
        <f>IFERROR(__xludf.DUMMYFUNCTION("""COMPUTED_VALUE"""),"11698242L")</f>
        <v>11698242L</v>
      </c>
      <c r="D856" s="164" t="str">
        <f>IFERROR(__xludf.DUMMYFUNCTION("""COMPUTED_VALUE"""),"Женская пижама Жираф")</f>
        <v>Женская пижама Жираф</v>
      </c>
      <c r="E856" s="164" t="str">
        <f>IFERROR(__xludf.DUMMYFUNCTION("""COMPUTED_VALUE"""),"L")</f>
        <v>L</v>
      </c>
      <c r="F856" s="133" t="str">
        <f>IFERROR(__xludf.DUMMYFUNCTION("""COMPUTED_VALUE"""),"K13119RUWL")</f>
        <v>K13119RUWL</v>
      </c>
      <c r="G856" s="165">
        <f>IFERROR(__xludf.DUMMYFUNCTION("""COMPUTED_VALUE"""),662.0)</f>
        <v>662</v>
      </c>
    </row>
    <row r="857" ht="15.75" customHeight="1">
      <c r="A857" s="133" t="str">
        <f>IFERROR(__xludf.DUMMYFUNCTION("""COMPUTED_VALUE"""),"K13119RUW")</f>
        <v>K13119RUW</v>
      </c>
      <c r="B857" s="164">
        <f>IFERROR(__xludf.DUMMYFUNCTION("""COMPUTED_VALUE"""),1.1698242E7)</f>
        <v>11698242</v>
      </c>
      <c r="C857" s="164" t="str">
        <f>IFERROR(__xludf.DUMMYFUNCTION("""COMPUTED_VALUE"""),"11698242XL")</f>
        <v>11698242XL</v>
      </c>
      <c r="D857" s="164" t="str">
        <f>IFERROR(__xludf.DUMMYFUNCTION("""COMPUTED_VALUE"""),"Женская пижама Жираф")</f>
        <v>Женская пижама Жираф</v>
      </c>
      <c r="E857" s="164" t="str">
        <f>IFERROR(__xludf.DUMMYFUNCTION("""COMPUTED_VALUE"""),"XL")</f>
        <v>XL</v>
      </c>
      <c r="F857" s="133" t="str">
        <f>IFERROR(__xludf.DUMMYFUNCTION("""COMPUTED_VALUE"""),"K13119RUWXL")</f>
        <v>K13119RUWXL</v>
      </c>
      <c r="G857" s="165">
        <f>IFERROR(__xludf.DUMMYFUNCTION("""COMPUTED_VALUE"""),662.0)</f>
        <v>662</v>
      </c>
    </row>
    <row r="858" ht="15.75" customHeight="1">
      <c r="A858" s="133" t="str">
        <f>IFERROR(__xludf.DUMMYFUNCTION("""COMPUTED_VALUE"""),"K13219RUW")</f>
        <v>K13219RUW</v>
      </c>
      <c r="B858" s="164">
        <f>IFERROR(__xludf.DUMMYFUNCTION("""COMPUTED_VALUE"""),1.1698243E7)</f>
        <v>11698243</v>
      </c>
      <c r="C858" s="164" t="str">
        <f>IFERROR(__xludf.DUMMYFUNCTION("""COMPUTED_VALUE"""),"11698243S")</f>
        <v>11698243S</v>
      </c>
      <c r="D858" s="164" t="str">
        <f>IFERROR(__xludf.DUMMYFUNCTION("""COMPUTED_VALUE"""),"Женская пижама Мышь")</f>
        <v>Женская пижама Мышь</v>
      </c>
      <c r="E858" s="164" t="str">
        <f>IFERROR(__xludf.DUMMYFUNCTION("""COMPUTED_VALUE"""),"S")</f>
        <v>S</v>
      </c>
      <c r="F858" s="133" t="str">
        <f>IFERROR(__xludf.DUMMYFUNCTION("""COMPUTED_VALUE"""),"K13219RUWS")</f>
        <v>K13219RUWS</v>
      </c>
      <c r="G858" s="165">
        <f>IFERROR(__xludf.DUMMYFUNCTION("""COMPUTED_VALUE"""),662.0)</f>
        <v>662</v>
      </c>
    </row>
    <row r="859" ht="15.75" customHeight="1">
      <c r="A859" s="133" t="str">
        <f>IFERROR(__xludf.DUMMYFUNCTION("""COMPUTED_VALUE"""),"K13219RUW")</f>
        <v>K13219RUW</v>
      </c>
      <c r="B859" s="164">
        <f>IFERROR(__xludf.DUMMYFUNCTION("""COMPUTED_VALUE"""),1.1698243E7)</f>
        <v>11698243</v>
      </c>
      <c r="C859" s="164" t="str">
        <f>IFERROR(__xludf.DUMMYFUNCTION("""COMPUTED_VALUE"""),"11698243M")</f>
        <v>11698243M</v>
      </c>
      <c r="D859" s="164" t="str">
        <f>IFERROR(__xludf.DUMMYFUNCTION("""COMPUTED_VALUE"""),"Женская пижама Мышь")</f>
        <v>Женская пижама Мышь</v>
      </c>
      <c r="E859" s="164" t="str">
        <f>IFERROR(__xludf.DUMMYFUNCTION("""COMPUTED_VALUE"""),"M")</f>
        <v>M</v>
      </c>
      <c r="F859" s="133" t="str">
        <f>IFERROR(__xludf.DUMMYFUNCTION("""COMPUTED_VALUE"""),"K13219RUWM")</f>
        <v>K13219RUWM</v>
      </c>
      <c r="G859" s="165">
        <f>IFERROR(__xludf.DUMMYFUNCTION("""COMPUTED_VALUE"""),662.0)</f>
        <v>662</v>
      </c>
    </row>
    <row r="860" ht="15.75" customHeight="1">
      <c r="A860" s="133" t="str">
        <f>IFERROR(__xludf.DUMMYFUNCTION("""COMPUTED_VALUE"""),"K13219RUW")</f>
        <v>K13219RUW</v>
      </c>
      <c r="B860" s="164">
        <f>IFERROR(__xludf.DUMMYFUNCTION("""COMPUTED_VALUE"""),1.1698243E7)</f>
        <v>11698243</v>
      </c>
      <c r="C860" s="164" t="str">
        <f>IFERROR(__xludf.DUMMYFUNCTION("""COMPUTED_VALUE"""),"11698243L")</f>
        <v>11698243L</v>
      </c>
      <c r="D860" s="164" t="str">
        <f>IFERROR(__xludf.DUMMYFUNCTION("""COMPUTED_VALUE"""),"Женская пижама Мышь")</f>
        <v>Женская пижама Мышь</v>
      </c>
      <c r="E860" s="164" t="str">
        <f>IFERROR(__xludf.DUMMYFUNCTION("""COMPUTED_VALUE"""),"L")</f>
        <v>L</v>
      </c>
      <c r="F860" s="133" t="str">
        <f>IFERROR(__xludf.DUMMYFUNCTION("""COMPUTED_VALUE"""),"K13219RUWL")</f>
        <v>K13219RUWL</v>
      </c>
      <c r="G860" s="165">
        <f>IFERROR(__xludf.DUMMYFUNCTION("""COMPUTED_VALUE"""),662.0)</f>
        <v>662</v>
      </c>
    </row>
    <row r="861" ht="15.75" customHeight="1">
      <c r="A861" s="133" t="str">
        <f>IFERROR(__xludf.DUMMYFUNCTION("""COMPUTED_VALUE"""),"K13219RUW")</f>
        <v>K13219RUW</v>
      </c>
      <c r="B861" s="164">
        <f>IFERROR(__xludf.DUMMYFUNCTION("""COMPUTED_VALUE"""),1.1698243E7)</f>
        <v>11698243</v>
      </c>
      <c r="C861" s="164" t="str">
        <f>IFERROR(__xludf.DUMMYFUNCTION("""COMPUTED_VALUE"""),"11698243XL")</f>
        <v>11698243XL</v>
      </c>
      <c r="D861" s="164" t="str">
        <f>IFERROR(__xludf.DUMMYFUNCTION("""COMPUTED_VALUE"""),"Женская пижама Мышь")</f>
        <v>Женская пижама Мышь</v>
      </c>
      <c r="E861" s="164" t="str">
        <f>IFERROR(__xludf.DUMMYFUNCTION("""COMPUTED_VALUE"""),"XL")</f>
        <v>XL</v>
      </c>
      <c r="F861" s="133" t="str">
        <f>IFERROR(__xludf.DUMMYFUNCTION("""COMPUTED_VALUE"""),"K13219RUWXL")</f>
        <v>K13219RUWXL</v>
      </c>
      <c r="G861" s="165">
        <f>IFERROR(__xludf.DUMMYFUNCTION("""COMPUTED_VALUE"""),662.0)</f>
        <v>662</v>
      </c>
    </row>
    <row r="862" ht="15.75" customHeight="1">
      <c r="A862" s="133" t="str">
        <f>IFERROR(__xludf.DUMMYFUNCTION("""COMPUTED_VALUE"""),"K13419RUW")</f>
        <v>K13419RUW</v>
      </c>
      <c r="B862" s="164">
        <f>IFERROR(__xludf.DUMMYFUNCTION("""COMPUTED_VALUE"""),1.1698245E7)</f>
        <v>11698245</v>
      </c>
      <c r="C862" s="164" t="str">
        <f>IFERROR(__xludf.DUMMYFUNCTION("""COMPUTED_VALUE"""),"11698245S")</f>
        <v>11698245S</v>
      </c>
      <c r="D862" s="164" t="str">
        <f>IFERROR(__xludf.DUMMYFUNCTION("""COMPUTED_VALUE"""),"Женская пижама Кот Чии")</f>
        <v>Женская пижама Кот Чии</v>
      </c>
      <c r="E862" s="164" t="str">
        <f>IFERROR(__xludf.DUMMYFUNCTION("""COMPUTED_VALUE"""),"S")</f>
        <v>S</v>
      </c>
      <c r="F862" s="133" t="str">
        <f>IFERROR(__xludf.DUMMYFUNCTION("""COMPUTED_VALUE"""),"K13419RUWS")</f>
        <v>K13419RUWS</v>
      </c>
      <c r="G862" s="165">
        <f>IFERROR(__xludf.DUMMYFUNCTION("""COMPUTED_VALUE"""),653.0)</f>
        <v>653</v>
      </c>
    </row>
    <row r="863" ht="15.75" customHeight="1">
      <c r="A863" s="133" t="str">
        <f>IFERROR(__xludf.DUMMYFUNCTION("""COMPUTED_VALUE"""),"K13419RUW")</f>
        <v>K13419RUW</v>
      </c>
      <c r="B863" s="164">
        <f>IFERROR(__xludf.DUMMYFUNCTION("""COMPUTED_VALUE"""),1.1698245E7)</f>
        <v>11698245</v>
      </c>
      <c r="C863" s="164" t="str">
        <f>IFERROR(__xludf.DUMMYFUNCTION("""COMPUTED_VALUE"""),"11698245M")</f>
        <v>11698245M</v>
      </c>
      <c r="D863" s="164" t="str">
        <f>IFERROR(__xludf.DUMMYFUNCTION("""COMPUTED_VALUE"""),"Женская пижама Кот Чии")</f>
        <v>Женская пижама Кот Чии</v>
      </c>
      <c r="E863" s="164" t="str">
        <f>IFERROR(__xludf.DUMMYFUNCTION("""COMPUTED_VALUE"""),"M")</f>
        <v>M</v>
      </c>
      <c r="F863" s="133" t="str">
        <f>IFERROR(__xludf.DUMMYFUNCTION("""COMPUTED_VALUE"""),"K13419RUWM")</f>
        <v>K13419RUWM</v>
      </c>
      <c r="G863" s="165">
        <f>IFERROR(__xludf.DUMMYFUNCTION("""COMPUTED_VALUE"""),653.0)</f>
        <v>653</v>
      </c>
    </row>
    <row r="864" ht="15.75" customHeight="1">
      <c r="A864" s="133" t="str">
        <f>IFERROR(__xludf.DUMMYFUNCTION("""COMPUTED_VALUE"""),"K13419RUW")</f>
        <v>K13419RUW</v>
      </c>
      <c r="B864" s="164">
        <f>IFERROR(__xludf.DUMMYFUNCTION("""COMPUTED_VALUE"""),1.1698245E7)</f>
        <v>11698245</v>
      </c>
      <c r="C864" s="164" t="str">
        <f>IFERROR(__xludf.DUMMYFUNCTION("""COMPUTED_VALUE"""),"11698245L")</f>
        <v>11698245L</v>
      </c>
      <c r="D864" s="164" t="str">
        <f>IFERROR(__xludf.DUMMYFUNCTION("""COMPUTED_VALUE"""),"Женская пижама Кот Чии")</f>
        <v>Женская пижама Кот Чии</v>
      </c>
      <c r="E864" s="164" t="str">
        <f>IFERROR(__xludf.DUMMYFUNCTION("""COMPUTED_VALUE"""),"L")</f>
        <v>L</v>
      </c>
      <c r="F864" s="133" t="str">
        <f>IFERROR(__xludf.DUMMYFUNCTION("""COMPUTED_VALUE"""),"K13419RUWL")</f>
        <v>K13419RUWL</v>
      </c>
      <c r="G864" s="165">
        <f>IFERROR(__xludf.DUMMYFUNCTION("""COMPUTED_VALUE"""),653.0)</f>
        <v>653</v>
      </c>
    </row>
    <row r="865" ht="15.75" customHeight="1">
      <c r="A865" s="133" t="str">
        <f>IFERROR(__xludf.DUMMYFUNCTION("""COMPUTED_VALUE"""),"K13419RUW")</f>
        <v>K13419RUW</v>
      </c>
      <c r="B865" s="164">
        <f>IFERROR(__xludf.DUMMYFUNCTION("""COMPUTED_VALUE"""),1.1698245E7)</f>
        <v>11698245</v>
      </c>
      <c r="C865" s="164" t="str">
        <f>IFERROR(__xludf.DUMMYFUNCTION("""COMPUTED_VALUE"""),"11698245XL")</f>
        <v>11698245XL</v>
      </c>
      <c r="D865" s="164" t="str">
        <f>IFERROR(__xludf.DUMMYFUNCTION("""COMPUTED_VALUE"""),"Женская пижама Кот Чии")</f>
        <v>Женская пижама Кот Чии</v>
      </c>
      <c r="E865" s="164" t="str">
        <f>IFERROR(__xludf.DUMMYFUNCTION("""COMPUTED_VALUE"""),"XL")</f>
        <v>XL</v>
      </c>
      <c r="F865" s="133" t="str">
        <f>IFERROR(__xludf.DUMMYFUNCTION("""COMPUTED_VALUE"""),"K13419RUWXL")</f>
        <v>K13419RUWXL</v>
      </c>
      <c r="G865" s="165">
        <f>IFERROR(__xludf.DUMMYFUNCTION("""COMPUTED_VALUE"""),653.0)</f>
        <v>653</v>
      </c>
    </row>
    <row r="866" ht="15.75" customHeight="1">
      <c r="A866" s="133" t="str">
        <f>IFERROR(__xludf.DUMMYFUNCTION("""COMPUTED_VALUE"""),"K17020RUW")</f>
        <v>K17020RUW</v>
      </c>
      <c r="B866" s="164">
        <f>IFERROR(__xludf.DUMMYFUNCTION("""COMPUTED_VALUE"""),1.2680858E7)</f>
        <v>12680858</v>
      </c>
      <c r="C866" s="164" t="str">
        <f>IFERROR(__xludf.DUMMYFUNCTION("""COMPUTED_VALUE"""),"12680858S")</f>
        <v>12680858S</v>
      </c>
      <c r="D866" s="164" t="str">
        <f>IFERROR(__xludf.DUMMYFUNCTION("""COMPUTED_VALUE"""),"Женская пижама Тигр")</f>
        <v>Женская пижама Тигр</v>
      </c>
      <c r="E866" s="164" t="str">
        <f>IFERROR(__xludf.DUMMYFUNCTION("""COMPUTED_VALUE"""),"S")</f>
        <v>S</v>
      </c>
      <c r="F866" s="133" t="str">
        <f>IFERROR(__xludf.DUMMYFUNCTION("""COMPUTED_VALUE"""),"K17020RUWS")</f>
        <v>K17020RUWS</v>
      </c>
      <c r="G866" s="165">
        <f>IFERROR(__xludf.DUMMYFUNCTION("""COMPUTED_VALUE"""),662.0)</f>
        <v>662</v>
      </c>
    </row>
    <row r="867" ht="15.75" customHeight="1">
      <c r="A867" s="133" t="str">
        <f>IFERROR(__xludf.DUMMYFUNCTION("""COMPUTED_VALUE"""),"K17020RUW")</f>
        <v>K17020RUW</v>
      </c>
      <c r="B867" s="164">
        <f>IFERROR(__xludf.DUMMYFUNCTION("""COMPUTED_VALUE"""),1.2680858E7)</f>
        <v>12680858</v>
      </c>
      <c r="C867" s="164" t="str">
        <f>IFERROR(__xludf.DUMMYFUNCTION("""COMPUTED_VALUE"""),"12680858M")</f>
        <v>12680858M</v>
      </c>
      <c r="D867" s="164" t="str">
        <f>IFERROR(__xludf.DUMMYFUNCTION("""COMPUTED_VALUE"""),"Женская пижама Тигр")</f>
        <v>Женская пижама Тигр</v>
      </c>
      <c r="E867" s="164" t="str">
        <f>IFERROR(__xludf.DUMMYFUNCTION("""COMPUTED_VALUE"""),"M")</f>
        <v>M</v>
      </c>
      <c r="F867" s="133" t="str">
        <f>IFERROR(__xludf.DUMMYFUNCTION("""COMPUTED_VALUE"""),"K17020RUWM")</f>
        <v>K17020RUWM</v>
      </c>
      <c r="G867" s="165">
        <f>IFERROR(__xludf.DUMMYFUNCTION("""COMPUTED_VALUE"""),662.0)</f>
        <v>662</v>
      </c>
    </row>
    <row r="868" ht="15.75" customHeight="1">
      <c r="A868" s="133" t="str">
        <f>IFERROR(__xludf.DUMMYFUNCTION("""COMPUTED_VALUE"""),"K17020RUW")</f>
        <v>K17020RUW</v>
      </c>
      <c r="B868" s="164">
        <f>IFERROR(__xludf.DUMMYFUNCTION("""COMPUTED_VALUE"""),1.2680858E7)</f>
        <v>12680858</v>
      </c>
      <c r="C868" s="164" t="str">
        <f>IFERROR(__xludf.DUMMYFUNCTION("""COMPUTED_VALUE"""),"12680858L")</f>
        <v>12680858L</v>
      </c>
      <c r="D868" s="164" t="str">
        <f>IFERROR(__xludf.DUMMYFUNCTION("""COMPUTED_VALUE"""),"Женская пижама Тигр")</f>
        <v>Женская пижама Тигр</v>
      </c>
      <c r="E868" s="164" t="str">
        <f>IFERROR(__xludf.DUMMYFUNCTION("""COMPUTED_VALUE"""),"L")</f>
        <v>L</v>
      </c>
      <c r="F868" s="133" t="str">
        <f>IFERROR(__xludf.DUMMYFUNCTION("""COMPUTED_VALUE"""),"K17020RUWL")</f>
        <v>K17020RUWL</v>
      </c>
      <c r="G868" s="165">
        <f>IFERROR(__xludf.DUMMYFUNCTION("""COMPUTED_VALUE"""),662.0)</f>
        <v>662</v>
      </c>
    </row>
    <row r="869" ht="15.75" customHeight="1">
      <c r="A869" s="133" t="str">
        <f>IFERROR(__xludf.DUMMYFUNCTION("""COMPUTED_VALUE"""),"K17020RUW")</f>
        <v>K17020RUW</v>
      </c>
      <c r="B869" s="164">
        <f>IFERROR(__xludf.DUMMYFUNCTION("""COMPUTED_VALUE"""),1.2680858E7)</f>
        <v>12680858</v>
      </c>
      <c r="C869" s="164" t="str">
        <f>IFERROR(__xludf.DUMMYFUNCTION("""COMPUTED_VALUE"""),"12680858XL")</f>
        <v>12680858XL</v>
      </c>
      <c r="D869" s="164" t="str">
        <f>IFERROR(__xludf.DUMMYFUNCTION("""COMPUTED_VALUE"""),"Женская пижама Тигр")</f>
        <v>Женская пижама Тигр</v>
      </c>
      <c r="E869" s="164" t="str">
        <f>IFERROR(__xludf.DUMMYFUNCTION("""COMPUTED_VALUE"""),"XL")</f>
        <v>XL</v>
      </c>
      <c r="F869" s="133" t="str">
        <f>IFERROR(__xludf.DUMMYFUNCTION("""COMPUTED_VALUE"""),"K17020RUWXL")</f>
        <v>K17020RUWXL</v>
      </c>
      <c r="G869" s="165">
        <f>IFERROR(__xludf.DUMMYFUNCTION("""COMPUTED_VALUE"""),662.0)</f>
        <v>662</v>
      </c>
    </row>
    <row r="870" ht="15.75" customHeight="1">
      <c r="A870" s="133" t="str">
        <f>IFERROR(__xludf.DUMMYFUNCTION("""COMPUTED_VALUE"""),"K17520RUW")</f>
        <v>K17520RUW</v>
      </c>
      <c r="B870" s="164">
        <f>IFERROR(__xludf.DUMMYFUNCTION("""COMPUTED_VALUE"""),1.2735335E7)</f>
        <v>12735335</v>
      </c>
      <c r="C870" s="164" t="str">
        <f>IFERROR(__xludf.DUMMYFUNCTION("""COMPUTED_VALUE"""),"12735335S")</f>
        <v>12735335S</v>
      </c>
      <c r="D870" s="164" t="str">
        <f>IFERROR(__xludf.DUMMYFUNCTION("""COMPUTED_VALUE"""),"Женская пижама Единорог Бело-Голубой")</f>
        <v>Женская пижама Единорог Бело-Голубой</v>
      </c>
      <c r="E870" s="164" t="str">
        <f>IFERROR(__xludf.DUMMYFUNCTION("""COMPUTED_VALUE"""),"S")</f>
        <v>S</v>
      </c>
      <c r="F870" s="133" t="str">
        <f>IFERROR(__xludf.DUMMYFUNCTION("""COMPUTED_VALUE"""),"K17520RUWS")</f>
        <v>K17520RUWS</v>
      </c>
      <c r="G870" s="165">
        <f>IFERROR(__xludf.DUMMYFUNCTION("""COMPUTED_VALUE"""),662.0)</f>
        <v>662</v>
      </c>
    </row>
    <row r="871" ht="15.75" customHeight="1">
      <c r="A871" s="133" t="str">
        <f>IFERROR(__xludf.DUMMYFUNCTION("""COMPUTED_VALUE"""),"K17520RUW")</f>
        <v>K17520RUW</v>
      </c>
      <c r="B871" s="164">
        <f>IFERROR(__xludf.DUMMYFUNCTION("""COMPUTED_VALUE"""),1.2735335E7)</f>
        <v>12735335</v>
      </c>
      <c r="C871" s="164" t="str">
        <f>IFERROR(__xludf.DUMMYFUNCTION("""COMPUTED_VALUE"""),"12735335M")</f>
        <v>12735335M</v>
      </c>
      <c r="D871" s="164" t="str">
        <f>IFERROR(__xludf.DUMMYFUNCTION("""COMPUTED_VALUE"""),"Женская пижама Единорог Бело-Голубой")</f>
        <v>Женская пижама Единорог Бело-Голубой</v>
      </c>
      <c r="E871" s="164" t="str">
        <f>IFERROR(__xludf.DUMMYFUNCTION("""COMPUTED_VALUE"""),"M")</f>
        <v>M</v>
      </c>
      <c r="F871" s="133" t="str">
        <f>IFERROR(__xludf.DUMMYFUNCTION("""COMPUTED_VALUE"""),"K17520RUWM")</f>
        <v>K17520RUWM</v>
      </c>
      <c r="G871" s="165">
        <f>IFERROR(__xludf.DUMMYFUNCTION("""COMPUTED_VALUE"""),662.0)</f>
        <v>662</v>
      </c>
    </row>
    <row r="872" ht="15.75" customHeight="1">
      <c r="A872" s="133" t="str">
        <f>IFERROR(__xludf.DUMMYFUNCTION("""COMPUTED_VALUE"""),"K17520RUW")</f>
        <v>K17520RUW</v>
      </c>
      <c r="B872" s="164">
        <f>IFERROR(__xludf.DUMMYFUNCTION("""COMPUTED_VALUE"""),1.2735335E7)</f>
        <v>12735335</v>
      </c>
      <c r="C872" s="164" t="str">
        <f>IFERROR(__xludf.DUMMYFUNCTION("""COMPUTED_VALUE"""),"12735335L")</f>
        <v>12735335L</v>
      </c>
      <c r="D872" s="164" t="str">
        <f>IFERROR(__xludf.DUMMYFUNCTION("""COMPUTED_VALUE"""),"Женская пижама Единорог Бело-Голубой")</f>
        <v>Женская пижама Единорог Бело-Голубой</v>
      </c>
      <c r="E872" s="164" t="str">
        <f>IFERROR(__xludf.DUMMYFUNCTION("""COMPUTED_VALUE"""),"L")</f>
        <v>L</v>
      </c>
      <c r="F872" s="133" t="str">
        <f>IFERROR(__xludf.DUMMYFUNCTION("""COMPUTED_VALUE"""),"K17520RUWL")</f>
        <v>K17520RUWL</v>
      </c>
      <c r="G872" s="165">
        <f>IFERROR(__xludf.DUMMYFUNCTION("""COMPUTED_VALUE"""),662.0)</f>
        <v>662</v>
      </c>
    </row>
    <row r="873" ht="15.75" customHeight="1">
      <c r="A873" s="133" t="str">
        <f>IFERROR(__xludf.DUMMYFUNCTION("""COMPUTED_VALUE"""),"K17520RUW")</f>
        <v>K17520RUW</v>
      </c>
      <c r="B873" s="164">
        <f>IFERROR(__xludf.DUMMYFUNCTION("""COMPUTED_VALUE"""),1.2735335E7)</f>
        <v>12735335</v>
      </c>
      <c r="C873" s="164" t="str">
        <f>IFERROR(__xludf.DUMMYFUNCTION("""COMPUTED_VALUE"""),"12735335XL")</f>
        <v>12735335XL</v>
      </c>
      <c r="D873" s="164" t="str">
        <f>IFERROR(__xludf.DUMMYFUNCTION("""COMPUTED_VALUE"""),"Женская пижама Единорог Бело-Голубой")</f>
        <v>Женская пижама Единорог Бело-Голубой</v>
      </c>
      <c r="E873" s="164" t="str">
        <f>IFERROR(__xludf.DUMMYFUNCTION("""COMPUTED_VALUE"""),"XL")</f>
        <v>XL</v>
      </c>
      <c r="F873" s="133" t="str">
        <f>IFERROR(__xludf.DUMMYFUNCTION("""COMPUTED_VALUE"""),"K17520RUWXL")</f>
        <v>K17520RUWXL</v>
      </c>
      <c r="G873" s="165">
        <f>IFERROR(__xludf.DUMMYFUNCTION("""COMPUTED_VALUE"""),662.0)</f>
        <v>662</v>
      </c>
    </row>
    <row r="874" ht="15.75" customHeight="1">
      <c r="A874" s="133" t="str">
        <f>IFERROR(__xludf.DUMMYFUNCTION("""COMPUTED_VALUE"""),"K17620RUW")</f>
        <v>K17620RUW</v>
      </c>
      <c r="B874" s="164">
        <f>IFERROR(__xludf.DUMMYFUNCTION("""COMPUTED_VALUE"""),1.2735336E7)</f>
        <v>12735336</v>
      </c>
      <c r="C874" s="164" t="str">
        <f>IFERROR(__xludf.DUMMYFUNCTION("""COMPUTED_VALUE"""),"12735336S")</f>
        <v>12735336S</v>
      </c>
      <c r="D874" s="164" t="str">
        <f>IFERROR(__xludf.DUMMYFUNCTION("""COMPUTED_VALUE"""),"Женская пижама Единорог Бело-Розовый")</f>
        <v>Женская пижама Единорог Бело-Розовый</v>
      </c>
      <c r="E874" s="164" t="str">
        <f>IFERROR(__xludf.DUMMYFUNCTION("""COMPUTED_VALUE"""),"S")</f>
        <v>S</v>
      </c>
      <c r="F874" s="133" t="str">
        <f>IFERROR(__xludf.DUMMYFUNCTION("""COMPUTED_VALUE"""),"K17620RUWS")</f>
        <v>K17620RUWS</v>
      </c>
      <c r="G874" s="165">
        <f>IFERROR(__xludf.DUMMYFUNCTION("""COMPUTED_VALUE"""),662.0)</f>
        <v>662</v>
      </c>
    </row>
    <row r="875" ht="15.75" customHeight="1">
      <c r="A875" s="133" t="str">
        <f>IFERROR(__xludf.DUMMYFUNCTION("""COMPUTED_VALUE"""),"K17620RUW")</f>
        <v>K17620RUW</v>
      </c>
      <c r="B875" s="164">
        <f>IFERROR(__xludf.DUMMYFUNCTION("""COMPUTED_VALUE"""),1.2735336E7)</f>
        <v>12735336</v>
      </c>
      <c r="C875" s="164" t="str">
        <f>IFERROR(__xludf.DUMMYFUNCTION("""COMPUTED_VALUE"""),"12735336M")</f>
        <v>12735336M</v>
      </c>
      <c r="D875" s="164" t="str">
        <f>IFERROR(__xludf.DUMMYFUNCTION("""COMPUTED_VALUE"""),"Женская пижама Единорог Бело-Розовый")</f>
        <v>Женская пижама Единорог Бело-Розовый</v>
      </c>
      <c r="E875" s="164" t="str">
        <f>IFERROR(__xludf.DUMMYFUNCTION("""COMPUTED_VALUE"""),"M")</f>
        <v>M</v>
      </c>
      <c r="F875" s="133" t="str">
        <f>IFERROR(__xludf.DUMMYFUNCTION("""COMPUTED_VALUE"""),"K17620RUWM")</f>
        <v>K17620RUWM</v>
      </c>
      <c r="G875" s="165">
        <f>IFERROR(__xludf.DUMMYFUNCTION("""COMPUTED_VALUE"""),662.0)</f>
        <v>662</v>
      </c>
    </row>
    <row r="876" ht="15.75" customHeight="1">
      <c r="A876" s="133" t="str">
        <f>IFERROR(__xludf.DUMMYFUNCTION("""COMPUTED_VALUE"""),"K17620RUW")</f>
        <v>K17620RUW</v>
      </c>
      <c r="B876" s="164">
        <f>IFERROR(__xludf.DUMMYFUNCTION("""COMPUTED_VALUE"""),1.2735336E7)</f>
        <v>12735336</v>
      </c>
      <c r="C876" s="164" t="str">
        <f>IFERROR(__xludf.DUMMYFUNCTION("""COMPUTED_VALUE"""),"12735336L")</f>
        <v>12735336L</v>
      </c>
      <c r="D876" s="164" t="str">
        <f>IFERROR(__xludf.DUMMYFUNCTION("""COMPUTED_VALUE"""),"Женская пижама Единорог Бело-Розовый")</f>
        <v>Женская пижама Единорог Бело-Розовый</v>
      </c>
      <c r="E876" s="164" t="str">
        <f>IFERROR(__xludf.DUMMYFUNCTION("""COMPUTED_VALUE"""),"L")</f>
        <v>L</v>
      </c>
      <c r="F876" s="133" t="str">
        <f>IFERROR(__xludf.DUMMYFUNCTION("""COMPUTED_VALUE"""),"K17620RUWL")</f>
        <v>K17620RUWL</v>
      </c>
      <c r="G876" s="165">
        <f>IFERROR(__xludf.DUMMYFUNCTION("""COMPUTED_VALUE"""),662.0)</f>
        <v>662</v>
      </c>
    </row>
    <row r="877" ht="15.75" customHeight="1">
      <c r="A877" s="133" t="str">
        <f>IFERROR(__xludf.DUMMYFUNCTION("""COMPUTED_VALUE"""),"K17620RUW")</f>
        <v>K17620RUW</v>
      </c>
      <c r="B877" s="164">
        <f>IFERROR(__xludf.DUMMYFUNCTION("""COMPUTED_VALUE"""),1.2735336E7)</f>
        <v>12735336</v>
      </c>
      <c r="C877" s="164" t="str">
        <f>IFERROR(__xludf.DUMMYFUNCTION("""COMPUTED_VALUE"""),"12735336XL")</f>
        <v>12735336XL</v>
      </c>
      <c r="D877" s="164" t="str">
        <f>IFERROR(__xludf.DUMMYFUNCTION("""COMPUTED_VALUE"""),"Женская пижама Единорог Бело-Розовый")</f>
        <v>Женская пижама Единорог Бело-Розовый</v>
      </c>
      <c r="E877" s="164" t="str">
        <f>IFERROR(__xludf.DUMMYFUNCTION("""COMPUTED_VALUE"""),"XL")</f>
        <v>XL</v>
      </c>
      <c r="F877" s="133" t="str">
        <f>IFERROR(__xludf.DUMMYFUNCTION("""COMPUTED_VALUE"""),"K17620RUWXL")</f>
        <v>K17620RUWXL</v>
      </c>
      <c r="G877" s="165">
        <f>IFERROR(__xludf.DUMMYFUNCTION("""COMPUTED_VALUE"""),662.0)</f>
        <v>662</v>
      </c>
    </row>
    <row r="878" ht="15.75" customHeight="1">
      <c r="A878" s="133" t="str">
        <f>IFERROR(__xludf.DUMMYFUNCTION("""COMPUTED_VALUE"""),"K16820RUW")</f>
        <v>K16820RUW</v>
      </c>
      <c r="B878" s="164">
        <f>IFERROR(__xludf.DUMMYFUNCTION("""COMPUTED_VALUE"""),1.3025861E7)</f>
        <v>13025861</v>
      </c>
      <c r="C878" s="164" t="str">
        <f>IFERROR(__xludf.DUMMYFUNCTION("""COMPUTED_VALUE"""),"13025861S")</f>
        <v>13025861S</v>
      </c>
      <c r="D878" s="164" t="str">
        <f>IFERROR(__xludf.DUMMYFUNCTION("""COMPUTED_VALUE"""),"Женская пижама Скелет")</f>
        <v>Женская пижама Скелет</v>
      </c>
      <c r="E878" s="164" t="str">
        <f>IFERROR(__xludf.DUMMYFUNCTION("""COMPUTED_VALUE"""),"S")</f>
        <v>S</v>
      </c>
      <c r="F878" s="133" t="str">
        <f>IFERROR(__xludf.DUMMYFUNCTION("""COMPUTED_VALUE"""),"K16820RUWS")</f>
        <v>K16820RUWS</v>
      </c>
      <c r="G878" s="165">
        <f>IFERROR(__xludf.DUMMYFUNCTION("""COMPUTED_VALUE"""),662.0)</f>
        <v>662</v>
      </c>
    </row>
    <row r="879" ht="15.75" customHeight="1">
      <c r="A879" s="133" t="str">
        <f>IFERROR(__xludf.DUMMYFUNCTION("""COMPUTED_VALUE"""),"K16820RUW")</f>
        <v>K16820RUW</v>
      </c>
      <c r="B879" s="164">
        <f>IFERROR(__xludf.DUMMYFUNCTION("""COMPUTED_VALUE"""),1.3025861E7)</f>
        <v>13025861</v>
      </c>
      <c r="C879" s="164" t="str">
        <f>IFERROR(__xludf.DUMMYFUNCTION("""COMPUTED_VALUE"""),"13025861M")</f>
        <v>13025861M</v>
      </c>
      <c r="D879" s="164" t="str">
        <f>IFERROR(__xludf.DUMMYFUNCTION("""COMPUTED_VALUE"""),"Женская пижама Скелет")</f>
        <v>Женская пижама Скелет</v>
      </c>
      <c r="E879" s="164" t="str">
        <f>IFERROR(__xludf.DUMMYFUNCTION("""COMPUTED_VALUE"""),"M")</f>
        <v>M</v>
      </c>
      <c r="F879" s="133" t="str">
        <f>IFERROR(__xludf.DUMMYFUNCTION("""COMPUTED_VALUE"""),"K16820RUWM")</f>
        <v>K16820RUWM</v>
      </c>
      <c r="G879" s="165">
        <f>IFERROR(__xludf.DUMMYFUNCTION("""COMPUTED_VALUE"""),662.0)</f>
        <v>662</v>
      </c>
    </row>
    <row r="880" ht="15.75" customHeight="1">
      <c r="A880" s="133" t="str">
        <f>IFERROR(__xludf.DUMMYFUNCTION("""COMPUTED_VALUE"""),"K16820RUW")</f>
        <v>K16820RUW</v>
      </c>
      <c r="B880" s="164">
        <f>IFERROR(__xludf.DUMMYFUNCTION("""COMPUTED_VALUE"""),1.3025861E7)</f>
        <v>13025861</v>
      </c>
      <c r="C880" s="164" t="str">
        <f>IFERROR(__xludf.DUMMYFUNCTION("""COMPUTED_VALUE"""),"13025861L")</f>
        <v>13025861L</v>
      </c>
      <c r="D880" s="164" t="str">
        <f>IFERROR(__xludf.DUMMYFUNCTION("""COMPUTED_VALUE"""),"Женская пижама Скелет")</f>
        <v>Женская пижама Скелет</v>
      </c>
      <c r="E880" s="164" t="str">
        <f>IFERROR(__xludf.DUMMYFUNCTION("""COMPUTED_VALUE"""),"L")</f>
        <v>L</v>
      </c>
      <c r="F880" s="133" t="str">
        <f>IFERROR(__xludf.DUMMYFUNCTION("""COMPUTED_VALUE"""),"K16820RUWL")</f>
        <v>K16820RUWL</v>
      </c>
      <c r="G880" s="165">
        <f>IFERROR(__xludf.DUMMYFUNCTION("""COMPUTED_VALUE"""),662.0)</f>
        <v>662</v>
      </c>
    </row>
    <row r="881" ht="15.75" customHeight="1">
      <c r="A881" s="133" t="str">
        <f>IFERROR(__xludf.DUMMYFUNCTION("""COMPUTED_VALUE"""),"K16820RUW")</f>
        <v>K16820RUW</v>
      </c>
      <c r="B881" s="164">
        <f>IFERROR(__xludf.DUMMYFUNCTION("""COMPUTED_VALUE"""),1.3025861E7)</f>
        <v>13025861</v>
      </c>
      <c r="C881" s="164" t="str">
        <f>IFERROR(__xludf.DUMMYFUNCTION("""COMPUTED_VALUE"""),"13025861XL")</f>
        <v>13025861XL</v>
      </c>
      <c r="D881" s="164" t="str">
        <f>IFERROR(__xludf.DUMMYFUNCTION("""COMPUTED_VALUE"""),"Женская пижама Скелет")</f>
        <v>Женская пижама Скелет</v>
      </c>
      <c r="E881" s="164" t="str">
        <f>IFERROR(__xludf.DUMMYFUNCTION("""COMPUTED_VALUE"""),"XL")</f>
        <v>XL</v>
      </c>
      <c r="F881" s="133" t="str">
        <f>IFERROR(__xludf.DUMMYFUNCTION("""COMPUTED_VALUE"""),"K16820RUWXL")</f>
        <v>K16820RUWXL</v>
      </c>
      <c r="G881" s="165">
        <f>IFERROR(__xludf.DUMMYFUNCTION("""COMPUTED_VALUE"""),662.0)</f>
        <v>662</v>
      </c>
    </row>
    <row r="882" ht="15.75" customHeight="1">
      <c r="A882" s="133" t="str">
        <f>IFERROR(__xludf.DUMMYFUNCTION("""COMPUTED_VALUE"""),"K17920RUW")</f>
        <v>K17920RUW</v>
      </c>
      <c r="B882" s="164">
        <f>IFERROR(__xludf.DUMMYFUNCTION("""COMPUTED_VALUE"""),1.2735337E7)</f>
        <v>12735337</v>
      </c>
      <c r="C882" s="164" t="str">
        <f>IFERROR(__xludf.DUMMYFUNCTION("""COMPUTED_VALUE"""),"12735337S")</f>
        <v>12735337S</v>
      </c>
      <c r="D882" s="164" t="str">
        <f>IFERROR(__xludf.DUMMYFUNCTION("""COMPUTED_VALUE"""),"Женская пижама Корова")</f>
        <v>Женская пижама Корова</v>
      </c>
      <c r="E882" s="164" t="str">
        <f>IFERROR(__xludf.DUMMYFUNCTION("""COMPUTED_VALUE"""),"S")</f>
        <v>S</v>
      </c>
      <c r="F882" s="133" t="str">
        <f>IFERROR(__xludf.DUMMYFUNCTION("""COMPUTED_VALUE"""),"K17920RUWS")</f>
        <v>K17920RUWS</v>
      </c>
      <c r="G882" s="165">
        <f>IFERROR(__xludf.DUMMYFUNCTION("""COMPUTED_VALUE"""),662.0)</f>
        <v>662</v>
      </c>
    </row>
    <row r="883" ht="15.75" customHeight="1">
      <c r="A883" s="133" t="str">
        <f>IFERROR(__xludf.DUMMYFUNCTION("""COMPUTED_VALUE"""),"K17920RUW")</f>
        <v>K17920RUW</v>
      </c>
      <c r="B883" s="164">
        <f>IFERROR(__xludf.DUMMYFUNCTION("""COMPUTED_VALUE"""),1.2735337E7)</f>
        <v>12735337</v>
      </c>
      <c r="C883" s="164" t="str">
        <f>IFERROR(__xludf.DUMMYFUNCTION("""COMPUTED_VALUE"""),"12735337M")</f>
        <v>12735337M</v>
      </c>
      <c r="D883" s="164" t="str">
        <f>IFERROR(__xludf.DUMMYFUNCTION("""COMPUTED_VALUE"""),"Женская пижама Корова")</f>
        <v>Женская пижама Корова</v>
      </c>
      <c r="E883" s="164" t="str">
        <f>IFERROR(__xludf.DUMMYFUNCTION("""COMPUTED_VALUE"""),"M")</f>
        <v>M</v>
      </c>
      <c r="F883" s="133" t="str">
        <f>IFERROR(__xludf.DUMMYFUNCTION("""COMPUTED_VALUE"""),"K17920RUWM")</f>
        <v>K17920RUWM</v>
      </c>
      <c r="G883" s="165">
        <f>IFERROR(__xludf.DUMMYFUNCTION("""COMPUTED_VALUE"""),662.0)</f>
        <v>662</v>
      </c>
    </row>
    <row r="884" ht="15.75" customHeight="1">
      <c r="A884" s="133" t="str">
        <f>IFERROR(__xludf.DUMMYFUNCTION("""COMPUTED_VALUE"""),"K17920RUW")</f>
        <v>K17920RUW</v>
      </c>
      <c r="B884" s="164">
        <f>IFERROR(__xludf.DUMMYFUNCTION("""COMPUTED_VALUE"""),1.2735337E7)</f>
        <v>12735337</v>
      </c>
      <c r="C884" s="164" t="str">
        <f>IFERROR(__xludf.DUMMYFUNCTION("""COMPUTED_VALUE"""),"12735337L")</f>
        <v>12735337L</v>
      </c>
      <c r="D884" s="164" t="str">
        <f>IFERROR(__xludf.DUMMYFUNCTION("""COMPUTED_VALUE"""),"Женская пижама Корова")</f>
        <v>Женская пижама Корова</v>
      </c>
      <c r="E884" s="164" t="str">
        <f>IFERROR(__xludf.DUMMYFUNCTION("""COMPUTED_VALUE"""),"L")</f>
        <v>L</v>
      </c>
      <c r="F884" s="133" t="str">
        <f>IFERROR(__xludf.DUMMYFUNCTION("""COMPUTED_VALUE"""),"K17920RUWL")</f>
        <v>K17920RUWL</v>
      </c>
      <c r="G884" s="165">
        <f>IFERROR(__xludf.DUMMYFUNCTION("""COMPUTED_VALUE"""),662.0)</f>
        <v>662</v>
      </c>
    </row>
    <row r="885" ht="15.75" customHeight="1">
      <c r="A885" s="133" t="str">
        <f>IFERROR(__xludf.DUMMYFUNCTION("""COMPUTED_VALUE"""),"K17920RUW")</f>
        <v>K17920RUW</v>
      </c>
      <c r="B885" s="164">
        <f>IFERROR(__xludf.DUMMYFUNCTION("""COMPUTED_VALUE"""),1.2735337E7)</f>
        <v>12735337</v>
      </c>
      <c r="C885" s="164" t="str">
        <f>IFERROR(__xludf.DUMMYFUNCTION("""COMPUTED_VALUE"""),"12735337XL")</f>
        <v>12735337XL</v>
      </c>
      <c r="D885" s="164" t="str">
        <f>IFERROR(__xludf.DUMMYFUNCTION("""COMPUTED_VALUE"""),"Женская пижама Корова")</f>
        <v>Женская пижама Корова</v>
      </c>
      <c r="E885" s="164" t="str">
        <f>IFERROR(__xludf.DUMMYFUNCTION("""COMPUTED_VALUE"""),"XL")</f>
        <v>XL</v>
      </c>
      <c r="F885" s="133" t="str">
        <f>IFERROR(__xludf.DUMMYFUNCTION("""COMPUTED_VALUE"""),"K17920RUWXL")</f>
        <v>K17920RUWXL</v>
      </c>
      <c r="G885" s="165">
        <f>IFERROR(__xludf.DUMMYFUNCTION("""COMPUTED_VALUE"""),662.0)</f>
        <v>662</v>
      </c>
    </row>
    <row r="886" ht="15.75" customHeight="1">
      <c r="A886" s="133" t="str">
        <f>IFERROR(__xludf.DUMMYFUNCTION("""COMPUTED_VALUE"""),"K18120RUW")</f>
        <v>K18120RUW</v>
      </c>
      <c r="B886" s="164">
        <f>IFERROR(__xludf.DUMMYFUNCTION("""COMPUTED_VALUE"""),1.3025865E7)</f>
        <v>13025865</v>
      </c>
      <c r="C886" s="164" t="str">
        <f>IFERROR(__xludf.DUMMYFUNCTION("""COMPUTED_VALUE"""),"13025865S")</f>
        <v>13025865S</v>
      </c>
      <c r="D886" s="164" t="str">
        <f>IFERROR(__xludf.DUMMYFUNCTION("""COMPUTED_VALUE"""),"Женская пижама Кролик")</f>
        <v>Женская пижама Кролик</v>
      </c>
      <c r="E886" s="164" t="str">
        <f>IFERROR(__xludf.DUMMYFUNCTION("""COMPUTED_VALUE"""),"S")</f>
        <v>S</v>
      </c>
      <c r="F886" s="133" t="str">
        <f>IFERROR(__xludf.DUMMYFUNCTION("""COMPUTED_VALUE"""),"K18120RUWS")</f>
        <v>K18120RUWS</v>
      </c>
      <c r="G886" s="165">
        <f>IFERROR(__xludf.DUMMYFUNCTION("""COMPUTED_VALUE"""),662.0)</f>
        <v>662</v>
      </c>
    </row>
    <row r="887" ht="15.75" customHeight="1">
      <c r="A887" s="133" t="str">
        <f>IFERROR(__xludf.DUMMYFUNCTION("""COMPUTED_VALUE"""),"K18120RUW")</f>
        <v>K18120RUW</v>
      </c>
      <c r="B887" s="164">
        <f>IFERROR(__xludf.DUMMYFUNCTION("""COMPUTED_VALUE"""),1.3025865E7)</f>
        <v>13025865</v>
      </c>
      <c r="C887" s="164" t="str">
        <f>IFERROR(__xludf.DUMMYFUNCTION("""COMPUTED_VALUE"""),"13025865M")</f>
        <v>13025865M</v>
      </c>
      <c r="D887" s="164" t="str">
        <f>IFERROR(__xludf.DUMMYFUNCTION("""COMPUTED_VALUE"""),"Женская пижама Кролик")</f>
        <v>Женская пижама Кролик</v>
      </c>
      <c r="E887" s="164" t="str">
        <f>IFERROR(__xludf.DUMMYFUNCTION("""COMPUTED_VALUE"""),"M")</f>
        <v>M</v>
      </c>
      <c r="F887" s="133" t="str">
        <f>IFERROR(__xludf.DUMMYFUNCTION("""COMPUTED_VALUE"""),"K18120RUWM")</f>
        <v>K18120RUWM</v>
      </c>
      <c r="G887" s="165">
        <f>IFERROR(__xludf.DUMMYFUNCTION("""COMPUTED_VALUE"""),662.0)</f>
        <v>662</v>
      </c>
    </row>
    <row r="888" ht="15.75" customHeight="1">
      <c r="A888" s="133" t="str">
        <f>IFERROR(__xludf.DUMMYFUNCTION("""COMPUTED_VALUE"""),"K18120RUW")</f>
        <v>K18120RUW</v>
      </c>
      <c r="B888" s="164">
        <f>IFERROR(__xludf.DUMMYFUNCTION("""COMPUTED_VALUE"""),1.3025865E7)</f>
        <v>13025865</v>
      </c>
      <c r="C888" s="164" t="str">
        <f>IFERROR(__xludf.DUMMYFUNCTION("""COMPUTED_VALUE"""),"13025865L")</f>
        <v>13025865L</v>
      </c>
      <c r="D888" s="164" t="str">
        <f>IFERROR(__xludf.DUMMYFUNCTION("""COMPUTED_VALUE"""),"Женская пижама Кролик")</f>
        <v>Женская пижама Кролик</v>
      </c>
      <c r="E888" s="164" t="str">
        <f>IFERROR(__xludf.DUMMYFUNCTION("""COMPUTED_VALUE"""),"L")</f>
        <v>L</v>
      </c>
      <c r="F888" s="133" t="str">
        <f>IFERROR(__xludf.DUMMYFUNCTION("""COMPUTED_VALUE"""),"K18120RUWL")</f>
        <v>K18120RUWL</v>
      </c>
      <c r="G888" s="165">
        <f>IFERROR(__xludf.DUMMYFUNCTION("""COMPUTED_VALUE"""),662.0)</f>
        <v>662</v>
      </c>
    </row>
    <row r="889" ht="15.75" customHeight="1">
      <c r="A889" s="133" t="str">
        <f>IFERROR(__xludf.DUMMYFUNCTION("""COMPUTED_VALUE"""),"K18120RUW")</f>
        <v>K18120RUW</v>
      </c>
      <c r="B889" s="164">
        <f>IFERROR(__xludf.DUMMYFUNCTION("""COMPUTED_VALUE"""),1.3025865E7)</f>
        <v>13025865</v>
      </c>
      <c r="C889" s="164" t="str">
        <f>IFERROR(__xludf.DUMMYFUNCTION("""COMPUTED_VALUE"""),"13025865XL")</f>
        <v>13025865XL</v>
      </c>
      <c r="D889" s="164" t="str">
        <f>IFERROR(__xludf.DUMMYFUNCTION("""COMPUTED_VALUE"""),"Женская пижама Кролик")</f>
        <v>Женская пижама Кролик</v>
      </c>
      <c r="E889" s="164" t="str">
        <f>IFERROR(__xludf.DUMMYFUNCTION("""COMPUTED_VALUE"""),"XL")</f>
        <v>XL</v>
      </c>
      <c r="F889" s="133" t="str">
        <f>IFERROR(__xludf.DUMMYFUNCTION("""COMPUTED_VALUE"""),"K18120RUWXL")</f>
        <v>K18120RUWXL</v>
      </c>
      <c r="G889" s="165">
        <f>IFERROR(__xludf.DUMMYFUNCTION("""COMPUTED_VALUE"""),662.0)</f>
        <v>662</v>
      </c>
    </row>
    <row r="890" ht="15.75" customHeight="1">
      <c r="A890" s="133" t="str">
        <f>IFERROR(__xludf.DUMMYFUNCTION("""COMPUTED_VALUE"""),"K18420RUW")</f>
        <v>K18420RUW</v>
      </c>
      <c r="B890" s="164">
        <f>IFERROR(__xludf.DUMMYFUNCTION("""COMPUTED_VALUE"""),1.3491299E7)</f>
        <v>13491299</v>
      </c>
      <c r="C890" s="164" t="str">
        <f>IFERROR(__xludf.DUMMYFUNCTION("""COMPUTED_VALUE"""),"13491299S")</f>
        <v>13491299S</v>
      </c>
      <c r="D890" s="164" t="str">
        <f>IFERROR(__xludf.DUMMYFUNCTION("""COMPUTED_VALUE"""),"Женская пижама Лев")</f>
        <v>Женская пижама Лев</v>
      </c>
      <c r="E890" s="164" t="str">
        <f>IFERROR(__xludf.DUMMYFUNCTION("""COMPUTED_VALUE"""),"S")</f>
        <v>S</v>
      </c>
      <c r="F890" s="133" t="str">
        <f>IFERROR(__xludf.DUMMYFUNCTION("""COMPUTED_VALUE"""),"K18420RUWS")</f>
        <v>K18420RUWS</v>
      </c>
      <c r="G890" s="165">
        <f>IFERROR(__xludf.DUMMYFUNCTION("""COMPUTED_VALUE"""),662.0)</f>
        <v>662</v>
      </c>
    </row>
    <row r="891" ht="15.75" customHeight="1">
      <c r="A891" s="133" t="str">
        <f>IFERROR(__xludf.DUMMYFUNCTION("""COMPUTED_VALUE"""),"K18420RUW")</f>
        <v>K18420RUW</v>
      </c>
      <c r="B891" s="164">
        <f>IFERROR(__xludf.DUMMYFUNCTION("""COMPUTED_VALUE"""),1.3491299E7)</f>
        <v>13491299</v>
      </c>
      <c r="C891" s="164" t="str">
        <f>IFERROR(__xludf.DUMMYFUNCTION("""COMPUTED_VALUE"""),"13491299M")</f>
        <v>13491299M</v>
      </c>
      <c r="D891" s="164" t="str">
        <f>IFERROR(__xludf.DUMMYFUNCTION("""COMPUTED_VALUE"""),"Женская пижама Лев")</f>
        <v>Женская пижама Лев</v>
      </c>
      <c r="E891" s="164" t="str">
        <f>IFERROR(__xludf.DUMMYFUNCTION("""COMPUTED_VALUE"""),"M")</f>
        <v>M</v>
      </c>
      <c r="F891" s="133" t="str">
        <f>IFERROR(__xludf.DUMMYFUNCTION("""COMPUTED_VALUE"""),"K18420RUWM")</f>
        <v>K18420RUWM</v>
      </c>
      <c r="G891" s="165">
        <f>IFERROR(__xludf.DUMMYFUNCTION("""COMPUTED_VALUE"""),662.0)</f>
        <v>662</v>
      </c>
    </row>
    <row r="892" ht="15.75" customHeight="1">
      <c r="A892" s="133" t="str">
        <f>IFERROR(__xludf.DUMMYFUNCTION("""COMPUTED_VALUE"""),"K18420RUW")</f>
        <v>K18420RUW</v>
      </c>
      <c r="B892" s="164">
        <f>IFERROR(__xludf.DUMMYFUNCTION("""COMPUTED_VALUE"""),1.3491299E7)</f>
        <v>13491299</v>
      </c>
      <c r="C892" s="164" t="str">
        <f>IFERROR(__xludf.DUMMYFUNCTION("""COMPUTED_VALUE"""),"13491299L")</f>
        <v>13491299L</v>
      </c>
      <c r="D892" s="164" t="str">
        <f>IFERROR(__xludf.DUMMYFUNCTION("""COMPUTED_VALUE"""),"Женская пижама Лев")</f>
        <v>Женская пижама Лев</v>
      </c>
      <c r="E892" s="164" t="str">
        <f>IFERROR(__xludf.DUMMYFUNCTION("""COMPUTED_VALUE"""),"L")</f>
        <v>L</v>
      </c>
      <c r="F892" s="133" t="str">
        <f>IFERROR(__xludf.DUMMYFUNCTION("""COMPUTED_VALUE"""),"K18420RUWL")</f>
        <v>K18420RUWL</v>
      </c>
      <c r="G892" s="165">
        <f>IFERROR(__xludf.DUMMYFUNCTION("""COMPUTED_VALUE"""),662.0)</f>
        <v>662</v>
      </c>
    </row>
    <row r="893" ht="15.75" customHeight="1">
      <c r="A893" s="133" t="str">
        <f>IFERROR(__xludf.DUMMYFUNCTION("""COMPUTED_VALUE"""),"K18420RUW")</f>
        <v>K18420RUW</v>
      </c>
      <c r="B893" s="164">
        <f>IFERROR(__xludf.DUMMYFUNCTION("""COMPUTED_VALUE"""),1.3491299E7)</f>
        <v>13491299</v>
      </c>
      <c r="C893" s="164" t="str">
        <f>IFERROR(__xludf.DUMMYFUNCTION("""COMPUTED_VALUE"""),"13491299XL")</f>
        <v>13491299XL</v>
      </c>
      <c r="D893" s="164" t="str">
        <f>IFERROR(__xludf.DUMMYFUNCTION("""COMPUTED_VALUE"""),"Женская пижама Лев")</f>
        <v>Женская пижама Лев</v>
      </c>
      <c r="E893" s="164" t="str">
        <f>IFERROR(__xludf.DUMMYFUNCTION("""COMPUTED_VALUE"""),"XL")</f>
        <v>XL</v>
      </c>
      <c r="F893" s="133" t="str">
        <f>IFERROR(__xludf.DUMMYFUNCTION("""COMPUTED_VALUE"""),"K18420RUWXL")</f>
        <v>K18420RUWXL</v>
      </c>
      <c r="G893" s="165">
        <f>IFERROR(__xludf.DUMMYFUNCTION("""COMPUTED_VALUE"""),662.0)</f>
        <v>662</v>
      </c>
    </row>
    <row r="894" ht="15.75" customHeight="1">
      <c r="A894" s="133" t="str">
        <f>IFERROR(__xludf.DUMMYFUNCTION("""COMPUTED_VALUE"""),"K18920RUW")</f>
        <v>K18920RUW</v>
      </c>
      <c r="B894" s="164">
        <f>IFERROR(__xludf.DUMMYFUNCTION("""COMPUTED_VALUE"""),1.3491303E7)</f>
        <v>13491303</v>
      </c>
      <c r="C894" s="164" t="str">
        <f>IFERROR(__xludf.DUMMYFUNCTION("""COMPUTED_VALUE"""),"13491303S")</f>
        <v>13491303S</v>
      </c>
      <c r="D894" s="164" t="str">
        <f>IFERROR(__xludf.DUMMYFUNCTION("""COMPUTED_VALUE"""),"Женская пижама Оленёнок")</f>
        <v>Женская пижама Оленёнок</v>
      </c>
      <c r="E894" s="164" t="str">
        <f>IFERROR(__xludf.DUMMYFUNCTION("""COMPUTED_VALUE"""),"S")</f>
        <v>S</v>
      </c>
      <c r="F894" s="133" t="str">
        <f>IFERROR(__xludf.DUMMYFUNCTION("""COMPUTED_VALUE"""),"K18920RUWS")</f>
        <v>K18920RUWS</v>
      </c>
      <c r="G894" s="165">
        <f>IFERROR(__xludf.DUMMYFUNCTION("""COMPUTED_VALUE"""),662.0)</f>
        <v>662</v>
      </c>
    </row>
    <row r="895" ht="15.75" customHeight="1">
      <c r="A895" s="133" t="str">
        <f>IFERROR(__xludf.DUMMYFUNCTION("""COMPUTED_VALUE"""),"K18920RUW")</f>
        <v>K18920RUW</v>
      </c>
      <c r="B895" s="164">
        <f>IFERROR(__xludf.DUMMYFUNCTION("""COMPUTED_VALUE"""),1.3491303E7)</f>
        <v>13491303</v>
      </c>
      <c r="C895" s="164" t="str">
        <f>IFERROR(__xludf.DUMMYFUNCTION("""COMPUTED_VALUE"""),"13491303M")</f>
        <v>13491303M</v>
      </c>
      <c r="D895" s="164" t="str">
        <f>IFERROR(__xludf.DUMMYFUNCTION("""COMPUTED_VALUE"""),"Женская пижама Оленёнок")</f>
        <v>Женская пижама Оленёнок</v>
      </c>
      <c r="E895" s="164" t="str">
        <f>IFERROR(__xludf.DUMMYFUNCTION("""COMPUTED_VALUE"""),"M")</f>
        <v>M</v>
      </c>
      <c r="F895" s="133" t="str">
        <f>IFERROR(__xludf.DUMMYFUNCTION("""COMPUTED_VALUE"""),"K18920RUWM")</f>
        <v>K18920RUWM</v>
      </c>
      <c r="G895" s="165">
        <f>IFERROR(__xludf.DUMMYFUNCTION("""COMPUTED_VALUE"""),662.0)</f>
        <v>662</v>
      </c>
    </row>
    <row r="896" ht="15.75" customHeight="1">
      <c r="A896" s="133" t="str">
        <f>IFERROR(__xludf.DUMMYFUNCTION("""COMPUTED_VALUE"""),"K18920RUW")</f>
        <v>K18920RUW</v>
      </c>
      <c r="B896" s="164">
        <f>IFERROR(__xludf.DUMMYFUNCTION("""COMPUTED_VALUE"""),1.3491303E7)</f>
        <v>13491303</v>
      </c>
      <c r="C896" s="164" t="str">
        <f>IFERROR(__xludf.DUMMYFUNCTION("""COMPUTED_VALUE"""),"13491303L")</f>
        <v>13491303L</v>
      </c>
      <c r="D896" s="164" t="str">
        <f>IFERROR(__xludf.DUMMYFUNCTION("""COMPUTED_VALUE"""),"Женская пижама Оленёнок")</f>
        <v>Женская пижама Оленёнок</v>
      </c>
      <c r="E896" s="164" t="str">
        <f>IFERROR(__xludf.DUMMYFUNCTION("""COMPUTED_VALUE"""),"L")</f>
        <v>L</v>
      </c>
      <c r="F896" s="133" t="str">
        <f>IFERROR(__xludf.DUMMYFUNCTION("""COMPUTED_VALUE"""),"K18920RUWL")</f>
        <v>K18920RUWL</v>
      </c>
      <c r="G896" s="165">
        <f>IFERROR(__xludf.DUMMYFUNCTION("""COMPUTED_VALUE"""),662.0)</f>
        <v>662</v>
      </c>
    </row>
    <row r="897" ht="15.75" customHeight="1">
      <c r="A897" s="133" t="str">
        <f>IFERROR(__xludf.DUMMYFUNCTION("""COMPUTED_VALUE"""),"K18920RUW")</f>
        <v>K18920RUW</v>
      </c>
      <c r="B897" s="164">
        <f>IFERROR(__xludf.DUMMYFUNCTION("""COMPUTED_VALUE"""),1.3491303E7)</f>
        <v>13491303</v>
      </c>
      <c r="C897" s="164" t="str">
        <f>IFERROR(__xludf.DUMMYFUNCTION("""COMPUTED_VALUE"""),"13491303XL")</f>
        <v>13491303XL</v>
      </c>
      <c r="D897" s="164" t="str">
        <f>IFERROR(__xludf.DUMMYFUNCTION("""COMPUTED_VALUE"""),"Женская пижама Оленёнок")</f>
        <v>Женская пижама Оленёнок</v>
      </c>
      <c r="E897" s="164" t="str">
        <f>IFERROR(__xludf.DUMMYFUNCTION("""COMPUTED_VALUE"""),"XL")</f>
        <v>XL</v>
      </c>
      <c r="F897" s="133" t="str">
        <f>IFERROR(__xludf.DUMMYFUNCTION("""COMPUTED_VALUE"""),"K18920RUWXL")</f>
        <v>K18920RUWXL</v>
      </c>
      <c r="G897" s="165">
        <f>IFERROR(__xludf.DUMMYFUNCTION("""COMPUTED_VALUE"""),662.0)</f>
        <v>662</v>
      </c>
    </row>
    <row r="898" ht="15.75" customHeight="1">
      <c r="A898" s="133" t="str">
        <f>IFERROR(__xludf.DUMMYFUNCTION("""COMPUTED_VALUE"""),"K16620RUW")</f>
        <v>K16620RUW</v>
      </c>
      <c r="B898" s="164">
        <f>IFERROR(__xludf.DUMMYFUNCTION("""COMPUTED_VALUE"""),1.5133026E7)</f>
        <v>15133026</v>
      </c>
      <c r="C898" s="164" t="str">
        <f>IFERROR(__xludf.DUMMYFUNCTION("""COMPUTED_VALUE"""),"15133026S")</f>
        <v>15133026S</v>
      </c>
      <c r="D898" s="164" t="str">
        <f>IFERROR(__xludf.DUMMYFUNCTION("""COMPUTED_VALUE"""),"Женская пижама Небесный единорог")</f>
        <v>Женская пижама Небесный единорог</v>
      </c>
      <c r="E898" s="164" t="str">
        <f>IFERROR(__xludf.DUMMYFUNCTION("""COMPUTED_VALUE"""),"S")</f>
        <v>S</v>
      </c>
      <c r="F898" s="133" t="str">
        <f>IFERROR(__xludf.DUMMYFUNCTION("""COMPUTED_VALUE"""),"K16620RUWS")</f>
        <v>K16620RUWS</v>
      </c>
      <c r="G898" s="165">
        <f>IFERROR(__xludf.DUMMYFUNCTION("""COMPUTED_VALUE"""),661.0)</f>
        <v>661</v>
      </c>
    </row>
    <row r="899" ht="15.75" customHeight="1">
      <c r="A899" s="133" t="str">
        <f>IFERROR(__xludf.DUMMYFUNCTION("""COMPUTED_VALUE"""),"K16620RUW")</f>
        <v>K16620RUW</v>
      </c>
      <c r="B899" s="164">
        <f>IFERROR(__xludf.DUMMYFUNCTION("""COMPUTED_VALUE"""),1.5133026E7)</f>
        <v>15133026</v>
      </c>
      <c r="C899" s="164" t="str">
        <f>IFERROR(__xludf.DUMMYFUNCTION("""COMPUTED_VALUE"""),"15133026M")</f>
        <v>15133026M</v>
      </c>
      <c r="D899" s="164" t="str">
        <f>IFERROR(__xludf.DUMMYFUNCTION("""COMPUTED_VALUE"""),"Женская пижама Небесный единорог")</f>
        <v>Женская пижама Небесный единорог</v>
      </c>
      <c r="E899" s="164" t="str">
        <f>IFERROR(__xludf.DUMMYFUNCTION("""COMPUTED_VALUE"""),"M")</f>
        <v>M</v>
      </c>
      <c r="F899" s="133" t="str">
        <f>IFERROR(__xludf.DUMMYFUNCTION("""COMPUTED_VALUE"""),"K16620RUWM")</f>
        <v>K16620RUWM</v>
      </c>
      <c r="G899" s="165">
        <f>IFERROR(__xludf.DUMMYFUNCTION("""COMPUTED_VALUE"""),661.0)</f>
        <v>661</v>
      </c>
    </row>
    <row r="900" ht="15.75" customHeight="1">
      <c r="A900" s="133" t="str">
        <f>IFERROR(__xludf.DUMMYFUNCTION("""COMPUTED_VALUE"""),"K16620RUW")</f>
        <v>K16620RUW</v>
      </c>
      <c r="B900" s="164">
        <f>IFERROR(__xludf.DUMMYFUNCTION("""COMPUTED_VALUE"""),1.5133026E7)</f>
        <v>15133026</v>
      </c>
      <c r="C900" s="164" t="str">
        <f>IFERROR(__xludf.DUMMYFUNCTION("""COMPUTED_VALUE"""),"15133026L")</f>
        <v>15133026L</v>
      </c>
      <c r="D900" s="164" t="str">
        <f>IFERROR(__xludf.DUMMYFUNCTION("""COMPUTED_VALUE"""),"Женская пижама Небесный единорог")</f>
        <v>Женская пижама Небесный единорог</v>
      </c>
      <c r="E900" s="164" t="str">
        <f>IFERROR(__xludf.DUMMYFUNCTION("""COMPUTED_VALUE"""),"L")</f>
        <v>L</v>
      </c>
      <c r="F900" s="133" t="str">
        <f>IFERROR(__xludf.DUMMYFUNCTION("""COMPUTED_VALUE"""),"K16620RUWL")</f>
        <v>K16620RUWL</v>
      </c>
      <c r="G900" s="165">
        <f>IFERROR(__xludf.DUMMYFUNCTION("""COMPUTED_VALUE"""),661.0)</f>
        <v>661</v>
      </c>
    </row>
    <row r="901" ht="15.75" customHeight="1">
      <c r="A901" s="133" t="str">
        <f>IFERROR(__xludf.DUMMYFUNCTION("""COMPUTED_VALUE"""),"K16620RUW")</f>
        <v>K16620RUW</v>
      </c>
      <c r="B901" s="164">
        <f>IFERROR(__xludf.DUMMYFUNCTION("""COMPUTED_VALUE"""),1.5133026E7)</f>
        <v>15133026</v>
      </c>
      <c r="C901" s="164" t="str">
        <f>IFERROR(__xludf.DUMMYFUNCTION("""COMPUTED_VALUE"""),"15133026XL")</f>
        <v>15133026XL</v>
      </c>
      <c r="D901" s="164" t="str">
        <f>IFERROR(__xludf.DUMMYFUNCTION("""COMPUTED_VALUE"""),"Женская пижама Небесный единорог")</f>
        <v>Женская пижама Небесный единорог</v>
      </c>
      <c r="E901" s="164" t="str">
        <f>IFERROR(__xludf.DUMMYFUNCTION("""COMPUTED_VALUE"""),"XL")</f>
        <v>XL</v>
      </c>
      <c r="F901" s="133" t="str">
        <f>IFERROR(__xludf.DUMMYFUNCTION("""COMPUTED_VALUE"""),"K16620RUWXL")</f>
        <v>K16620RUWXL</v>
      </c>
      <c r="G901" s="165">
        <f>IFERROR(__xludf.DUMMYFUNCTION("""COMPUTED_VALUE"""),661.0)</f>
        <v>661</v>
      </c>
    </row>
    <row r="902" ht="15.75" customHeight="1">
      <c r="A902" s="133" t="str">
        <f>IFERROR(__xludf.DUMMYFUNCTION("""COMPUTED_VALUE"""),"K16720RUW")</f>
        <v>K16720RUW</v>
      </c>
      <c r="B902" s="164">
        <f>IFERROR(__xludf.DUMMYFUNCTION("""COMPUTED_VALUE"""),1.5133027E7)</f>
        <v>15133027</v>
      </c>
      <c r="C902" s="164" t="str">
        <f>IFERROR(__xludf.DUMMYFUNCTION("""COMPUTED_VALUE"""),"15133027S")</f>
        <v>15133027S</v>
      </c>
      <c r="D902" s="164" t="str">
        <f>IFERROR(__xludf.DUMMYFUNCTION("""COMPUTED_VALUE"""),"Женская пижама Человек-паук")</f>
        <v>Женская пижама Человек-паук</v>
      </c>
      <c r="E902" s="164" t="str">
        <f>IFERROR(__xludf.DUMMYFUNCTION("""COMPUTED_VALUE"""),"S")</f>
        <v>S</v>
      </c>
      <c r="F902" s="133" t="str">
        <f>IFERROR(__xludf.DUMMYFUNCTION("""COMPUTED_VALUE"""),"K16720RUWS")</f>
        <v>K16720RUWS</v>
      </c>
      <c r="G902" s="165">
        <f>IFERROR(__xludf.DUMMYFUNCTION("""COMPUTED_VALUE"""),662.0)</f>
        <v>662</v>
      </c>
    </row>
    <row r="903" ht="15.75" customHeight="1">
      <c r="A903" s="133" t="str">
        <f>IFERROR(__xludf.DUMMYFUNCTION("""COMPUTED_VALUE"""),"K16720RUW")</f>
        <v>K16720RUW</v>
      </c>
      <c r="B903" s="164">
        <f>IFERROR(__xludf.DUMMYFUNCTION("""COMPUTED_VALUE"""),1.5133027E7)</f>
        <v>15133027</v>
      </c>
      <c r="C903" s="164" t="str">
        <f>IFERROR(__xludf.DUMMYFUNCTION("""COMPUTED_VALUE"""),"15133027M")</f>
        <v>15133027M</v>
      </c>
      <c r="D903" s="164" t="str">
        <f>IFERROR(__xludf.DUMMYFUNCTION("""COMPUTED_VALUE"""),"Женская пижама Человек-паук")</f>
        <v>Женская пижама Человек-паук</v>
      </c>
      <c r="E903" s="164" t="str">
        <f>IFERROR(__xludf.DUMMYFUNCTION("""COMPUTED_VALUE"""),"M")</f>
        <v>M</v>
      </c>
      <c r="F903" s="133" t="str">
        <f>IFERROR(__xludf.DUMMYFUNCTION("""COMPUTED_VALUE"""),"K16720RUWM")</f>
        <v>K16720RUWM</v>
      </c>
      <c r="G903" s="165">
        <f>IFERROR(__xludf.DUMMYFUNCTION("""COMPUTED_VALUE"""),662.0)</f>
        <v>662</v>
      </c>
    </row>
    <row r="904" ht="15.75" customHeight="1">
      <c r="A904" s="133" t="str">
        <f>IFERROR(__xludf.DUMMYFUNCTION("""COMPUTED_VALUE"""),"K16720RUW")</f>
        <v>K16720RUW</v>
      </c>
      <c r="B904" s="164">
        <f>IFERROR(__xludf.DUMMYFUNCTION("""COMPUTED_VALUE"""),1.5133027E7)</f>
        <v>15133027</v>
      </c>
      <c r="C904" s="164" t="str">
        <f>IFERROR(__xludf.DUMMYFUNCTION("""COMPUTED_VALUE"""),"15133027L")</f>
        <v>15133027L</v>
      </c>
      <c r="D904" s="164" t="str">
        <f>IFERROR(__xludf.DUMMYFUNCTION("""COMPUTED_VALUE"""),"Женская пижама Человек-паук")</f>
        <v>Женская пижама Человек-паук</v>
      </c>
      <c r="E904" s="164" t="str">
        <f>IFERROR(__xludf.DUMMYFUNCTION("""COMPUTED_VALUE"""),"L")</f>
        <v>L</v>
      </c>
      <c r="F904" s="133" t="str">
        <f>IFERROR(__xludf.DUMMYFUNCTION("""COMPUTED_VALUE"""),"K16720RUWL")</f>
        <v>K16720RUWL</v>
      </c>
      <c r="G904" s="165">
        <f>IFERROR(__xludf.DUMMYFUNCTION("""COMPUTED_VALUE"""),662.0)</f>
        <v>662</v>
      </c>
    </row>
    <row r="905" ht="15.75" customHeight="1">
      <c r="A905" s="133" t="str">
        <f>IFERROR(__xludf.DUMMYFUNCTION("""COMPUTED_VALUE"""),"K16720RUW")</f>
        <v>K16720RUW</v>
      </c>
      <c r="B905" s="164">
        <f>IFERROR(__xludf.DUMMYFUNCTION("""COMPUTED_VALUE"""),1.5133027E7)</f>
        <v>15133027</v>
      </c>
      <c r="C905" s="164" t="str">
        <f>IFERROR(__xludf.DUMMYFUNCTION("""COMPUTED_VALUE"""),"15133027XL")</f>
        <v>15133027XL</v>
      </c>
      <c r="D905" s="164" t="str">
        <f>IFERROR(__xludf.DUMMYFUNCTION("""COMPUTED_VALUE"""),"Женская пижама Человек-паук")</f>
        <v>Женская пижама Человек-паук</v>
      </c>
      <c r="E905" s="164" t="str">
        <f>IFERROR(__xludf.DUMMYFUNCTION("""COMPUTED_VALUE"""),"XL")</f>
        <v>XL</v>
      </c>
      <c r="F905" s="133" t="str">
        <f>IFERROR(__xludf.DUMMYFUNCTION("""COMPUTED_VALUE"""),"K16720RUWXL")</f>
        <v>K16720RUWXL</v>
      </c>
      <c r="G905" s="165">
        <f>IFERROR(__xludf.DUMMYFUNCTION("""COMPUTED_VALUE"""),662.0)</f>
        <v>662</v>
      </c>
    </row>
    <row r="906" ht="15.75" customHeight="1">
      <c r="A906" s="133" t="str">
        <f>IFERROR(__xludf.DUMMYFUNCTION("""COMPUTED_VALUE"""),"K12219RUK")</f>
        <v>K12219RUK</v>
      </c>
      <c r="B906" s="164">
        <f>IFERROR(__xludf.DUMMYFUNCTION("""COMPUTED_VALUE"""),1.132639E7)</f>
        <v>11326390</v>
      </c>
      <c r="C906" s="164" t="str">
        <f>IFERROR(__xludf.DUMMYFUNCTION("""COMPUTED_VALUE"""),"1132639090-105")</f>
        <v>1132639090-105</v>
      </c>
      <c r="D906" s="164" t="str">
        <f>IFERROR(__xludf.DUMMYFUNCTION("""COMPUTED_VALUE"""),"Детская пижама Голубой Единорог
 (ост. нет)")</f>
        <v>Детская пижама Голубой Единорог
 (ост. нет)</v>
      </c>
      <c r="E906" s="164" t="str">
        <f>IFERROR(__xludf.DUMMYFUNCTION("""COMPUTED_VALUE"""),"90-105")</f>
        <v>90-105</v>
      </c>
      <c r="F906" s="133" t="str">
        <f>IFERROR(__xludf.DUMMYFUNCTION("""COMPUTED_VALUE"""),"K12219RUK90-105")</f>
        <v>K12219RUK90-105</v>
      </c>
      <c r="G906" s="165">
        <f>IFERROR(__xludf.DUMMYFUNCTION("""COMPUTED_VALUE"""),659.0)</f>
        <v>659</v>
      </c>
    </row>
    <row r="907" ht="15.75" customHeight="1">
      <c r="A907" s="133" t="str">
        <f>IFERROR(__xludf.DUMMYFUNCTION("""COMPUTED_VALUE"""),"K12219RUK")</f>
        <v>K12219RUK</v>
      </c>
      <c r="B907" s="164">
        <f>IFERROR(__xludf.DUMMYFUNCTION("""COMPUTED_VALUE"""),1.132639E7)</f>
        <v>11326390</v>
      </c>
      <c r="C907" s="164" t="str">
        <f>IFERROR(__xludf.DUMMYFUNCTION("""COMPUTED_VALUE"""),"11326390110-115")</f>
        <v>11326390110-115</v>
      </c>
      <c r="D907" s="164" t="str">
        <f>IFERROR(__xludf.DUMMYFUNCTION("""COMPUTED_VALUE"""),"Детская пижама Голубой Единорог
 (ост. нет)")</f>
        <v>Детская пижама Голубой Единорог
 (ост. нет)</v>
      </c>
      <c r="E907" s="164" t="str">
        <f>IFERROR(__xludf.DUMMYFUNCTION("""COMPUTED_VALUE"""),"110-115")</f>
        <v>110-115</v>
      </c>
      <c r="F907" s="133" t="str">
        <f>IFERROR(__xludf.DUMMYFUNCTION("""COMPUTED_VALUE"""),"K12219RUK110-115")</f>
        <v>K12219RUK110-115</v>
      </c>
      <c r="G907" s="165">
        <f>IFERROR(__xludf.DUMMYFUNCTION("""COMPUTED_VALUE"""),659.0)</f>
        <v>659</v>
      </c>
    </row>
    <row r="908" ht="15.75" customHeight="1">
      <c r="A908" s="133" t="str">
        <f>IFERROR(__xludf.DUMMYFUNCTION("""COMPUTED_VALUE"""),"K12219RUK")</f>
        <v>K12219RUK</v>
      </c>
      <c r="B908" s="164">
        <f>IFERROR(__xludf.DUMMYFUNCTION("""COMPUTED_VALUE"""),1.132639E7)</f>
        <v>11326390</v>
      </c>
      <c r="C908" s="164" t="str">
        <f>IFERROR(__xludf.DUMMYFUNCTION("""COMPUTED_VALUE"""),"11326390115-125")</f>
        <v>11326390115-125</v>
      </c>
      <c r="D908" s="164" t="str">
        <f>IFERROR(__xludf.DUMMYFUNCTION("""COMPUTED_VALUE"""),"Детская пижама Голубой Единорог
 (ост. нет)")</f>
        <v>Детская пижама Голубой Единорог
 (ост. нет)</v>
      </c>
      <c r="E908" s="164" t="str">
        <f>IFERROR(__xludf.DUMMYFUNCTION("""COMPUTED_VALUE"""),"115-125")</f>
        <v>115-125</v>
      </c>
      <c r="F908" s="133" t="str">
        <f>IFERROR(__xludf.DUMMYFUNCTION("""COMPUTED_VALUE"""),"K12219RUK115-125")</f>
        <v>K12219RUK115-125</v>
      </c>
      <c r="G908" s="165">
        <f>IFERROR(__xludf.DUMMYFUNCTION("""COMPUTED_VALUE"""),659.0)</f>
        <v>659</v>
      </c>
    </row>
    <row r="909" ht="15.75" customHeight="1">
      <c r="A909" s="133" t="str">
        <f>IFERROR(__xludf.DUMMYFUNCTION("""COMPUTED_VALUE"""),"K12219RUK")</f>
        <v>K12219RUK</v>
      </c>
      <c r="B909" s="164">
        <f>IFERROR(__xludf.DUMMYFUNCTION("""COMPUTED_VALUE"""),1.132639E7)</f>
        <v>11326390</v>
      </c>
      <c r="C909" s="164" t="str">
        <f>IFERROR(__xludf.DUMMYFUNCTION("""COMPUTED_VALUE"""),"11326390130-135")</f>
        <v>11326390130-135</v>
      </c>
      <c r="D909" s="164" t="str">
        <f>IFERROR(__xludf.DUMMYFUNCTION("""COMPUTED_VALUE"""),"Детская пижама Голубой Единорог
 (ост. нет)")</f>
        <v>Детская пижама Голубой Единорог
 (ост. нет)</v>
      </c>
      <c r="E909" s="164" t="str">
        <f>IFERROR(__xludf.DUMMYFUNCTION("""COMPUTED_VALUE"""),"130-135")</f>
        <v>130-135</v>
      </c>
      <c r="F909" s="133" t="str">
        <f>IFERROR(__xludf.DUMMYFUNCTION("""COMPUTED_VALUE"""),"K12219RUK130-135")</f>
        <v>K12219RUK130-135</v>
      </c>
      <c r="G909" s="165">
        <f>IFERROR(__xludf.DUMMYFUNCTION("""COMPUTED_VALUE"""),659.0)</f>
        <v>659</v>
      </c>
    </row>
    <row r="910" ht="15.75" customHeight="1">
      <c r="A910" s="133" t="str">
        <f>IFERROR(__xludf.DUMMYFUNCTION("""COMPUTED_VALUE"""),"K12219RUK")</f>
        <v>K12219RUK</v>
      </c>
      <c r="B910" s="164">
        <f>IFERROR(__xludf.DUMMYFUNCTION("""COMPUTED_VALUE"""),1.132639E7)</f>
        <v>11326390</v>
      </c>
      <c r="C910" s="164" t="str">
        <f>IFERROR(__xludf.DUMMYFUNCTION("""COMPUTED_VALUE"""),"11326390140-145")</f>
        <v>11326390140-145</v>
      </c>
      <c r="D910" s="164" t="str">
        <f>IFERROR(__xludf.DUMMYFUNCTION("""COMPUTED_VALUE"""),"Детская пижама Голубой Единорог
 (ост. нет)")</f>
        <v>Детская пижама Голубой Единорог
 (ост. нет)</v>
      </c>
      <c r="E910" s="164" t="str">
        <f>IFERROR(__xludf.DUMMYFUNCTION("""COMPUTED_VALUE"""),"140-145")</f>
        <v>140-145</v>
      </c>
      <c r="F910" s="133" t="str">
        <f>IFERROR(__xludf.DUMMYFUNCTION("""COMPUTED_VALUE"""),"K12219RUK140-145")</f>
        <v>K12219RUK140-145</v>
      </c>
      <c r="G910" s="165">
        <f>IFERROR(__xludf.DUMMYFUNCTION("""COMPUTED_VALUE"""),659.0)</f>
        <v>659</v>
      </c>
    </row>
    <row r="911" ht="15.75" customHeight="1">
      <c r="A911" s="133" t="str">
        <f>IFERROR(__xludf.DUMMYFUNCTION("""COMPUTED_VALUE"""),"K12319RUK")</f>
        <v>K12319RUK</v>
      </c>
      <c r="B911" s="164">
        <f>IFERROR(__xludf.DUMMYFUNCTION("""COMPUTED_VALUE"""),1.1326391E7)</f>
        <v>11326391</v>
      </c>
      <c r="C911" s="164" t="str">
        <f>IFERROR(__xludf.DUMMYFUNCTION("""COMPUTED_VALUE"""),"1132639190-105")</f>
        <v>1132639190-105</v>
      </c>
      <c r="D911" s="164" t="str">
        <f>IFERROR(__xludf.DUMMYFUNCTION("""COMPUTED_VALUE"""),"Детская пижама Розовый Единорог
 (ост. нет)")</f>
        <v>Детская пижама Розовый Единорог
 (ост. нет)</v>
      </c>
      <c r="E911" s="164" t="str">
        <f>IFERROR(__xludf.DUMMYFUNCTION("""COMPUTED_VALUE"""),"90-105")</f>
        <v>90-105</v>
      </c>
      <c r="F911" s="133" t="str">
        <f>IFERROR(__xludf.DUMMYFUNCTION("""COMPUTED_VALUE"""),"K12319RUK90-105")</f>
        <v>K12319RUK90-105</v>
      </c>
      <c r="G911" s="165">
        <f>IFERROR(__xludf.DUMMYFUNCTION("""COMPUTED_VALUE"""),659.0)</f>
        <v>659</v>
      </c>
    </row>
    <row r="912" ht="15.75" customHeight="1">
      <c r="A912" s="133" t="str">
        <f>IFERROR(__xludf.DUMMYFUNCTION("""COMPUTED_VALUE"""),"K12319RUK")</f>
        <v>K12319RUK</v>
      </c>
      <c r="B912" s="164">
        <f>IFERROR(__xludf.DUMMYFUNCTION("""COMPUTED_VALUE"""),1.1326391E7)</f>
        <v>11326391</v>
      </c>
      <c r="C912" s="164" t="str">
        <f>IFERROR(__xludf.DUMMYFUNCTION("""COMPUTED_VALUE"""),"11326391110-115")</f>
        <v>11326391110-115</v>
      </c>
      <c r="D912" s="164" t="str">
        <f>IFERROR(__xludf.DUMMYFUNCTION("""COMPUTED_VALUE"""),"Детская пижама Розовый Единорог
 (ост. нет)")</f>
        <v>Детская пижама Розовый Единорог
 (ост. нет)</v>
      </c>
      <c r="E912" s="164" t="str">
        <f>IFERROR(__xludf.DUMMYFUNCTION("""COMPUTED_VALUE"""),"110-115")</f>
        <v>110-115</v>
      </c>
      <c r="F912" s="133" t="str">
        <f>IFERROR(__xludf.DUMMYFUNCTION("""COMPUTED_VALUE"""),"K12319RUK110-115")</f>
        <v>K12319RUK110-115</v>
      </c>
      <c r="G912" s="165">
        <f>IFERROR(__xludf.DUMMYFUNCTION("""COMPUTED_VALUE"""),659.0)</f>
        <v>659</v>
      </c>
    </row>
    <row r="913" ht="15.75" customHeight="1">
      <c r="A913" s="133" t="str">
        <f>IFERROR(__xludf.DUMMYFUNCTION("""COMPUTED_VALUE"""),"K12319RUK")</f>
        <v>K12319RUK</v>
      </c>
      <c r="B913" s="164">
        <f>IFERROR(__xludf.DUMMYFUNCTION("""COMPUTED_VALUE"""),1.1326391E7)</f>
        <v>11326391</v>
      </c>
      <c r="C913" s="164" t="str">
        <f>IFERROR(__xludf.DUMMYFUNCTION("""COMPUTED_VALUE"""),"11326391115-125")</f>
        <v>11326391115-125</v>
      </c>
      <c r="D913" s="164" t="str">
        <f>IFERROR(__xludf.DUMMYFUNCTION("""COMPUTED_VALUE"""),"Детская пижама Розовый Единорог
 (ост. нет)")</f>
        <v>Детская пижама Розовый Единорог
 (ост. нет)</v>
      </c>
      <c r="E913" s="164" t="str">
        <f>IFERROR(__xludf.DUMMYFUNCTION("""COMPUTED_VALUE"""),"115-125")</f>
        <v>115-125</v>
      </c>
      <c r="F913" s="133" t="str">
        <f>IFERROR(__xludf.DUMMYFUNCTION("""COMPUTED_VALUE"""),"K12319RUK115-125")</f>
        <v>K12319RUK115-125</v>
      </c>
      <c r="G913" s="165">
        <f>IFERROR(__xludf.DUMMYFUNCTION("""COMPUTED_VALUE"""),659.0)</f>
        <v>659</v>
      </c>
    </row>
    <row r="914" ht="15.75" customHeight="1">
      <c r="A914" s="133" t="str">
        <f>IFERROR(__xludf.DUMMYFUNCTION("""COMPUTED_VALUE"""),"K12319RUK")</f>
        <v>K12319RUK</v>
      </c>
      <c r="B914" s="164">
        <f>IFERROR(__xludf.DUMMYFUNCTION("""COMPUTED_VALUE"""),1.1326391E7)</f>
        <v>11326391</v>
      </c>
      <c r="C914" s="164" t="str">
        <f>IFERROR(__xludf.DUMMYFUNCTION("""COMPUTED_VALUE"""),"11326391130-135")</f>
        <v>11326391130-135</v>
      </c>
      <c r="D914" s="164" t="str">
        <f>IFERROR(__xludf.DUMMYFUNCTION("""COMPUTED_VALUE"""),"Детская пижама Розовый Единорог
 (ост. нет)")</f>
        <v>Детская пижама Розовый Единорог
 (ост. нет)</v>
      </c>
      <c r="E914" s="164" t="str">
        <f>IFERROR(__xludf.DUMMYFUNCTION("""COMPUTED_VALUE"""),"130-135")</f>
        <v>130-135</v>
      </c>
      <c r="F914" s="133" t="str">
        <f>IFERROR(__xludf.DUMMYFUNCTION("""COMPUTED_VALUE"""),"K12319RUK130-135")</f>
        <v>K12319RUK130-135</v>
      </c>
      <c r="G914" s="165">
        <f>IFERROR(__xludf.DUMMYFUNCTION("""COMPUTED_VALUE"""),659.0)</f>
        <v>659</v>
      </c>
    </row>
    <row r="915" ht="15.75" customHeight="1">
      <c r="A915" s="133" t="str">
        <f>IFERROR(__xludf.DUMMYFUNCTION("""COMPUTED_VALUE"""),"K12319RUK")</f>
        <v>K12319RUK</v>
      </c>
      <c r="B915" s="164">
        <f>IFERROR(__xludf.DUMMYFUNCTION("""COMPUTED_VALUE"""),1.1326391E7)</f>
        <v>11326391</v>
      </c>
      <c r="C915" s="164" t="str">
        <f>IFERROR(__xludf.DUMMYFUNCTION("""COMPUTED_VALUE"""),"11326391140-145")</f>
        <v>11326391140-145</v>
      </c>
      <c r="D915" s="164" t="str">
        <f>IFERROR(__xludf.DUMMYFUNCTION("""COMPUTED_VALUE"""),"Детская пижама Розовый Единорог
 (ост. нет)")</f>
        <v>Детская пижама Розовый Единорог
 (ост. нет)</v>
      </c>
      <c r="E915" s="164" t="str">
        <f>IFERROR(__xludf.DUMMYFUNCTION("""COMPUTED_VALUE"""),"140-145")</f>
        <v>140-145</v>
      </c>
      <c r="F915" s="133" t="str">
        <f>IFERROR(__xludf.DUMMYFUNCTION("""COMPUTED_VALUE"""),"K12319RUK140-145")</f>
        <v>K12319RUK140-145</v>
      </c>
      <c r="G915" s="165">
        <f>IFERROR(__xludf.DUMMYFUNCTION("""COMPUTED_VALUE"""),659.0)</f>
        <v>659</v>
      </c>
    </row>
    <row r="916" ht="15.75" customHeight="1">
      <c r="A916" s="133" t="str">
        <f>IFERROR(__xludf.DUMMYFUNCTION("""COMPUTED_VALUE"""),"K12419RUK")</f>
        <v>K12419RUK</v>
      </c>
      <c r="B916" s="164">
        <f>IFERROR(__xludf.DUMMYFUNCTION("""COMPUTED_VALUE"""),1.1326392E7)</f>
        <v>11326392</v>
      </c>
      <c r="C916" s="164" t="str">
        <f>IFERROR(__xludf.DUMMYFUNCTION("""COMPUTED_VALUE"""),"1132639290-105")</f>
        <v>1132639290-105</v>
      </c>
      <c r="D916" s="164" t="str">
        <f>IFERROR(__xludf.DUMMYFUNCTION("""COMPUTED_VALUE"""),"Детская пижама Панда")</f>
        <v>Детская пижама Панда</v>
      </c>
      <c r="E916" s="164" t="str">
        <f>IFERROR(__xludf.DUMMYFUNCTION("""COMPUTED_VALUE"""),"90-105")</f>
        <v>90-105</v>
      </c>
      <c r="F916" s="133" t="str">
        <f>IFERROR(__xludf.DUMMYFUNCTION("""COMPUTED_VALUE"""),"K12419RUK90-105")</f>
        <v>K12419RUK90-105</v>
      </c>
      <c r="G916" s="165">
        <f>IFERROR(__xludf.DUMMYFUNCTION("""COMPUTED_VALUE"""),521.0)</f>
        <v>521</v>
      </c>
    </row>
    <row r="917" ht="15.75" customHeight="1">
      <c r="A917" s="133" t="str">
        <f>IFERROR(__xludf.DUMMYFUNCTION("""COMPUTED_VALUE"""),"K12419RUK")</f>
        <v>K12419RUK</v>
      </c>
      <c r="B917" s="164">
        <f>IFERROR(__xludf.DUMMYFUNCTION("""COMPUTED_VALUE"""),1.1326392E7)</f>
        <v>11326392</v>
      </c>
      <c r="C917" s="164" t="str">
        <f>IFERROR(__xludf.DUMMYFUNCTION("""COMPUTED_VALUE"""),"11326392110-115")</f>
        <v>11326392110-115</v>
      </c>
      <c r="D917" s="164" t="str">
        <f>IFERROR(__xludf.DUMMYFUNCTION("""COMPUTED_VALUE"""),"Детская пижама Панда")</f>
        <v>Детская пижама Панда</v>
      </c>
      <c r="E917" s="164" t="str">
        <f>IFERROR(__xludf.DUMMYFUNCTION("""COMPUTED_VALUE"""),"110-115")</f>
        <v>110-115</v>
      </c>
      <c r="F917" s="133" t="str">
        <f>IFERROR(__xludf.DUMMYFUNCTION("""COMPUTED_VALUE"""),"K12419RUK110-115")</f>
        <v>K12419RUK110-115</v>
      </c>
      <c r="G917" s="165">
        <f>IFERROR(__xludf.DUMMYFUNCTION("""COMPUTED_VALUE"""),521.0)</f>
        <v>521</v>
      </c>
    </row>
    <row r="918" ht="15.75" customHeight="1">
      <c r="A918" s="133" t="str">
        <f>IFERROR(__xludf.DUMMYFUNCTION("""COMPUTED_VALUE"""),"K12419RUK")</f>
        <v>K12419RUK</v>
      </c>
      <c r="B918" s="164">
        <f>IFERROR(__xludf.DUMMYFUNCTION("""COMPUTED_VALUE"""),1.1326392E7)</f>
        <v>11326392</v>
      </c>
      <c r="C918" s="164" t="str">
        <f>IFERROR(__xludf.DUMMYFUNCTION("""COMPUTED_VALUE"""),"11326392115-125")</f>
        <v>11326392115-125</v>
      </c>
      <c r="D918" s="164" t="str">
        <f>IFERROR(__xludf.DUMMYFUNCTION("""COMPUTED_VALUE"""),"Детская пижама Панда")</f>
        <v>Детская пижама Панда</v>
      </c>
      <c r="E918" s="164" t="str">
        <f>IFERROR(__xludf.DUMMYFUNCTION("""COMPUTED_VALUE"""),"115-125")</f>
        <v>115-125</v>
      </c>
      <c r="F918" s="133" t="str">
        <f>IFERROR(__xludf.DUMMYFUNCTION("""COMPUTED_VALUE"""),"K12419RUK115-125")</f>
        <v>K12419RUK115-125</v>
      </c>
      <c r="G918" s="165">
        <f>IFERROR(__xludf.DUMMYFUNCTION("""COMPUTED_VALUE"""),521.0)</f>
        <v>521</v>
      </c>
    </row>
    <row r="919" ht="15.75" customHeight="1">
      <c r="A919" s="133" t="str">
        <f>IFERROR(__xludf.DUMMYFUNCTION("""COMPUTED_VALUE"""),"K12419RUK")</f>
        <v>K12419RUK</v>
      </c>
      <c r="B919" s="164">
        <f>IFERROR(__xludf.DUMMYFUNCTION("""COMPUTED_VALUE"""),1.1326392E7)</f>
        <v>11326392</v>
      </c>
      <c r="C919" s="164" t="str">
        <f>IFERROR(__xludf.DUMMYFUNCTION("""COMPUTED_VALUE"""),"11326392130-135")</f>
        <v>11326392130-135</v>
      </c>
      <c r="D919" s="164" t="str">
        <f>IFERROR(__xludf.DUMMYFUNCTION("""COMPUTED_VALUE"""),"Детская пижама Панда")</f>
        <v>Детская пижама Панда</v>
      </c>
      <c r="E919" s="164" t="str">
        <f>IFERROR(__xludf.DUMMYFUNCTION("""COMPUTED_VALUE"""),"130-135")</f>
        <v>130-135</v>
      </c>
      <c r="F919" s="133" t="str">
        <f>IFERROR(__xludf.DUMMYFUNCTION("""COMPUTED_VALUE"""),"K12419RUK130-135")</f>
        <v>K12419RUK130-135</v>
      </c>
      <c r="G919" s="165">
        <f>IFERROR(__xludf.DUMMYFUNCTION("""COMPUTED_VALUE"""),521.0)</f>
        <v>521</v>
      </c>
    </row>
    <row r="920" ht="15.75" customHeight="1">
      <c r="A920" s="133" t="str">
        <f>IFERROR(__xludf.DUMMYFUNCTION("""COMPUTED_VALUE"""),"K12419RUK")</f>
        <v>K12419RUK</v>
      </c>
      <c r="B920" s="164">
        <f>IFERROR(__xludf.DUMMYFUNCTION("""COMPUTED_VALUE"""),1.1326392E7)</f>
        <v>11326392</v>
      </c>
      <c r="C920" s="164" t="str">
        <f>IFERROR(__xludf.DUMMYFUNCTION("""COMPUTED_VALUE"""),"11326392140-145")</f>
        <v>11326392140-145</v>
      </c>
      <c r="D920" s="164" t="str">
        <f>IFERROR(__xludf.DUMMYFUNCTION("""COMPUTED_VALUE"""),"Детская пижама Панда")</f>
        <v>Детская пижама Панда</v>
      </c>
      <c r="E920" s="164" t="str">
        <f>IFERROR(__xludf.DUMMYFUNCTION("""COMPUTED_VALUE"""),"140-145")</f>
        <v>140-145</v>
      </c>
      <c r="F920" s="133" t="str">
        <f>IFERROR(__xludf.DUMMYFUNCTION("""COMPUTED_VALUE"""),"K12419RUK140-145")</f>
        <v>K12419RUK140-145</v>
      </c>
      <c r="G920" s="165">
        <f>IFERROR(__xludf.DUMMYFUNCTION("""COMPUTED_VALUE"""),521.0)</f>
        <v>521</v>
      </c>
    </row>
    <row r="921" ht="15.75" customHeight="1">
      <c r="A921" s="133" t="str">
        <f>IFERROR(__xludf.DUMMYFUNCTION("""COMPUTED_VALUE"""),"K14019RUK")</f>
        <v>K14019RUK</v>
      </c>
      <c r="B921" s="164">
        <f>IFERROR(__xludf.DUMMYFUNCTION("""COMPUTED_VALUE"""),1.1698251E7)</f>
        <v>11698251</v>
      </c>
      <c r="C921" s="164" t="str">
        <f>IFERROR(__xludf.DUMMYFUNCTION("""COMPUTED_VALUE"""),"1169825190-105")</f>
        <v>1169825190-105</v>
      </c>
      <c r="D921" s="164" t="str">
        <f>IFERROR(__xludf.DUMMYFUNCTION("""COMPUTED_VALUE"""),"Детская пижама Мышь")</f>
        <v>Детская пижама Мышь</v>
      </c>
      <c r="E921" s="164" t="str">
        <f>IFERROR(__xludf.DUMMYFUNCTION("""COMPUTED_VALUE"""),"90-105")</f>
        <v>90-105</v>
      </c>
      <c r="F921" s="133" t="str">
        <f>IFERROR(__xludf.DUMMYFUNCTION("""COMPUTED_VALUE"""),"K14019RUK90-105")</f>
        <v>K14019RUK90-105</v>
      </c>
      <c r="G921" s="165">
        <f>IFERROR(__xludf.DUMMYFUNCTION("""COMPUTED_VALUE"""),659.0)</f>
        <v>659</v>
      </c>
    </row>
    <row r="922" ht="15.75" customHeight="1">
      <c r="A922" s="133" t="str">
        <f>IFERROR(__xludf.DUMMYFUNCTION("""COMPUTED_VALUE"""),"K14019RUK")</f>
        <v>K14019RUK</v>
      </c>
      <c r="B922" s="164">
        <f>IFERROR(__xludf.DUMMYFUNCTION("""COMPUTED_VALUE"""),1.1698251E7)</f>
        <v>11698251</v>
      </c>
      <c r="C922" s="164" t="str">
        <f>IFERROR(__xludf.DUMMYFUNCTION("""COMPUTED_VALUE"""),"11698251110-115")</f>
        <v>11698251110-115</v>
      </c>
      <c r="D922" s="164" t="str">
        <f>IFERROR(__xludf.DUMMYFUNCTION("""COMPUTED_VALUE"""),"Детская пижама Мышь")</f>
        <v>Детская пижама Мышь</v>
      </c>
      <c r="E922" s="164" t="str">
        <f>IFERROR(__xludf.DUMMYFUNCTION("""COMPUTED_VALUE"""),"110-115")</f>
        <v>110-115</v>
      </c>
      <c r="F922" s="133" t="str">
        <f>IFERROR(__xludf.DUMMYFUNCTION("""COMPUTED_VALUE"""),"K14019RUK110-115")</f>
        <v>K14019RUK110-115</v>
      </c>
      <c r="G922" s="165">
        <f>IFERROR(__xludf.DUMMYFUNCTION("""COMPUTED_VALUE"""),659.0)</f>
        <v>659</v>
      </c>
    </row>
    <row r="923" ht="15.75" customHeight="1">
      <c r="A923" s="133" t="str">
        <f>IFERROR(__xludf.DUMMYFUNCTION("""COMPUTED_VALUE"""),"K14019RUK")</f>
        <v>K14019RUK</v>
      </c>
      <c r="B923" s="164">
        <f>IFERROR(__xludf.DUMMYFUNCTION("""COMPUTED_VALUE"""),1.1698251E7)</f>
        <v>11698251</v>
      </c>
      <c r="C923" s="164" t="str">
        <f>IFERROR(__xludf.DUMMYFUNCTION("""COMPUTED_VALUE"""),"11698251115-125")</f>
        <v>11698251115-125</v>
      </c>
      <c r="D923" s="164" t="str">
        <f>IFERROR(__xludf.DUMMYFUNCTION("""COMPUTED_VALUE"""),"Детская пижама Мышь")</f>
        <v>Детская пижама Мышь</v>
      </c>
      <c r="E923" s="164" t="str">
        <f>IFERROR(__xludf.DUMMYFUNCTION("""COMPUTED_VALUE"""),"115-125")</f>
        <v>115-125</v>
      </c>
      <c r="F923" s="133" t="str">
        <f>IFERROR(__xludf.DUMMYFUNCTION("""COMPUTED_VALUE"""),"K14019RUK115-125")</f>
        <v>K14019RUK115-125</v>
      </c>
      <c r="G923" s="165">
        <f>IFERROR(__xludf.DUMMYFUNCTION("""COMPUTED_VALUE"""),659.0)</f>
        <v>659</v>
      </c>
    </row>
    <row r="924" ht="15.75" customHeight="1">
      <c r="A924" s="133" t="str">
        <f>IFERROR(__xludf.DUMMYFUNCTION("""COMPUTED_VALUE"""),"K14019RUK")</f>
        <v>K14019RUK</v>
      </c>
      <c r="B924" s="164">
        <f>IFERROR(__xludf.DUMMYFUNCTION("""COMPUTED_VALUE"""),1.1698251E7)</f>
        <v>11698251</v>
      </c>
      <c r="C924" s="164" t="str">
        <f>IFERROR(__xludf.DUMMYFUNCTION("""COMPUTED_VALUE"""),"11698251130-135")</f>
        <v>11698251130-135</v>
      </c>
      <c r="D924" s="164" t="str">
        <f>IFERROR(__xludf.DUMMYFUNCTION("""COMPUTED_VALUE"""),"Детская пижама Мышь")</f>
        <v>Детская пижама Мышь</v>
      </c>
      <c r="E924" s="164" t="str">
        <f>IFERROR(__xludf.DUMMYFUNCTION("""COMPUTED_VALUE"""),"130-135")</f>
        <v>130-135</v>
      </c>
      <c r="F924" s="133" t="str">
        <f>IFERROR(__xludf.DUMMYFUNCTION("""COMPUTED_VALUE"""),"K14019RUK130-135")</f>
        <v>K14019RUK130-135</v>
      </c>
      <c r="G924" s="165">
        <f>IFERROR(__xludf.DUMMYFUNCTION("""COMPUTED_VALUE"""),659.0)</f>
        <v>659</v>
      </c>
    </row>
    <row r="925" ht="15.75" customHeight="1">
      <c r="A925" s="133" t="str">
        <f>IFERROR(__xludf.DUMMYFUNCTION("""COMPUTED_VALUE"""),"K14019RUK")</f>
        <v>K14019RUK</v>
      </c>
      <c r="B925" s="164">
        <f>IFERROR(__xludf.DUMMYFUNCTION("""COMPUTED_VALUE"""),1.1698251E7)</f>
        <v>11698251</v>
      </c>
      <c r="C925" s="164" t="str">
        <f>IFERROR(__xludf.DUMMYFUNCTION("""COMPUTED_VALUE"""),"11698251140-145")</f>
        <v>11698251140-145</v>
      </c>
      <c r="D925" s="164" t="str">
        <f>IFERROR(__xludf.DUMMYFUNCTION("""COMPUTED_VALUE"""),"Детская пижама Мышь")</f>
        <v>Детская пижама Мышь</v>
      </c>
      <c r="E925" s="164" t="str">
        <f>IFERROR(__xludf.DUMMYFUNCTION("""COMPUTED_VALUE"""),"140-145")</f>
        <v>140-145</v>
      </c>
      <c r="F925" s="133" t="str">
        <f>IFERROR(__xludf.DUMMYFUNCTION("""COMPUTED_VALUE"""),"K14019RUK140-145")</f>
        <v>K14019RUK140-145</v>
      </c>
      <c r="G925" s="165">
        <f>IFERROR(__xludf.DUMMYFUNCTION("""COMPUTED_VALUE"""),659.0)</f>
        <v>659</v>
      </c>
    </row>
    <row r="926" ht="15.75" customHeight="1">
      <c r="A926" s="133" t="str">
        <f>IFERROR(__xludf.DUMMYFUNCTION("""COMPUTED_VALUE"""),"K14419RUK")</f>
        <v>K14419RUK</v>
      </c>
      <c r="B926" s="164">
        <f>IFERROR(__xludf.DUMMYFUNCTION("""COMPUTED_VALUE"""),1.1698255E7)</f>
        <v>11698255</v>
      </c>
      <c r="C926" s="164" t="str">
        <f>IFERROR(__xludf.DUMMYFUNCTION("""COMPUTED_VALUE"""),"1169825590-105")</f>
        <v>1169825590-105</v>
      </c>
      <c r="D926" s="164" t="str">
        <f>IFERROR(__xludf.DUMMYFUNCTION("""COMPUTED_VALUE"""),"Детская пижама Лиса")</f>
        <v>Детская пижама Лиса</v>
      </c>
      <c r="E926" s="164" t="str">
        <f>IFERROR(__xludf.DUMMYFUNCTION("""COMPUTED_VALUE"""),"90-105")</f>
        <v>90-105</v>
      </c>
      <c r="F926" s="133" t="str">
        <f>IFERROR(__xludf.DUMMYFUNCTION("""COMPUTED_VALUE"""),"K14419RUK90-105")</f>
        <v>K14419RUK90-105</v>
      </c>
      <c r="G926" s="165">
        <f>IFERROR(__xludf.DUMMYFUNCTION("""COMPUTED_VALUE"""),651.0)</f>
        <v>651</v>
      </c>
    </row>
    <row r="927" ht="15.75" customHeight="1">
      <c r="A927" s="133" t="str">
        <f>IFERROR(__xludf.DUMMYFUNCTION("""COMPUTED_VALUE"""),"K14419RUK")</f>
        <v>K14419RUK</v>
      </c>
      <c r="B927" s="164">
        <f>IFERROR(__xludf.DUMMYFUNCTION("""COMPUTED_VALUE"""),1.1698255E7)</f>
        <v>11698255</v>
      </c>
      <c r="C927" s="164" t="str">
        <f>IFERROR(__xludf.DUMMYFUNCTION("""COMPUTED_VALUE"""),"11698255110-115")</f>
        <v>11698255110-115</v>
      </c>
      <c r="D927" s="164" t="str">
        <f>IFERROR(__xludf.DUMMYFUNCTION("""COMPUTED_VALUE"""),"Детская пижама Лиса")</f>
        <v>Детская пижама Лиса</v>
      </c>
      <c r="E927" s="164" t="str">
        <f>IFERROR(__xludf.DUMMYFUNCTION("""COMPUTED_VALUE"""),"110-115")</f>
        <v>110-115</v>
      </c>
      <c r="F927" s="133" t="str">
        <f>IFERROR(__xludf.DUMMYFUNCTION("""COMPUTED_VALUE"""),"K14419RUK110-115")</f>
        <v>K14419RUK110-115</v>
      </c>
      <c r="G927" s="165">
        <f>IFERROR(__xludf.DUMMYFUNCTION("""COMPUTED_VALUE"""),651.0)</f>
        <v>651</v>
      </c>
    </row>
    <row r="928" ht="15.75" customHeight="1">
      <c r="A928" s="133" t="str">
        <f>IFERROR(__xludf.DUMMYFUNCTION("""COMPUTED_VALUE"""),"K14419RUK")</f>
        <v>K14419RUK</v>
      </c>
      <c r="B928" s="164">
        <f>IFERROR(__xludf.DUMMYFUNCTION("""COMPUTED_VALUE"""),1.1698255E7)</f>
        <v>11698255</v>
      </c>
      <c r="C928" s="164" t="str">
        <f>IFERROR(__xludf.DUMMYFUNCTION("""COMPUTED_VALUE"""),"11698255115-125")</f>
        <v>11698255115-125</v>
      </c>
      <c r="D928" s="164" t="str">
        <f>IFERROR(__xludf.DUMMYFUNCTION("""COMPUTED_VALUE"""),"Детская пижама Лиса")</f>
        <v>Детская пижама Лиса</v>
      </c>
      <c r="E928" s="164" t="str">
        <f>IFERROR(__xludf.DUMMYFUNCTION("""COMPUTED_VALUE"""),"115-125")</f>
        <v>115-125</v>
      </c>
      <c r="F928" s="133" t="str">
        <f>IFERROR(__xludf.DUMMYFUNCTION("""COMPUTED_VALUE"""),"K14419RUK115-125")</f>
        <v>K14419RUK115-125</v>
      </c>
      <c r="G928" s="165">
        <f>IFERROR(__xludf.DUMMYFUNCTION("""COMPUTED_VALUE"""),651.0)</f>
        <v>651</v>
      </c>
    </row>
    <row r="929" ht="15.75" customHeight="1">
      <c r="A929" s="133" t="str">
        <f>IFERROR(__xludf.DUMMYFUNCTION("""COMPUTED_VALUE"""),"K14419RUK")</f>
        <v>K14419RUK</v>
      </c>
      <c r="B929" s="164">
        <f>IFERROR(__xludf.DUMMYFUNCTION("""COMPUTED_VALUE"""),1.1698255E7)</f>
        <v>11698255</v>
      </c>
      <c r="C929" s="164" t="str">
        <f>IFERROR(__xludf.DUMMYFUNCTION("""COMPUTED_VALUE"""),"11698255130-135")</f>
        <v>11698255130-135</v>
      </c>
      <c r="D929" s="164" t="str">
        <f>IFERROR(__xludf.DUMMYFUNCTION("""COMPUTED_VALUE"""),"Детская пижама Лиса")</f>
        <v>Детская пижама Лиса</v>
      </c>
      <c r="E929" s="164" t="str">
        <f>IFERROR(__xludf.DUMMYFUNCTION("""COMPUTED_VALUE"""),"130-135")</f>
        <v>130-135</v>
      </c>
      <c r="F929" s="133" t="str">
        <f>IFERROR(__xludf.DUMMYFUNCTION("""COMPUTED_VALUE"""),"K14419RUK130-135")</f>
        <v>K14419RUK130-135</v>
      </c>
      <c r="G929" s="165">
        <f>IFERROR(__xludf.DUMMYFUNCTION("""COMPUTED_VALUE"""),651.0)</f>
        <v>651</v>
      </c>
    </row>
    <row r="930" ht="15.75" customHeight="1">
      <c r="A930" s="133" t="str">
        <f>IFERROR(__xludf.DUMMYFUNCTION("""COMPUTED_VALUE"""),"K14419RUK")</f>
        <v>K14419RUK</v>
      </c>
      <c r="B930" s="164">
        <f>IFERROR(__xludf.DUMMYFUNCTION("""COMPUTED_VALUE"""),1.1698255E7)</f>
        <v>11698255</v>
      </c>
      <c r="C930" s="164" t="str">
        <f>IFERROR(__xludf.DUMMYFUNCTION("""COMPUTED_VALUE"""),"11698255140-145")</f>
        <v>11698255140-145</v>
      </c>
      <c r="D930" s="164" t="str">
        <f>IFERROR(__xludf.DUMMYFUNCTION("""COMPUTED_VALUE"""),"Детская пижама Лиса")</f>
        <v>Детская пижама Лиса</v>
      </c>
      <c r="E930" s="164" t="str">
        <f>IFERROR(__xludf.DUMMYFUNCTION("""COMPUTED_VALUE"""),"140-145")</f>
        <v>140-145</v>
      </c>
      <c r="F930" s="133" t="str">
        <f>IFERROR(__xludf.DUMMYFUNCTION("""COMPUTED_VALUE"""),"K14419RUK140-145")</f>
        <v>K14419RUK140-145</v>
      </c>
      <c r="G930" s="165">
        <f>IFERROR(__xludf.DUMMYFUNCTION("""COMPUTED_VALUE"""),651.0)</f>
        <v>651</v>
      </c>
    </row>
    <row r="931" ht="15.75" customHeight="1">
      <c r="A931" s="133" t="str">
        <f>IFERROR(__xludf.DUMMYFUNCTION("""COMPUTED_VALUE"""),"K14519RUK")</f>
        <v>K14519RUK</v>
      </c>
      <c r="B931" s="164">
        <f>IFERROR(__xludf.DUMMYFUNCTION("""COMPUTED_VALUE"""),1.1698256E7)</f>
        <v>11698256</v>
      </c>
      <c r="C931" s="164" t="str">
        <f>IFERROR(__xludf.DUMMYFUNCTION("""COMPUTED_VALUE"""),"1169825690-105")</f>
        <v>1169825690-105</v>
      </c>
      <c r="D931" s="164" t="str">
        <f>IFERROR(__xludf.DUMMYFUNCTION("""COMPUTED_VALUE"""),"Детская пижама Лемур")</f>
        <v>Детская пижама Лемур</v>
      </c>
      <c r="E931" s="164" t="str">
        <f>IFERROR(__xludf.DUMMYFUNCTION("""COMPUTED_VALUE"""),"90-105")</f>
        <v>90-105</v>
      </c>
      <c r="F931" s="133" t="str">
        <f>IFERROR(__xludf.DUMMYFUNCTION("""COMPUTED_VALUE"""),"K14519RUK90-105")</f>
        <v>K14519RUK90-105</v>
      </c>
      <c r="G931" s="165">
        <f>IFERROR(__xludf.DUMMYFUNCTION("""COMPUTED_VALUE"""),659.0)</f>
        <v>659</v>
      </c>
    </row>
    <row r="932" ht="15.75" customHeight="1">
      <c r="A932" s="133" t="str">
        <f>IFERROR(__xludf.DUMMYFUNCTION("""COMPUTED_VALUE"""),"K14519RUK")</f>
        <v>K14519RUK</v>
      </c>
      <c r="B932" s="164">
        <f>IFERROR(__xludf.DUMMYFUNCTION("""COMPUTED_VALUE"""),1.1698256E7)</f>
        <v>11698256</v>
      </c>
      <c r="C932" s="164" t="str">
        <f>IFERROR(__xludf.DUMMYFUNCTION("""COMPUTED_VALUE"""),"11698256110-115")</f>
        <v>11698256110-115</v>
      </c>
      <c r="D932" s="164" t="str">
        <f>IFERROR(__xludf.DUMMYFUNCTION("""COMPUTED_VALUE"""),"Детская пижама Лемур")</f>
        <v>Детская пижама Лемур</v>
      </c>
      <c r="E932" s="164" t="str">
        <f>IFERROR(__xludf.DUMMYFUNCTION("""COMPUTED_VALUE"""),"110-115")</f>
        <v>110-115</v>
      </c>
      <c r="F932" s="133" t="str">
        <f>IFERROR(__xludf.DUMMYFUNCTION("""COMPUTED_VALUE"""),"K14519RUK110-115")</f>
        <v>K14519RUK110-115</v>
      </c>
      <c r="G932" s="165">
        <f>IFERROR(__xludf.DUMMYFUNCTION("""COMPUTED_VALUE"""),659.0)</f>
        <v>659</v>
      </c>
    </row>
    <row r="933" ht="15.75" customHeight="1">
      <c r="A933" s="133" t="str">
        <f>IFERROR(__xludf.DUMMYFUNCTION("""COMPUTED_VALUE"""),"K14519RUK")</f>
        <v>K14519RUK</v>
      </c>
      <c r="B933" s="164">
        <f>IFERROR(__xludf.DUMMYFUNCTION("""COMPUTED_VALUE"""),1.1698256E7)</f>
        <v>11698256</v>
      </c>
      <c r="C933" s="164" t="str">
        <f>IFERROR(__xludf.DUMMYFUNCTION("""COMPUTED_VALUE"""),"11698256115-125")</f>
        <v>11698256115-125</v>
      </c>
      <c r="D933" s="164" t="str">
        <f>IFERROR(__xludf.DUMMYFUNCTION("""COMPUTED_VALUE"""),"Детская пижама Лемур")</f>
        <v>Детская пижама Лемур</v>
      </c>
      <c r="E933" s="164" t="str">
        <f>IFERROR(__xludf.DUMMYFUNCTION("""COMPUTED_VALUE"""),"115-125")</f>
        <v>115-125</v>
      </c>
      <c r="F933" s="133" t="str">
        <f>IFERROR(__xludf.DUMMYFUNCTION("""COMPUTED_VALUE"""),"K14519RUK115-125")</f>
        <v>K14519RUK115-125</v>
      </c>
      <c r="G933" s="165">
        <f>IFERROR(__xludf.DUMMYFUNCTION("""COMPUTED_VALUE"""),659.0)</f>
        <v>659</v>
      </c>
    </row>
    <row r="934" ht="15.75" customHeight="1">
      <c r="A934" s="133" t="str">
        <f>IFERROR(__xludf.DUMMYFUNCTION("""COMPUTED_VALUE"""),"K14519RUK")</f>
        <v>K14519RUK</v>
      </c>
      <c r="B934" s="164">
        <f>IFERROR(__xludf.DUMMYFUNCTION("""COMPUTED_VALUE"""),1.1698256E7)</f>
        <v>11698256</v>
      </c>
      <c r="C934" s="164" t="str">
        <f>IFERROR(__xludf.DUMMYFUNCTION("""COMPUTED_VALUE"""),"11698256130-135")</f>
        <v>11698256130-135</v>
      </c>
      <c r="D934" s="164" t="str">
        <f>IFERROR(__xludf.DUMMYFUNCTION("""COMPUTED_VALUE"""),"Детская пижама Лемур")</f>
        <v>Детская пижама Лемур</v>
      </c>
      <c r="E934" s="164" t="str">
        <f>IFERROR(__xludf.DUMMYFUNCTION("""COMPUTED_VALUE"""),"130-135")</f>
        <v>130-135</v>
      </c>
      <c r="F934" s="133" t="str">
        <f>IFERROR(__xludf.DUMMYFUNCTION("""COMPUTED_VALUE"""),"K14519RUK130-135")</f>
        <v>K14519RUK130-135</v>
      </c>
      <c r="G934" s="165">
        <f>IFERROR(__xludf.DUMMYFUNCTION("""COMPUTED_VALUE"""),659.0)</f>
        <v>659</v>
      </c>
    </row>
    <row r="935" ht="15.75" customHeight="1">
      <c r="A935" s="133" t="str">
        <f>IFERROR(__xludf.DUMMYFUNCTION("""COMPUTED_VALUE"""),"K14519RUK")</f>
        <v>K14519RUK</v>
      </c>
      <c r="B935" s="164">
        <f>IFERROR(__xludf.DUMMYFUNCTION("""COMPUTED_VALUE"""),1.1698256E7)</f>
        <v>11698256</v>
      </c>
      <c r="C935" s="164" t="str">
        <f>IFERROR(__xludf.DUMMYFUNCTION("""COMPUTED_VALUE"""),"11698256140-145")</f>
        <v>11698256140-145</v>
      </c>
      <c r="D935" s="164" t="str">
        <f>IFERROR(__xludf.DUMMYFUNCTION("""COMPUTED_VALUE"""),"Детская пижама Лемур")</f>
        <v>Детская пижама Лемур</v>
      </c>
      <c r="E935" s="164" t="str">
        <f>IFERROR(__xludf.DUMMYFUNCTION("""COMPUTED_VALUE"""),"140-145")</f>
        <v>140-145</v>
      </c>
      <c r="F935" s="133" t="str">
        <f>IFERROR(__xludf.DUMMYFUNCTION("""COMPUTED_VALUE"""),"K14519RUK140-145")</f>
        <v>K14519RUK140-145</v>
      </c>
      <c r="G935" s="165">
        <f>IFERROR(__xludf.DUMMYFUNCTION("""COMPUTED_VALUE"""),659.0)</f>
        <v>659</v>
      </c>
    </row>
    <row r="936" ht="15.75" customHeight="1">
      <c r="A936" s="133" t="str">
        <f>IFERROR(__xludf.DUMMYFUNCTION("""COMPUTED_VALUE"""),"K17320RUK")</f>
        <v>K17320RUK</v>
      </c>
      <c r="B936" s="164">
        <f>IFERROR(__xludf.DUMMYFUNCTION("""COMPUTED_VALUE"""),1.2735333E7)</f>
        <v>12735333</v>
      </c>
      <c r="C936" s="164" t="str">
        <f>IFERROR(__xludf.DUMMYFUNCTION("""COMPUTED_VALUE"""),"1273533390-105")</f>
        <v>1273533390-105</v>
      </c>
      <c r="D936" s="164" t="str">
        <f>IFERROR(__xludf.DUMMYFUNCTION("""COMPUTED_VALUE"""),"Детская пижама Единорог Бело-Голубой
 (ост.нет)")</f>
        <v>Детская пижама Единорог Бело-Голубой
 (ост.нет)</v>
      </c>
      <c r="E936" s="164" t="str">
        <f>IFERROR(__xludf.DUMMYFUNCTION("""COMPUTED_VALUE"""),"90-105")</f>
        <v>90-105</v>
      </c>
      <c r="F936" s="133" t="str">
        <f>IFERROR(__xludf.DUMMYFUNCTION("""COMPUTED_VALUE"""),"K17320RUK90-105")</f>
        <v>K17320RUK90-105</v>
      </c>
      <c r="G936" s="165">
        <f>IFERROR(__xludf.DUMMYFUNCTION("""COMPUTED_VALUE"""),659.0)</f>
        <v>659</v>
      </c>
    </row>
    <row r="937" ht="15.75" customHeight="1">
      <c r="A937" s="133" t="str">
        <f>IFERROR(__xludf.DUMMYFUNCTION("""COMPUTED_VALUE"""),"K17320RUK")</f>
        <v>K17320RUK</v>
      </c>
      <c r="B937" s="164">
        <f>IFERROR(__xludf.DUMMYFUNCTION("""COMPUTED_VALUE"""),1.2735333E7)</f>
        <v>12735333</v>
      </c>
      <c r="C937" s="164" t="str">
        <f>IFERROR(__xludf.DUMMYFUNCTION("""COMPUTED_VALUE"""),"12735333110-115")</f>
        <v>12735333110-115</v>
      </c>
      <c r="D937" s="164" t="str">
        <f>IFERROR(__xludf.DUMMYFUNCTION("""COMPUTED_VALUE"""),"Детская пижама Единорог Бело-Голубой
 (ост.нет)")</f>
        <v>Детская пижама Единорог Бело-Голубой
 (ост.нет)</v>
      </c>
      <c r="E937" s="164" t="str">
        <f>IFERROR(__xludf.DUMMYFUNCTION("""COMPUTED_VALUE"""),"110-115")</f>
        <v>110-115</v>
      </c>
      <c r="F937" s="133" t="str">
        <f>IFERROR(__xludf.DUMMYFUNCTION("""COMPUTED_VALUE"""),"K17320RUK110-115")</f>
        <v>K17320RUK110-115</v>
      </c>
      <c r="G937" s="165">
        <f>IFERROR(__xludf.DUMMYFUNCTION("""COMPUTED_VALUE"""),659.0)</f>
        <v>659</v>
      </c>
    </row>
    <row r="938" ht="15.75" customHeight="1">
      <c r="A938" s="133" t="str">
        <f>IFERROR(__xludf.DUMMYFUNCTION("""COMPUTED_VALUE"""),"K17320RUK")</f>
        <v>K17320RUK</v>
      </c>
      <c r="B938" s="164">
        <f>IFERROR(__xludf.DUMMYFUNCTION("""COMPUTED_VALUE"""),1.2735333E7)</f>
        <v>12735333</v>
      </c>
      <c r="C938" s="164" t="str">
        <f>IFERROR(__xludf.DUMMYFUNCTION("""COMPUTED_VALUE"""),"12735333115-125")</f>
        <v>12735333115-125</v>
      </c>
      <c r="D938" s="164" t="str">
        <f>IFERROR(__xludf.DUMMYFUNCTION("""COMPUTED_VALUE"""),"Детская пижама Единорог Бело-Голубой
 (ост.нет)")</f>
        <v>Детская пижама Единорог Бело-Голубой
 (ост.нет)</v>
      </c>
      <c r="E938" s="164" t="str">
        <f>IFERROR(__xludf.DUMMYFUNCTION("""COMPUTED_VALUE"""),"115-125")</f>
        <v>115-125</v>
      </c>
      <c r="F938" s="133" t="str">
        <f>IFERROR(__xludf.DUMMYFUNCTION("""COMPUTED_VALUE"""),"K17320RUK115-125")</f>
        <v>K17320RUK115-125</v>
      </c>
      <c r="G938" s="165">
        <f>IFERROR(__xludf.DUMMYFUNCTION("""COMPUTED_VALUE"""),659.0)</f>
        <v>659</v>
      </c>
    </row>
    <row r="939" ht="15.75" customHeight="1">
      <c r="A939" s="133" t="str">
        <f>IFERROR(__xludf.DUMMYFUNCTION("""COMPUTED_VALUE"""),"K17320RUK")</f>
        <v>K17320RUK</v>
      </c>
      <c r="B939" s="164">
        <f>IFERROR(__xludf.DUMMYFUNCTION("""COMPUTED_VALUE"""),1.2735333E7)</f>
        <v>12735333</v>
      </c>
      <c r="C939" s="164" t="str">
        <f>IFERROR(__xludf.DUMMYFUNCTION("""COMPUTED_VALUE"""),"12735333130-135")</f>
        <v>12735333130-135</v>
      </c>
      <c r="D939" s="164" t="str">
        <f>IFERROR(__xludf.DUMMYFUNCTION("""COMPUTED_VALUE"""),"Детская пижама Единорог Бело-Голубой
 (ост.нет)")</f>
        <v>Детская пижама Единорог Бело-Голубой
 (ост.нет)</v>
      </c>
      <c r="E939" s="164" t="str">
        <f>IFERROR(__xludf.DUMMYFUNCTION("""COMPUTED_VALUE"""),"130-135")</f>
        <v>130-135</v>
      </c>
      <c r="F939" s="133" t="str">
        <f>IFERROR(__xludf.DUMMYFUNCTION("""COMPUTED_VALUE"""),"K17320RUK130-135")</f>
        <v>K17320RUK130-135</v>
      </c>
      <c r="G939" s="165">
        <f>IFERROR(__xludf.DUMMYFUNCTION("""COMPUTED_VALUE"""),659.0)</f>
        <v>659</v>
      </c>
    </row>
    <row r="940" ht="15.75" customHeight="1">
      <c r="A940" s="133" t="str">
        <f>IFERROR(__xludf.DUMMYFUNCTION("""COMPUTED_VALUE"""),"K17320RUK")</f>
        <v>K17320RUK</v>
      </c>
      <c r="B940" s="164">
        <f>IFERROR(__xludf.DUMMYFUNCTION("""COMPUTED_VALUE"""),1.2735333E7)</f>
        <v>12735333</v>
      </c>
      <c r="C940" s="164" t="str">
        <f>IFERROR(__xludf.DUMMYFUNCTION("""COMPUTED_VALUE"""),"12735333140-145")</f>
        <v>12735333140-145</v>
      </c>
      <c r="D940" s="164" t="str">
        <f>IFERROR(__xludf.DUMMYFUNCTION("""COMPUTED_VALUE"""),"Детская пижама Единорог Бело-Голубой
 (ост.нет)")</f>
        <v>Детская пижама Единорог Бело-Голубой
 (ост.нет)</v>
      </c>
      <c r="E940" s="164" t="str">
        <f>IFERROR(__xludf.DUMMYFUNCTION("""COMPUTED_VALUE"""),"140-145")</f>
        <v>140-145</v>
      </c>
      <c r="F940" s="133" t="str">
        <f>IFERROR(__xludf.DUMMYFUNCTION("""COMPUTED_VALUE"""),"K17320RUK140-145")</f>
        <v>K17320RUK140-145</v>
      </c>
      <c r="G940" s="165">
        <f>IFERROR(__xludf.DUMMYFUNCTION("""COMPUTED_VALUE"""),659.0)</f>
        <v>659</v>
      </c>
    </row>
    <row r="941" ht="15.75" customHeight="1">
      <c r="A941" s="133" t="str">
        <f>IFERROR(__xludf.DUMMYFUNCTION("""COMPUTED_VALUE"""),"K17420RUK")</f>
        <v>K17420RUK</v>
      </c>
      <c r="B941" s="164">
        <f>IFERROR(__xludf.DUMMYFUNCTION("""COMPUTED_VALUE"""),1.2735334E7)</f>
        <v>12735334</v>
      </c>
      <c r="C941" s="164" t="str">
        <f>IFERROR(__xludf.DUMMYFUNCTION("""COMPUTED_VALUE"""),"1273533490-105")</f>
        <v>1273533490-105</v>
      </c>
      <c r="D941" s="164" t="str">
        <f>IFERROR(__xludf.DUMMYFUNCTION("""COMPUTED_VALUE"""),"Детская пижама Единорог Бело-Розовый
 (ост.нет)")</f>
        <v>Детская пижама Единорог Бело-Розовый
 (ост.нет)</v>
      </c>
      <c r="E941" s="164" t="str">
        <f>IFERROR(__xludf.DUMMYFUNCTION("""COMPUTED_VALUE"""),"90-105")</f>
        <v>90-105</v>
      </c>
      <c r="F941" s="133" t="str">
        <f>IFERROR(__xludf.DUMMYFUNCTION("""COMPUTED_VALUE"""),"K17420RUK90-105")</f>
        <v>K17420RUK90-105</v>
      </c>
      <c r="G941" s="165">
        <f>IFERROR(__xludf.DUMMYFUNCTION("""COMPUTED_VALUE"""),659.0)</f>
        <v>659</v>
      </c>
    </row>
    <row r="942" ht="15.75" customHeight="1">
      <c r="A942" s="133" t="str">
        <f>IFERROR(__xludf.DUMMYFUNCTION("""COMPUTED_VALUE"""),"K17420RUK")</f>
        <v>K17420RUK</v>
      </c>
      <c r="B942" s="164">
        <f>IFERROR(__xludf.DUMMYFUNCTION("""COMPUTED_VALUE"""),1.2735334E7)</f>
        <v>12735334</v>
      </c>
      <c r="C942" s="164" t="str">
        <f>IFERROR(__xludf.DUMMYFUNCTION("""COMPUTED_VALUE"""),"12735334110-115")</f>
        <v>12735334110-115</v>
      </c>
      <c r="D942" s="164" t="str">
        <f>IFERROR(__xludf.DUMMYFUNCTION("""COMPUTED_VALUE"""),"Детская пижама Единорог Бело-Розовый
 (ост.нет)")</f>
        <v>Детская пижама Единорог Бело-Розовый
 (ост.нет)</v>
      </c>
      <c r="E942" s="164" t="str">
        <f>IFERROR(__xludf.DUMMYFUNCTION("""COMPUTED_VALUE"""),"110-115")</f>
        <v>110-115</v>
      </c>
      <c r="F942" s="133" t="str">
        <f>IFERROR(__xludf.DUMMYFUNCTION("""COMPUTED_VALUE"""),"K17420RUK110-115")</f>
        <v>K17420RUK110-115</v>
      </c>
      <c r="G942" s="165">
        <f>IFERROR(__xludf.DUMMYFUNCTION("""COMPUTED_VALUE"""),659.0)</f>
        <v>659</v>
      </c>
    </row>
    <row r="943" ht="15.75" customHeight="1">
      <c r="A943" s="133" t="str">
        <f>IFERROR(__xludf.DUMMYFUNCTION("""COMPUTED_VALUE"""),"K17420RUK")</f>
        <v>K17420RUK</v>
      </c>
      <c r="B943" s="164">
        <f>IFERROR(__xludf.DUMMYFUNCTION("""COMPUTED_VALUE"""),1.2735334E7)</f>
        <v>12735334</v>
      </c>
      <c r="C943" s="164" t="str">
        <f>IFERROR(__xludf.DUMMYFUNCTION("""COMPUTED_VALUE"""),"12735334115-125")</f>
        <v>12735334115-125</v>
      </c>
      <c r="D943" s="164" t="str">
        <f>IFERROR(__xludf.DUMMYFUNCTION("""COMPUTED_VALUE"""),"Детская пижама Единорог Бело-Розовый
 (ост.нет)")</f>
        <v>Детская пижама Единорог Бело-Розовый
 (ост.нет)</v>
      </c>
      <c r="E943" s="164" t="str">
        <f>IFERROR(__xludf.DUMMYFUNCTION("""COMPUTED_VALUE"""),"115-125")</f>
        <v>115-125</v>
      </c>
      <c r="F943" s="133" t="str">
        <f>IFERROR(__xludf.DUMMYFUNCTION("""COMPUTED_VALUE"""),"K17420RUK115-125")</f>
        <v>K17420RUK115-125</v>
      </c>
      <c r="G943" s="165">
        <f>IFERROR(__xludf.DUMMYFUNCTION("""COMPUTED_VALUE"""),659.0)</f>
        <v>659</v>
      </c>
    </row>
    <row r="944" ht="15.75" customHeight="1">
      <c r="A944" s="133" t="str">
        <f>IFERROR(__xludf.DUMMYFUNCTION("""COMPUTED_VALUE"""),"K17420RUK")</f>
        <v>K17420RUK</v>
      </c>
      <c r="B944" s="164">
        <f>IFERROR(__xludf.DUMMYFUNCTION("""COMPUTED_VALUE"""),1.2735334E7)</f>
        <v>12735334</v>
      </c>
      <c r="C944" s="164" t="str">
        <f>IFERROR(__xludf.DUMMYFUNCTION("""COMPUTED_VALUE"""),"12735334130-135")</f>
        <v>12735334130-135</v>
      </c>
      <c r="D944" s="164" t="str">
        <f>IFERROR(__xludf.DUMMYFUNCTION("""COMPUTED_VALUE"""),"Детская пижама Единорог Бело-Розовый
 (ост.нет)")</f>
        <v>Детская пижама Единорог Бело-Розовый
 (ост.нет)</v>
      </c>
      <c r="E944" s="164" t="str">
        <f>IFERROR(__xludf.DUMMYFUNCTION("""COMPUTED_VALUE"""),"130-135")</f>
        <v>130-135</v>
      </c>
      <c r="F944" s="133" t="str">
        <f>IFERROR(__xludf.DUMMYFUNCTION("""COMPUTED_VALUE"""),"K17420RUK130-135")</f>
        <v>K17420RUK130-135</v>
      </c>
      <c r="G944" s="165">
        <f>IFERROR(__xludf.DUMMYFUNCTION("""COMPUTED_VALUE"""),659.0)</f>
        <v>659</v>
      </c>
    </row>
    <row r="945" ht="15.75" customHeight="1">
      <c r="A945" s="133" t="str">
        <f>IFERROR(__xludf.DUMMYFUNCTION("""COMPUTED_VALUE"""),"K17420RUK")</f>
        <v>K17420RUK</v>
      </c>
      <c r="B945" s="164">
        <f>IFERROR(__xludf.DUMMYFUNCTION("""COMPUTED_VALUE"""),1.2735334E7)</f>
        <v>12735334</v>
      </c>
      <c r="C945" s="164" t="str">
        <f>IFERROR(__xludf.DUMMYFUNCTION("""COMPUTED_VALUE"""),"12735334140-145")</f>
        <v>12735334140-145</v>
      </c>
      <c r="D945" s="164" t="str">
        <f>IFERROR(__xludf.DUMMYFUNCTION("""COMPUTED_VALUE"""),"Детская пижама Единорог Бело-Розовый
 (ост.нет)")</f>
        <v>Детская пижама Единорог Бело-Розовый
 (ост.нет)</v>
      </c>
      <c r="E945" s="164" t="str">
        <f>IFERROR(__xludf.DUMMYFUNCTION("""COMPUTED_VALUE"""),"140-145")</f>
        <v>140-145</v>
      </c>
      <c r="F945" s="133" t="str">
        <f>IFERROR(__xludf.DUMMYFUNCTION("""COMPUTED_VALUE"""),"K17420RUK140-145")</f>
        <v>K17420RUK140-145</v>
      </c>
      <c r="G945" s="165">
        <f>IFERROR(__xludf.DUMMYFUNCTION("""COMPUTED_VALUE"""),659.0)</f>
        <v>659</v>
      </c>
    </row>
    <row r="946" ht="15.75" customHeight="1">
      <c r="A946" s="133" t="str">
        <f>IFERROR(__xludf.DUMMYFUNCTION("""COMPUTED_VALUE"""),"K16020RUK")</f>
        <v>K16020RUK</v>
      </c>
      <c r="B946" s="164">
        <f>IFERROR(__xludf.DUMMYFUNCTION("""COMPUTED_VALUE"""),1.3347094E7)</f>
        <v>13347094</v>
      </c>
      <c r="C946" s="164" t="str">
        <f>IFERROR(__xludf.DUMMYFUNCTION("""COMPUTED_VALUE"""),"1334709490-105")</f>
        <v>1334709490-105</v>
      </c>
      <c r="D946" s="164" t="str">
        <f>IFERROR(__xludf.DUMMYFUNCTION("""COMPUTED_VALUE"""),"Детская пижама Скелет")</f>
        <v>Детская пижама Скелет</v>
      </c>
      <c r="E946" s="164" t="str">
        <f>IFERROR(__xludf.DUMMYFUNCTION("""COMPUTED_VALUE"""),"90-105")</f>
        <v>90-105</v>
      </c>
      <c r="F946" s="133" t="str">
        <f>IFERROR(__xludf.DUMMYFUNCTION("""COMPUTED_VALUE"""),"K16020RUK90-105")</f>
        <v>K16020RUK90-105</v>
      </c>
      <c r="G946" s="165">
        <f>IFERROR(__xludf.DUMMYFUNCTION("""COMPUTED_VALUE"""),659.0)</f>
        <v>659</v>
      </c>
    </row>
    <row r="947" ht="15.75" customHeight="1">
      <c r="A947" s="133" t="str">
        <f>IFERROR(__xludf.DUMMYFUNCTION("""COMPUTED_VALUE"""),"K16020RUK")</f>
        <v>K16020RUK</v>
      </c>
      <c r="B947" s="164">
        <f>IFERROR(__xludf.DUMMYFUNCTION("""COMPUTED_VALUE"""),1.3347094E7)</f>
        <v>13347094</v>
      </c>
      <c r="C947" s="164" t="str">
        <f>IFERROR(__xludf.DUMMYFUNCTION("""COMPUTED_VALUE"""),"13347094110-115")</f>
        <v>13347094110-115</v>
      </c>
      <c r="D947" s="164" t="str">
        <f>IFERROR(__xludf.DUMMYFUNCTION("""COMPUTED_VALUE"""),"Детская пижама Скелет")</f>
        <v>Детская пижама Скелет</v>
      </c>
      <c r="E947" s="164" t="str">
        <f>IFERROR(__xludf.DUMMYFUNCTION("""COMPUTED_VALUE"""),"110-115")</f>
        <v>110-115</v>
      </c>
      <c r="F947" s="133" t="str">
        <f>IFERROR(__xludf.DUMMYFUNCTION("""COMPUTED_VALUE"""),"K16020RUK110-115")</f>
        <v>K16020RUK110-115</v>
      </c>
      <c r="G947" s="165">
        <f>IFERROR(__xludf.DUMMYFUNCTION("""COMPUTED_VALUE"""),659.0)</f>
        <v>659</v>
      </c>
    </row>
    <row r="948" ht="15.75" customHeight="1">
      <c r="A948" s="133" t="str">
        <f>IFERROR(__xludf.DUMMYFUNCTION("""COMPUTED_VALUE"""),"K16020RUK")</f>
        <v>K16020RUK</v>
      </c>
      <c r="B948" s="164">
        <f>IFERROR(__xludf.DUMMYFUNCTION("""COMPUTED_VALUE"""),1.3347094E7)</f>
        <v>13347094</v>
      </c>
      <c r="C948" s="164" t="str">
        <f>IFERROR(__xludf.DUMMYFUNCTION("""COMPUTED_VALUE"""),"13347094115-125")</f>
        <v>13347094115-125</v>
      </c>
      <c r="D948" s="164" t="str">
        <f>IFERROR(__xludf.DUMMYFUNCTION("""COMPUTED_VALUE"""),"Детская пижама Скелет")</f>
        <v>Детская пижама Скелет</v>
      </c>
      <c r="E948" s="164" t="str">
        <f>IFERROR(__xludf.DUMMYFUNCTION("""COMPUTED_VALUE"""),"115-125")</f>
        <v>115-125</v>
      </c>
      <c r="F948" s="133" t="str">
        <f>IFERROR(__xludf.DUMMYFUNCTION("""COMPUTED_VALUE"""),"K16020RUK115-125")</f>
        <v>K16020RUK115-125</v>
      </c>
      <c r="G948" s="165">
        <f>IFERROR(__xludf.DUMMYFUNCTION("""COMPUTED_VALUE"""),659.0)</f>
        <v>659</v>
      </c>
    </row>
    <row r="949" ht="15.75" customHeight="1">
      <c r="A949" s="133" t="str">
        <f>IFERROR(__xludf.DUMMYFUNCTION("""COMPUTED_VALUE"""),"K16020RUK")</f>
        <v>K16020RUK</v>
      </c>
      <c r="B949" s="164">
        <f>IFERROR(__xludf.DUMMYFUNCTION("""COMPUTED_VALUE"""),1.3347094E7)</f>
        <v>13347094</v>
      </c>
      <c r="C949" s="164" t="str">
        <f>IFERROR(__xludf.DUMMYFUNCTION("""COMPUTED_VALUE"""),"13347094130-135")</f>
        <v>13347094130-135</v>
      </c>
      <c r="D949" s="164" t="str">
        <f>IFERROR(__xludf.DUMMYFUNCTION("""COMPUTED_VALUE"""),"Детская пижама Скелет")</f>
        <v>Детская пижама Скелет</v>
      </c>
      <c r="E949" s="164" t="str">
        <f>IFERROR(__xludf.DUMMYFUNCTION("""COMPUTED_VALUE"""),"130-135")</f>
        <v>130-135</v>
      </c>
      <c r="F949" s="133" t="str">
        <f>IFERROR(__xludf.DUMMYFUNCTION("""COMPUTED_VALUE"""),"K16020RUK130-135")</f>
        <v>K16020RUK130-135</v>
      </c>
      <c r="G949" s="165">
        <f>IFERROR(__xludf.DUMMYFUNCTION("""COMPUTED_VALUE"""),659.0)</f>
        <v>659</v>
      </c>
    </row>
    <row r="950" ht="15.75" customHeight="1">
      <c r="A950" s="133" t="str">
        <f>IFERROR(__xludf.DUMMYFUNCTION("""COMPUTED_VALUE"""),"K16020RUK")</f>
        <v>K16020RUK</v>
      </c>
      <c r="B950" s="164">
        <f>IFERROR(__xludf.DUMMYFUNCTION("""COMPUTED_VALUE"""),1.3347094E7)</f>
        <v>13347094</v>
      </c>
      <c r="C950" s="164" t="str">
        <f>IFERROR(__xludf.DUMMYFUNCTION("""COMPUTED_VALUE"""),"13347094140-145")</f>
        <v>13347094140-145</v>
      </c>
      <c r="D950" s="164" t="str">
        <f>IFERROR(__xludf.DUMMYFUNCTION("""COMPUTED_VALUE"""),"Детская пижама Скелет")</f>
        <v>Детская пижама Скелет</v>
      </c>
      <c r="E950" s="164" t="str">
        <f>IFERROR(__xludf.DUMMYFUNCTION("""COMPUTED_VALUE"""),"140-145")</f>
        <v>140-145</v>
      </c>
      <c r="F950" s="133" t="str">
        <f>IFERROR(__xludf.DUMMYFUNCTION("""COMPUTED_VALUE"""),"K16020RUK140-145")</f>
        <v>K16020RUK140-145</v>
      </c>
      <c r="G950" s="165">
        <f>IFERROR(__xludf.DUMMYFUNCTION("""COMPUTED_VALUE"""),659.0)</f>
        <v>659</v>
      </c>
    </row>
    <row r="951" ht="15.75" customHeight="1">
      <c r="A951" s="133" t="str">
        <f>IFERROR(__xludf.DUMMYFUNCTION("""COMPUTED_VALUE"""),"K18620RUK")</f>
        <v>K18620RUK</v>
      </c>
      <c r="B951" s="164">
        <f>IFERROR(__xludf.DUMMYFUNCTION("""COMPUTED_VALUE"""),1.3025867E7)</f>
        <v>13025867</v>
      </c>
      <c r="C951" s="164" t="str">
        <f>IFERROR(__xludf.DUMMYFUNCTION("""COMPUTED_VALUE"""),"1302586790-105")</f>
        <v>1302586790-105</v>
      </c>
      <c r="D951" s="164" t="str">
        <f>IFERROR(__xludf.DUMMYFUNCTION("""COMPUTED_VALUE"""),"Детская пижама Лев")</f>
        <v>Детская пижама Лев</v>
      </c>
      <c r="E951" s="164" t="str">
        <f>IFERROR(__xludf.DUMMYFUNCTION("""COMPUTED_VALUE"""),"90-105")</f>
        <v>90-105</v>
      </c>
      <c r="F951" s="133" t="str">
        <f>IFERROR(__xludf.DUMMYFUNCTION("""COMPUTED_VALUE"""),"K18620RUK90-105")</f>
        <v>K18620RUK90-105</v>
      </c>
      <c r="G951" s="165">
        <f>IFERROR(__xludf.DUMMYFUNCTION("""COMPUTED_VALUE"""),659.0)</f>
        <v>659</v>
      </c>
    </row>
    <row r="952" ht="15.75" customHeight="1">
      <c r="A952" s="133" t="str">
        <f>IFERROR(__xludf.DUMMYFUNCTION("""COMPUTED_VALUE"""),"K18620RUK")</f>
        <v>K18620RUK</v>
      </c>
      <c r="B952" s="164">
        <f>IFERROR(__xludf.DUMMYFUNCTION("""COMPUTED_VALUE"""),1.3025867E7)</f>
        <v>13025867</v>
      </c>
      <c r="C952" s="164" t="str">
        <f>IFERROR(__xludf.DUMMYFUNCTION("""COMPUTED_VALUE"""),"13025867110-115")</f>
        <v>13025867110-115</v>
      </c>
      <c r="D952" s="164" t="str">
        <f>IFERROR(__xludf.DUMMYFUNCTION("""COMPUTED_VALUE"""),"Детская пижама Лев")</f>
        <v>Детская пижама Лев</v>
      </c>
      <c r="E952" s="164" t="str">
        <f>IFERROR(__xludf.DUMMYFUNCTION("""COMPUTED_VALUE"""),"110-115")</f>
        <v>110-115</v>
      </c>
      <c r="F952" s="133" t="str">
        <f>IFERROR(__xludf.DUMMYFUNCTION("""COMPUTED_VALUE"""),"K18620RUK110-115")</f>
        <v>K18620RUK110-115</v>
      </c>
      <c r="G952" s="165">
        <f>IFERROR(__xludf.DUMMYFUNCTION("""COMPUTED_VALUE"""),659.0)</f>
        <v>659</v>
      </c>
    </row>
    <row r="953" ht="15.75" customHeight="1">
      <c r="A953" s="133" t="str">
        <f>IFERROR(__xludf.DUMMYFUNCTION("""COMPUTED_VALUE"""),"K18620RUK")</f>
        <v>K18620RUK</v>
      </c>
      <c r="B953" s="164">
        <f>IFERROR(__xludf.DUMMYFUNCTION("""COMPUTED_VALUE"""),1.3025867E7)</f>
        <v>13025867</v>
      </c>
      <c r="C953" s="164" t="str">
        <f>IFERROR(__xludf.DUMMYFUNCTION("""COMPUTED_VALUE"""),"13025867115-125")</f>
        <v>13025867115-125</v>
      </c>
      <c r="D953" s="164" t="str">
        <f>IFERROR(__xludf.DUMMYFUNCTION("""COMPUTED_VALUE"""),"Детская пижама Лев")</f>
        <v>Детская пижама Лев</v>
      </c>
      <c r="E953" s="164" t="str">
        <f>IFERROR(__xludf.DUMMYFUNCTION("""COMPUTED_VALUE"""),"115-125")</f>
        <v>115-125</v>
      </c>
      <c r="F953" s="133" t="str">
        <f>IFERROR(__xludf.DUMMYFUNCTION("""COMPUTED_VALUE"""),"K18620RUK115-125")</f>
        <v>K18620RUK115-125</v>
      </c>
      <c r="G953" s="165">
        <f>IFERROR(__xludf.DUMMYFUNCTION("""COMPUTED_VALUE"""),659.0)</f>
        <v>659</v>
      </c>
    </row>
    <row r="954" ht="15.75" customHeight="1">
      <c r="A954" s="133" t="str">
        <f>IFERROR(__xludf.DUMMYFUNCTION("""COMPUTED_VALUE"""),"K18620RUK")</f>
        <v>K18620RUK</v>
      </c>
      <c r="B954" s="164">
        <f>IFERROR(__xludf.DUMMYFUNCTION("""COMPUTED_VALUE"""),1.3025867E7)</f>
        <v>13025867</v>
      </c>
      <c r="C954" s="164" t="str">
        <f>IFERROR(__xludf.DUMMYFUNCTION("""COMPUTED_VALUE"""),"13025867130-135")</f>
        <v>13025867130-135</v>
      </c>
      <c r="D954" s="164" t="str">
        <f>IFERROR(__xludf.DUMMYFUNCTION("""COMPUTED_VALUE"""),"Детская пижама Лев")</f>
        <v>Детская пижама Лев</v>
      </c>
      <c r="E954" s="164" t="str">
        <f>IFERROR(__xludf.DUMMYFUNCTION("""COMPUTED_VALUE"""),"130-135")</f>
        <v>130-135</v>
      </c>
      <c r="F954" s="133" t="str">
        <f>IFERROR(__xludf.DUMMYFUNCTION("""COMPUTED_VALUE"""),"K18620RUK130-135")</f>
        <v>K18620RUK130-135</v>
      </c>
      <c r="G954" s="165">
        <f>IFERROR(__xludf.DUMMYFUNCTION("""COMPUTED_VALUE"""),659.0)</f>
        <v>659</v>
      </c>
    </row>
    <row r="955" ht="15.75" customHeight="1">
      <c r="A955" s="133" t="str">
        <f>IFERROR(__xludf.DUMMYFUNCTION("""COMPUTED_VALUE"""),"K18620RUK")</f>
        <v>K18620RUK</v>
      </c>
      <c r="B955" s="164">
        <f>IFERROR(__xludf.DUMMYFUNCTION("""COMPUTED_VALUE"""),1.3025867E7)</f>
        <v>13025867</v>
      </c>
      <c r="C955" s="164" t="str">
        <f>IFERROR(__xludf.DUMMYFUNCTION("""COMPUTED_VALUE"""),"13025867140-145")</f>
        <v>13025867140-145</v>
      </c>
      <c r="D955" s="164" t="str">
        <f>IFERROR(__xludf.DUMMYFUNCTION("""COMPUTED_VALUE"""),"Детская пижама Лев")</f>
        <v>Детская пижама Лев</v>
      </c>
      <c r="E955" s="164" t="str">
        <f>IFERROR(__xludf.DUMMYFUNCTION("""COMPUTED_VALUE"""),"140-145")</f>
        <v>140-145</v>
      </c>
      <c r="F955" s="133" t="str">
        <f>IFERROR(__xludf.DUMMYFUNCTION("""COMPUTED_VALUE"""),"K18620RUK140-145")</f>
        <v>K18620RUK140-145</v>
      </c>
      <c r="G955" s="165">
        <f>IFERROR(__xludf.DUMMYFUNCTION("""COMPUTED_VALUE"""),659.0)</f>
        <v>659</v>
      </c>
    </row>
    <row r="956" ht="15.75" customHeight="1">
      <c r="A956" s="133" t="str">
        <f>IFERROR(__xludf.DUMMYFUNCTION("""COMPUTED_VALUE"""),"K19020RUK")</f>
        <v>K19020RUK</v>
      </c>
      <c r="B956" s="164">
        <f>IFERROR(__xludf.DUMMYFUNCTION("""COMPUTED_VALUE"""),1.3491304E7)</f>
        <v>13491304</v>
      </c>
      <c r="C956" s="164" t="str">
        <f>IFERROR(__xludf.DUMMYFUNCTION("""COMPUTED_VALUE"""),"1349130490-105")</f>
        <v>1349130490-105</v>
      </c>
      <c r="D956" s="164" t="str">
        <f>IFERROR(__xludf.DUMMYFUNCTION("""COMPUTED_VALUE"""),"Детская пижама Олененок")</f>
        <v>Детская пижама Олененок</v>
      </c>
      <c r="E956" s="164" t="str">
        <f>IFERROR(__xludf.DUMMYFUNCTION("""COMPUTED_VALUE"""),"90-105")</f>
        <v>90-105</v>
      </c>
      <c r="F956" s="133" t="str">
        <f>IFERROR(__xludf.DUMMYFUNCTION("""COMPUTED_VALUE"""),"K19020RUK90-105")</f>
        <v>K19020RUK90-105</v>
      </c>
      <c r="G956" s="165">
        <f>IFERROR(__xludf.DUMMYFUNCTION("""COMPUTED_VALUE"""),659.0)</f>
        <v>659</v>
      </c>
    </row>
    <row r="957" ht="15.75" customHeight="1">
      <c r="A957" s="133" t="str">
        <f>IFERROR(__xludf.DUMMYFUNCTION("""COMPUTED_VALUE"""),"K19020RUK")</f>
        <v>K19020RUK</v>
      </c>
      <c r="B957" s="164">
        <f>IFERROR(__xludf.DUMMYFUNCTION("""COMPUTED_VALUE"""),1.3491304E7)</f>
        <v>13491304</v>
      </c>
      <c r="C957" s="164" t="str">
        <f>IFERROR(__xludf.DUMMYFUNCTION("""COMPUTED_VALUE"""),"13491304110-115")</f>
        <v>13491304110-115</v>
      </c>
      <c r="D957" s="164" t="str">
        <f>IFERROR(__xludf.DUMMYFUNCTION("""COMPUTED_VALUE"""),"Детская пижама Олененок")</f>
        <v>Детская пижама Олененок</v>
      </c>
      <c r="E957" s="164" t="str">
        <f>IFERROR(__xludf.DUMMYFUNCTION("""COMPUTED_VALUE"""),"110-115")</f>
        <v>110-115</v>
      </c>
      <c r="F957" s="133" t="str">
        <f>IFERROR(__xludf.DUMMYFUNCTION("""COMPUTED_VALUE"""),"K19020RUK110-115")</f>
        <v>K19020RUK110-115</v>
      </c>
      <c r="G957" s="165">
        <f>IFERROR(__xludf.DUMMYFUNCTION("""COMPUTED_VALUE"""),659.0)</f>
        <v>659</v>
      </c>
    </row>
    <row r="958" ht="15.75" customHeight="1">
      <c r="A958" s="133" t="str">
        <f>IFERROR(__xludf.DUMMYFUNCTION("""COMPUTED_VALUE"""),"K19020RUK")</f>
        <v>K19020RUK</v>
      </c>
      <c r="B958" s="164">
        <f>IFERROR(__xludf.DUMMYFUNCTION("""COMPUTED_VALUE"""),1.3491304E7)</f>
        <v>13491304</v>
      </c>
      <c r="C958" s="164" t="str">
        <f>IFERROR(__xludf.DUMMYFUNCTION("""COMPUTED_VALUE"""),"13491304115-125")</f>
        <v>13491304115-125</v>
      </c>
      <c r="D958" s="164" t="str">
        <f>IFERROR(__xludf.DUMMYFUNCTION("""COMPUTED_VALUE"""),"Детская пижама Олененок")</f>
        <v>Детская пижама Олененок</v>
      </c>
      <c r="E958" s="164" t="str">
        <f>IFERROR(__xludf.DUMMYFUNCTION("""COMPUTED_VALUE"""),"115-125")</f>
        <v>115-125</v>
      </c>
      <c r="F958" s="133" t="str">
        <f>IFERROR(__xludf.DUMMYFUNCTION("""COMPUTED_VALUE"""),"K19020RUK115-125")</f>
        <v>K19020RUK115-125</v>
      </c>
      <c r="G958" s="165">
        <f>IFERROR(__xludf.DUMMYFUNCTION("""COMPUTED_VALUE"""),659.0)</f>
        <v>659</v>
      </c>
    </row>
    <row r="959" ht="15.75" customHeight="1">
      <c r="A959" s="133" t="str">
        <f>IFERROR(__xludf.DUMMYFUNCTION("""COMPUTED_VALUE"""),"K19020RUK")</f>
        <v>K19020RUK</v>
      </c>
      <c r="B959" s="164">
        <f>IFERROR(__xludf.DUMMYFUNCTION("""COMPUTED_VALUE"""),1.3491304E7)</f>
        <v>13491304</v>
      </c>
      <c r="C959" s="164" t="str">
        <f>IFERROR(__xludf.DUMMYFUNCTION("""COMPUTED_VALUE"""),"13491304130-135")</f>
        <v>13491304130-135</v>
      </c>
      <c r="D959" s="164" t="str">
        <f>IFERROR(__xludf.DUMMYFUNCTION("""COMPUTED_VALUE"""),"Детская пижама Олененок")</f>
        <v>Детская пижама Олененок</v>
      </c>
      <c r="E959" s="164" t="str">
        <f>IFERROR(__xludf.DUMMYFUNCTION("""COMPUTED_VALUE"""),"130-135")</f>
        <v>130-135</v>
      </c>
      <c r="F959" s="133" t="str">
        <f>IFERROR(__xludf.DUMMYFUNCTION("""COMPUTED_VALUE"""),"K19020RUK130-135")</f>
        <v>K19020RUK130-135</v>
      </c>
      <c r="G959" s="165">
        <f>IFERROR(__xludf.DUMMYFUNCTION("""COMPUTED_VALUE"""),659.0)</f>
        <v>659</v>
      </c>
    </row>
    <row r="960" ht="15.75" customHeight="1">
      <c r="A960" s="133" t="str">
        <f>IFERROR(__xludf.DUMMYFUNCTION("""COMPUTED_VALUE"""),"K19020RUK")</f>
        <v>K19020RUK</v>
      </c>
      <c r="B960" s="164">
        <f>IFERROR(__xludf.DUMMYFUNCTION("""COMPUTED_VALUE"""),1.3491304E7)</f>
        <v>13491304</v>
      </c>
      <c r="C960" s="164" t="str">
        <f>IFERROR(__xludf.DUMMYFUNCTION("""COMPUTED_VALUE"""),"13491304140-145")</f>
        <v>13491304140-145</v>
      </c>
      <c r="D960" s="164" t="str">
        <f>IFERROR(__xludf.DUMMYFUNCTION("""COMPUTED_VALUE"""),"Детская пижама Олененок")</f>
        <v>Детская пижама Олененок</v>
      </c>
      <c r="E960" s="164" t="str">
        <f>IFERROR(__xludf.DUMMYFUNCTION("""COMPUTED_VALUE"""),"140-145")</f>
        <v>140-145</v>
      </c>
      <c r="F960" s="133" t="str">
        <f>IFERROR(__xludf.DUMMYFUNCTION("""COMPUTED_VALUE"""),"K19020RUK140-145")</f>
        <v>K19020RUK140-145</v>
      </c>
      <c r="G960" s="165">
        <f>IFERROR(__xludf.DUMMYFUNCTION("""COMPUTED_VALUE"""),659.0)</f>
        <v>659</v>
      </c>
    </row>
    <row r="961" ht="15.75" customHeight="1">
      <c r="A961" s="133" t="str">
        <f>IFERROR(__xludf.DUMMYFUNCTION("""COMPUTED_VALUE"""),"K18020RUK")</f>
        <v>K18020RUK</v>
      </c>
      <c r="B961" s="164">
        <f>IFERROR(__xludf.DUMMYFUNCTION("""COMPUTED_VALUE"""),1.3491297E7)</f>
        <v>13491297</v>
      </c>
      <c r="C961" s="164" t="str">
        <f>IFERROR(__xludf.DUMMYFUNCTION("""COMPUTED_VALUE"""),"1349129790-105")</f>
        <v>1349129790-105</v>
      </c>
      <c r="D961" s="164" t="str">
        <f>IFERROR(__xludf.DUMMYFUNCTION("""COMPUTED_VALUE"""),"Детская пижама Корова")</f>
        <v>Детская пижама Корова</v>
      </c>
      <c r="E961" s="164" t="str">
        <f>IFERROR(__xludf.DUMMYFUNCTION("""COMPUTED_VALUE"""),"90-105")</f>
        <v>90-105</v>
      </c>
      <c r="F961" s="133" t="str">
        <f>IFERROR(__xludf.DUMMYFUNCTION("""COMPUTED_VALUE"""),"K18020RUK90-105")</f>
        <v>K18020RUK90-105</v>
      </c>
      <c r="G961" s="165">
        <f>IFERROR(__xludf.DUMMYFUNCTION("""COMPUTED_VALUE"""),659.0)</f>
        <v>659</v>
      </c>
    </row>
    <row r="962" ht="15.75" customHeight="1">
      <c r="A962" s="133" t="str">
        <f>IFERROR(__xludf.DUMMYFUNCTION("""COMPUTED_VALUE"""),"K18020RUK")</f>
        <v>K18020RUK</v>
      </c>
      <c r="B962" s="164">
        <f>IFERROR(__xludf.DUMMYFUNCTION("""COMPUTED_VALUE"""),1.3491297E7)</f>
        <v>13491297</v>
      </c>
      <c r="C962" s="164" t="str">
        <f>IFERROR(__xludf.DUMMYFUNCTION("""COMPUTED_VALUE"""),"13491297110-115")</f>
        <v>13491297110-115</v>
      </c>
      <c r="D962" s="164" t="str">
        <f>IFERROR(__xludf.DUMMYFUNCTION("""COMPUTED_VALUE"""),"Детская пижама Корова")</f>
        <v>Детская пижама Корова</v>
      </c>
      <c r="E962" s="164" t="str">
        <f>IFERROR(__xludf.DUMMYFUNCTION("""COMPUTED_VALUE"""),"110-115")</f>
        <v>110-115</v>
      </c>
      <c r="F962" s="133" t="str">
        <f>IFERROR(__xludf.DUMMYFUNCTION("""COMPUTED_VALUE"""),"K18020RUK110-115")</f>
        <v>K18020RUK110-115</v>
      </c>
      <c r="G962" s="165">
        <f>IFERROR(__xludf.DUMMYFUNCTION("""COMPUTED_VALUE"""),659.0)</f>
        <v>659</v>
      </c>
    </row>
    <row r="963" ht="15.75" customHeight="1">
      <c r="A963" s="133" t="str">
        <f>IFERROR(__xludf.DUMMYFUNCTION("""COMPUTED_VALUE"""),"K18020RUK")</f>
        <v>K18020RUK</v>
      </c>
      <c r="B963" s="164">
        <f>IFERROR(__xludf.DUMMYFUNCTION("""COMPUTED_VALUE"""),1.3491297E7)</f>
        <v>13491297</v>
      </c>
      <c r="C963" s="164" t="str">
        <f>IFERROR(__xludf.DUMMYFUNCTION("""COMPUTED_VALUE"""),"13491297115-125")</f>
        <v>13491297115-125</v>
      </c>
      <c r="D963" s="164" t="str">
        <f>IFERROR(__xludf.DUMMYFUNCTION("""COMPUTED_VALUE"""),"Детская пижама Корова")</f>
        <v>Детская пижама Корова</v>
      </c>
      <c r="E963" s="164" t="str">
        <f>IFERROR(__xludf.DUMMYFUNCTION("""COMPUTED_VALUE"""),"115-125")</f>
        <v>115-125</v>
      </c>
      <c r="F963" s="133" t="str">
        <f>IFERROR(__xludf.DUMMYFUNCTION("""COMPUTED_VALUE"""),"K18020RUK115-125")</f>
        <v>K18020RUK115-125</v>
      </c>
      <c r="G963" s="165">
        <f>IFERROR(__xludf.DUMMYFUNCTION("""COMPUTED_VALUE"""),659.0)</f>
        <v>659</v>
      </c>
    </row>
    <row r="964" ht="15.75" customHeight="1">
      <c r="A964" s="133" t="str">
        <f>IFERROR(__xludf.DUMMYFUNCTION("""COMPUTED_VALUE"""),"K18020RUK")</f>
        <v>K18020RUK</v>
      </c>
      <c r="B964" s="164">
        <f>IFERROR(__xludf.DUMMYFUNCTION("""COMPUTED_VALUE"""),1.3491297E7)</f>
        <v>13491297</v>
      </c>
      <c r="C964" s="164" t="str">
        <f>IFERROR(__xludf.DUMMYFUNCTION("""COMPUTED_VALUE"""),"13491297130-135")</f>
        <v>13491297130-135</v>
      </c>
      <c r="D964" s="164" t="str">
        <f>IFERROR(__xludf.DUMMYFUNCTION("""COMPUTED_VALUE"""),"Детская пижама Корова")</f>
        <v>Детская пижама Корова</v>
      </c>
      <c r="E964" s="164" t="str">
        <f>IFERROR(__xludf.DUMMYFUNCTION("""COMPUTED_VALUE"""),"130-135")</f>
        <v>130-135</v>
      </c>
      <c r="F964" s="133" t="str">
        <f>IFERROR(__xludf.DUMMYFUNCTION("""COMPUTED_VALUE"""),"K18020RUK130-135")</f>
        <v>K18020RUK130-135</v>
      </c>
      <c r="G964" s="165">
        <f>IFERROR(__xludf.DUMMYFUNCTION("""COMPUTED_VALUE"""),659.0)</f>
        <v>659</v>
      </c>
    </row>
    <row r="965" ht="15.75" customHeight="1">
      <c r="A965" s="133" t="str">
        <f>IFERROR(__xludf.DUMMYFUNCTION("""COMPUTED_VALUE"""),"K18020RUK")</f>
        <v>K18020RUK</v>
      </c>
      <c r="B965" s="164">
        <f>IFERROR(__xludf.DUMMYFUNCTION("""COMPUTED_VALUE"""),1.3491297E7)</f>
        <v>13491297</v>
      </c>
      <c r="C965" s="164" t="str">
        <f>IFERROR(__xludf.DUMMYFUNCTION("""COMPUTED_VALUE"""),"13491297140-145")</f>
        <v>13491297140-145</v>
      </c>
      <c r="D965" s="164" t="str">
        <f>IFERROR(__xludf.DUMMYFUNCTION("""COMPUTED_VALUE"""),"Детская пижама Корова")</f>
        <v>Детская пижама Корова</v>
      </c>
      <c r="E965" s="164" t="str">
        <f>IFERROR(__xludf.DUMMYFUNCTION("""COMPUTED_VALUE"""),"140-145")</f>
        <v>140-145</v>
      </c>
      <c r="F965" s="133" t="str">
        <f>IFERROR(__xludf.DUMMYFUNCTION("""COMPUTED_VALUE"""),"K18020RUK140-145")</f>
        <v>K18020RUK140-145</v>
      </c>
      <c r="G965" s="165">
        <f>IFERROR(__xludf.DUMMYFUNCTION("""COMPUTED_VALUE"""),659.0)</f>
        <v>659</v>
      </c>
    </row>
    <row r="966" ht="15.75" customHeight="1">
      <c r="A966" s="133" t="str">
        <f>IFERROR(__xludf.DUMMYFUNCTION("""COMPUTED_VALUE"""),"TL14720RU")</f>
        <v>TL14720RU</v>
      </c>
      <c r="B966" s="164">
        <f>IFERROR(__xludf.DUMMYFUNCTION("""COMPUTED_VALUE"""),1.2192625E7)</f>
        <v>12192625</v>
      </c>
      <c r="C966" s="164" t="str">
        <f>IFERROR(__xludf.DUMMYFUNCTION("""COMPUTED_VALUE"""),"12192625S")</f>
        <v>12192625S</v>
      </c>
      <c r="D966" s="164" t="str">
        <f>IFERROR(__xludf.DUMMYFUNCTION("""COMPUTED_VALUE"""),"Тапки-лапки")</f>
        <v>Тапки-лапки</v>
      </c>
      <c r="E966" s="164" t="str">
        <f>IFERROR(__xludf.DUMMYFUNCTION("""COMPUTED_VALUE"""),"S")</f>
        <v>S</v>
      </c>
      <c r="F966" s="133" t="str">
        <f>IFERROR(__xludf.DUMMYFUNCTION("""COMPUTED_VALUE"""),"TL14720RUS")</f>
        <v>TL14720RUS</v>
      </c>
      <c r="G966" s="165">
        <f>IFERROR(__xludf.DUMMYFUNCTION("""COMPUTED_VALUE"""),397.0)</f>
        <v>397</v>
      </c>
    </row>
    <row r="967" ht="15.75" customHeight="1">
      <c r="A967" s="133" t="str">
        <f>IFERROR(__xludf.DUMMYFUNCTION("""COMPUTED_VALUE"""),"TL14720RU")</f>
        <v>TL14720RU</v>
      </c>
      <c r="B967" s="164">
        <f>IFERROR(__xludf.DUMMYFUNCTION("""COMPUTED_VALUE"""),1.2192625E7)</f>
        <v>12192625</v>
      </c>
      <c r="C967" s="164" t="str">
        <f>IFERROR(__xludf.DUMMYFUNCTION("""COMPUTED_VALUE"""),"12192625M")</f>
        <v>12192625M</v>
      </c>
      <c r="D967" s="164" t="str">
        <f>IFERROR(__xludf.DUMMYFUNCTION("""COMPUTED_VALUE"""),"Тапки-лапки")</f>
        <v>Тапки-лапки</v>
      </c>
      <c r="E967" s="164" t="str">
        <f>IFERROR(__xludf.DUMMYFUNCTION("""COMPUTED_VALUE"""),"M")</f>
        <v>M</v>
      </c>
      <c r="F967" s="133" t="str">
        <f>IFERROR(__xludf.DUMMYFUNCTION("""COMPUTED_VALUE"""),"TL14720RUM")</f>
        <v>TL14720RUM</v>
      </c>
      <c r="G967" s="165">
        <f>IFERROR(__xludf.DUMMYFUNCTION("""COMPUTED_VALUE"""),397.0)</f>
        <v>397</v>
      </c>
    </row>
    <row r="968" ht="15.75" customHeight="1">
      <c r="A968" s="133" t="str">
        <f>IFERROR(__xludf.DUMMYFUNCTION("""COMPUTED_VALUE"""),"TL14720RU")</f>
        <v>TL14720RU</v>
      </c>
      <c r="B968" s="164">
        <f>IFERROR(__xludf.DUMMYFUNCTION("""COMPUTED_VALUE"""),1.2192625E7)</f>
        <v>12192625</v>
      </c>
      <c r="C968" s="164" t="str">
        <f>IFERROR(__xludf.DUMMYFUNCTION("""COMPUTED_VALUE"""),"12192625L")</f>
        <v>12192625L</v>
      </c>
      <c r="D968" s="164" t="str">
        <f>IFERROR(__xludf.DUMMYFUNCTION("""COMPUTED_VALUE"""),"Тапки-лапки")</f>
        <v>Тапки-лапки</v>
      </c>
      <c r="E968" s="164" t="str">
        <f>IFERROR(__xludf.DUMMYFUNCTION("""COMPUTED_VALUE"""),"L")</f>
        <v>L</v>
      </c>
      <c r="F968" s="133" t="str">
        <f>IFERROR(__xludf.DUMMYFUNCTION("""COMPUTED_VALUE"""),"TL14720RUL")</f>
        <v>TL14720RUL</v>
      </c>
      <c r="G968" s="165">
        <f>IFERROR(__xludf.DUMMYFUNCTION("""COMPUTED_VALUE"""),397.0)</f>
        <v>397</v>
      </c>
    </row>
    <row r="969" ht="15.75" customHeight="1">
      <c r="A969" s="133" t="str">
        <f>IFERROR(__xludf.DUMMYFUNCTION("""COMPUTED_VALUE"""),"TL14920RU")</f>
        <v>TL14920RU</v>
      </c>
      <c r="B969" s="164">
        <f>IFERROR(__xludf.DUMMYFUNCTION("""COMPUTED_VALUE"""),1.2192627E7)</f>
        <v>12192627</v>
      </c>
      <c r="C969" s="164" t="str">
        <f>IFERROR(__xludf.DUMMYFUNCTION("""COMPUTED_VALUE"""),"12192627S")</f>
        <v>12192627S</v>
      </c>
      <c r="D969" s="164" t="str">
        <f>IFERROR(__xludf.DUMMYFUNCTION("""COMPUTED_VALUE"""),"Тапки-лапки")</f>
        <v>Тапки-лапки</v>
      </c>
      <c r="E969" s="164" t="str">
        <f>IFERROR(__xludf.DUMMYFUNCTION("""COMPUTED_VALUE"""),"S")</f>
        <v>S</v>
      </c>
      <c r="F969" s="133" t="str">
        <f>IFERROR(__xludf.DUMMYFUNCTION("""COMPUTED_VALUE"""),"TL14920RUS")</f>
        <v>TL14920RUS</v>
      </c>
      <c r="G969" s="165">
        <f>IFERROR(__xludf.DUMMYFUNCTION("""COMPUTED_VALUE"""),397.0)</f>
        <v>397</v>
      </c>
    </row>
    <row r="970" ht="15.75" customHeight="1">
      <c r="A970" s="133" t="str">
        <f>IFERROR(__xludf.DUMMYFUNCTION("""COMPUTED_VALUE"""),"TL14920RU")</f>
        <v>TL14920RU</v>
      </c>
      <c r="B970" s="164">
        <f>IFERROR(__xludf.DUMMYFUNCTION("""COMPUTED_VALUE"""),1.2192627E7)</f>
        <v>12192627</v>
      </c>
      <c r="C970" s="164" t="str">
        <f>IFERROR(__xludf.DUMMYFUNCTION("""COMPUTED_VALUE"""),"12192627M")</f>
        <v>12192627M</v>
      </c>
      <c r="D970" s="164" t="str">
        <f>IFERROR(__xludf.DUMMYFUNCTION("""COMPUTED_VALUE"""),"Тапки-лапки")</f>
        <v>Тапки-лапки</v>
      </c>
      <c r="E970" s="164" t="str">
        <f>IFERROR(__xludf.DUMMYFUNCTION("""COMPUTED_VALUE"""),"M")</f>
        <v>M</v>
      </c>
      <c r="F970" s="133" t="str">
        <f>IFERROR(__xludf.DUMMYFUNCTION("""COMPUTED_VALUE"""),"TL14920RUM")</f>
        <v>TL14920RUM</v>
      </c>
      <c r="G970" s="165">
        <f>IFERROR(__xludf.DUMMYFUNCTION("""COMPUTED_VALUE"""),397.0)</f>
        <v>397</v>
      </c>
    </row>
    <row r="971" ht="15.75" customHeight="1">
      <c r="A971" s="133" t="str">
        <f>IFERROR(__xludf.DUMMYFUNCTION("""COMPUTED_VALUE"""),"TL14920RU")</f>
        <v>TL14920RU</v>
      </c>
      <c r="B971" s="164">
        <f>IFERROR(__xludf.DUMMYFUNCTION("""COMPUTED_VALUE"""),1.2192627E7)</f>
        <v>12192627</v>
      </c>
      <c r="C971" s="164" t="str">
        <f>IFERROR(__xludf.DUMMYFUNCTION("""COMPUTED_VALUE"""),"12192627L")</f>
        <v>12192627L</v>
      </c>
      <c r="D971" s="164" t="str">
        <f>IFERROR(__xludf.DUMMYFUNCTION("""COMPUTED_VALUE"""),"Тапки-лапки")</f>
        <v>Тапки-лапки</v>
      </c>
      <c r="E971" s="164" t="str">
        <f>IFERROR(__xludf.DUMMYFUNCTION("""COMPUTED_VALUE"""),"L")</f>
        <v>L</v>
      </c>
      <c r="F971" s="133" t="str">
        <f>IFERROR(__xludf.DUMMYFUNCTION("""COMPUTED_VALUE"""),"TL14920RUL")</f>
        <v>TL14920RUL</v>
      </c>
      <c r="G971" s="165">
        <f>IFERROR(__xludf.DUMMYFUNCTION("""COMPUTED_VALUE"""),397.0)</f>
        <v>397</v>
      </c>
    </row>
    <row r="972" ht="15.75" customHeight="1">
      <c r="A972" s="133" t="str">
        <f>IFERROR(__xludf.DUMMYFUNCTION("""COMPUTED_VALUE"""),"TL15020RU")</f>
        <v>TL15020RU</v>
      </c>
      <c r="B972" s="164">
        <f>IFERROR(__xludf.DUMMYFUNCTION("""COMPUTED_VALUE"""),1.2192628E7)</f>
        <v>12192628</v>
      </c>
      <c r="C972" s="164" t="str">
        <f>IFERROR(__xludf.DUMMYFUNCTION("""COMPUTED_VALUE"""),"12192628S")</f>
        <v>12192628S</v>
      </c>
      <c r="D972" s="164" t="str">
        <f>IFERROR(__xludf.DUMMYFUNCTION("""COMPUTED_VALUE"""),"Тапки-лапки")</f>
        <v>Тапки-лапки</v>
      </c>
      <c r="E972" s="164" t="str">
        <f>IFERROR(__xludf.DUMMYFUNCTION("""COMPUTED_VALUE"""),"S")</f>
        <v>S</v>
      </c>
      <c r="F972" s="133" t="str">
        <f>IFERROR(__xludf.DUMMYFUNCTION("""COMPUTED_VALUE"""),"TL15020RUS")</f>
        <v>TL15020RUS</v>
      </c>
      <c r="G972" s="165">
        <f>IFERROR(__xludf.DUMMYFUNCTION("""COMPUTED_VALUE"""),292.0)</f>
        <v>292</v>
      </c>
    </row>
    <row r="973" ht="15.75" customHeight="1">
      <c r="A973" s="133" t="str">
        <f>IFERROR(__xludf.DUMMYFUNCTION("""COMPUTED_VALUE"""),"TL15020RU")</f>
        <v>TL15020RU</v>
      </c>
      <c r="B973" s="164">
        <f>IFERROR(__xludf.DUMMYFUNCTION("""COMPUTED_VALUE"""),1.2192628E7)</f>
        <v>12192628</v>
      </c>
      <c r="C973" s="164" t="str">
        <f>IFERROR(__xludf.DUMMYFUNCTION("""COMPUTED_VALUE"""),"12192628M")</f>
        <v>12192628M</v>
      </c>
      <c r="D973" s="164" t="str">
        <f>IFERROR(__xludf.DUMMYFUNCTION("""COMPUTED_VALUE"""),"Тапки-лапки")</f>
        <v>Тапки-лапки</v>
      </c>
      <c r="E973" s="164" t="str">
        <f>IFERROR(__xludf.DUMMYFUNCTION("""COMPUTED_VALUE"""),"M")</f>
        <v>M</v>
      </c>
      <c r="F973" s="133" t="str">
        <f>IFERROR(__xludf.DUMMYFUNCTION("""COMPUTED_VALUE"""),"TL15020RUM")</f>
        <v>TL15020RUM</v>
      </c>
      <c r="G973" s="165">
        <f>IFERROR(__xludf.DUMMYFUNCTION("""COMPUTED_VALUE"""),292.0)</f>
        <v>292</v>
      </c>
    </row>
    <row r="974" ht="15.75" customHeight="1">
      <c r="A974" s="133" t="str">
        <f>IFERROR(__xludf.DUMMYFUNCTION("""COMPUTED_VALUE"""),"TL15020RU")</f>
        <v>TL15020RU</v>
      </c>
      <c r="B974" s="164">
        <f>IFERROR(__xludf.DUMMYFUNCTION("""COMPUTED_VALUE"""),1.2192628E7)</f>
        <v>12192628</v>
      </c>
      <c r="C974" s="164" t="str">
        <f>IFERROR(__xludf.DUMMYFUNCTION("""COMPUTED_VALUE"""),"12192628L")</f>
        <v>12192628L</v>
      </c>
      <c r="D974" s="164" t="str">
        <f>IFERROR(__xludf.DUMMYFUNCTION("""COMPUTED_VALUE"""),"Тапки-лапки")</f>
        <v>Тапки-лапки</v>
      </c>
      <c r="E974" s="164" t="str">
        <f>IFERROR(__xludf.DUMMYFUNCTION("""COMPUTED_VALUE"""),"L")</f>
        <v>L</v>
      </c>
      <c r="F974" s="133" t="str">
        <f>IFERROR(__xludf.DUMMYFUNCTION("""COMPUTED_VALUE"""),"TL15020RUL")</f>
        <v>TL15020RUL</v>
      </c>
      <c r="G974" s="165">
        <f>IFERROR(__xludf.DUMMYFUNCTION("""COMPUTED_VALUE"""),292.0)</f>
        <v>292</v>
      </c>
    </row>
    <row r="975" ht="15.75" customHeight="1">
      <c r="A975" s="133" t="str">
        <f>IFERROR(__xludf.DUMMYFUNCTION("""COMPUTED_VALUE"""),"TL15120RU")</f>
        <v>TL15120RU</v>
      </c>
      <c r="B975" s="164">
        <f>IFERROR(__xludf.DUMMYFUNCTION("""COMPUTED_VALUE"""),1.2192629E7)</f>
        <v>12192629</v>
      </c>
      <c r="C975" s="164" t="str">
        <f>IFERROR(__xludf.DUMMYFUNCTION("""COMPUTED_VALUE"""),"12192629S")</f>
        <v>12192629S</v>
      </c>
      <c r="D975" s="164" t="str">
        <f>IFERROR(__xludf.DUMMYFUNCTION("""COMPUTED_VALUE"""),"Тапки-лапки")</f>
        <v>Тапки-лапки</v>
      </c>
      <c r="E975" s="164" t="str">
        <f>IFERROR(__xludf.DUMMYFUNCTION("""COMPUTED_VALUE"""),"S")</f>
        <v>S</v>
      </c>
      <c r="F975" s="133" t="str">
        <f>IFERROR(__xludf.DUMMYFUNCTION("""COMPUTED_VALUE"""),"TL15120RUS")</f>
        <v>TL15120RUS</v>
      </c>
      <c r="G975" s="165">
        <f>IFERROR(__xludf.DUMMYFUNCTION("""COMPUTED_VALUE"""),289.0)</f>
        <v>289</v>
      </c>
    </row>
    <row r="976" ht="15.75" customHeight="1">
      <c r="A976" s="133" t="str">
        <f>IFERROR(__xludf.DUMMYFUNCTION("""COMPUTED_VALUE"""),"TL15120RU")</f>
        <v>TL15120RU</v>
      </c>
      <c r="B976" s="164">
        <f>IFERROR(__xludf.DUMMYFUNCTION("""COMPUTED_VALUE"""),1.2192629E7)</f>
        <v>12192629</v>
      </c>
      <c r="C976" s="164" t="str">
        <f>IFERROR(__xludf.DUMMYFUNCTION("""COMPUTED_VALUE"""),"12192629M")</f>
        <v>12192629M</v>
      </c>
      <c r="D976" s="164" t="str">
        <f>IFERROR(__xludf.DUMMYFUNCTION("""COMPUTED_VALUE"""),"Тапки-лапки")</f>
        <v>Тапки-лапки</v>
      </c>
      <c r="E976" s="164" t="str">
        <f>IFERROR(__xludf.DUMMYFUNCTION("""COMPUTED_VALUE"""),"M")</f>
        <v>M</v>
      </c>
      <c r="F976" s="133" t="str">
        <f>IFERROR(__xludf.DUMMYFUNCTION("""COMPUTED_VALUE"""),"TL15120RUM")</f>
        <v>TL15120RUM</v>
      </c>
      <c r="G976" s="165">
        <f>IFERROR(__xludf.DUMMYFUNCTION("""COMPUTED_VALUE"""),289.0)</f>
        <v>289</v>
      </c>
    </row>
    <row r="977" ht="15.75" customHeight="1">
      <c r="A977" s="133" t="str">
        <f>IFERROR(__xludf.DUMMYFUNCTION("""COMPUTED_VALUE"""),"TL15120RU")</f>
        <v>TL15120RU</v>
      </c>
      <c r="B977" s="164">
        <f>IFERROR(__xludf.DUMMYFUNCTION("""COMPUTED_VALUE"""),1.2192629E7)</f>
        <v>12192629</v>
      </c>
      <c r="C977" s="164" t="str">
        <f>IFERROR(__xludf.DUMMYFUNCTION("""COMPUTED_VALUE"""),"12192629L")</f>
        <v>12192629L</v>
      </c>
      <c r="D977" s="164" t="str">
        <f>IFERROR(__xludf.DUMMYFUNCTION("""COMPUTED_VALUE"""),"Тапки-лапки")</f>
        <v>Тапки-лапки</v>
      </c>
      <c r="E977" s="164" t="str">
        <f>IFERROR(__xludf.DUMMYFUNCTION("""COMPUTED_VALUE"""),"L")</f>
        <v>L</v>
      </c>
      <c r="F977" s="133" t="str">
        <f>IFERROR(__xludf.DUMMYFUNCTION("""COMPUTED_VALUE"""),"TL15120RUL")</f>
        <v>TL15120RUL</v>
      </c>
      <c r="G977" s="165">
        <f>IFERROR(__xludf.DUMMYFUNCTION("""COMPUTED_VALUE"""),289.0)</f>
        <v>289</v>
      </c>
    </row>
    <row r="978" ht="15.75" customHeight="1">
      <c r="A978" s="133" t="str">
        <f>IFERROR(__xludf.DUMMYFUNCTION("""COMPUTED_VALUE"""),"TL15220RU")</f>
        <v>TL15220RU</v>
      </c>
      <c r="B978" s="164">
        <f>IFERROR(__xludf.DUMMYFUNCTION("""COMPUTED_VALUE"""),1.219263E7)</f>
        <v>12192630</v>
      </c>
      <c r="C978" s="164" t="str">
        <f>IFERROR(__xludf.DUMMYFUNCTION("""COMPUTED_VALUE"""),"12192630S")</f>
        <v>12192630S</v>
      </c>
      <c r="D978" s="164" t="str">
        <f>IFERROR(__xludf.DUMMYFUNCTION("""COMPUTED_VALUE"""),"Тапки-лапки")</f>
        <v>Тапки-лапки</v>
      </c>
      <c r="E978" s="164" t="str">
        <f>IFERROR(__xludf.DUMMYFUNCTION("""COMPUTED_VALUE"""),"S")</f>
        <v>S</v>
      </c>
      <c r="F978" s="133" t="str">
        <f>IFERROR(__xludf.DUMMYFUNCTION("""COMPUTED_VALUE"""),"TL15220RUS")</f>
        <v>TL15220RUS</v>
      </c>
      <c r="G978" s="165">
        <f>IFERROR(__xludf.DUMMYFUNCTION("""COMPUTED_VALUE"""),289.0)</f>
        <v>289</v>
      </c>
    </row>
    <row r="979" ht="15.75" customHeight="1">
      <c r="A979" s="133" t="str">
        <f>IFERROR(__xludf.DUMMYFUNCTION("""COMPUTED_VALUE"""),"TL15220RU")</f>
        <v>TL15220RU</v>
      </c>
      <c r="B979" s="164">
        <f>IFERROR(__xludf.DUMMYFUNCTION("""COMPUTED_VALUE"""),1.219263E7)</f>
        <v>12192630</v>
      </c>
      <c r="C979" s="164" t="str">
        <f>IFERROR(__xludf.DUMMYFUNCTION("""COMPUTED_VALUE"""),"12192630M")</f>
        <v>12192630M</v>
      </c>
      <c r="D979" s="164" t="str">
        <f>IFERROR(__xludf.DUMMYFUNCTION("""COMPUTED_VALUE"""),"Тапки-лапки")</f>
        <v>Тапки-лапки</v>
      </c>
      <c r="E979" s="164" t="str">
        <f>IFERROR(__xludf.DUMMYFUNCTION("""COMPUTED_VALUE"""),"M")</f>
        <v>M</v>
      </c>
      <c r="F979" s="133" t="str">
        <f>IFERROR(__xludf.DUMMYFUNCTION("""COMPUTED_VALUE"""),"TL15220RUM")</f>
        <v>TL15220RUM</v>
      </c>
      <c r="G979" s="165">
        <f>IFERROR(__xludf.DUMMYFUNCTION("""COMPUTED_VALUE"""),289.0)</f>
        <v>289</v>
      </c>
    </row>
    <row r="980" ht="15.75" customHeight="1">
      <c r="A980" s="133" t="str">
        <f>IFERROR(__xludf.DUMMYFUNCTION("""COMPUTED_VALUE"""),"TL15220RU")</f>
        <v>TL15220RU</v>
      </c>
      <c r="B980" s="164">
        <f>IFERROR(__xludf.DUMMYFUNCTION("""COMPUTED_VALUE"""),1.219263E7)</f>
        <v>12192630</v>
      </c>
      <c r="C980" s="164" t="str">
        <f>IFERROR(__xludf.DUMMYFUNCTION("""COMPUTED_VALUE"""),"12192630L")</f>
        <v>12192630L</v>
      </c>
      <c r="D980" s="164" t="str">
        <f>IFERROR(__xludf.DUMMYFUNCTION("""COMPUTED_VALUE"""),"Тапки-лапки")</f>
        <v>Тапки-лапки</v>
      </c>
      <c r="E980" s="164" t="str">
        <f>IFERROR(__xludf.DUMMYFUNCTION("""COMPUTED_VALUE"""),"L")</f>
        <v>L</v>
      </c>
      <c r="F980" s="133" t="str">
        <f>IFERROR(__xludf.DUMMYFUNCTION("""COMPUTED_VALUE"""),"TL15220RUL")</f>
        <v>TL15220RUL</v>
      </c>
      <c r="G980" s="165">
        <f>IFERROR(__xludf.DUMMYFUNCTION("""COMPUTED_VALUE"""),289.0)</f>
        <v>289</v>
      </c>
    </row>
    <row r="981" ht="15.75" customHeight="1">
      <c r="A981" s="133" t="str">
        <f>IFERROR(__xludf.DUMMYFUNCTION("""COMPUTED_VALUE"""),"TL15320RU")</f>
        <v>TL15320RU</v>
      </c>
      <c r="B981" s="164">
        <f>IFERROR(__xludf.DUMMYFUNCTION("""COMPUTED_VALUE"""),1.2192631E7)</f>
        <v>12192631</v>
      </c>
      <c r="C981" s="164" t="str">
        <f>IFERROR(__xludf.DUMMYFUNCTION("""COMPUTED_VALUE"""),"12192631S")</f>
        <v>12192631S</v>
      </c>
      <c r="D981" s="164" t="str">
        <f>IFERROR(__xludf.DUMMYFUNCTION("""COMPUTED_VALUE"""),"Тапки-лапки")</f>
        <v>Тапки-лапки</v>
      </c>
      <c r="E981" s="164" t="str">
        <f>IFERROR(__xludf.DUMMYFUNCTION("""COMPUTED_VALUE"""),"S")</f>
        <v>S</v>
      </c>
      <c r="F981" s="133" t="str">
        <f>IFERROR(__xludf.DUMMYFUNCTION("""COMPUTED_VALUE"""),"TL15320RUS")</f>
        <v>TL15320RUS</v>
      </c>
      <c r="G981" s="165">
        <f>IFERROR(__xludf.DUMMYFUNCTION("""COMPUTED_VALUE"""),289.0)</f>
        <v>289</v>
      </c>
    </row>
    <row r="982" ht="15.75" customHeight="1">
      <c r="A982" s="133" t="str">
        <f>IFERROR(__xludf.DUMMYFUNCTION("""COMPUTED_VALUE"""),"TL15320RU")</f>
        <v>TL15320RU</v>
      </c>
      <c r="B982" s="164">
        <f>IFERROR(__xludf.DUMMYFUNCTION("""COMPUTED_VALUE"""),1.2192631E7)</f>
        <v>12192631</v>
      </c>
      <c r="C982" s="164" t="str">
        <f>IFERROR(__xludf.DUMMYFUNCTION("""COMPUTED_VALUE"""),"12192631M")</f>
        <v>12192631M</v>
      </c>
      <c r="D982" s="164" t="str">
        <f>IFERROR(__xludf.DUMMYFUNCTION("""COMPUTED_VALUE"""),"Тапки-лапки")</f>
        <v>Тапки-лапки</v>
      </c>
      <c r="E982" s="164" t="str">
        <f>IFERROR(__xludf.DUMMYFUNCTION("""COMPUTED_VALUE"""),"M")</f>
        <v>M</v>
      </c>
      <c r="F982" s="133" t="str">
        <f>IFERROR(__xludf.DUMMYFUNCTION("""COMPUTED_VALUE"""),"TL15320RUM")</f>
        <v>TL15320RUM</v>
      </c>
      <c r="G982" s="165">
        <f>IFERROR(__xludf.DUMMYFUNCTION("""COMPUTED_VALUE"""),289.0)</f>
        <v>289</v>
      </c>
    </row>
    <row r="983" ht="15.75" customHeight="1">
      <c r="A983" s="133" t="str">
        <f>IFERROR(__xludf.DUMMYFUNCTION("""COMPUTED_VALUE"""),"TL15320RU")</f>
        <v>TL15320RU</v>
      </c>
      <c r="B983" s="164">
        <f>IFERROR(__xludf.DUMMYFUNCTION("""COMPUTED_VALUE"""),1.2192631E7)</f>
        <v>12192631</v>
      </c>
      <c r="C983" s="164" t="str">
        <f>IFERROR(__xludf.DUMMYFUNCTION("""COMPUTED_VALUE"""),"12192631L")</f>
        <v>12192631L</v>
      </c>
      <c r="D983" s="164" t="str">
        <f>IFERROR(__xludf.DUMMYFUNCTION("""COMPUTED_VALUE"""),"Тапки-лапки")</f>
        <v>Тапки-лапки</v>
      </c>
      <c r="E983" s="164" t="str">
        <f>IFERROR(__xludf.DUMMYFUNCTION("""COMPUTED_VALUE"""),"L")</f>
        <v>L</v>
      </c>
      <c r="F983" s="133" t="str">
        <f>IFERROR(__xludf.DUMMYFUNCTION("""COMPUTED_VALUE"""),"TL15320RUL")</f>
        <v>TL15320RUL</v>
      </c>
      <c r="G983" s="165">
        <f>IFERROR(__xludf.DUMMYFUNCTION("""COMPUTED_VALUE"""),289.0)</f>
        <v>289</v>
      </c>
    </row>
    <row r="984" ht="15.75" customHeight="1">
      <c r="A984" s="133" t="str">
        <f>IFERROR(__xludf.DUMMYFUNCTION("""COMPUTED_VALUE"""),"TL15420RU")</f>
        <v>TL15420RU</v>
      </c>
      <c r="B984" s="164">
        <f>IFERROR(__xludf.DUMMYFUNCTION("""COMPUTED_VALUE"""),1.2192632E7)</f>
        <v>12192632</v>
      </c>
      <c r="C984" s="164" t="str">
        <f>IFERROR(__xludf.DUMMYFUNCTION("""COMPUTED_VALUE"""),"12192632S")</f>
        <v>12192632S</v>
      </c>
      <c r="D984" s="164" t="str">
        <f>IFERROR(__xludf.DUMMYFUNCTION("""COMPUTED_VALUE"""),"Тапки-лапки")</f>
        <v>Тапки-лапки</v>
      </c>
      <c r="E984" s="164" t="str">
        <f>IFERROR(__xludf.DUMMYFUNCTION("""COMPUTED_VALUE"""),"S")</f>
        <v>S</v>
      </c>
      <c r="F984" s="133" t="str">
        <f>IFERROR(__xludf.DUMMYFUNCTION("""COMPUTED_VALUE"""),"TL15420RUS")</f>
        <v>TL15420RUS</v>
      </c>
      <c r="G984" s="165">
        <f>IFERROR(__xludf.DUMMYFUNCTION("""COMPUTED_VALUE"""),289.0)</f>
        <v>289</v>
      </c>
    </row>
    <row r="985" ht="15.75" customHeight="1">
      <c r="A985" s="133" t="str">
        <f>IFERROR(__xludf.DUMMYFUNCTION("""COMPUTED_VALUE"""),"TL15420RU")</f>
        <v>TL15420RU</v>
      </c>
      <c r="B985" s="164">
        <f>IFERROR(__xludf.DUMMYFUNCTION("""COMPUTED_VALUE"""),1.2192632E7)</f>
        <v>12192632</v>
      </c>
      <c r="C985" s="164" t="str">
        <f>IFERROR(__xludf.DUMMYFUNCTION("""COMPUTED_VALUE"""),"12192632M")</f>
        <v>12192632M</v>
      </c>
      <c r="D985" s="164" t="str">
        <f>IFERROR(__xludf.DUMMYFUNCTION("""COMPUTED_VALUE"""),"Тапки-лапки")</f>
        <v>Тапки-лапки</v>
      </c>
      <c r="E985" s="164" t="str">
        <f>IFERROR(__xludf.DUMMYFUNCTION("""COMPUTED_VALUE"""),"M")</f>
        <v>M</v>
      </c>
      <c r="F985" s="133" t="str">
        <f>IFERROR(__xludf.DUMMYFUNCTION("""COMPUTED_VALUE"""),"TL15420RUM")</f>
        <v>TL15420RUM</v>
      </c>
      <c r="G985" s="165">
        <f>IFERROR(__xludf.DUMMYFUNCTION("""COMPUTED_VALUE"""),289.0)</f>
        <v>289</v>
      </c>
    </row>
    <row r="986" ht="15.75" customHeight="1">
      <c r="A986" s="133" t="str">
        <f>IFERROR(__xludf.DUMMYFUNCTION("""COMPUTED_VALUE"""),"TL15420RU")</f>
        <v>TL15420RU</v>
      </c>
      <c r="B986" s="164">
        <f>IFERROR(__xludf.DUMMYFUNCTION("""COMPUTED_VALUE"""),1.2192632E7)</f>
        <v>12192632</v>
      </c>
      <c r="C986" s="164" t="str">
        <f>IFERROR(__xludf.DUMMYFUNCTION("""COMPUTED_VALUE"""),"12192632L")</f>
        <v>12192632L</v>
      </c>
      <c r="D986" s="164" t="str">
        <f>IFERROR(__xludf.DUMMYFUNCTION("""COMPUTED_VALUE"""),"Тапки-лапки")</f>
        <v>Тапки-лапки</v>
      </c>
      <c r="E986" s="164" t="str">
        <f>IFERROR(__xludf.DUMMYFUNCTION("""COMPUTED_VALUE"""),"L")</f>
        <v>L</v>
      </c>
      <c r="F986" s="133" t="str">
        <f>IFERROR(__xludf.DUMMYFUNCTION("""COMPUTED_VALUE"""),"TL15420RUL")</f>
        <v>TL15420RUL</v>
      </c>
      <c r="G986" s="165">
        <f>IFERROR(__xludf.DUMMYFUNCTION("""COMPUTED_VALUE"""),289.0)</f>
        <v>289</v>
      </c>
    </row>
    <row r="987" ht="15.75" customHeight="1">
      <c r="A987" s="133" t="str">
        <f>IFERROR(__xludf.DUMMYFUNCTION("""COMPUTED_VALUE"""),"TL15620RU")</f>
        <v>TL15620RU</v>
      </c>
      <c r="B987" s="164">
        <f>IFERROR(__xludf.DUMMYFUNCTION("""COMPUTED_VALUE"""),1.2192634E7)</f>
        <v>12192634</v>
      </c>
      <c r="C987" s="164" t="str">
        <f>IFERROR(__xludf.DUMMYFUNCTION("""COMPUTED_VALUE"""),"12192634S")</f>
        <v>12192634S</v>
      </c>
      <c r="D987" s="164" t="str">
        <f>IFERROR(__xludf.DUMMYFUNCTION("""COMPUTED_VALUE"""),"Тапки-лапки")</f>
        <v>Тапки-лапки</v>
      </c>
      <c r="E987" s="164" t="str">
        <f>IFERROR(__xludf.DUMMYFUNCTION("""COMPUTED_VALUE"""),"S")</f>
        <v>S</v>
      </c>
      <c r="F987" s="133" t="str">
        <f>IFERROR(__xludf.DUMMYFUNCTION("""COMPUTED_VALUE"""),"TL15620RUS")</f>
        <v>TL15620RUS</v>
      </c>
      <c r="G987" s="165">
        <f>IFERROR(__xludf.DUMMYFUNCTION("""COMPUTED_VALUE"""),292.0)</f>
        <v>292</v>
      </c>
    </row>
    <row r="988" ht="15.75" customHeight="1">
      <c r="A988" s="133" t="str">
        <f>IFERROR(__xludf.DUMMYFUNCTION("""COMPUTED_VALUE"""),"TL15620RU")</f>
        <v>TL15620RU</v>
      </c>
      <c r="B988" s="164">
        <f>IFERROR(__xludf.DUMMYFUNCTION("""COMPUTED_VALUE"""),1.2192634E7)</f>
        <v>12192634</v>
      </c>
      <c r="C988" s="164" t="str">
        <f>IFERROR(__xludf.DUMMYFUNCTION("""COMPUTED_VALUE"""),"12192634M")</f>
        <v>12192634M</v>
      </c>
      <c r="D988" s="164" t="str">
        <f>IFERROR(__xludf.DUMMYFUNCTION("""COMPUTED_VALUE"""),"Тапки-лапки")</f>
        <v>Тапки-лапки</v>
      </c>
      <c r="E988" s="164" t="str">
        <f>IFERROR(__xludf.DUMMYFUNCTION("""COMPUTED_VALUE"""),"M")</f>
        <v>M</v>
      </c>
      <c r="F988" s="133" t="str">
        <f>IFERROR(__xludf.DUMMYFUNCTION("""COMPUTED_VALUE"""),"TL15620RUM")</f>
        <v>TL15620RUM</v>
      </c>
      <c r="G988" s="165">
        <f>IFERROR(__xludf.DUMMYFUNCTION("""COMPUTED_VALUE"""),292.0)</f>
        <v>292</v>
      </c>
    </row>
    <row r="989" ht="15.75" customHeight="1">
      <c r="A989" s="133" t="str">
        <f>IFERROR(__xludf.DUMMYFUNCTION("""COMPUTED_VALUE"""),"TL15620RU")</f>
        <v>TL15620RU</v>
      </c>
      <c r="B989" s="164">
        <f>IFERROR(__xludf.DUMMYFUNCTION("""COMPUTED_VALUE"""),1.2192634E7)</f>
        <v>12192634</v>
      </c>
      <c r="C989" s="164" t="str">
        <f>IFERROR(__xludf.DUMMYFUNCTION("""COMPUTED_VALUE"""),"12192634L")</f>
        <v>12192634L</v>
      </c>
      <c r="D989" s="164" t="str">
        <f>IFERROR(__xludf.DUMMYFUNCTION("""COMPUTED_VALUE"""),"Тапки-лапки")</f>
        <v>Тапки-лапки</v>
      </c>
      <c r="E989" s="164" t="str">
        <f>IFERROR(__xludf.DUMMYFUNCTION("""COMPUTED_VALUE"""),"L")</f>
        <v>L</v>
      </c>
      <c r="F989" s="133" t="str">
        <f>IFERROR(__xludf.DUMMYFUNCTION("""COMPUTED_VALUE"""),"TL15620RUL")</f>
        <v>TL15620RUL</v>
      </c>
      <c r="G989" s="165">
        <f>IFERROR(__xludf.DUMMYFUNCTION("""COMPUTED_VALUE"""),292.0)</f>
        <v>292</v>
      </c>
    </row>
    <row r="990" ht="15.75" customHeight="1">
      <c r="A990" s="133" t="str">
        <f>IFERROR(__xludf.DUMMYFUNCTION("""COMPUTED_VALUE"""),"TL16320RU")</f>
        <v>TL16320RU</v>
      </c>
      <c r="B990" s="164">
        <f>IFERROR(__xludf.DUMMYFUNCTION("""COMPUTED_VALUE"""),1.291711E7)</f>
        <v>12917110</v>
      </c>
      <c r="C990" s="164" t="str">
        <f>IFERROR(__xludf.DUMMYFUNCTION("""COMPUTED_VALUE"""),"12917110S")</f>
        <v>12917110S</v>
      </c>
      <c r="D990" s="164" t="str">
        <f>IFERROR(__xludf.DUMMYFUNCTION("""COMPUTED_VALUE"""),"Тапки-лапки")</f>
        <v>Тапки-лапки</v>
      </c>
      <c r="E990" s="164" t="str">
        <f>IFERROR(__xludf.DUMMYFUNCTION("""COMPUTED_VALUE"""),"S")</f>
        <v>S</v>
      </c>
      <c r="F990" s="133" t="str">
        <f>IFERROR(__xludf.DUMMYFUNCTION("""COMPUTED_VALUE"""),"TL16320RUS")</f>
        <v>TL16320RUS</v>
      </c>
      <c r="G990" s="165">
        <f>IFERROR(__xludf.DUMMYFUNCTION("""COMPUTED_VALUE"""),397.0)</f>
        <v>397</v>
      </c>
    </row>
    <row r="991" ht="15.75" customHeight="1">
      <c r="A991" s="133" t="str">
        <f>IFERROR(__xludf.DUMMYFUNCTION("""COMPUTED_VALUE"""),"TL16320RU")</f>
        <v>TL16320RU</v>
      </c>
      <c r="B991" s="164">
        <f>IFERROR(__xludf.DUMMYFUNCTION("""COMPUTED_VALUE"""),1.291711E7)</f>
        <v>12917110</v>
      </c>
      <c r="C991" s="164" t="str">
        <f>IFERROR(__xludf.DUMMYFUNCTION("""COMPUTED_VALUE"""),"12917110M")</f>
        <v>12917110M</v>
      </c>
      <c r="D991" s="164" t="str">
        <f>IFERROR(__xludf.DUMMYFUNCTION("""COMPUTED_VALUE"""),"Тапки-лапки")</f>
        <v>Тапки-лапки</v>
      </c>
      <c r="E991" s="164" t="str">
        <f>IFERROR(__xludf.DUMMYFUNCTION("""COMPUTED_VALUE"""),"M")</f>
        <v>M</v>
      </c>
      <c r="F991" s="133" t="str">
        <f>IFERROR(__xludf.DUMMYFUNCTION("""COMPUTED_VALUE"""),"TL16320RUM")</f>
        <v>TL16320RUM</v>
      </c>
      <c r="G991" s="165">
        <f>IFERROR(__xludf.DUMMYFUNCTION("""COMPUTED_VALUE"""),397.0)</f>
        <v>397</v>
      </c>
    </row>
    <row r="992" ht="15.75" customHeight="1">
      <c r="A992" s="133" t="str">
        <f>IFERROR(__xludf.DUMMYFUNCTION("""COMPUTED_VALUE"""),"TL16320RU")</f>
        <v>TL16320RU</v>
      </c>
      <c r="B992" s="164">
        <f>IFERROR(__xludf.DUMMYFUNCTION("""COMPUTED_VALUE"""),1.291711E7)</f>
        <v>12917110</v>
      </c>
      <c r="C992" s="164" t="str">
        <f>IFERROR(__xludf.DUMMYFUNCTION("""COMPUTED_VALUE"""),"12917110L")</f>
        <v>12917110L</v>
      </c>
      <c r="D992" s="164" t="str">
        <f>IFERROR(__xludf.DUMMYFUNCTION("""COMPUTED_VALUE"""),"Тапки-лапки")</f>
        <v>Тапки-лапки</v>
      </c>
      <c r="E992" s="164" t="str">
        <f>IFERROR(__xludf.DUMMYFUNCTION("""COMPUTED_VALUE"""),"L")</f>
        <v>L</v>
      </c>
      <c r="F992" s="133" t="str">
        <f>IFERROR(__xludf.DUMMYFUNCTION("""COMPUTED_VALUE"""),"TL16320RUL")</f>
        <v>TL16320RUL</v>
      </c>
      <c r="G992" s="165">
        <f>IFERROR(__xludf.DUMMYFUNCTION("""COMPUTED_VALUE"""),397.0)</f>
        <v>397</v>
      </c>
    </row>
    <row r="993" ht="15.75" customHeight="1">
      <c r="A993" s="133" t="str">
        <f>IFERROR(__xludf.DUMMYFUNCTION("""COMPUTED_VALUE"""),"TL16420RU")</f>
        <v>TL16420RU</v>
      </c>
      <c r="B993" s="164">
        <f>IFERROR(__xludf.DUMMYFUNCTION("""COMPUTED_VALUE"""),1.2917111E7)</f>
        <v>12917111</v>
      </c>
      <c r="C993" s="164" t="str">
        <f>IFERROR(__xludf.DUMMYFUNCTION("""COMPUTED_VALUE"""),"12917111S")</f>
        <v>12917111S</v>
      </c>
      <c r="D993" s="164" t="str">
        <f>IFERROR(__xludf.DUMMYFUNCTION("""COMPUTED_VALUE"""),"Тапки-лапки")</f>
        <v>Тапки-лапки</v>
      </c>
      <c r="E993" s="164" t="str">
        <f>IFERROR(__xludf.DUMMYFUNCTION("""COMPUTED_VALUE"""),"S")</f>
        <v>S</v>
      </c>
      <c r="F993" s="133" t="str">
        <f>IFERROR(__xludf.DUMMYFUNCTION("""COMPUTED_VALUE"""),"TL16420RUS")</f>
        <v>TL16420RUS</v>
      </c>
      <c r="G993" s="165">
        <f>IFERROR(__xludf.DUMMYFUNCTION("""COMPUTED_VALUE"""),397.0)</f>
        <v>397</v>
      </c>
    </row>
    <row r="994" ht="15.75" customHeight="1">
      <c r="A994" s="133" t="str">
        <f>IFERROR(__xludf.DUMMYFUNCTION("""COMPUTED_VALUE"""),"TL16420RU")</f>
        <v>TL16420RU</v>
      </c>
      <c r="B994" s="164">
        <f>IFERROR(__xludf.DUMMYFUNCTION("""COMPUTED_VALUE"""),1.2917111E7)</f>
        <v>12917111</v>
      </c>
      <c r="C994" s="164" t="str">
        <f>IFERROR(__xludf.DUMMYFUNCTION("""COMPUTED_VALUE"""),"12917111M")</f>
        <v>12917111M</v>
      </c>
      <c r="D994" s="164" t="str">
        <f>IFERROR(__xludf.DUMMYFUNCTION("""COMPUTED_VALUE"""),"Тапки-лапки")</f>
        <v>Тапки-лапки</v>
      </c>
      <c r="E994" s="164" t="str">
        <f>IFERROR(__xludf.DUMMYFUNCTION("""COMPUTED_VALUE"""),"M")</f>
        <v>M</v>
      </c>
      <c r="F994" s="133" t="str">
        <f>IFERROR(__xludf.DUMMYFUNCTION("""COMPUTED_VALUE"""),"TL16420RUM")</f>
        <v>TL16420RUM</v>
      </c>
      <c r="G994" s="165">
        <f>IFERROR(__xludf.DUMMYFUNCTION("""COMPUTED_VALUE"""),397.0)</f>
        <v>397</v>
      </c>
    </row>
    <row r="995" ht="15.75" customHeight="1">
      <c r="A995" s="133" t="str">
        <f>IFERROR(__xludf.DUMMYFUNCTION("""COMPUTED_VALUE"""),"TL16420RU")</f>
        <v>TL16420RU</v>
      </c>
      <c r="B995" s="164">
        <f>IFERROR(__xludf.DUMMYFUNCTION("""COMPUTED_VALUE"""),1.2917111E7)</f>
        <v>12917111</v>
      </c>
      <c r="C995" s="164" t="str">
        <f>IFERROR(__xludf.DUMMYFUNCTION("""COMPUTED_VALUE"""),"12917111L")</f>
        <v>12917111L</v>
      </c>
      <c r="D995" s="164" t="str">
        <f>IFERROR(__xludf.DUMMYFUNCTION("""COMPUTED_VALUE"""),"Тапки-лапки")</f>
        <v>Тапки-лапки</v>
      </c>
      <c r="E995" s="164" t="str">
        <f>IFERROR(__xludf.DUMMYFUNCTION("""COMPUTED_VALUE"""),"L")</f>
        <v>L</v>
      </c>
      <c r="F995" s="133" t="str">
        <f>IFERROR(__xludf.DUMMYFUNCTION("""COMPUTED_VALUE"""),"TL16420RUL")</f>
        <v>TL16420RUL</v>
      </c>
      <c r="G995" s="165">
        <f>IFERROR(__xludf.DUMMYFUNCTION("""COMPUTED_VALUE"""),397.0)</f>
        <v>397</v>
      </c>
    </row>
    <row r="996" ht="15.75" customHeight="1">
      <c r="A996" s="133" t="str">
        <f>IFERROR(__xludf.DUMMYFUNCTION("""COMPUTED_VALUE"""),"TE16520RU")</f>
        <v>TE16520RU</v>
      </c>
      <c r="B996" s="164">
        <f>IFERROR(__xludf.DUMMYFUNCTION("""COMPUTED_VALUE"""),1.2917108E7)</f>
        <v>12917108</v>
      </c>
      <c r="C996" s="164" t="str">
        <f>IFERROR(__xludf.DUMMYFUNCTION("""COMPUTED_VALUE"""),"12917108S")</f>
        <v>12917108S</v>
      </c>
      <c r="D996" s="164" t="str">
        <f>IFERROR(__xludf.DUMMYFUNCTION("""COMPUTED_VALUE"""),"Тапки-лапки Единороги")</f>
        <v>Тапки-лапки Единороги</v>
      </c>
      <c r="E996" s="164" t="str">
        <f>IFERROR(__xludf.DUMMYFUNCTION("""COMPUTED_VALUE"""),"S")</f>
        <v>S</v>
      </c>
      <c r="F996" s="133" t="str">
        <f>IFERROR(__xludf.DUMMYFUNCTION("""COMPUTED_VALUE"""),"TE16520RUS")</f>
        <v>TE16520RUS</v>
      </c>
      <c r="G996" s="165">
        <f>IFERROR(__xludf.DUMMYFUNCTION("""COMPUTED_VALUE"""),462.0)</f>
        <v>462</v>
      </c>
    </row>
    <row r="997" ht="15.75" customHeight="1">
      <c r="A997" s="133" t="str">
        <f>IFERROR(__xludf.DUMMYFUNCTION("""COMPUTED_VALUE"""),"TE16520RU")</f>
        <v>TE16520RU</v>
      </c>
      <c r="B997" s="164">
        <f>IFERROR(__xludf.DUMMYFUNCTION("""COMPUTED_VALUE"""),1.2917108E7)</f>
        <v>12917108</v>
      </c>
      <c r="C997" s="164" t="str">
        <f>IFERROR(__xludf.DUMMYFUNCTION("""COMPUTED_VALUE"""),"12917108M")</f>
        <v>12917108M</v>
      </c>
      <c r="D997" s="164" t="str">
        <f>IFERROR(__xludf.DUMMYFUNCTION("""COMPUTED_VALUE"""),"Тапки-лапки Единороги")</f>
        <v>Тапки-лапки Единороги</v>
      </c>
      <c r="E997" s="164" t="str">
        <f>IFERROR(__xludf.DUMMYFUNCTION("""COMPUTED_VALUE"""),"M")</f>
        <v>M</v>
      </c>
      <c r="F997" s="133" t="str">
        <f>IFERROR(__xludf.DUMMYFUNCTION("""COMPUTED_VALUE"""),"TE16520RUM")</f>
        <v>TE16520RUM</v>
      </c>
      <c r="G997" s="165">
        <f>IFERROR(__xludf.DUMMYFUNCTION("""COMPUTED_VALUE"""),462.0)</f>
        <v>462</v>
      </c>
    </row>
    <row r="998" ht="15.75" customHeight="1">
      <c r="A998" s="133" t="str">
        <f>IFERROR(__xludf.DUMMYFUNCTION("""COMPUTED_VALUE"""),"TE16520RU")</f>
        <v>TE16520RU</v>
      </c>
      <c r="B998" s="164">
        <f>IFERROR(__xludf.DUMMYFUNCTION("""COMPUTED_VALUE"""),1.2917108E7)</f>
        <v>12917108</v>
      </c>
      <c r="C998" s="164" t="str">
        <f>IFERROR(__xludf.DUMMYFUNCTION("""COMPUTED_VALUE"""),"12917108L")</f>
        <v>12917108L</v>
      </c>
      <c r="D998" s="164" t="str">
        <f>IFERROR(__xludf.DUMMYFUNCTION("""COMPUTED_VALUE"""),"Тапки-лапки Единороги")</f>
        <v>Тапки-лапки Единороги</v>
      </c>
      <c r="E998" s="164" t="str">
        <f>IFERROR(__xludf.DUMMYFUNCTION("""COMPUTED_VALUE"""),"L")</f>
        <v>L</v>
      </c>
      <c r="F998" s="133" t="str">
        <f>IFERROR(__xludf.DUMMYFUNCTION("""COMPUTED_VALUE"""),"TE16520RUL")</f>
        <v>TE16520RUL</v>
      </c>
      <c r="G998" s="165">
        <f>IFERROR(__xludf.DUMMYFUNCTION("""COMPUTED_VALUE"""),462.0)</f>
        <v>462</v>
      </c>
    </row>
    <row r="999" ht="15.75" customHeight="1">
      <c r="A999" s="133" t="str">
        <f>IFERROR(__xludf.DUMMYFUNCTION("""COMPUTED_VALUE"""),"TE16620RU")</f>
        <v>TE16620RU</v>
      </c>
      <c r="B999" s="164">
        <f>IFERROR(__xludf.DUMMYFUNCTION("""COMPUTED_VALUE"""),1.2917109E7)</f>
        <v>12917109</v>
      </c>
      <c r="C999" s="164" t="str">
        <f>IFERROR(__xludf.DUMMYFUNCTION("""COMPUTED_VALUE"""),"12917109S")</f>
        <v>12917109S</v>
      </c>
      <c r="D999" s="164" t="str">
        <f>IFERROR(__xludf.DUMMYFUNCTION("""COMPUTED_VALUE"""),"Тапки-лапки Единороги")</f>
        <v>Тапки-лапки Единороги</v>
      </c>
      <c r="E999" s="164" t="str">
        <f>IFERROR(__xludf.DUMMYFUNCTION("""COMPUTED_VALUE"""),"S")</f>
        <v>S</v>
      </c>
      <c r="F999" s="133" t="str">
        <f>IFERROR(__xludf.DUMMYFUNCTION("""COMPUTED_VALUE"""),"TE16620RUS")</f>
        <v>TE16620RUS</v>
      </c>
      <c r="G999" s="165">
        <f>IFERROR(__xludf.DUMMYFUNCTION("""COMPUTED_VALUE"""),462.0)</f>
        <v>462</v>
      </c>
    </row>
    <row r="1000" ht="15.75" customHeight="1">
      <c r="A1000" s="133" t="str">
        <f>IFERROR(__xludf.DUMMYFUNCTION("""COMPUTED_VALUE"""),"TE16620RU")</f>
        <v>TE16620RU</v>
      </c>
      <c r="B1000" s="164">
        <f>IFERROR(__xludf.DUMMYFUNCTION("""COMPUTED_VALUE"""),1.2917109E7)</f>
        <v>12917109</v>
      </c>
      <c r="C1000" s="164" t="str">
        <f>IFERROR(__xludf.DUMMYFUNCTION("""COMPUTED_VALUE"""),"12917109M")</f>
        <v>12917109M</v>
      </c>
      <c r="D1000" s="164" t="str">
        <f>IFERROR(__xludf.DUMMYFUNCTION("""COMPUTED_VALUE"""),"Тапки-лапки Единороги")</f>
        <v>Тапки-лапки Единороги</v>
      </c>
      <c r="E1000" s="164" t="str">
        <f>IFERROR(__xludf.DUMMYFUNCTION("""COMPUTED_VALUE"""),"M")</f>
        <v>M</v>
      </c>
      <c r="F1000" s="133" t="str">
        <f>IFERROR(__xludf.DUMMYFUNCTION("""COMPUTED_VALUE"""),"TE16620RUM")</f>
        <v>TE16620RUM</v>
      </c>
      <c r="G1000" s="165">
        <f>IFERROR(__xludf.DUMMYFUNCTION("""COMPUTED_VALUE"""),462.0)</f>
        <v>462</v>
      </c>
    </row>
    <row r="1001" ht="15.75" customHeight="1">
      <c r="A1001" s="133" t="str">
        <f>IFERROR(__xludf.DUMMYFUNCTION("""COMPUTED_VALUE"""),"TE16620RU")</f>
        <v>TE16620RU</v>
      </c>
      <c r="B1001" s="164">
        <f>IFERROR(__xludf.DUMMYFUNCTION("""COMPUTED_VALUE"""),1.2917109E7)</f>
        <v>12917109</v>
      </c>
      <c r="C1001" s="164" t="str">
        <f>IFERROR(__xludf.DUMMYFUNCTION("""COMPUTED_VALUE"""),"12917109L")</f>
        <v>12917109L</v>
      </c>
      <c r="D1001" s="164" t="str">
        <f>IFERROR(__xludf.DUMMYFUNCTION("""COMPUTED_VALUE"""),"Тапки-лапки Единороги")</f>
        <v>Тапки-лапки Единороги</v>
      </c>
      <c r="E1001" s="164" t="str">
        <f>IFERROR(__xludf.DUMMYFUNCTION("""COMPUTED_VALUE"""),"L")</f>
        <v>L</v>
      </c>
      <c r="F1001" s="133" t="str">
        <f>IFERROR(__xludf.DUMMYFUNCTION("""COMPUTED_VALUE"""),"TE16620RUL")</f>
        <v>TE16620RUL</v>
      </c>
      <c r="G1001" s="165">
        <f>IFERROR(__xludf.DUMMYFUNCTION("""COMPUTED_VALUE"""),462.0)</f>
        <v>462</v>
      </c>
    </row>
    <row r="1002" ht="15.75" customHeight="1">
      <c r="A1002" s="133" t="str">
        <f>IFERROR(__xludf.DUMMYFUNCTION("""COMPUTED_VALUE"""),"TL16720RU")</f>
        <v>TL16720RU</v>
      </c>
      <c r="B1002" s="164">
        <f>IFERROR(__xludf.DUMMYFUNCTION("""COMPUTED_VALUE"""),1.3199775E7)</f>
        <v>13199775</v>
      </c>
      <c r="C1002" s="164" t="str">
        <f>IFERROR(__xludf.DUMMYFUNCTION("""COMPUTED_VALUE"""),"13199775S")</f>
        <v>13199775S</v>
      </c>
      <c r="D1002" s="164" t="str">
        <f>IFERROR(__xludf.DUMMYFUNCTION("""COMPUTED_VALUE"""),"Мягкие домашние тапочки кошки в стиле кигуруми")</f>
        <v>Мягкие домашние тапочки кошки в стиле кигуруми</v>
      </c>
      <c r="E1002" s="164" t="str">
        <f>IFERROR(__xludf.DUMMYFUNCTION("""COMPUTED_VALUE"""),"S")</f>
        <v>S</v>
      </c>
      <c r="F1002" s="133" t="str">
        <f>IFERROR(__xludf.DUMMYFUNCTION("""COMPUTED_VALUE"""),"TL16720RUS")</f>
        <v>TL16720RUS</v>
      </c>
      <c r="G1002" s="165">
        <f>IFERROR(__xludf.DUMMYFUNCTION("""COMPUTED_VALUE"""),372.0)</f>
        <v>372</v>
      </c>
    </row>
    <row r="1003" ht="15.75" customHeight="1">
      <c r="A1003" s="133" t="str">
        <f>IFERROR(__xludf.DUMMYFUNCTION("""COMPUTED_VALUE"""),"TL16720RU")</f>
        <v>TL16720RU</v>
      </c>
      <c r="B1003" s="164">
        <f>IFERROR(__xludf.DUMMYFUNCTION("""COMPUTED_VALUE"""),1.3199775E7)</f>
        <v>13199775</v>
      </c>
      <c r="C1003" s="164" t="str">
        <f>IFERROR(__xludf.DUMMYFUNCTION("""COMPUTED_VALUE"""),"13199775M")</f>
        <v>13199775M</v>
      </c>
      <c r="D1003" s="164" t="str">
        <f>IFERROR(__xludf.DUMMYFUNCTION("""COMPUTED_VALUE"""),"Мягкие домашние тапочки кошки в стиле кигуруми")</f>
        <v>Мягкие домашние тапочки кошки в стиле кигуруми</v>
      </c>
      <c r="E1003" s="164" t="str">
        <f>IFERROR(__xludf.DUMMYFUNCTION("""COMPUTED_VALUE"""),"M")</f>
        <v>M</v>
      </c>
      <c r="F1003" s="133" t="str">
        <f>IFERROR(__xludf.DUMMYFUNCTION("""COMPUTED_VALUE"""),"TL16720RUM")</f>
        <v>TL16720RUM</v>
      </c>
      <c r="G1003" s="165">
        <f>IFERROR(__xludf.DUMMYFUNCTION("""COMPUTED_VALUE"""),372.0)</f>
        <v>372</v>
      </c>
    </row>
    <row r="1004" ht="15.75" customHeight="1">
      <c r="A1004" s="133" t="str">
        <f>IFERROR(__xludf.DUMMYFUNCTION("""COMPUTED_VALUE"""),"TL16720RU")</f>
        <v>TL16720RU</v>
      </c>
      <c r="B1004" s="164">
        <f>IFERROR(__xludf.DUMMYFUNCTION("""COMPUTED_VALUE"""),1.3199775E7)</f>
        <v>13199775</v>
      </c>
      <c r="C1004" s="164" t="str">
        <f>IFERROR(__xludf.DUMMYFUNCTION("""COMPUTED_VALUE"""),"13199775L")</f>
        <v>13199775L</v>
      </c>
      <c r="D1004" s="164" t="str">
        <f>IFERROR(__xludf.DUMMYFUNCTION("""COMPUTED_VALUE"""),"Мягкие домашние тапочки кошки в стиле кигуруми")</f>
        <v>Мягкие домашние тапочки кошки в стиле кигуруми</v>
      </c>
      <c r="E1004" s="164" t="str">
        <f>IFERROR(__xludf.DUMMYFUNCTION("""COMPUTED_VALUE"""),"L")</f>
        <v>L</v>
      </c>
      <c r="F1004" s="133" t="str">
        <f>IFERROR(__xludf.DUMMYFUNCTION("""COMPUTED_VALUE"""),"TL16720RUL")</f>
        <v>TL16720RUL</v>
      </c>
      <c r="G1004" s="165">
        <f>IFERROR(__xludf.DUMMYFUNCTION("""COMPUTED_VALUE"""),372.0)</f>
        <v>372</v>
      </c>
    </row>
    <row r="1005" ht="15.75" customHeight="1">
      <c r="A1005" s="133" t="str">
        <f>IFERROR(__xludf.DUMMYFUNCTION("""COMPUTED_VALUE"""),"TL16820RU")</f>
        <v>TL16820RU</v>
      </c>
      <c r="B1005" s="164">
        <f>IFERROR(__xludf.DUMMYFUNCTION("""COMPUTED_VALUE"""),1.3199776E7)</f>
        <v>13199776</v>
      </c>
      <c r="C1005" s="164" t="str">
        <f>IFERROR(__xludf.DUMMYFUNCTION("""COMPUTED_VALUE"""),"13199776S")</f>
        <v>13199776S</v>
      </c>
      <c r="D1005" s="164" t="str">
        <f>IFERROR(__xludf.DUMMYFUNCTION("""COMPUTED_VALUE"""),"Мягкие домашние тапочки Тоторо в стиле кигуруми")</f>
        <v>Мягкие домашние тапочки Тоторо в стиле кигуруми</v>
      </c>
      <c r="E1005" s="164" t="str">
        <f>IFERROR(__xludf.DUMMYFUNCTION("""COMPUTED_VALUE"""),"S")</f>
        <v>S</v>
      </c>
      <c r="F1005" s="133" t="str">
        <f>IFERROR(__xludf.DUMMYFUNCTION("""COMPUTED_VALUE"""),"TL16820RUS")</f>
        <v>TL16820RUS</v>
      </c>
      <c r="G1005" s="165">
        <f>IFERROR(__xludf.DUMMYFUNCTION("""COMPUTED_VALUE"""),389.0)</f>
        <v>389</v>
      </c>
    </row>
    <row r="1006" ht="15.75" customHeight="1">
      <c r="A1006" s="133" t="str">
        <f>IFERROR(__xludf.DUMMYFUNCTION("""COMPUTED_VALUE"""),"TL16820RU")</f>
        <v>TL16820RU</v>
      </c>
      <c r="B1006" s="164">
        <f>IFERROR(__xludf.DUMMYFUNCTION("""COMPUTED_VALUE"""),1.3199776E7)</f>
        <v>13199776</v>
      </c>
      <c r="C1006" s="164" t="str">
        <f>IFERROR(__xludf.DUMMYFUNCTION("""COMPUTED_VALUE"""),"13199776M")</f>
        <v>13199776M</v>
      </c>
      <c r="D1006" s="164" t="str">
        <f>IFERROR(__xludf.DUMMYFUNCTION("""COMPUTED_VALUE"""),"Мягкие домашние тапочки Тоторо в стиле кигуруми")</f>
        <v>Мягкие домашние тапочки Тоторо в стиле кигуруми</v>
      </c>
      <c r="E1006" s="164" t="str">
        <f>IFERROR(__xludf.DUMMYFUNCTION("""COMPUTED_VALUE"""),"M")</f>
        <v>M</v>
      </c>
      <c r="F1006" s="133" t="str">
        <f>IFERROR(__xludf.DUMMYFUNCTION("""COMPUTED_VALUE"""),"TL16820RUM")</f>
        <v>TL16820RUM</v>
      </c>
      <c r="G1006" s="165">
        <f>IFERROR(__xludf.DUMMYFUNCTION("""COMPUTED_VALUE"""),389.0)</f>
        <v>389</v>
      </c>
    </row>
    <row r="1007" ht="15.75" customHeight="1">
      <c r="A1007" s="133" t="str">
        <f>IFERROR(__xludf.DUMMYFUNCTION("""COMPUTED_VALUE"""),"TL16820RU")</f>
        <v>TL16820RU</v>
      </c>
      <c r="B1007" s="164">
        <f>IFERROR(__xludf.DUMMYFUNCTION("""COMPUTED_VALUE"""),1.3199776E7)</f>
        <v>13199776</v>
      </c>
      <c r="C1007" s="164" t="str">
        <f>IFERROR(__xludf.DUMMYFUNCTION("""COMPUTED_VALUE"""),"13199776L")</f>
        <v>13199776L</v>
      </c>
      <c r="D1007" s="164" t="str">
        <f>IFERROR(__xludf.DUMMYFUNCTION("""COMPUTED_VALUE"""),"Мягкие домашние тапочки Тоторо в стиле кигуруми")</f>
        <v>Мягкие домашние тапочки Тоторо в стиле кигуруми</v>
      </c>
      <c r="E1007" s="164" t="str">
        <f>IFERROR(__xludf.DUMMYFUNCTION("""COMPUTED_VALUE"""),"L")</f>
        <v>L</v>
      </c>
      <c r="F1007" s="133" t="str">
        <f>IFERROR(__xludf.DUMMYFUNCTION("""COMPUTED_VALUE"""),"TL16820RUL")</f>
        <v>TL16820RUL</v>
      </c>
      <c r="G1007" s="165">
        <f>IFERROR(__xludf.DUMMYFUNCTION("""COMPUTED_VALUE"""),389.0)</f>
        <v>389</v>
      </c>
    </row>
    <row r="1008" ht="15.75" customHeight="1">
      <c r="A1008" s="133" t="str">
        <f>IFERROR(__xludf.DUMMYFUNCTION("""COMPUTED_VALUE"""),"SW190WB")</f>
        <v>SW190WB</v>
      </c>
      <c r="B1008" s="164">
        <f>IFERROR(__xludf.DUMMYFUNCTION("""COMPUTED_VALUE"""),1.1210352E7)</f>
        <v>11210352</v>
      </c>
      <c r="C1008" s="164" t="str">
        <f>IFERROR(__xludf.DUMMYFUNCTION("""COMPUTED_VALUE"""),"11210352XXS")</f>
        <v>11210352XXS</v>
      </c>
      <c r="D1008" s="164" t="str">
        <f>IFERROR(__xludf.DUMMYFUNCTION("""COMPUTED_VALUE"""),"Свитшот женский")</f>
        <v>Свитшот женский</v>
      </c>
      <c r="E1008" s="164" t="str">
        <f>IFERROR(__xludf.DUMMYFUNCTION("""COMPUTED_VALUE"""),"XXS")</f>
        <v>XXS</v>
      </c>
      <c r="F1008" s="133" t="str">
        <f>IFERROR(__xludf.DUMMYFUNCTION("""COMPUTED_VALUE"""),"SW190WBXXS")</f>
        <v>SW190WBXXS</v>
      </c>
      <c r="G1008" s="165">
        <f>IFERROR(__xludf.DUMMYFUNCTION("""COMPUTED_VALUE"""),803.0)</f>
        <v>803</v>
      </c>
    </row>
    <row r="1009" ht="15.75" customHeight="1">
      <c r="A1009" s="133" t="str">
        <f>IFERROR(__xludf.DUMMYFUNCTION("""COMPUTED_VALUE"""),"SW190WB")</f>
        <v>SW190WB</v>
      </c>
      <c r="B1009" s="164">
        <f>IFERROR(__xludf.DUMMYFUNCTION("""COMPUTED_VALUE"""),1.1210352E7)</f>
        <v>11210352</v>
      </c>
      <c r="C1009" s="164" t="str">
        <f>IFERROR(__xludf.DUMMYFUNCTION("""COMPUTED_VALUE"""),"11210352XS")</f>
        <v>11210352XS</v>
      </c>
      <c r="D1009" s="164" t="str">
        <f>IFERROR(__xludf.DUMMYFUNCTION("""COMPUTED_VALUE"""),"Свитшот женский")</f>
        <v>Свитшот женский</v>
      </c>
      <c r="E1009" s="164" t="str">
        <f>IFERROR(__xludf.DUMMYFUNCTION("""COMPUTED_VALUE"""),"XS")</f>
        <v>XS</v>
      </c>
      <c r="F1009" s="133" t="str">
        <f>IFERROR(__xludf.DUMMYFUNCTION("""COMPUTED_VALUE"""),"SW190WBXS")</f>
        <v>SW190WBXS</v>
      </c>
      <c r="G1009" s="165">
        <f>IFERROR(__xludf.DUMMYFUNCTION("""COMPUTED_VALUE"""),803.0)</f>
        <v>803</v>
      </c>
    </row>
    <row r="1010" ht="15.75" customHeight="1">
      <c r="A1010" s="133" t="str">
        <f>IFERROR(__xludf.DUMMYFUNCTION("""COMPUTED_VALUE"""),"SW190WB")</f>
        <v>SW190WB</v>
      </c>
      <c r="B1010" s="164">
        <f>IFERROR(__xludf.DUMMYFUNCTION("""COMPUTED_VALUE"""),1.1210352E7)</f>
        <v>11210352</v>
      </c>
      <c r="C1010" s="164" t="str">
        <f>IFERROR(__xludf.DUMMYFUNCTION("""COMPUTED_VALUE"""),"11210352S")</f>
        <v>11210352S</v>
      </c>
      <c r="D1010" s="164" t="str">
        <f>IFERROR(__xludf.DUMMYFUNCTION("""COMPUTED_VALUE"""),"Свитшот женский")</f>
        <v>Свитшот женский</v>
      </c>
      <c r="E1010" s="164" t="str">
        <f>IFERROR(__xludf.DUMMYFUNCTION("""COMPUTED_VALUE"""),"S")</f>
        <v>S</v>
      </c>
      <c r="F1010" s="133" t="str">
        <f>IFERROR(__xludf.DUMMYFUNCTION("""COMPUTED_VALUE"""),"SW190WBS")</f>
        <v>SW190WBS</v>
      </c>
      <c r="G1010" s="165">
        <f>IFERROR(__xludf.DUMMYFUNCTION("""COMPUTED_VALUE"""),803.0)</f>
        <v>803</v>
      </c>
    </row>
    <row r="1011" ht="15.75" customHeight="1">
      <c r="A1011" s="133" t="str">
        <f>IFERROR(__xludf.DUMMYFUNCTION("""COMPUTED_VALUE"""),"SW190WB")</f>
        <v>SW190WB</v>
      </c>
      <c r="B1011" s="164">
        <f>IFERROR(__xludf.DUMMYFUNCTION("""COMPUTED_VALUE"""),1.1210352E7)</f>
        <v>11210352</v>
      </c>
      <c r="C1011" s="164" t="str">
        <f>IFERROR(__xludf.DUMMYFUNCTION("""COMPUTED_VALUE"""),"11210352M")</f>
        <v>11210352M</v>
      </c>
      <c r="D1011" s="164" t="str">
        <f>IFERROR(__xludf.DUMMYFUNCTION("""COMPUTED_VALUE"""),"Свитшот женский")</f>
        <v>Свитшот женский</v>
      </c>
      <c r="E1011" s="164" t="str">
        <f>IFERROR(__xludf.DUMMYFUNCTION("""COMPUTED_VALUE"""),"M")</f>
        <v>M</v>
      </c>
      <c r="F1011" s="133" t="str">
        <f>IFERROR(__xludf.DUMMYFUNCTION("""COMPUTED_VALUE"""),"SW190WBM")</f>
        <v>SW190WBM</v>
      </c>
      <c r="G1011" s="165">
        <f>IFERROR(__xludf.DUMMYFUNCTION("""COMPUTED_VALUE"""),803.0)</f>
        <v>803</v>
      </c>
    </row>
    <row r="1012" ht="15.75" customHeight="1">
      <c r="A1012" s="133" t="str">
        <f>IFERROR(__xludf.DUMMYFUNCTION("""COMPUTED_VALUE"""),"SW190WB")</f>
        <v>SW190WB</v>
      </c>
      <c r="B1012" s="164">
        <f>IFERROR(__xludf.DUMMYFUNCTION("""COMPUTED_VALUE"""),1.1210352E7)</f>
        <v>11210352</v>
      </c>
      <c r="C1012" s="164" t="str">
        <f>IFERROR(__xludf.DUMMYFUNCTION("""COMPUTED_VALUE"""),"11210352L")</f>
        <v>11210352L</v>
      </c>
      <c r="D1012" s="164" t="str">
        <f>IFERROR(__xludf.DUMMYFUNCTION("""COMPUTED_VALUE"""),"Свитшот женский")</f>
        <v>Свитшот женский</v>
      </c>
      <c r="E1012" s="164" t="str">
        <f>IFERROR(__xludf.DUMMYFUNCTION("""COMPUTED_VALUE"""),"L")</f>
        <v>L</v>
      </c>
      <c r="F1012" s="133" t="str">
        <f>IFERROR(__xludf.DUMMYFUNCTION("""COMPUTED_VALUE"""),"SW190WBL")</f>
        <v>SW190WBL</v>
      </c>
      <c r="G1012" s="165">
        <f>IFERROR(__xludf.DUMMYFUNCTION("""COMPUTED_VALUE"""),803.0)</f>
        <v>803</v>
      </c>
    </row>
    <row r="1013" ht="15.75" customHeight="1">
      <c r="A1013" s="133" t="str">
        <f>IFERROR(__xludf.DUMMYFUNCTION("""COMPUTED_VALUE"""),"SW190WB")</f>
        <v>SW190WB</v>
      </c>
      <c r="B1013" s="164">
        <f>IFERROR(__xludf.DUMMYFUNCTION("""COMPUTED_VALUE"""),1.1210352E7)</f>
        <v>11210352</v>
      </c>
      <c r="C1013" s="164" t="str">
        <f>IFERROR(__xludf.DUMMYFUNCTION("""COMPUTED_VALUE"""),"11210352XL")</f>
        <v>11210352XL</v>
      </c>
      <c r="D1013" s="164" t="str">
        <f>IFERROR(__xludf.DUMMYFUNCTION("""COMPUTED_VALUE"""),"Свитшот женский")</f>
        <v>Свитшот женский</v>
      </c>
      <c r="E1013" s="164" t="str">
        <f>IFERROR(__xludf.DUMMYFUNCTION("""COMPUTED_VALUE"""),"XL")</f>
        <v>XL</v>
      </c>
      <c r="F1013" s="133" t="str">
        <f>IFERROR(__xludf.DUMMYFUNCTION("""COMPUTED_VALUE"""),"SW190WBXL")</f>
        <v>SW190WBXL</v>
      </c>
      <c r="G1013" s="165">
        <f>IFERROR(__xludf.DUMMYFUNCTION("""COMPUTED_VALUE"""),803.0)</f>
        <v>803</v>
      </c>
    </row>
    <row r="1014" ht="15.75" customHeight="1">
      <c r="A1014" s="133" t="str">
        <f>IFERROR(__xludf.DUMMYFUNCTION("""COMPUTED_VALUE"""),"SW200WB")</f>
        <v>SW200WB</v>
      </c>
      <c r="B1014" s="164">
        <f>IFERROR(__xludf.DUMMYFUNCTION("""COMPUTED_VALUE"""),1.1210353E7)</f>
        <v>11210353</v>
      </c>
      <c r="C1014" s="164" t="str">
        <f>IFERROR(__xludf.DUMMYFUNCTION("""COMPUTED_VALUE"""),"11210353XXS")</f>
        <v>11210353XXS</v>
      </c>
      <c r="D1014" s="164" t="str">
        <f>IFERROR(__xludf.DUMMYFUNCTION("""COMPUTED_VALUE"""),"Свитшот женский")</f>
        <v>Свитшот женский</v>
      </c>
      <c r="E1014" s="164" t="str">
        <f>IFERROR(__xludf.DUMMYFUNCTION("""COMPUTED_VALUE"""),"XXS")</f>
        <v>XXS</v>
      </c>
      <c r="F1014" s="133" t="str">
        <f>IFERROR(__xludf.DUMMYFUNCTION("""COMPUTED_VALUE"""),"SW200WBXXS")</f>
        <v>SW200WBXXS</v>
      </c>
      <c r="G1014" s="165">
        <f>IFERROR(__xludf.DUMMYFUNCTION("""COMPUTED_VALUE"""),803.0)</f>
        <v>803</v>
      </c>
    </row>
    <row r="1015" ht="15.75" customHeight="1">
      <c r="A1015" s="133" t="str">
        <f>IFERROR(__xludf.DUMMYFUNCTION("""COMPUTED_VALUE"""),"SW200WB")</f>
        <v>SW200WB</v>
      </c>
      <c r="B1015" s="164">
        <f>IFERROR(__xludf.DUMMYFUNCTION("""COMPUTED_VALUE"""),1.1210353E7)</f>
        <v>11210353</v>
      </c>
      <c r="C1015" s="164" t="str">
        <f>IFERROR(__xludf.DUMMYFUNCTION("""COMPUTED_VALUE"""),"11210353XS")</f>
        <v>11210353XS</v>
      </c>
      <c r="D1015" s="164" t="str">
        <f>IFERROR(__xludf.DUMMYFUNCTION("""COMPUTED_VALUE"""),"Свитшот женский")</f>
        <v>Свитшот женский</v>
      </c>
      <c r="E1015" s="164" t="str">
        <f>IFERROR(__xludf.DUMMYFUNCTION("""COMPUTED_VALUE"""),"XS")</f>
        <v>XS</v>
      </c>
      <c r="F1015" s="133" t="str">
        <f>IFERROR(__xludf.DUMMYFUNCTION("""COMPUTED_VALUE"""),"SW200WBXS")</f>
        <v>SW200WBXS</v>
      </c>
      <c r="G1015" s="165">
        <f>IFERROR(__xludf.DUMMYFUNCTION("""COMPUTED_VALUE"""),803.0)</f>
        <v>803</v>
      </c>
    </row>
    <row r="1016" ht="15.75" customHeight="1">
      <c r="A1016" s="133" t="str">
        <f>IFERROR(__xludf.DUMMYFUNCTION("""COMPUTED_VALUE"""),"SW200WB")</f>
        <v>SW200WB</v>
      </c>
      <c r="B1016" s="164">
        <f>IFERROR(__xludf.DUMMYFUNCTION("""COMPUTED_VALUE"""),1.1210353E7)</f>
        <v>11210353</v>
      </c>
      <c r="C1016" s="164" t="str">
        <f>IFERROR(__xludf.DUMMYFUNCTION("""COMPUTED_VALUE"""),"11210353S")</f>
        <v>11210353S</v>
      </c>
      <c r="D1016" s="164" t="str">
        <f>IFERROR(__xludf.DUMMYFUNCTION("""COMPUTED_VALUE"""),"Свитшот женский")</f>
        <v>Свитшот женский</v>
      </c>
      <c r="E1016" s="164" t="str">
        <f>IFERROR(__xludf.DUMMYFUNCTION("""COMPUTED_VALUE"""),"S")</f>
        <v>S</v>
      </c>
      <c r="F1016" s="133" t="str">
        <f>IFERROR(__xludf.DUMMYFUNCTION("""COMPUTED_VALUE"""),"SW200WBS")</f>
        <v>SW200WBS</v>
      </c>
      <c r="G1016" s="165">
        <f>IFERROR(__xludf.DUMMYFUNCTION("""COMPUTED_VALUE"""),803.0)</f>
        <v>803</v>
      </c>
    </row>
    <row r="1017" ht="15.75" customHeight="1">
      <c r="A1017" s="133" t="str">
        <f>IFERROR(__xludf.DUMMYFUNCTION("""COMPUTED_VALUE"""),"SW200WB")</f>
        <v>SW200WB</v>
      </c>
      <c r="B1017" s="164">
        <f>IFERROR(__xludf.DUMMYFUNCTION("""COMPUTED_VALUE"""),1.1210353E7)</f>
        <v>11210353</v>
      </c>
      <c r="C1017" s="164" t="str">
        <f>IFERROR(__xludf.DUMMYFUNCTION("""COMPUTED_VALUE"""),"11210353M")</f>
        <v>11210353M</v>
      </c>
      <c r="D1017" s="164" t="str">
        <f>IFERROR(__xludf.DUMMYFUNCTION("""COMPUTED_VALUE"""),"Свитшот женский")</f>
        <v>Свитшот женский</v>
      </c>
      <c r="E1017" s="164" t="str">
        <f>IFERROR(__xludf.DUMMYFUNCTION("""COMPUTED_VALUE"""),"M")</f>
        <v>M</v>
      </c>
      <c r="F1017" s="133" t="str">
        <f>IFERROR(__xludf.DUMMYFUNCTION("""COMPUTED_VALUE"""),"SW200WBM")</f>
        <v>SW200WBM</v>
      </c>
      <c r="G1017" s="165">
        <f>IFERROR(__xludf.DUMMYFUNCTION("""COMPUTED_VALUE"""),803.0)</f>
        <v>803</v>
      </c>
    </row>
    <row r="1018" ht="15.75" customHeight="1">
      <c r="A1018" s="133" t="str">
        <f>IFERROR(__xludf.DUMMYFUNCTION("""COMPUTED_VALUE"""),"SW200WB")</f>
        <v>SW200WB</v>
      </c>
      <c r="B1018" s="164">
        <f>IFERROR(__xludf.DUMMYFUNCTION("""COMPUTED_VALUE"""),1.1210353E7)</f>
        <v>11210353</v>
      </c>
      <c r="C1018" s="164" t="str">
        <f>IFERROR(__xludf.DUMMYFUNCTION("""COMPUTED_VALUE"""),"11210353L")</f>
        <v>11210353L</v>
      </c>
      <c r="D1018" s="133" t="str">
        <f>IFERROR(__xludf.DUMMYFUNCTION("""COMPUTED_VALUE"""),"Свитшот женский")</f>
        <v>Свитшот женский</v>
      </c>
      <c r="E1018" s="133" t="str">
        <f>IFERROR(__xludf.DUMMYFUNCTION("""COMPUTED_VALUE"""),"L")</f>
        <v>L</v>
      </c>
      <c r="F1018" s="133" t="str">
        <f>IFERROR(__xludf.DUMMYFUNCTION("""COMPUTED_VALUE"""),"SW200WBL")</f>
        <v>SW200WBL</v>
      </c>
      <c r="G1018" s="165">
        <f>IFERROR(__xludf.DUMMYFUNCTION("""COMPUTED_VALUE"""),803.0)</f>
        <v>803</v>
      </c>
    </row>
    <row r="1019" ht="15.75" customHeight="1">
      <c r="A1019" s="133" t="str">
        <f>IFERROR(__xludf.DUMMYFUNCTION("""COMPUTED_VALUE"""),"SW200WB")</f>
        <v>SW200WB</v>
      </c>
      <c r="B1019" s="164">
        <f>IFERROR(__xludf.DUMMYFUNCTION("""COMPUTED_VALUE"""),1.1210353E7)</f>
        <v>11210353</v>
      </c>
      <c r="C1019" s="164" t="str">
        <f>IFERROR(__xludf.DUMMYFUNCTION("""COMPUTED_VALUE"""),"11210353XL")</f>
        <v>11210353XL</v>
      </c>
      <c r="D1019" s="133" t="str">
        <f>IFERROR(__xludf.DUMMYFUNCTION("""COMPUTED_VALUE"""),"Свитшот женский")</f>
        <v>Свитшот женский</v>
      </c>
      <c r="E1019" s="133" t="str">
        <f>IFERROR(__xludf.DUMMYFUNCTION("""COMPUTED_VALUE"""),"XL")</f>
        <v>XL</v>
      </c>
      <c r="F1019" s="133" t="str">
        <f>IFERROR(__xludf.DUMMYFUNCTION("""COMPUTED_VALUE"""),"SW200WBXL")</f>
        <v>SW200WBXL</v>
      </c>
      <c r="G1019" s="165">
        <f>IFERROR(__xludf.DUMMYFUNCTION("""COMPUTED_VALUE"""),803.0)</f>
        <v>803</v>
      </c>
    </row>
    <row r="1020" ht="15.75" customHeight="1">
      <c r="A1020" s="133" t="str">
        <f>IFERROR(__xludf.DUMMYFUNCTION("""COMPUTED_VALUE"""),"SM230WB")</f>
        <v>SM230WB</v>
      </c>
      <c r="B1020" s="164">
        <f>IFERROR(__xludf.DUMMYFUNCTION("""COMPUTED_VALUE"""),1.1210349E7)</f>
        <v>11210349</v>
      </c>
      <c r="C1020" s="164" t="str">
        <f>IFERROR(__xludf.DUMMYFUNCTION("""COMPUTED_VALUE"""),"11210349XXS")</f>
        <v>11210349XXS</v>
      </c>
      <c r="D1020" s="133" t="str">
        <f>IFERROR(__xludf.DUMMYFUNCTION("""COMPUTED_VALUE"""),"Свитшот женский")</f>
        <v>Свитшот женский</v>
      </c>
      <c r="E1020" s="133" t="str">
        <f>IFERROR(__xludf.DUMMYFUNCTION("""COMPUTED_VALUE"""),"XXS")</f>
        <v>XXS</v>
      </c>
      <c r="F1020" s="133" t="str">
        <f>IFERROR(__xludf.DUMMYFUNCTION("""COMPUTED_VALUE"""),"SM230WBXXS")</f>
        <v>SM230WBXXS</v>
      </c>
      <c r="G1020" s="165">
        <f>IFERROR(__xludf.DUMMYFUNCTION("""COMPUTED_VALUE"""),803.0)</f>
        <v>803</v>
      </c>
    </row>
    <row r="1021" ht="15.75" customHeight="1">
      <c r="A1021" s="133" t="str">
        <f>IFERROR(__xludf.DUMMYFUNCTION("""COMPUTED_VALUE"""),"SM230WB")</f>
        <v>SM230WB</v>
      </c>
      <c r="B1021" s="164">
        <f>IFERROR(__xludf.DUMMYFUNCTION("""COMPUTED_VALUE"""),1.1210349E7)</f>
        <v>11210349</v>
      </c>
      <c r="C1021" s="164" t="str">
        <f>IFERROR(__xludf.DUMMYFUNCTION("""COMPUTED_VALUE"""),"11210349XS")</f>
        <v>11210349XS</v>
      </c>
      <c r="D1021" s="133" t="str">
        <f>IFERROR(__xludf.DUMMYFUNCTION("""COMPUTED_VALUE"""),"Свитшот женский")</f>
        <v>Свитшот женский</v>
      </c>
      <c r="E1021" s="133" t="str">
        <f>IFERROR(__xludf.DUMMYFUNCTION("""COMPUTED_VALUE"""),"XS")</f>
        <v>XS</v>
      </c>
      <c r="F1021" s="133" t="str">
        <f>IFERROR(__xludf.DUMMYFUNCTION("""COMPUTED_VALUE"""),"SM230WBXS")</f>
        <v>SM230WBXS</v>
      </c>
      <c r="G1021" s="165">
        <f>IFERROR(__xludf.DUMMYFUNCTION("""COMPUTED_VALUE"""),803.0)</f>
        <v>803</v>
      </c>
    </row>
    <row r="1022" ht="15.75" customHeight="1">
      <c r="A1022" s="133" t="str">
        <f>IFERROR(__xludf.DUMMYFUNCTION("""COMPUTED_VALUE"""),"SM230WB")</f>
        <v>SM230WB</v>
      </c>
      <c r="B1022" s="164">
        <f>IFERROR(__xludf.DUMMYFUNCTION("""COMPUTED_VALUE"""),1.1210349E7)</f>
        <v>11210349</v>
      </c>
      <c r="C1022" s="164" t="str">
        <f>IFERROR(__xludf.DUMMYFUNCTION("""COMPUTED_VALUE"""),"11210349S")</f>
        <v>11210349S</v>
      </c>
      <c r="D1022" s="133" t="str">
        <f>IFERROR(__xludf.DUMMYFUNCTION("""COMPUTED_VALUE"""),"Свитшот женский")</f>
        <v>Свитшот женский</v>
      </c>
      <c r="E1022" s="133" t="str">
        <f>IFERROR(__xludf.DUMMYFUNCTION("""COMPUTED_VALUE"""),"S")</f>
        <v>S</v>
      </c>
      <c r="F1022" s="133" t="str">
        <f>IFERROR(__xludf.DUMMYFUNCTION("""COMPUTED_VALUE"""),"SM230WBS")</f>
        <v>SM230WBS</v>
      </c>
      <c r="G1022" s="165">
        <f>IFERROR(__xludf.DUMMYFUNCTION("""COMPUTED_VALUE"""),803.0)</f>
        <v>803</v>
      </c>
    </row>
    <row r="1023" ht="15.75" customHeight="1">
      <c r="A1023" s="133" t="str">
        <f>IFERROR(__xludf.DUMMYFUNCTION("""COMPUTED_VALUE"""),"SM230WB")</f>
        <v>SM230WB</v>
      </c>
      <c r="B1023" s="164">
        <f>IFERROR(__xludf.DUMMYFUNCTION("""COMPUTED_VALUE"""),1.1210349E7)</f>
        <v>11210349</v>
      </c>
      <c r="C1023" s="164" t="str">
        <f>IFERROR(__xludf.DUMMYFUNCTION("""COMPUTED_VALUE"""),"11210349M")</f>
        <v>11210349M</v>
      </c>
      <c r="D1023" s="133" t="str">
        <f>IFERROR(__xludf.DUMMYFUNCTION("""COMPUTED_VALUE"""),"Свитшот женский")</f>
        <v>Свитшот женский</v>
      </c>
      <c r="E1023" s="133" t="str">
        <f>IFERROR(__xludf.DUMMYFUNCTION("""COMPUTED_VALUE"""),"M")</f>
        <v>M</v>
      </c>
      <c r="F1023" s="133" t="str">
        <f>IFERROR(__xludf.DUMMYFUNCTION("""COMPUTED_VALUE"""),"SM230WBM")</f>
        <v>SM230WBM</v>
      </c>
      <c r="G1023" s="165">
        <f>IFERROR(__xludf.DUMMYFUNCTION("""COMPUTED_VALUE"""),803.0)</f>
        <v>803</v>
      </c>
    </row>
    <row r="1024" ht="15.75" customHeight="1">
      <c r="A1024" s="133" t="str">
        <f>IFERROR(__xludf.DUMMYFUNCTION("""COMPUTED_VALUE"""),"SM230WB")</f>
        <v>SM230WB</v>
      </c>
      <c r="B1024" s="164">
        <f>IFERROR(__xludf.DUMMYFUNCTION("""COMPUTED_VALUE"""),1.1210349E7)</f>
        <v>11210349</v>
      </c>
      <c r="C1024" s="164" t="str">
        <f>IFERROR(__xludf.DUMMYFUNCTION("""COMPUTED_VALUE"""),"11210349L")</f>
        <v>11210349L</v>
      </c>
      <c r="D1024" s="133" t="str">
        <f>IFERROR(__xludf.DUMMYFUNCTION("""COMPUTED_VALUE"""),"Свитшот женский")</f>
        <v>Свитшот женский</v>
      </c>
      <c r="E1024" s="133" t="str">
        <f>IFERROR(__xludf.DUMMYFUNCTION("""COMPUTED_VALUE"""),"L")</f>
        <v>L</v>
      </c>
      <c r="F1024" s="133" t="str">
        <f>IFERROR(__xludf.DUMMYFUNCTION("""COMPUTED_VALUE"""),"SM230WBL")</f>
        <v>SM230WBL</v>
      </c>
      <c r="G1024" s="165">
        <f>IFERROR(__xludf.DUMMYFUNCTION("""COMPUTED_VALUE"""),803.0)</f>
        <v>803</v>
      </c>
    </row>
    <row r="1025" ht="15.75" customHeight="1">
      <c r="A1025" s="133" t="str">
        <f>IFERROR(__xludf.DUMMYFUNCTION("""COMPUTED_VALUE"""),"SM230WB")</f>
        <v>SM230WB</v>
      </c>
      <c r="B1025" s="164">
        <f>IFERROR(__xludf.DUMMYFUNCTION("""COMPUTED_VALUE"""),1.1210349E7)</f>
        <v>11210349</v>
      </c>
      <c r="C1025" s="164" t="str">
        <f>IFERROR(__xludf.DUMMYFUNCTION("""COMPUTED_VALUE"""),"11210349XL")</f>
        <v>11210349XL</v>
      </c>
      <c r="D1025" s="133" t="str">
        <f>IFERROR(__xludf.DUMMYFUNCTION("""COMPUTED_VALUE"""),"Свитшот женский")</f>
        <v>Свитшот женский</v>
      </c>
      <c r="E1025" s="133" t="str">
        <f>IFERROR(__xludf.DUMMYFUNCTION("""COMPUTED_VALUE"""),"XL")</f>
        <v>XL</v>
      </c>
      <c r="F1025" s="133" t="str">
        <f>IFERROR(__xludf.DUMMYFUNCTION("""COMPUTED_VALUE"""),"SM230WBXL")</f>
        <v>SM230WBXL</v>
      </c>
      <c r="G1025" s="165">
        <f>IFERROR(__xludf.DUMMYFUNCTION("""COMPUTED_VALUE"""),803.0)</f>
        <v>803</v>
      </c>
    </row>
    <row r="1026" ht="15.75" customHeight="1">
      <c r="A1026" s="133" t="str">
        <f>IFERROR(__xludf.DUMMYFUNCTION("""COMPUTED_VALUE"""),"SW231WB")</f>
        <v>SW231WB</v>
      </c>
      <c r="B1026" s="164">
        <f>IFERROR(__xludf.DUMMYFUNCTION("""COMPUTED_VALUE"""),1.1817892E7)</f>
        <v>11817892</v>
      </c>
      <c r="C1026" s="164" t="str">
        <f>IFERROR(__xludf.DUMMYFUNCTION("""COMPUTED_VALUE"""),"11817892XXS")</f>
        <v>11817892XXS</v>
      </c>
      <c r="D1026" s="133" t="str">
        <f>IFERROR(__xludf.DUMMYFUNCTION("""COMPUTED_VALUE"""),"Свитшот женский")</f>
        <v>Свитшот женский</v>
      </c>
      <c r="E1026" s="133" t="str">
        <f>IFERROR(__xludf.DUMMYFUNCTION("""COMPUTED_VALUE"""),"XXS")</f>
        <v>XXS</v>
      </c>
      <c r="F1026" s="133" t="str">
        <f>IFERROR(__xludf.DUMMYFUNCTION("""COMPUTED_VALUE"""),"SW231WBXXS")</f>
        <v>SW231WBXXS</v>
      </c>
      <c r="G1026" s="165">
        <f>IFERROR(__xludf.DUMMYFUNCTION("""COMPUTED_VALUE"""),803.0)</f>
        <v>803</v>
      </c>
    </row>
    <row r="1027" ht="15.75" customHeight="1">
      <c r="A1027" s="133" t="str">
        <f>IFERROR(__xludf.DUMMYFUNCTION("""COMPUTED_VALUE"""),"SW231WB")</f>
        <v>SW231WB</v>
      </c>
      <c r="B1027" s="164">
        <f>IFERROR(__xludf.DUMMYFUNCTION("""COMPUTED_VALUE"""),1.1817892E7)</f>
        <v>11817892</v>
      </c>
      <c r="C1027" s="164" t="str">
        <f>IFERROR(__xludf.DUMMYFUNCTION("""COMPUTED_VALUE"""),"11817892XS")</f>
        <v>11817892XS</v>
      </c>
      <c r="D1027" s="133" t="str">
        <f>IFERROR(__xludf.DUMMYFUNCTION("""COMPUTED_VALUE"""),"Свитшот женский")</f>
        <v>Свитшот женский</v>
      </c>
      <c r="E1027" s="133" t="str">
        <f>IFERROR(__xludf.DUMMYFUNCTION("""COMPUTED_VALUE"""),"XS")</f>
        <v>XS</v>
      </c>
      <c r="F1027" s="133" t="str">
        <f>IFERROR(__xludf.DUMMYFUNCTION("""COMPUTED_VALUE"""),"SW231WBXS")</f>
        <v>SW231WBXS</v>
      </c>
      <c r="G1027" s="165">
        <f>IFERROR(__xludf.DUMMYFUNCTION("""COMPUTED_VALUE"""),803.0)</f>
        <v>803</v>
      </c>
    </row>
    <row r="1028" ht="15.75" customHeight="1">
      <c r="A1028" s="133" t="str">
        <f>IFERROR(__xludf.DUMMYFUNCTION("""COMPUTED_VALUE"""),"SW231WB")</f>
        <v>SW231WB</v>
      </c>
      <c r="B1028" s="164">
        <f>IFERROR(__xludf.DUMMYFUNCTION("""COMPUTED_VALUE"""),1.1817892E7)</f>
        <v>11817892</v>
      </c>
      <c r="C1028" s="164" t="str">
        <f>IFERROR(__xludf.DUMMYFUNCTION("""COMPUTED_VALUE"""),"11817892S")</f>
        <v>11817892S</v>
      </c>
      <c r="D1028" s="133" t="str">
        <f>IFERROR(__xludf.DUMMYFUNCTION("""COMPUTED_VALUE"""),"Свитшот женский")</f>
        <v>Свитшот женский</v>
      </c>
      <c r="E1028" s="133" t="str">
        <f>IFERROR(__xludf.DUMMYFUNCTION("""COMPUTED_VALUE"""),"S")</f>
        <v>S</v>
      </c>
      <c r="F1028" s="133" t="str">
        <f>IFERROR(__xludf.DUMMYFUNCTION("""COMPUTED_VALUE"""),"SW231WBS")</f>
        <v>SW231WBS</v>
      </c>
      <c r="G1028" s="165">
        <f>IFERROR(__xludf.DUMMYFUNCTION("""COMPUTED_VALUE"""),803.0)</f>
        <v>803</v>
      </c>
    </row>
    <row r="1029" ht="15.75" customHeight="1">
      <c r="A1029" s="133" t="str">
        <f>IFERROR(__xludf.DUMMYFUNCTION("""COMPUTED_VALUE"""),"SW231WB")</f>
        <v>SW231WB</v>
      </c>
      <c r="B1029" s="164">
        <f>IFERROR(__xludf.DUMMYFUNCTION("""COMPUTED_VALUE"""),1.1817892E7)</f>
        <v>11817892</v>
      </c>
      <c r="C1029" s="164" t="str">
        <f>IFERROR(__xludf.DUMMYFUNCTION("""COMPUTED_VALUE"""),"11817892M")</f>
        <v>11817892M</v>
      </c>
      <c r="D1029" s="133" t="str">
        <f>IFERROR(__xludf.DUMMYFUNCTION("""COMPUTED_VALUE"""),"Свитшот женский")</f>
        <v>Свитшот женский</v>
      </c>
      <c r="E1029" s="133" t="str">
        <f>IFERROR(__xludf.DUMMYFUNCTION("""COMPUTED_VALUE"""),"M")</f>
        <v>M</v>
      </c>
      <c r="F1029" s="133" t="str">
        <f>IFERROR(__xludf.DUMMYFUNCTION("""COMPUTED_VALUE"""),"SW231WBM")</f>
        <v>SW231WBM</v>
      </c>
      <c r="G1029" s="165">
        <f>IFERROR(__xludf.DUMMYFUNCTION("""COMPUTED_VALUE"""),803.0)</f>
        <v>803</v>
      </c>
    </row>
    <row r="1030" ht="15.75" customHeight="1">
      <c r="A1030" s="133" t="str">
        <f>IFERROR(__xludf.DUMMYFUNCTION("""COMPUTED_VALUE"""),"SW231WB")</f>
        <v>SW231WB</v>
      </c>
      <c r="B1030" s="164">
        <f>IFERROR(__xludf.DUMMYFUNCTION("""COMPUTED_VALUE"""),1.1817892E7)</f>
        <v>11817892</v>
      </c>
      <c r="C1030" s="164" t="str">
        <f>IFERROR(__xludf.DUMMYFUNCTION("""COMPUTED_VALUE"""),"11817892L")</f>
        <v>11817892L</v>
      </c>
      <c r="D1030" s="133" t="str">
        <f>IFERROR(__xludf.DUMMYFUNCTION("""COMPUTED_VALUE"""),"Свитшот женский")</f>
        <v>Свитшот женский</v>
      </c>
      <c r="E1030" s="133" t="str">
        <f>IFERROR(__xludf.DUMMYFUNCTION("""COMPUTED_VALUE"""),"L")</f>
        <v>L</v>
      </c>
      <c r="F1030" s="133" t="str">
        <f>IFERROR(__xludf.DUMMYFUNCTION("""COMPUTED_VALUE"""),"SW231WBL")</f>
        <v>SW231WBL</v>
      </c>
      <c r="G1030" s="165">
        <f>IFERROR(__xludf.DUMMYFUNCTION("""COMPUTED_VALUE"""),803.0)</f>
        <v>803</v>
      </c>
    </row>
    <row r="1031" ht="15.75" customHeight="1">
      <c r="A1031" s="133" t="str">
        <f>IFERROR(__xludf.DUMMYFUNCTION("""COMPUTED_VALUE"""),"SW231WB")</f>
        <v>SW231WB</v>
      </c>
      <c r="B1031" s="164">
        <f>IFERROR(__xludf.DUMMYFUNCTION("""COMPUTED_VALUE"""),1.1817892E7)</f>
        <v>11817892</v>
      </c>
      <c r="C1031" s="164" t="str">
        <f>IFERROR(__xludf.DUMMYFUNCTION("""COMPUTED_VALUE"""),"11817892XL")</f>
        <v>11817892XL</v>
      </c>
      <c r="D1031" s="133" t="str">
        <f>IFERROR(__xludf.DUMMYFUNCTION("""COMPUTED_VALUE"""),"Свитшот женский")</f>
        <v>Свитшот женский</v>
      </c>
      <c r="E1031" s="133" t="str">
        <f>IFERROR(__xludf.DUMMYFUNCTION("""COMPUTED_VALUE"""),"XL")</f>
        <v>XL</v>
      </c>
      <c r="F1031" s="133" t="str">
        <f>IFERROR(__xludf.DUMMYFUNCTION("""COMPUTED_VALUE"""),"SW231WBXL")</f>
        <v>SW231WBXL</v>
      </c>
      <c r="G1031" s="165">
        <f>IFERROR(__xludf.DUMMYFUNCTION("""COMPUTED_VALUE"""),803.0)</f>
        <v>803</v>
      </c>
    </row>
    <row r="1032" ht="15.75" customHeight="1">
      <c r="A1032" s="133" t="str">
        <f>IFERROR(__xludf.DUMMYFUNCTION("""COMPUTED_VALUE"""),"SV40366SLW")</f>
        <v>SV40366SLW</v>
      </c>
      <c r="B1032" s="164">
        <f>IFERROR(__xludf.DUMMYFUNCTION("""COMPUTED_VALUE"""),1.6073481E7)</f>
        <v>16073481</v>
      </c>
      <c r="C1032" s="164" t="str">
        <f>IFERROR(__xludf.DUMMYFUNCTION("""COMPUTED_VALUE"""),"1607348140-54")</f>
        <v>1607348140-54</v>
      </c>
      <c r="D1032" s="133" t="str">
        <f>IFERROR(__xludf.DUMMYFUNCTION("""COMPUTED_VALUE"""),"Свитшот женский")</f>
        <v>Свитшот женский</v>
      </c>
      <c r="E1032" s="133" t="str">
        <f>IFERROR(__xludf.DUMMYFUNCTION("""COMPUTED_VALUE"""),"40-54")</f>
        <v>40-54</v>
      </c>
      <c r="F1032" s="133" t="str">
        <f>IFERROR(__xludf.DUMMYFUNCTION("""COMPUTED_VALUE"""),"SV40366SLW40-54")</f>
        <v>SV40366SLW40-54</v>
      </c>
      <c r="G1032" s="165">
        <f>IFERROR(__xludf.DUMMYFUNCTION("""COMPUTED_VALUE"""),600.0)</f>
        <v>600</v>
      </c>
    </row>
    <row r="1033" ht="15.75" customHeight="1">
      <c r="A1033" s="133" t="str">
        <f>IFERROR(__xludf.DUMMYFUNCTION("""COMPUTED_VALUE"""),"SW180WB")</f>
        <v>SW180WB</v>
      </c>
      <c r="B1033" s="164">
        <f>IFERROR(__xludf.DUMMYFUNCTION("""COMPUTED_VALUE"""),1.1210351E7)</f>
        <v>11210351</v>
      </c>
      <c r="C1033" s="164" t="str">
        <f>IFERROR(__xludf.DUMMYFUNCTION("""COMPUTED_VALUE"""),"11210351S")</f>
        <v>11210351S</v>
      </c>
      <c r="D1033" s="133" t="str">
        <f>IFERROR(__xludf.DUMMYFUNCTION("""COMPUTED_VALUE"""),"Свитшот мужской")</f>
        <v>Свитшот мужской</v>
      </c>
      <c r="E1033" s="133" t="str">
        <f>IFERROR(__xludf.DUMMYFUNCTION("""COMPUTED_VALUE"""),"S")</f>
        <v>S</v>
      </c>
      <c r="F1033" s="133" t="str">
        <f>IFERROR(__xludf.DUMMYFUNCTION("""COMPUTED_VALUE"""),"SW180WBS")</f>
        <v>SW180WBS</v>
      </c>
      <c r="G1033" s="165">
        <f>IFERROR(__xludf.DUMMYFUNCTION("""COMPUTED_VALUE"""),887.0)</f>
        <v>887</v>
      </c>
    </row>
    <row r="1034" ht="15.75" customHeight="1">
      <c r="A1034" s="133" t="str">
        <f>IFERROR(__xludf.DUMMYFUNCTION("""COMPUTED_VALUE"""),"SW180WB")</f>
        <v>SW180WB</v>
      </c>
      <c r="B1034" s="164">
        <f>IFERROR(__xludf.DUMMYFUNCTION("""COMPUTED_VALUE"""),1.1210351E7)</f>
        <v>11210351</v>
      </c>
      <c r="C1034" s="164" t="str">
        <f>IFERROR(__xludf.DUMMYFUNCTION("""COMPUTED_VALUE"""),"11210351M")</f>
        <v>11210351M</v>
      </c>
      <c r="D1034" s="133" t="str">
        <f>IFERROR(__xludf.DUMMYFUNCTION("""COMPUTED_VALUE"""),"Свитшот мужской")</f>
        <v>Свитшот мужской</v>
      </c>
      <c r="E1034" s="133" t="str">
        <f>IFERROR(__xludf.DUMMYFUNCTION("""COMPUTED_VALUE"""),"M")</f>
        <v>M</v>
      </c>
      <c r="F1034" s="133" t="str">
        <f>IFERROR(__xludf.DUMMYFUNCTION("""COMPUTED_VALUE"""),"SW180WBM")</f>
        <v>SW180WBM</v>
      </c>
      <c r="G1034" s="165">
        <f>IFERROR(__xludf.DUMMYFUNCTION("""COMPUTED_VALUE"""),887.0)</f>
        <v>887</v>
      </c>
    </row>
    <row r="1035" ht="15.75" customHeight="1">
      <c r="A1035" s="133" t="str">
        <f>IFERROR(__xludf.DUMMYFUNCTION("""COMPUTED_VALUE"""),"SW180WB")</f>
        <v>SW180WB</v>
      </c>
      <c r="B1035" s="164">
        <f>IFERROR(__xludf.DUMMYFUNCTION("""COMPUTED_VALUE"""),1.1210351E7)</f>
        <v>11210351</v>
      </c>
      <c r="C1035" s="164" t="str">
        <f>IFERROR(__xludf.DUMMYFUNCTION("""COMPUTED_VALUE"""),"11210351L")</f>
        <v>11210351L</v>
      </c>
      <c r="D1035" s="133" t="str">
        <f>IFERROR(__xludf.DUMMYFUNCTION("""COMPUTED_VALUE"""),"Свитшот мужской")</f>
        <v>Свитшот мужской</v>
      </c>
      <c r="E1035" s="133" t="str">
        <f>IFERROR(__xludf.DUMMYFUNCTION("""COMPUTED_VALUE"""),"L")</f>
        <v>L</v>
      </c>
      <c r="F1035" s="133" t="str">
        <f>IFERROR(__xludf.DUMMYFUNCTION("""COMPUTED_VALUE"""),"SW180WBL")</f>
        <v>SW180WBL</v>
      </c>
      <c r="G1035" s="165">
        <f>IFERROR(__xludf.DUMMYFUNCTION("""COMPUTED_VALUE"""),887.0)</f>
        <v>887</v>
      </c>
    </row>
    <row r="1036" ht="15.75" customHeight="1">
      <c r="A1036" s="133" t="str">
        <f>IFERROR(__xludf.DUMMYFUNCTION("""COMPUTED_VALUE"""),"SW180WB")</f>
        <v>SW180WB</v>
      </c>
      <c r="B1036" s="164">
        <f>IFERROR(__xludf.DUMMYFUNCTION("""COMPUTED_VALUE"""),1.1210351E7)</f>
        <v>11210351</v>
      </c>
      <c r="C1036" s="164" t="str">
        <f>IFERROR(__xludf.DUMMYFUNCTION("""COMPUTED_VALUE"""),"11210351XL")</f>
        <v>11210351XL</v>
      </c>
      <c r="D1036" s="133" t="str">
        <f>IFERROR(__xludf.DUMMYFUNCTION("""COMPUTED_VALUE"""),"Свитшот мужской")</f>
        <v>Свитшот мужской</v>
      </c>
      <c r="E1036" s="133" t="str">
        <f>IFERROR(__xludf.DUMMYFUNCTION("""COMPUTED_VALUE"""),"XL")</f>
        <v>XL</v>
      </c>
      <c r="F1036" s="133" t="str">
        <f>IFERROR(__xludf.DUMMYFUNCTION("""COMPUTED_VALUE"""),"SW180WBXL")</f>
        <v>SW180WBXL</v>
      </c>
      <c r="G1036" s="165">
        <f>IFERROR(__xludf.DUMMYFUNCTION("""COMPUTED_VALUE"""),887.0)</f>
        <v>887</v>
      </c>
    </row>
    <row r="1037" ht="15.75" customHeight="1">
      <c r="A1037" s="133" t="str">
        <f>IFERROR(__xludf.DUMMYFUNCTION("""COMPUTED_VALUE"""),"SW180WB")</f>
        <v>SW180WB</v>
      </c>
      <c r="B1037" s="164">
        <f>IFERROR(__xludf.DUMMYFUNCTION("""COMPUTED_VALUE"""),1.1210351E7)</f>
        <v>11210351</v>
      </c>
      <c r="C1037" s="164" t="str">
        <f>IFERROR(__xludf.DUMMYFUNCTION("""COMPUTED_VALUE"""),"11210351XXL")</f>
        <v>11210351XXL</v>
      </c>
      <c r="D1037" s="133" t="str">
        <f>IFERROR(__xludf.DUMMYFUNCTION("""COMPUTED_VALUE"""),"Свитшот мужской")</f>
        <v>Свитшот мужской</v>
      </c>
      <c r="E1037" s="133" t="str">
        <f>IFERROR(__xludf.DUMMYFUNCTION("""COMPUTED_VALUE"""),"XXL")</f>
        <v>XXL</v>
      </c>
      <c r="F1037" s="133" t="str">
        <f>IFERROR(__xludf.DUMMYFUNCTION("""COMPUTED_VALUE"""),"SW180WBXXL")</f>
        <v>SW180WBXXL</v>
      </c>
      <c r="G1037" s="165">
        <f>IFERROR(__xludf.DUMMYFUNCTION("""COMPUTED_VALUE"""),887.0)</f>
        <v>887</v>
      </c>
    </row>
    <row r="1038" ht="15.75" customHeight="1">
      <c r="A1038" s="133" t="str">
        <f>IFERROR(__xludf.DUMMYFUNCTION("""COMPUTED_VALUE"""),"SW180WB")</f>
        <v>SW180WB</v>
      </c>
      <c r="B1038" s="164">
        <f>IFERROR(__xludf.DUMMYFUNCTION("""COMPUTED_VALUE"""),1.1210351E7)</f>
        <v>11210351</v>
      </c>
      <c r="C1038" s="164" t="str">
        <f>IFERROR(__xludf.DUMMYFUNCTION("""COMPUTED_VALUE"""),"11210351XXXL")</f>
        <v>11210351XXXL</v>
      </c>
      <c r="D1038" s="133" t="str">
        <f>IFERROR(__xludf.DUMMYFUNCTION("""COMPUTED_VALUE"""),"Свитшот мужской")</f>
        <v>Свитшот мужской</v>
      </c>
      <c r="E1038" s="133" t="str">
        <f>IFERROR(__xludf.DUMMYFUNCTION("""COMPUTED_VALUE"""),"XXXL")</f>
        <v>XXXL</v>
      </c>
      <c r="F1038" s="133" t="str">
        <f>IFERROR(__xludf.DUMMYFUNCTION("""COMPUTED_VALUE"""),"SW180WBXXXL")</f>
        <v>SW180WBXXXL</v>
      </c>
      <c r="G1038" s="165">
        <f>IFERROR(__xludf.DUMMYFUNCTION("""COMPUTED_VALUE"""),887.0)</f>
        <v>887</v>
      </c>
    </row>
    <row r="1039" ht="15.75" customHeight="1">
      <c r="A1039" s="133" t="str">
        <f>IFERROR(__xludf.DUMMYFUNCTION("""COMPUTED_VALUE"""),"SM225WB")</f>
        <v>SM225WB</v>
      </c>
      <c r="B1039" s="164">
        <f>IFERROR(__xludf.DUMMYFUNCTION("""COMPUTED_VALUE"""),1.1210348E7)</f>
        <v>11210348</v>
      </c>
      <c r="C1039" s="164" t="str">
        <f>IFERROR(__xludf.DUMMYFUNCTION("""COMPUTED_VALUE"""),"11210348S")</f>
        <v>11210348S</v>
      </c>
      <c r="D1039" s="133" t="str">
        <f>IFERROR(__xludf.DUMMYFUNCTION("""COMPUTED_VALUE"""),"Свитшот мужской")</f>
        <v>Свитшот мужской</v>
      </c>
      <c r="E1039" s="133" t="str">
        <f>IFERROR(__xludf.DUMMYFUNCTION("""COMPUTED_VALUE"""),"S")</f>
        <v>S</v>
      </c>
      <c r="F1039" s="133" t="str">
        <f>IFERROR(__xludf.DUMMYFUNCTION("""COMPUTED_VALUE"""),"SM225WBS")</f>
        <v>SM225WBS</v>
      </c>
      <c r="G1039" s="165">
        <f>IFERROR(__xludf.DUMMYFUNCTION("""COMPUTED_VALUE"""),887.0)</f>
        <v>887</v>
      </c>
    </row>
    <row r="1040" ht="15.75" customHeight="1">
      <c r="A1040" s="133" t="str">
        <f>IFERROR(__xludf.DUMMYFUNCTION("""COMPUTED_VALUE"""),"SM225WB")</f>
        <v>SM225WB</v>
      </c>
      <c r="B1040" s="164">
        <f>IFERROR(__xludf.DUMMYFUNCTION("""COMPUTED_VALUE"""),1.1210348E7)</f>
        <v>11210348</v>
      </c>
      <c r="C1040" s="164" t="str">
        <f>IFERROR(__xludf.DUMMYFUNCTION("""COMPUTED_VALUE"""),"11210348M")</f>
        <v>11210348M</v>
      </c>
      <c r="D1040" s="133" t="str">
        <f>IFERROR(__xludf.DUMMYFUNCTION("""COMPUTED_VALUE"""),"Свитшот мужской")</f>
        <v>Свитшот мужской</v>
      </c>
      <c r="E1040" s="133" t="str">
        <f>IFERROR(__xludf.DUMMYFUNCTION("""COMPUTED_VALUE"""),"M")</f>
        <v>M</v>
      </c>
      <c r="F1040" s="133" t="str">
        <f>IFERROR(__xludf.DUMMYFUNCTION("""COMPUTED_VALUE"""),"SM225WBM")</f>
        <v>SM225WBM</v>
      </c>
      <c r="G1040" s="165">
        <f>IFERROR(__xludf.DUMMYFUNCTION("""COMPUTED_VALUE"""),887.0)</f>
        <v>887</v>
      </c>
    </row>
    <row r="1041" ht="15.75" customHeight="1">
      <c r="A1041" s="133" t="str">
        <f>IFERROR(__xludf.DUMMYFUNCTION("""COMPUTED_VALUE"""),"SM225WB")</f>
        <v>SM225WB</v>
      </c>
      <c r="B1041" s="164">
        <f>IFERROR(__xludf.DUMMYFUNCTION("""COMPUTED_VALUE"""),1.1210348E7)</f>
        <v>11210348</v>
      </c>
      <c r="C1041" s="164" t="str">
        <f>IFERROR(__xludf.DUMMYFUNCTION("""COMPUTED_VALUE"""),"11210348L")</f>
        <v>11210348L</v>
      </c>
      <c r="D1041" s="133" t="str">
        <f>IFERROR(__xludf.DUMMYFUNCTION("""COMPUTED_VALUE"""),"Свитшот мужской")</f>
        <v>Свитшот мужской</v>
      </c>
      <c r="E1041" s="133" t="str">
        <f>IFERROR(__xludf.DUMMYFUNCTION("""COMPUTED_VALUE"""),"L")</f>
        <v>L</v>
      </c>
      <c r="F1041" s="133" t="str">
        <f>IFERROR(__xludf.DUMMYFUNCTION("""COMPUTED_VALUE"""),"SM225WBL")</f>
        <v>SM225WBL</v>
      </c>
      <c r="G1041" s="165">
        <f>IFERROR(__xludf.DUMMYFUNCTION("""COMPUTED_VALUE"""),887.0)</f>
        <v>887</v>
      </c>
    </row>
    <row r="1042" ht="15.75" customHeight="1">
      <c r="A1042" s="133" t="str">
        <f>IFERROR(__xludf.DUMMYFUNCTION("""COMPUTED_VALUE"""),"SM225WB")</f>
        <v>SM225WB</v>
      </c>
      <c r="B1042" s="164">
        <f>IFERROR(__xludf.DUMMYFUNCTION("""COMPUTED_VALUE"""),1.1210348E7)</f>
        <v>11210348</v>
      </c>
      <c r="C1042" s="164" t="str">
        <f>IFERROR(__xludf.DUMMYFUNCTION("""COMPUTED_VALUE"""),"11210348XL")</f>
        <v>11210348XL</v>
      </c>
      <c r="D1042" s="133" t="str">
        <f>IFERROR(__xludf.DUMMYFUNCTION("""COMPUTED_VALUE"""),"Свитшот мужской")</f>
        <v>Свитшот мужской</v>
      </c>
      <c r="E1042" s="133" t="str">
        <f>IFERROR(__xludf.DUMMYFUNCTION("""COMPUTED_VALUE"""),"XL")</f>
        <v>XL</v>
      </c>
      <c r="F1042" s="133" t="str">
        <f>IFERROR(__xludf.DUMMYFUNCTION("""COMPUTED_VALUE"""),"SM225WBXL")</f>
        <v>SM225WBXL</v>
      </c>
      <c r="G1042" s="165">
        <f>IFERROR(__xludf.DUMMYFUNCTION("""COMPUTED_VALUE"""),887.0)</f>
        <v>887</v>
      </c>
    </row>
    <row r="1043" ht="15.75" customHeight="1">
      <c r="A1043" s="133" t="str">
        <f>IFERROR(__xludf.DUMMYFUNCTION("""COMPUTED_VALUE"""),"SM225WB")</f>
        <v>SM225WB</v>
      </c>
      <c r="B1043" s="164">
        <f>IFERROR(__xludf.DUMMYFUNCTION("""COMPUTED_VALUE"""),1.1210348E7)</f>
        <v>11210348</v>
      </c>
      <c r="C1043" s="164" t="str">
        <f>IFERROR(__xludf.DUMMYFUNCTION("""COMPUTED_VALUE"""),"11210348XXL")</f>
        <v>11210348XXL</v>
      </c>
      <c r="D1043" s="133" t="str">
        <f>IFERROR(__xludf.DUMMYFUNCTION("""COMPUTED_VALUE"""),"Свитшот мужской")</f>
        <v>Свитшот мужской</v>
      </c>
      <c r="E1043" s="133" t="str">
        <f>IFERROR(__xludf.DUMMYFUNCTION("""COMPUTED_VALUE"""),"XXL")</f>
        <v>XXL</v>
      </c>
      <c r="F1043" s="133" t="str">
        <f>IFERROR(__xludf.DUMMYFUNCTION("""COMPUTED_VALUE"""),"SM225WBXXL")</f>
        <v>SM225WBXXL</v>
      </c>
      <c r="G1043" s="165">
        <f>IFERROR(__xludf.DUMMYFUNCTION("""COMPUTED_VALUE"""),887.0)</f>
        <v>887</v>
      </c>
    </row>
    <row r="1044" ht="15.75" customHeight="1">
      <c r="A1044" s="133" t="str">
        <f>IFERROR(__xludf.DUMMYFUNCTION("""COMPUTED_VALUE"""),"SM225WB")</f>
        <v>SM225WB</v>
      </c>
      <c r="B1044" s="164">
        <f>IFERROR(__xludf.DUMMYFUNCTION("""COMPUTED_VALUE"""),1.1210348E7)</f>
        <v>11210348</v>
      </c>
      <c r="C1044" s="164" t="str">
        <f>IFERROR(__xludf.DUMMYFUNCTION("""COMPUTED_VALUE"""),"11210348XXXL")</f>
        <v>11210348XXXL</v>
      </c>
      <c r="D1044" s="133" t="str">
        <f>IFERROR(__xludf.DUMMYFUNCTION("""COMPUTED_VALUE"""),"Свитшот мужской")</f>
        <v>Свитшот мужской</v>
      </c>
      <c r="E1044" s="133" t="str">
        <f>IFERROR(__xludf.DUMMYFUNCTION("""COMPUTED_VALUE"""),"XXXL")</f>
        <v>XXXL</v>
      </c>
      <c r="F1044" s="133" t="str">
        <f>IFERROR(__xludf.DUMMYFUNCTION("""COMPUTED_VALUE"""),"SM225WBXXXL")</f>
        <v>SM225WBXXXL</v>
      </c>
      <c r="G1044" s="165">
        <f>IFERROR(__xludf.DUMMYFUNCTION("""COMPUTED_VALUE"""),887.0)</f>
        <v>887</v>
      </c>
    </row>
    <row r="1045" ht="15.75" customHeight="1">
      <c r="A1045" s="133" t="str">
        <f>IFERROR(__xludf.DUMMYFUNCTION("""COMPUTED_VALUE"""),"SM250WB")</f>
        <v>SM250WB</v>
      </c>
      <c r="B1045" s="164">
        <f>IFERROR(__xludf.DUMMYFUNCTION("""COMPUTED_VALUE"""),1.121035E7)</f>
        <v>11210350</v>
      </c>
      <c r="C1045" s="164" t="str">
        <f>IFERROR(__xludf.DUMMYFUNCTION("""COMPUTED_VALUE"""),"11210350S")</f>
        <v>11210350S</v>
      </c>
      <c r="D1045" s="133" t="str">
        <f>IFERROR(__xludf.DUMMYFUNCTION("""COMPUTED_VALUE"""),"Свитшот мужской")</f>
        <v>Свитшот мужской</v>
      </c>
      <c r="E1045" s="133" t="str">
        <f>IFERROR(__xludf.DUMMYFUNCTION("""COMPUTED_VALUE"""),"S")</f>
        <v>S</v>
      </c>
      <c r="F1045" s="133" t="str">
        <f>IFERROR(__xludf.DUMMYFUNCTION("""COMPUTED_VALUE"""),"SM250WBS")</f>
        <v>SM250WBS</v>
      </c>
      <c r="G1045" s="165">
        <f>IFERROR(__xludf.DUMMYFUNCTION("""COMPUTED_VALUE"""),887.0)</f>
        <v>887</v>
      </c>
    </row>
    <row r="1046" ht="15.75" customHeight="1">
      <c r="A1046" s="133" t="str">
        <f>IFERROR(__xludf.DUMMYFUNCTION("""COMPUTED_VALUE"""),"SM250WB")</f>
        <v>SM250WB</v>
      </c>
      <c r="B1046" s="164">
        <f>IFERROR(__xludf.DUMMYFUNCTION("""COMPUTED_VALUE"""),1.121035E7)</f>
        <v>11210350</v>
      </c>
      <c r="C1046" s="164" t="str">
        <f>IFERROR(__xludf.DUMMYFUNCTION("""COMPUTED_VALUE"""),"11210350M")</f>
        <v>11210350M</v>
      </c>
      <c r="D1046" s="133" t="str">
        <f>IFERROR(__xludf.DUMMYFUNCTION("""COMPUTED_VALUE"""),"Свитшот мужской")</f>
        <v>Свитшот мужской</v>
      </c>
      <c r="E1046" s="133" t="str">
        <f>IFERROR(__xludf.DUMMYFUNCTION("""COMPUTED_VALUE"""),"M")</f>
        <v>M</v>
      </c>
      <c r="F1046" s="133" t="str">
        <f>IFERROR(__xludf.DUMMYFUNCTION("""COMPUTED_VALUE"""),"SM250WBM")</f>
        <v>SM250WBM</v>
      </c>
      <c r="G1046" s="165">
        <f>IFERROR(__xludf.DUMMYFUNCTION("""COMPUTED_VALUE"""),887.0)</f>
        <v>887</v>
      </c>
    </row>
    <row r="1047" ht="15.75" customHeight="1">
      <c r="A1047" s="133" t="str">
        <f>IFERROR(__xludf.DUMMYFUNCTION("""COMPUTED_VALUE"""),"SM250WB")</f>
        <v>SM250WB</v>
      </c>
      <c r="B1047" s="164">
        <f>IFERROR(__xludf.DUMMYFUNCTION("""COMPUTED_VALUE"""),1.121035E7)</f>
        <v>11210350</v>
      </c>
      <c r="C1047" s="164" t="str">
        <f>IFERROR(__xludf.DUMMYFUNCTION("""COMPUTED_VALUE"""),"11210350L")</f>
        <v>11210350L</v>
      </c>
      <c r="D1047" s="133" t="str">
        <f>IFERROR(__xludf.DUMMYFUNCTION("""COMPUTED_VALUE"""),"Свитшот мужской")</f>
        <v>Свитшот мужской</v>
      </c>
      <c r="E1047" s="133" t="str">
        <f>IFERROR(__xludf.DUMMYFUNCTION("""COMPUTED_VALUE"""),"L")</f>
        <v>L</v>
      </c>
      <c r="F1047" s="133" t="str">
        <f>IFERROR(__xludf.DUMMYFUNCTION("""COMPUTED_VALUE"""),"SM250WBL")</f>
        <v>SM250WBL</v>
      </c>
      <c r="G1047" s="165">
        <f>IFERROR(__xludf.DUMMYFUNCTION("""COMPUTED_VALUE"""),887.0)</f>
        <v>887</v>
      </c>
    </row>
    <row r="1048" ht="15.75" customHeight="1">
      <c r="A1048" s="133" t="str">
        <f>IFERROR(__xludf.DUMMYFUNCTION("""COMPUTED_VALUE"""),"SM250WB")</f>
        <v>SM250WB</v>
      </c>
      <c r="B1048" s="164">
        <f>IFERROR(__xludf.DUMMYFUNCTION("""COMPUTED_VALUE"""),1.121035E7)</f>
        <v>11210350</v>
      </c>
      <c r="C1048" s="164" t="str">
        <f>IFERROR(__xludf.DUMMYFUNCTION("""COMPUTED_VALUE"""),"11210350XL")</f>
        <v>11210350XL</v>
      </c>
      <c r="D1048" s="133" t="str">
        <f>IFERROR(__xludf.DUMMYFUNCTION("""COMPUTED_VALUE"""),"Свитшот мужской")</f>
        <v>Свитшот мужской</v>
      </c>
      <c r="E1048" s="133" t="str">
        <f>IFERROR(__xludf.DUMMYFUNCTION("""COMPUTED_VALUE"""),"XL")</f>
        <v>XL</v>
      </c>
      <c r="F1048" s="133" t="str">
        <f>IFERROR(__xludf.DUMMYFUNCTION("""COMPUTED_VALUE"""),"SM250WBXL")</f>
        <v>SM250WBXL</v>
      </c>
      <c r="G1048" s="165">
        <f>IFERROR(__xludf.DUMMYFUNCTION("""COMPUTED_VALUE"""),887.0)</f>
        <v>887</v>
      </c>
    </row>
    <row r="1049" ht="15.75" customHeight="1">
      <c r="A1049" s="133" t="str">
        <f>IFERROR(__xludf.DUMMYFUNCTION("""COMPUTED_VALUE"""),"SM250WB")</f>
        <v>SM250WB</v>
      </c>
      <c r="B1049" s="164">
        <f>IFERROR(__xludf.DUMMYFUNCTION("""COMPUTED_VALUE"""),1.121035E7)</f>
        <v>11210350</v>
      </c>
      <c r="C1049" s="164" t="str">
        <f>IFERROR(__xludf.DUMMYFUNCTION("""COMPUTED_VALUE"""),"11210350XXL")</f>
        <v>11210350XXL</v>
      </c>
      <c r="D1049" s="133" t="str">
        <f>IFERROR(__xludf.DUMMYFUNCTION("""COMPUTED_VALUE"""),"Свитшот мужской")</f>
        <v>Свитшот мужской</v>
      </c>
      <c r="E1049" s="133" t="str">
        <f>IFERROR(__xludf.DUMMYFUNCTION("""COMPUTED_VALUE"""),"XXL")</f>
        <v>XXL</v>
      </c>
      <c r="F1049" s="133" t="str">
        <f>IFERROR(__xludf.DUMMYFUNCTION("""COMPUTED_VALUE"""),"SM250WBXXL")</f>
        <v>SM250WBXXL</v>
      </c>
      <c r="G1049" s="165">
        <f>IFERROR(__xludf.DUMMYFUNCTION("""COMPUTED_VALUE"""),887.0)</f>
        <v>887</v>
      </c>
    </row>
    <row r="1050" ht="15.75" customHeight="1">
      <c r="A1050" s="133" t="str">
        <f>IFERROR(__xludf.DUMMYFUNCTION("""COMPUTED_VALUE"""),"SM250WB")</f>
        <v>SM250WB</v>
      </c>
      <c r="B1050" s="164">
        <f>IFERROR(__xludf.DUMMYFUNCTION("""COMPUTED_VALUE"""),1.121035E7)</f>
        <v>11210350</v>
      </c>
      <c r="C1050" s="164" t="str">
        <f>IFERROR(__xludf.DUMMYFUNCTION("""COMPUTED_VALUE"""),"11210350XXXL")</f>
        <v>11210350XXXL</v>
      </c>
      <c r="D1050" s="133" t="str">
        <f>IFERROR(__xludf.DUMMYFUNCTION("""COMPUTED_VALUE"""),"Свитшот мужской")</f>
        <v>Свитшот мужской</v>
      </c>
      <c r="E1050" s="133" t="str">
        <f>IFERROR(__xludf.DUMMYFUNCTION("""COMPUTED_VALUE"""),"XXXL")</f>
        <v>XXXL</v>
      </c>
      <c r="F1050" s="133" t="str">
        <f>IFERROR(__xludf.DUMMYFUNCTION("""COMPUTED_VALUE"""),"SM250WBXXXL")</f>
        <v>SM250WBXXXL</v>
      </c>
      <c r="G1050" s="165">
        <f>IFERROR(__xludf.DUMMYFUNCTION("""COMPUTED_VALUE"""),887.0)</f>
        <v>887</v>
      </c>
    </row>
    <row r="1051" ht="15.75" customHeight="1">
      <c r="A1051" s="133" t="str">
        <f>IFERROR(__xludf.DUMMYFUNCTION("""COMPUTED_VALUE"""),"SM300WB")</f>
        <v>SM300WB</v>
      </c>
      <c r="B1051" s="164">
        <f>IFERROR(__xludf.DUMMYFUNCTION("""COMPUTED_VALUE"""),1.1817886E7)</f>
        <v>11817886</v>
      </c>
      <c r="C1051" s="164" t="str">
        <f>IFERROR(__xludf.DUMMYFUNCTION("""COMPUTED_VALUE"""),"11817886S")</f>
        <v>11817886S</v>
      </c>
      <c r="D1051" s="133" t="str">
        <f>IFERROR(__xludf.DUMMYFUNCTION("""COMPUTED_VALUE"""),"Свитшот мужской")</f>
        <v>Свитшот мужской</v>
      </c>
      <c r="E1051" s="133" t="str">
        <f>IFERROR(__xludf.DUMMYFUNCTION("""COMPUTED_VALUE"""),"S")</f>
        <v>S</v>
      </c>
      <c r="F1051" s="133" t="str">
        <f>IFERROR(__xludf.DUMMYFUNCTION("""COMPUTED_VALUE"""),"SM300WBS")</f>
        <v>SM300WBS</v>
      </c>
      <c r="G1051" s="165">
        <f>IFERROR(__xludf.DUMMYFUNCTION("""COMPUTED_VALUE"""),887.0)</f>
        <v>887</v>
      </c>
    </row>
    <row r="1052" ht="15.75" customHeight="1">
      <c r="A1052" s="133" t="str">
        <f>IFERROR(__xludf.DUMMYFUNCTION("""COMPUTED_VALUE"""),"SM300WB")</f>
        <v>SM300WB</v>
      </c>
      <c r="B1052" s="164">
        <f>IFERROR(__xludf.DUMMYFUNCTION("""COMPUTED_VALUE"""),1.1817886E7)</f>
        <v>11817886</v>
      </c>
      <c r="C1052" s="164" t="str">
        <f>IFERROR(__xludf.DUMMYFUNCTION("""COMPUTED_VALUE"""),"11817886M")</f>
        <v>11817886M</v>
      </c>
      <c r="D1052" s="133" t="str">
        <f>IFERROR(__xludf.DUMMYFUNCTION("""COMPUTED_VALUE"""),"Свитшот мужской")</f>
        <v>Свитшот мужской</v>
      </c>
      <c r="E1052" s="133" t="str">
        <f>IFERROR(__xludf.DUMMYFUNCTION("""COMPUTED_VALUE"""),"M")</f>
        <v>M</v>
      </c>
      <c r="F1052" s="133" t="str">
        <f>IFERROR(__xludf.DUMMYFUNCTION("""COMPUTED_VALUE"""),"SM300WBM")</f>
        <v>SM300WBM</v>
      </c>
      <c r="G1052" s="165">
        <f>IFERROR(__xludf.DUMMYFUNCTION("""COMPUTED_VALUE"""),887.0)</f>
        <v>887</v>
      </c>
    </row>
    <row r="1053" ht="15.75" customHeight="1">
      <c r="A1053" s="133" t="str">
        <f>IFERROR(__xludf.DUMMYFUNCTION("""COMPUTED_VALUE"""),"SM300WB")</f>
        <v>SM300WB</v>
      </c>
      <c r="B1053" s="164">
        <f>IFERROR(__xludf.DUMMYFUNCTION("""COMPUTED_VALUE"""),1.1817886E7)</f>
        <v>11817886</v>
      </c>
      <c r="C1053" s="164" t="str">
        <f>IFERROR(__xludf.DUMMYFUNCTION("""COMPUTED_VALUE"""),"11817886L")</f>
        <v>11817886L</v>
      </c>
      <c r="D1053" s="133" t="str">
        <f>IFERROR(__xludf.DUMMYFUNCTION("""COMPUTED_VALUE"""),"Свитшот мужской")</f>
        <v>Свитшот мужской</v>
      </c>
      <c r="E1053" s="133" t="str">
        <f>IFERROR(__xludf.DUMMYFUNCTION("""COMPUTED_VALUE"""),"L")</f>
        <v>L</v>
      </c>
      <c r="F1053" s="133" t="str">
        <f>IFERROR(__xludf.DUMMYFUNCTION("""COMPUTED_VALUE"""),"SM300WBL")</f>
        <v>SM300WBL</v>
      </c>
      <c r="G1053" s="165">
        <f>IFERROR(__xludf.DUMMYFUNCTION("""COMPUTED_VALUE"""),887.0)</f>
        <v>887</v>
      </c>
    </row>
    <row r="1054" ht="15.75" customHeight="1">
      <c r="A1054" s="133" t="str">
        <f>IFERROR(__xludf.DUMMYFUNCTION("""COMPUTED_VALUE"""),"SM300WB")</f>
        <v>SM300WB</v>
      </c>
      <c r="B1054" s="164">
        <f>IFERROR(__xludf.DUMMYFUNCTION("""COMPUTED_VALUE"""),1.1817886E7)</f>
        <v>11817886</v>
      </c>
      <c r="C1054" s="164" t="str">
        <f>IFERROR(__xludf.DUMMYFUNCTION("""COMPUTED_VALUE"""),"11817886XL")</f>
        <v>11817886XL</v>
      </c>
      <c r="D1054" s="133" t="str">
        <f>IFERROR(__xludf.DUMMYFUNCTION("""COMPUTED_VALUE"""),"Свитшот мужской")</f>
        <v>Свитшот мужской</v>
      </c>
      <c r="E1054" s="133" t="str">
        <f>IFERROR(__xludf.DUMMYFUNCTION("""COMPUTED_VALUE"""),"XL")</f>
        <v>XL</v>
      </c>
      <c r="F1054" s="133" t="str">
        <f>IFERROR(__xludf.DUMMYFUNCTION("""COMPUTED_VALUE"""),"SM300WBXL")</f>
        <v>SM300WBXL</v>
      </c>
      <c r="G1054" s="165">
        <f>IFERROR(__xludf.DUMMYFUNCTION("""COMPUTED_VALUE"""),887.0)</f>
        <v>887</v>
      </c>
    </row>
    <row r="1055" ht="15.75" customHeight="1">
      <c r="A1055" s="133" t="str">
        <f>IFERROR(__xludf.DUMMYFUNCTION("""COMPUTED_VALUE"""),"SM300WB")</f>
        <v>SM300WB</v>
      </c>
      <c r="B1055" s="164">
        <f>IFERROR(__xludf.DUMMYFUNCTION("""COMPUTED_VALUE"""),1.1817886E7)</f>
        <v>11817886</v>
      </c>
      <c r="C1055" s="164" t="str">
        <f>IFERROR(__xludf.DUMMYFUNCTION("""COMPUTED_VALUE"""),"11817886XXL")</f>
        <v>11817886XXL</v>
      </c>
      <c r="D1055" s="133" t="str">
        <f>IFERROR(__xludf.DUMMYFUNCTION("""COMPUTED_VALUE"""),"Свитшот мужской")</f>
        <v>Свитшот мужской</v>
      </c>
      <c r="E1055" s="133" t="str">
        <f>IFERROR(__xludf.DUMMYFUNCTION("""COMPUTED_VALUE"""),"XXL")</f>
        <v>XXL</v>
      </c>
      <c r="F1055" s="133" t="str">
        <f>IFERROR(__xludf.DUMMYFUNCTION("""COMPUTED_VALUE"""),"SM300WBXXL")</f>
        <v>SM300WBXXL</v>
      </c>
      <c r="G1055" s="165">
        <f>IFERROR(__xludf.DUMMYFUNCTION("""COMPUTED_VALUE"""),887.0)</f>
        <v>887</v>
      </c>
    </row>
    <row r="1056" ht="15.75" customHeight="1">
      <c r="A1056" s="133" t="str">
        <f>IFERROR(__xludf.DUMMYFUNCTION("""COMPUTED_VALUE"""),"SM300WB")</f>
        <v>SM300WB</v>
      </c>
      <c r="B1056" s="164">
        <f>IFERROR(__xludf.DUMMYFUNCTION("""COMPUTED_VALUE"""),1.1817886E7)</f>
        <v>11817886</v>
      </c>
      <c r="C1056" s="164" t="str">
        <f>IFERROR(__xludf.DUMMYFUNCTION("""COMPUTED_VALUE"""),"11817886XXXL")</f>
        <v>11817886XXXL</v>
      </c>
      <c r="D1056" s="133" t="str">
        <f>IFERROR(__xludf.DUMMYFUNCTION("""COMPUTED_VALUE"""),"Свитшот мужской")</f>
        <v>Свитшот мужской</v>
      </c>
      <c r="E1056" s="133" t="str">
        <f>IFERROR(__xludf.DUMMYFUNCTION("""COMPUTED_VALUE"""),"XXXL")</f>
        <v>XXXL</v>
      </c>
      <c r="F1056" s="133" t="str">
        <f>IFERROR(__xludf.DUMMYFUNCTION("""COMPUTED_VALUE"""),"SM300WBXXXL")</f>
        <v>SM300WBXXXL</v>
      </c>
      <c r="G1056" s="165">
        <f>IFERROR(__xludf.DUMMYFUNCTION("""COMPUTED_VALUE"""),887.0)</f>
        <v>887</v>
      </c>
    </row>
    <row r="1057" ht="15.75" customHeight="1">
      <c r="A1057" s="133" t="str">
        <f>IFERROR(__xludf.DUMMYFUNCTION("""COMPUTED_VALUE"""),"SM301WB")</f>
        <v>SM301WB</v>
      </c>
      <c r="B1057" s="164">
        <f>IFERROR(__xludf.DUMMYFUNCTION("""COMPUTED_VALUE"""),1.1817887E7)</f>
        <v>11817887</v>
      </c>
      <c r="C1057" s="164" t="str">
        <f>IFERROR(__xludf.DUMMYFUNCTION("""COMPUTED_VALUE"""),"11817887S")</f>
        <v>11817887S</v>
      </c>
      <c r="D1057" s="133" t="str">
        <f>IFERROR(__xludf.DUMMYFUNCTION("""COMPUTED_VALUE"""),"Свитшот мужской")</f>
        <v>Свитшот мужской</v>
      </c>
      <c r="E1057" s="133" t="str">
        <f>IFERROR(__xludf.DUMMYFUNCTION("""COMPUTED_VALUE"""),"S")</f>
        <v>S</v>
      </c>
      <c r="F1057" s="133" t="str">
        <f>IFERROR(__xludf.DUMMYFUNCTION("""COMPUTED_VALUE"""),"SM301WBS")</f>
        <v>SM301WBS</v>
      </c>
      <c r="G1057" s="165">
        <f>IFERROR(__xludf.DUMMYFUNCTION("""COMPUTED_VALUE"""),887.0)</f>
        <v>887</v>
      </c>
    </row>
    <row r="1058" ht="15.75" customHeight="1">
      <c r="A1058" s="133" t="str">
        <f>IFERROR(__xludf.DUMMYFUNCTION("""COMPUTED_VALUE"""),"SM301WB")</f>
        <v>SM301WB</v>
      </c>
      <c r="B1058" s="164">
        <f>IFERROR(__xludf.DUMMYFUNCTION("""COMPUTED_VALUE"""),1.1817887E7)</f>
        <v>11817887</v>
      </c>
      <c r="C1058" s="164" t="str">
        <f>IFERROR(__xludf.DUMMYFUNCTION("""COMPUTED_VALUE"""),"11817887M")</f>
        <v>11817887M</v>
      </c>
      <c r="D1058" s="133" t="str">
        <f>IFERROR(__xludf.DUMMYFUNCTION("""COMPUTED_VALUE"""),"Свитшот мужской")</f>
        <v>Свитшот мужской</v>
      </c>
      <c r="E1058" s="133" t="str">
        <f>IFERROR(__xludf.DUMMYFUNCTION("""COMPUTED_VALUE"""),"M")</f>
        <v>M</v>
      </c>
      <c r="F1058" s="133" t="str">
        <f>IFERROR(__xludf.DUMMYFUNCTION("""COMPUTED_VALUE"""),"SM301WBM")</f>
        <v>SM301WBM</v>
      </c>
      <c r="G1058" s="165">
        <f>IFERROR(__xludf.DUMMYFUNCTION("""COMPUTED_VALUE"""),887.0)</f>
        <v>887</v>
      </c>
    </row>
    <row r="1059" ht="15.75" customHeight="1">
      <c r="A1059" s="133" t="str">
        <f>IFERROR(__xludf.DUMMYFUNCTION("""COMPUTED_VALUE"""),"SM301WB")</f>
        <v>SM301WB</v>
      </c>
      <c r="B1059" s="164">
        <f>IFERROR(__xludf.DUMMYFUNCTION("""COMPUTED_VALUE"""),1.1817887E7)</f>
        <v>11817887</v>
      </c>
      <c r="C1059" s="164" t="str">
        <f>IFERROR(__xludf.DUMMYFUNCTION("""COMPUTED_VALUE"""),"11817887L")</f>
        <v>11817887L</v>
      </c>
      <c r="D1059" s="133" t="str">
        <f>IFERROR(__xludf.DUMMYFUNCTION("""COMPUTED_VALUE"""),"Свитшот мужской")</f>
        <v>Свитшот мужской</v>
      </c>
      <c r="E1059" s="133" t="str">
        <f>IFERROR(__xludf.DUMMYFUNCTION("""COMPUTED_VALUE"""),"L")</f>
        <v>L</v>
      </c>
      <c r="F1059" s="133" t="str">
        <f>IFERROR(__xludf.DUMMYFUNCTION("""COMPUTED_VALUE"""),"SM301WBL")</f>
        <v>SM301WBL</v>
      </c>
      <c r="G1059" s="165">
        <f>IFERROR(__xludf.DUMMYFUNCTION("""COMPUTED_VALUE"""),887.0)</f>
        <v>887</v>
      </c>
    </row>
    <row r="1060" ht="15.75" customHeight="1">
      <c r="A1060" s="133" t="str">
        <f>IFERROR(__xludf.DUMMYFUNCTION("""COMPUTED_VALUE"""),"SM301WB")</f>
        <v>SM301WB</v>
      </c>
      <c r="B1060" s="164">
        <f>IFERROR(__xludf.DUMMYFUNCTION("""COMPUTED_VALUE"""),1.1817887E7)</f>
        <v>11817887</v>
      </c>
      <c r="C1060" s="164" t="str">
        <f>IFERROR(__xludf.DUMMYFUNCTION("""COMPUTED_VALUE"""),"11817887XL")</f>
        <v>11817887XL</v>
      </c>
      <c r="D1060" s="133" t="str">
        <f>IFERROR(__xludf.DUMMYFUNCTION("""COMPUTED_VALUE"""),"Свитшот мужской")</f>
        <v>Свитшот мужской</v>
      </c>
      <c r="E1060" s="133" t="str">
        <f>IFERROR(__xludf.DUMMYFUNCTION("""COMPUTED_VALUE"""),"XL")</f>
        <v>XL</v>
      </c>
      <c r="F1060" s="133" t="str">
        <f>IFERROR(__xludf.DUMMYFUNCTION("""COMPUTED_VALUE"""),"SM301WBXL")</f>
        <v>SM301WBXL</v>
      </c>
      <c r="G1060" s="165">
        <f>IFERROR(__xludf.DUMMYFUNCTION("""COMPUTED_VALUE"""),887.0)</f>
        <v>887</v>
      </c>
    </row>
    <row r="1061" ht="15.75" customHeight="1">
      <c r="A1061" s="133" t="str">
        <f>IFERROR(__xludf.DUMMYFUNCTION("""COMPUTED_VALUE"""),"SM301WB")</f>
        <v>SM301WB</v>
      </c>
      <c r="B1061" s="164">
        <f>IFERROR(__xludf.DUMMYFUNCTION("""COMPUTED_VALUE"""),1.1817887E7)</f>
        <v>11817887</v>
      </c>
      <c r="C1061" s="164" t="str">
        <f>IFERROR(__xludf.DUMMYFUNCTION("""COMPUTED_VALUE"""),"11817887XXL")</f>
        <v>11817887XXL</v>
      </c>
      <c r="D1061" s="133" t="str">
        <f>IFERROR(__xludf.DUMMYFUNCTION("""COMPUTED_VALUE"""),"Свитшот мужской")</f>
        <v>Свитшот мужской</v>
      </c>
      <c r="E1061" s="133" t="str">
        <f>IFERROR(__xludf.DUMMYFUNCTION("""COMPUTED_VALUE"""),"XXL")</f>
        <v>XXL</v>
      </c>
      <c r="F1061" s="133" t="str">
        <f>IFERROR(__xludf.DUMMYFUNCTION("""COMPUTED_VALUE"""),"SM301WBXXL")</f>
        <v>SM301WBXXL</v>
      </c>
      <c r="G1061" s="165">
        <f>IFERROR(__xludf.DUMMYFUNCTION("""COMPUTED_VALUE"""),887.0)</f>
        <v>887</v>
      </c>
    </row>
    <row r="1062" ht="15.75" customHeight="1">
      <c r="A1062" s="133" t="str">
        <f>IFERROR(__xludf.DUMMYFUNCTION("""COMPUTED_VALUE"""),"SM301WB")</f>
        <v>SM301WB</v>
      </c>
      <c r="B1062" s="164">
        <f>IFERROR(__xludf.DUMMYFUNCTION("""COMPUTED_VALUE"""),1.1817887E7)</f>
        <v>11817887</v>
      </c>
      <c r="C1062" s="164" t="str">
        <f>IFERROR(__xludf.DUMMYFUNCTION("""COMPUTED_VALUE"""),"11817887XXXL")</f>
        <v>11817887XXXL</v>
      </c>
      <c r="D1062" s="133" t="str">
        <f>IFERROR(__xludf.DUMMYFUNCTION("""COMPUTED_VALUE"""),"Свитшот мужской")</f>
        <v>Свитшот мужской</v>
      </c>
      <c r="E1062" s="133" t="str">
        <f>IFERROR(__xludf.DUMMYFUNCTION("""COMPUTED_VALUE"""),"XXXL")</f>
        <v>XXXL</v>
      </c>
      <c r="F1062" s="133" t="str">
        <f>IFERROR(__xludf.DUMMYFUNCTION("""COMPUTED_VALUE"""),"SM301WBXXXL")</f>
        <v>SM301WBXXXL</v>
      </c>
      <c r="G1062" s="165">
        <f>IFERROR(__xludf.DUMMYFUNCTION("""COMPUTED_VALUE"""),887.0)</f>
        <v>887</v>
      </c>
    </row>
    <row r="1063" ht="15.75" customHeight="1">
      <c r="A1063" s="133" t="str">
        <f>IFERROR(__xludf.DUMMYFUNCTION("""COMPUTED_VALUE"""),"SM302WB")</f>
        <v>SM302WB</v>
      </c>
      <c r="B1063" s="164">
        <f>IFERROR(__xludf.DUMMYFUNCTION("""COMPUTED_VALUE"""),1.1817888E7)</f>
        <v>11817888</v>
      </c>
      <c r="C1063" s="164" t="str">
        <f>IFERROR(__xludf.DUMMYFUNCTION("""COMPUTED_VALUE"""),"11817888S")</f>
        <v>11817888S</v>
      </c>
      <c r="D1063" s="133" t="str">
        <f>IFERROR(__xludf.DUMMYFUNCTION("""COMPUTED_VALUE"""),"Свитшот мужской")</f>
        <v>Свитшот мужской</v>
      </c>
      <c r="E1063" s="133" t="str">
        <f>IFERROR(__xludf.DUMMYFUNCTION("""COMPUTED_VALUE"""),"S")</f>
        <v>S</v>
      </c>
      <c r="F1063" s="133" t="str">
        <f>IFERROR(__xludf.DUMMYFUNCTION("""COMPUTED_VALUE"""),"SM302WBS")</f>
        <v>SM302WBS</v>
      </c>
      <c r="G1063" s="165">
        <f>IFERROR(__xludf.DUMMYFUNCTION("""COMPUTED_VALUE"""),887.0)</f>
        <v>887</v>
      </c>
    </row>
    <row r="1064" ht="15.75" customHeight="1">
      <c r="A1064" s="133" t="str">
        <f>IFERROR(__xludf.DUMMYFUNCTION("""COMPUTED_VALUE"""),"SM302WB")</f>
        <v>SM302WB</v>
      </c>
      <c r="B1064" s="164">
        <f>IFERROR(__xludf.DUMMYFUNCTION("""COMPUTED_VALUE"""),1.1817888E7)</f>
        <v>11817888</v>
      </c>
      <c r="C1064" s="164" t="str">
        <f>IFERROR(__xludf.DUMMYFUNCTION("""COMPUTED_VALUE"""),"11817888M")</f>
        <v>11817888M</v>
      </c>
      <c r="D1064" s="133" t="str">
        <f>IFERROR(__xludf.DUMMYFUNCTION("""COMPUTED_VALUE"""),"Свитшот мужской")</f>
        <v>Свитшот мужской</v>
      </c>
      <c r="E1064" s="133" t="str">
        <f>IFERROR(__xludf.DUMMYFUNCTION("""COMPUTED_VALUE"""),"M")</f>
        <v>M</v>
      </c>
      <c r="F1064" s="133" t="str">
        <f>IFERROR(__xludf.DUMMYFUNCTION("""COMPUTED_VALUE"""),"SM302WBM")</f>
        <v>SM302WBM</v>
      </c>
      <c r="G1064" s="165">
        <f>IFERROR(__xludf.DUMMYFUNCTION("""COMPUTED_VALUE"""),887.0)</f>
        <v>887</v>
      </c>
    </row>
    <row r="1065" ht="15.75" customHeight="1">
      <c r="A1065" s="133" t="str">
        <f>IFERROR(__xludf.DUMMYFUNCTION("""COMPUTED_VALUE"""),"SM302WB")</f>
        <v>SM302WB</v>
      </c>
      <c r="B1065" s="164">
        <f>IFERROR(__xludf.DUMMYFUNCTION("""COMPUTED_VALUE"""),1.1817888E7)</f>
        <v>11817888</v>
      </c>
      <c r="C1065" s="164" t="str">
        <f>IFERROR(__xludf.DUMMYFUNCTION("""COMPUTED_VALUE"""),"11817888L")</f>
        <v>11817888L</v>
      </c>
      <c r="D1065" s="133" t="str">
        <f>IFERROR(__xludf.DUMMYFUNCTION("""COMPUTED_VALUE"""),"Свитшот мужской")</f>
        <v>Свитшот мужской</v>
      </c>
      <c r="E1065" s="133" t="str">
        <f>IFERROR(__xludf.DUMMYFUNCTION("""COMPUTED_VALUE"""),"L")</f>
        <v>L</v>
      </c>
      <c r="F1065" s="133" t="str">
        <f>IFERROR(__xludf.DUMMYFUNCTION("""COMPUTED_VALUE"""),"SM302WBL")</f>
        <v>SM302WBL</v>
      </c>
      <c r="G1065" s="165">
        <f>IFERROR(__xludf.DUMMYFUNCTION("""COMPUTED_VALUE"""),887.0)</f>
        <v>887</v>
      </c>
    </row>
    <row r="1066" ht="15.75" customHeight="1">
      <c r="A1066" s="133" t="str">
        <f>IFERROR(__xludf.DUMMYFUNCTION("""COMPUTED_VALUE"""),"SM302WB")</f>
        <v>SM302WB</v>
      </c>
      <c r="B1066" s="164">
        <f>IFERROR(__xludf.DUMMYFUNCTION("""COMPUTED_VALUE"""),1.1817888E7)</f>
        <v>11817888</v>
      </c>
      <c r="C1066" s="164" t="str">
        <f>IFERROR(__xludf.DUMMYFUNCTION("""COMPUTED_VALUE"""),"11817888XL")</f>
        <v>11817888XL</v>
      </c>
      <c r="D1066" s="133" t="str">
        <f>IFERROR(__xludf.DUMMYFUNCTION("""COMPUTED_VALUE"""),"Свитшот мужской")</f>
        <v>Свитшот мужской</v>
      </c>
      <c r="E1066" s="133" t="str">
        <f>IFERROR(__xludf.DUMMYFUNCTION("""COMPUTED_VALUE"""),"XL")</f>
        <v>XL</v>
      </c>
      <c r="F1066" s="133" t="str">
        <f>IFERROR(__xludf.DUMMYFUNCTION("""COMPUTED_VALUE"""),"SM302WBXL")</f>
        <v>SM302WBXL</v>
      </c>
      <c r="G1066" s="165">
        <f>IFERROR(__xludf.DUMMYFUNCTION("""COMPUTED_VALUE"""),887.0)</f>
        <v>887</v>
      </c>
    </row>
    <row r="1067" ht="15.75" customHeight="1">
      <c r="A1067" s="133" t="str">
        <f>IFERROR(__xludf.DUMMYFUNCTION("""COMPUTED_VALUE"""),"SM302WB")</f>
        <v>SM302WB</v>
      </c>
      <c r="B1067" s="164">
        <f>IFERROR(__xludf.DUMMYFUNCTION("""COMPUTED_VALUE"""),1.1817888E7)</f>
        <v>11817888</v>
      </c>
      <c r="C1067" s="164" t="str">
        <f>IFERROR(__xludf.DUMMYFUNCTION("""COMPUTED_VALUE"""),"11817888XXL")</f>
        <v>11817888XXL</v>
      </c>
      <c r="D1067" s="133" t="str">
        <f>IFERROR(__xludf.DUMMYFUNCTION("""COMPUTED_VALUE"""),"Свитшот мужской")</f>
        <v>Свитшот мужской</v>
      </c>
      <c r="E1067" s="133" t="str">
        <f>IFERROR(__xludf.DUMMYFUNCTION("""COMPUTED_VALUE"""),"XXL")</f>
        <v>XXL</v>
      </c>
      <c r="F1067" s="133" t="str">
        <f>IFERROR(__xludf.DUMMYFUNCTION("""COMPUTED_VALUE"""),"SM302WBXXL")</f>
        <v>SM302WBXXL</v>
      </c>
      <c r="G1067" s="165">
        <f>IFERROR(__xludf.DUMMYFUNCTION("""COMPUTED_VALUE"""),887.0)</f>
        <v>887</v>
      </c>
    </row>
    <row r="1068" ht="15.75" customHeight="1">
      <c r="A1068" s="133" t="str">
        <f>IFERROR(__xludf.DUMMYFUNCTION("""COMPUTED_VALUE"""),"SM302WB")</f>
        <v>SM302WB</v>
      </c>
      <c r="B1068" s="164">
        <f>IFERROR(__xludf.DUMMYFUNCTION("""COMPUTED_VALUE"""),1.1817888E7)</f>
        <v>11817888</v>
      </c>
      <c r="C1068" s="164" t="str">
        <f>IFERROR(__xludf.DUMMYFUNCTION("""COMPUTED_VALUE"""),"11817888XXXL")</f>
        <v>11817888XXXL</v>
      </c>
      <c r="D1068" s="133" t="str">
        <f>IFERROR(__xludf.DUMMYFUNCTION("""COMPUTED_VALUE"""),"Свитшот мужской")</f>
        <v>Свитшот мужской</v>
      </c>
      <c r="E1068" s="133" t="str">
        <f>IFERROR(__xludf.DUMMYFUNCTION("""COMPUTED_VALUE"""),"XXXL")</f>
        <v>XXXL</v>
      </c>
      <c r="F1068" s="133" t="str">
        <f>IFERROR(__xludf.DUMMYFUNCTION("""COMPUTED_VALUE"""),"SM302WBXXXL")</f>
        <v>SM302WBXXXL</v>
      </c>
      <c r="G1068" s="165">
        <f>IFERROR(__xludf.DUMMYFUNCTION("""COMPUTED_VALUE"""),887.0)</f>
        <v>887</v>
      </c>
    </row>
    <row r="1069" ht="15.75" customHeight="1">
      <c r="A1069" s="133" t="str">
        <f>IFERROR(__xludf.DUMMYFUNCTION("""COMPUTED_VALUE"""),"SM303WB")</f>
        <v>SM303WB</v>
      </c>
      <c r="B1069" s="164">
        <f>IFERROR(__xludf.DUMMYFUNCTION("""COMPUTED_VALUE"""),1.1817889E7)</f>
        <v>11817889</v>
      </c>
      <c r="C1069" s="164" t="str">
        <f>IFERROR(__xludf.DUMMYFUNCTION("""COMPUTED_VALUE"""),"11817889S")</f>
        <v>11817889S</v>
      </c>
      <c r="D1069" s="133" t="str">
        <f>IFERROR(__xludf.DUMMYFUNCTION("""COMPUTED_VALUE"""),"Свитшот мужской")</f>
        <v>Свитшот мужской</v>
      </c>
      <c r="E1069" s="133" t="str">
        <f>IFERROR(__xludf.DUMMYFUNCTION("""COMPUTED_VALUE"""),"S")</f>
        <v>S</v>
      </c>
      <c r="F1069" s="133" t="str">
        <f>IFERROR(__xludf.DUMMYFUNCTION("""COMPUTED_VALUE"""),"SM303WBS")</f>
        <v>SM303WBS</v>
      </c>
      <c r="G1069" s="165">
        <f>IFERROR(__xludf.DUMMYFUNCTION("""COMPUTED_VALUE"""),887.0)</f>
        <v>887</v>
      </c>
    </row>
    <row r="1070" ht="15.75" customHeight="1">
      <c r="A1070" s="133" t="str">
        <f>IFERROR(__xludf.DUMMYFUNCTION("""COMPUTED_VALUE"""),"SM303WB")</f>
        <v>SM303WB</v>
      </c>
      <c r="B1070" s="164">
        <f>IFERROR(__xludf.DUMMYFUNCTION("""COMPUTED_VALUE"""),1.1817889E7)</f>
        <v>11817889</v>
      </c>
      <c r="C1070" s="164" t="str">
        <f>IFERROR(__xludf.DUMMYFUNCTION("""COMPUTED_VALUE"""),"11817889M")</f>
        <v>11817889M</v>
      </c>
      <c r="D1070" s="133" t="str">
        <f>IFERROR(__xludf.DUMMYFUNCTION("""COMPUTED_VALUE"""),"Свитшот мужской")</f>
        <v>Свитшот мужской</v>
      </c>
      <c r="E1070" s="133" t="str">
        <f>IFERROR(__xludf.DUMMYFUNCTION("""COMPUTED_VALUE"""),"M")</f>
        <v>M</v>
      </c>
      <c r="F1070" s="133" t="str">
        <f>IFERROR(__xludf.DUMMYFUNCTION("""COMPUTED_VALUE"""),"SM303WBM")</f>
        <v>SM303WBM</v>
      </c>
      <c r="G1070" s="165">
        <f>IFERROR(__xludf.DUMMYFUNCTION("""COMPUTED_VALUE"""),887.0)</f>
        <v>887</v>
      </c>
    </row>
    <row r="1071" ht="15.75" customHeight="1">
      <c r="A1071" s="133" t="str">
        <f>IFERROR(__xludf.DUMMYFUNCTION("""COMPUTED_VALUE"""),"SM303WB")</f>
        <v>SM303WB</v>
      </c>
      <c r="B1071" s="164">
        <f>IFERROR(__xludf.DUMMYFUNCTION("""COMPUTED_VALUE"""),1.1817889E7)</f>
        <v>11817889</v>
      </c>
      <c r="C1071" s="164" t="str">
        <f>IFERROR(__xludf.DUMMYFUNCTION("""COMPUTED_VALUE"""),"11817889L")</f>
        <v>11817889L</v>
      </c>
      <c r="D1071" s="133" t="str">
        <f>IFERROR(__xludf.DUMMYFUNCTION("""COMPUTED_VALUE"""),"Свитшот мужской")</f>
        <v>Свитшот мужской</v>
      </c>
      <c r="E1071" s="133" t="str">
        <f>IFERROR(__xludf.DUMMYFUNCTION("""COMPUTED_VALUE"""),"L")</f>
        <v>L</v>
      </c>
      <c r="F1071" s="133" t="str">
        <f>IFERROR(__xludf.DUMMYFUNCTION("""COMPUTED_VALUE"""),"SM303WBL")</f>
        <v>SM303WBL</v>
      </c>
      <c r="G1071" s="165">
        <f>IFERROR(__xludf.DUMMYFUNCTION("""COMPUTED_VALUE"""),887.0)</f>
        <v>887</v>
      </c>
    </row>
    <row r="1072" ht="15.75" customHeight="1">
      <c r="A1072" s="133" t="str">
        <f>IFERROR(__xludf.DUMMYFUNCTION("""COMPUTED_VALUE"""),"SM303WB")</f>
        <v>SM303WB</v>
      </c>
      <c r="B1072" s="164">
        <f>IFERROR(__xludf.DUMMYFUNCTION("""COMPUTED_VALUE"""),1.1817889E7)</f>
        <v>11817889</v>
      </c>
      <c r="C1072" s="164" t="str">
        <f>IFERROR(__xludf.DUMMYFUNCTION("""COMPUTED_VALUE"""),"11817889XL")</f>
        <v>11817889XL</v>
      </c>
      <c r="D1072" s="133" t="str">
        <f>IFERROR(__xludf.DUMMYFUNCTION("""COMPUTED_VALUE"""),"Свитшот мужской")</f>
        <v>Свитшот мужской</v>
      </c>
      <c r="E1072" s="133" t="str">
        <f>IFERROR(__xludf.DUMMYFUNCTION("""COMPUTED_VALUE"""),"XL")</f>
        <v>XL</v>
      </c>
      <c r="F1072" s="133" t="str">
        <f>IFERROR(__xludf.DUMMYFUNCTION("""COMPUTED_VALUE"""),"SM303WBXL")</f>
        <v>SM303WBXL</v>
      </c>
      <c r="G1072" s="165">
        <f>IFERROR(__xludf.DUMMYFUNCTION("""COMPUTED_VALUE"""),887.0)</f>
        <v>887</v>
      </c>
    </row>
    <row r="1073" ht="15.75" customHeight="1">
      <c r="A1073" s="133" t="str">
        <f>IFERROR(__xludf.DUMMYFUNCTION("""COMPUTED_VALUE"""),"SM303WB")</f>
        <v>SM303WB</v>
      </c>
      <c r="B1073" s="164">
        <f>IFERROR(__xludf.DUMMYFUNCTION("""COMPUTED_VALUE"""),1.1817889E7)</f>
        <v>11817889</v>
      </c>
      <c r="C1073" s="164" t="str">
        <f>IFERROR(__xludf.DUMMYFUNCTION("""COMPUTED_VALUE"""),"11817889XXL")</f>
        <v>11817889XXL</v>
      </c>
      <c r="D1073" s="133" t="str">
        <f>IFERROR(__xludf.DUMMYFUNCTION("""COMPUTED_VALUE"""),"Свитшот мужской")</f>
        <v>Свитшот мужской</v>
      </c>
      <c r="E1073" s="133" t="str">
        <f>IFERROR(__xludf.DUMMYFUNCTION("""COMPUTED_VALUE"""),"XXL")</f>
        <v>XXL</v>
      </c>
      <c r="F1073" s="133" t="str">
        <f>IFERROR(__xludf.DUMMYFUNCTION("""COMPUTED_VALUE"""),"SM303WBXXL")</f>
        <v>SM303WBXXL</v>
      </c>
      <c r="G1073" s="165">
        <f>IFERROR(__xludf.DUMMYFUNCTION("""COMPUTED_VALUE"""),887.0)</f>
        <v>887</v>
      </c>
    </row>
    <row r="1074" ht="15.75" customHeight="1">
      <c r="A1074" s="133" t="str">
        <f>IFERROR(__xludf.DUMMYFUNCTION("""COMPUTED_VALUE"""),"SM303WB")</f>
        <v>SM303WB</v>
      </c>
      <c r="B1074" s="164">
        <f>IFERROR(__xludf.DUMMYFUNCTION("""COMPUTED_VALUE"""),1.1817889E7)</f>
        <v>11817889</v>
      </c>
      <c r="C1074" s="164" t="str">
        <f>IFERROR(__xludf.DUMMYFUNCTION("""COMPUTED_VALUE"""),"11817889XXXL")</f>
        <v>11817889XXXL</v>
      </c>
      <c r="D1074" s="133" t="str">
        <f>IFERROR(__xludf.DUMMYFUNCTION("""COMPUTED_VALUE"""),"Свитшот мужской")</f>
        <v>Свитшот мужской</v>
      </c>
      <c r="E1074" s="133" t="str">
        <f>IFERROR(__xludf.DUMMYFUNCTION("""COMPUTED_VALUE"""),"XXXL")</f>
        <v>XXXL</v>
      </c>
      <c r="F1074" s="133" t="str">
        <f>IFERROR(__xludf.DUMMYFUNCTION("""COMPUTED_VALUE"""),"SM303WBXXXL")</f>
        <v>SM303WBXXXL</v>
      </c>
      <c r="G1074" s="165">
        <f>IFERROR(__xludf.DUMMYFUNCTION("""COMPUTED_VALUE"""),887.0)</f>
        <v>887</v>
      </c>
    </row>
    <row r="1075" ht="15.75" customHeight="1">
      <c r="A1075" s="133" t="str">
        <f>IFERROR(__xludf.DUMMYFUNCTION("""COMPUTED_VALUE"""),"SM304WB")</f>
        <v>SM304WB</v>
      </c>
      <c r="B1075" s="164">
        <f>IFERROR(__xludf.DUMMYFUNCTION("""COMPUTED_VALUE"""),1.181789E7)</f>
        <v>11817890</v>
      </c>
      <c r="C1075" s="164" t="str">
        <f>IFERROR(__xludf.DUMMYFUNCTION("""COMPUTED_VALUE"""),"11817890S")</f>
        <v>11817890S</v>
      </c>
      <c r="D1075" s="133" t="str">
        <f>IFERROR(__xludf.DUMMYFUNCTION("""COMPUTED_VALUE"""),"Свитшот мужской")</f>
        <v>Свитшот мужской</v>
      </c>
      <c r="E1075" s="133" t="str">
        <f>IFERROR(__xludf.DUMMYFUNCTION("""COMPUTED_VALUE"""),"S")</f>
        <v>S</v>
      </c>
      <c r="F1075" s="133" t="str">
        <f>IFERROR(__xludf.DUMMYFUNCTION("""COMPUTED_VALUE"""),"SM304WBS")</f>
        <v>SM304WBS</v>
      </c>
      <c r="G1075" s="165">
        <f>IFERROR(__xludf.DUMMYFUNCTION("""COMPUTED_VALUE"""),887.0)</f>
        <v>887</v>
      </c>
    </row>
    <row r="1076" ht="15.75" customHeight="1">
      <c r="A1076" s="133" t="str">
        <f>IFERROR(__xludf.DUMMYFUNCTION("""COMPUTED_VALUE"""),"SM304WB")</f>
        <v>SM304WB</v>
      </c>
      <c r="B1076" s="164">
        <f>IFERROR(__xludf.DUMMYFUNCTION("""COMPUTED_VALUE"""),1.181789E7)</f>
        <v>11817890</v>
      </c>
      <c r="C1076" s="164" t="str">
        <f>IFERROR(__xludf.DUMMYFUNCTION("""COMPUTED_VALUE"""),"11817890M")</f>
        <v>11817890M</v>
      </c>
      <c r="D1076" s="133" t="str">
        <f>IFERROR(__xludf.DUMMYFUNCTION("""COMPUTED_VALUE"""),"Свитшот мужской")</f>
        <v>Свитшот мужской</v>
      </c>
      <c r="E1076" s="133" t="str">
        <f>IFERROR(__xludf.DUMMYFUNCTION("""COMPUTED_VALUE"""),"M")</f>
        <v>M</v>
      </c>
      <c r="F1076" s="133" t="str">
        <f>IFERROR(__xludf.DUMMYFUNCTION("""COMPUTED_VALUE"""),"SM304WBM")</f>
        <v>SM304WBM</v>
      </c>
      <c r="G1076" s="165">
        <f>IFERROR(__xludf.DUMMYFUNCTION("""COMPUTED_VALUE"""),887.0)</f>
        <v>887</v>
      </c>
    </row>
    <row r="1077" ht="15.75" customHeight="1">
      <c r="A1077" s="133" t="str">
        <f>IFERROR(__xludf.DUMMYFUNCTION("""COMPUTED_VALUE"""),"SM304WB")</f>
        <v>SM304WB</v>
      </c>
      <c r="B1077" s="164">
        <f>IFERROR(__xludf.DUMMYFUNCTION("""COMPUTED_VALUE"""),1.181789E7)</f>
        <v>11817890</v>
      </c>
      <c r="C1077" s="164" t="str">
        <f>IFERROR(__xludf.DUMMYFUNCTION("""COMPUTED_VALUE"""),"11817890L")</f>
        <v>11817890L</v>
      </c>
      <c r="D1077" s="133" t="str">
        <f>IFERROR(__xludf.DUMMYFUNCTION("""COMPUTED_VALUE"""),"Свитшот мужской")</f>
        <v>Свитшот мужской</v>
      </c>
      <c r="E1077" s="133" t="str">
        <f>IFERROR(__xludf.DUMMYFUNCTION("""COMPUTED_VALUE"""),"L")</f>
        <v>L</v>
      </c>
      <c r="F1077" s="133" t="str">
        <f>IFERROR(__xludf.DUMMYFUNCTION("""COMPUTED_VALUE"""),"SM304WBL")</f>
        <v>SM304WBL</v>
      </c>
      <c r="G1077" s="165">
        <f>IFERROR(__xludf.DUMMYFUNCTION("""COMPUTED_VALUE"""),887.0)</f>
        <v>887</v>
      </c>
    </row>
    <row r="1078" ht="15.75" customHeight="1">
      <c r="A1078" s="133" t="str">
        <f>IFERROR(__xludf.DUMMYFUNCTION("""COMPUTED_VALUE"""),"SM304WB")</f>
        <v>SM304WB</v>
      </c>
      <c r="B1078" s="164">
        <f>IFERROR(__xludf.DUMMYFUNCTION("""COMPUTED_VALUE"""),1.181789E7)</f>
        <v>11817890</v>
      </c>
      <c r="C1078" s="164" t="str">
        <f>IFERROR(__xludf.DUMMYFUNCTION("""COMPUTED_VALUE"""),"11817890XL")</f>
        <v>11817890XL</v>
      </c>
      <c r="D1078" s="133" t="str">
        <f>IFERROR(__xludf.DUMMYFUNCTION("""COMPUTED_VALUE"""),"Свитшот мужской")</f>
        <v>Свитшот мужской</v>
      </c>
      <c r="E1078" s="133" t="str">
        <f>IFERROR(__xludf.DUMMYFUNCTION("""COMPUTED_VALUE"""),"XL")</f>
        <v>XL</v>
      </c>
      <c r="F1078" s="133" t="str">
        <f>IFERROR(__xludf.DUMMYFUNCTION("""COMPUTED_VALUE"""),"SM304WBXL")</f>
        <v>SM304WBXL</v>
      </c>
      <c r="G1078" s="165">
        <f>IFERROR(__xludf.DUMMYFUNCTION("""COMPUTED_VALUE"""),887.0)</f>
        <v>887</v>
      </c>
    </row>
    <row r="1079" ht="15.75" customHeight="1">
      <c r="A1079" s="133" t="str">
        <f>IFERROR(__xludf.DUMMYFUNCTION("""COMPUTED_VALUE"""),"SM304WB")</f>
        <v>SM304WB</v>
      </c>
      <c r="B1079" s="164">
        <f>IFERROR(__xludf.DUMMYFUNCTION("""COMPUTED_VALUE"""),1.181789E7)</f>
        <v>11817890</v>
      </c>
      <c r="C1079" s="164" t="str">
        <f>IFERROR(__xludf.DUMMYFUNCTION("""COMPUTED_VALUE"""),"11817890XXL")</f>
        <v>11817890XXL</v>
      </c>
      <c r="D1079" s="133" t="str">
        <f>IFERROR(__xludf.DUMMYFUNCTION("""COMPUTED_VALUE"""),"Свитшот мужской")</f>
        <v>Свитшот мужской</v>
      </c>
      <c r="E1079" s="133" t="str">
        <f>IFERROR(__xludf.DUMMYFUNCTION("""COMPUTED_VALUE"""),"XXL")</f>
        <v>XXL</v>
      </c>
      <c r="F1079" s="133" t="str">
        <f>IFERROR(__xludf.DUMMYFUNCTION("""COMPUTED_VALUE"""),"SM304WBXXL")</f>
        <v>SM304WBXXL</v>
      </c>
      <c r="G1079" s="165">
        <f>IFERROR(__xludf.DUMMYFUNCTION("""COMPUTED_VALUE"""),887.0)</f>
        <v>887</v>
      </c>
    </row>
    <row r="1080" ht="15.75" customHeight="1">
      <c r="A1080" s="133" t="str">
        <f>IFERROR(__xludf.DUMMYFUNCTION("""COMPUTED_VALUE"""),"SM304WB")</f>
        <v>SM304WB</v>
      </c>
      <c r="B1080" s="164">
        <f>IFERROR(__xludf.DUMMYFUNCTION("""COMPUTED_VALUE"""),1.181789E7)</f>
        <v>11817890</v>
      </c>
      <c r="C1080" s="164" t="str">
        <f>IFERROR(__xludf.DUMMYFUNCTION("""COMPUTED_VALUE"""),"11817890XXXL")</f>
        <v>11817890XXXL</v>
      </c>
      <c r="D1080" s="133" t="str">
        <f>IFERROR(__xludf.DUMMYFUNCTION("""COMPUTED_VALUE"""),"Свитшот мужской")</f>
        <v>Свитшот мужской</v>
      </c>
      <c r="E1080" s="133" t="str">
        <f>IFERROR(__xludf.DUMMYFUNCTION("""COMPUTED_VALUE"""),"XXXL")</f>
        <v>XXXL</v>
      </c>
      <c r="F1080" s="133" t="str">
        <f>IFERROR(__xludf.DUMMYFUNCTION("""COMPUTED_VALUE"""),"SM304WBXXXL")</f>
        <v>SM304WBXXXL</v>
      </c>
      <c r="G1080" s="165">
        <f>IFERROR(__xludf.DUMMYFUNCTION("""COMPUTED_VALUE"""),887.0)</f>
        <v>887</v>
      </c>
    </row>
    <row r="1081" ht="15.75" customHeight="1">
      <c r="A1081" s="133" t="str">
        <f>IFERROR(__xludf.DUMMYFUNCTION("""COMPUTED_VALUE"""),"SM305WB")</f>
        <v>SM305WB</v>
      </c>
      <c r="B1081" s="164">
        <f>IFERROR(__xludf.DUMMYFUNCTION("""COMPUTED_VALUE"""),1.1817891E7)</f>
        <v>11817891</v>
      </c>
      <c r="C1081" s="164" t="str">
        <f>IFERROR(__xludf.DUMMYFUNCTION("""COMPUTED_VALUE"""),"11817891S")</f>
        <v>11817891S</v>
      </c>
      <c r="D1081" s="133" t="str">
        <f>IFERROR(__xludf.DUMMYFUNCTION("""COMPUTED_VALUE"""),"Свитшот мужской")</f>
        <v>Свитшот мужской</v>
      </c>
      <c r="E1081" s="133" t="str">
        <f>IFERROR(__xludf.DUMMYFUNCTION("""COMPUTED_VALUE"""),"S")</f>
        <v>S</v>
      </c>
      <c r="F1081" s="133" t="str">
        <f>IFERROR(__xludf.DUMMYFUNCTION("""COMPUTED_VALUE"""),"SM305WBS")</f>
        <v>SM305WBS</v>
      </c>
      <c r="G1081" s="165">
        <f>IFERROR(__xludf.DUMMYFUNCTION("""COMPUTED_VALUE"""),887.0)</f>
        <v>887</v>
      </c>
    </row>
    <row r="1082" ht="15.75" customHeight="1">
      <c r="A1082" s="133" t="str">
        <f>IFERROR(__xludf.DUMMYFUNCTION("""COMPUTED_VALUE"""),"SM305WB")</f>
        <v>SM305WB</v>
      </c>
      <c r="B1082" s="164">
        <f>IFERROR(__xludf.DUMMYFUNCTION("""COMPUTED_VALUE"""),1.1817891E7)</f>
        <v>11817891</v>
      </c>
      <c r="C1082" s="164" t="str">
        <f>IFERROR(__xludf.DUMMYFUNCTION("""COMPUTED_VALUE"""),"11817891M")</f>
        <v>11817891M</v>
      </c>
      <c r="D1082" s="133" t="str">
        <f>IFERROR(__xludf.DUMMYFUNCTION("""COMPUTED_VALUE"""),"Свитшот мужской")</f>
        <v>Свитшот мужской</v>
      </c>
      <c r="E1082" s="133" t="str">
        <f>IFERROR(__xludf.DUMMYFUNCTION("""COMPUTED_VALUE"""),"M")</f>
        <v>M</v>
      </c>
      <c r="F1082" s="133" t="str">
        <f>IFERROR(__xludf.DUMMYFUNCTION("""COMPUTED_VALUE"""),"SM305WBM")</f>
        <v>SM305WBM</v>
      </c>
      <c r="G1082" s="165">
        <f>IFERROR(__xludf.DUMMYFUNCTION("""COMPUTED_VALUE"""),887.0)</f>
        <v>887</v>
      </c>
    </row>
    <row r="1083" ht="15.75" customHeight="1">
      <c r="A1083" s="133" t="str">
        <f>IFERROR(__xludf.DUMMYFUNCTION("""COMPUTED_VALUE"""),"SM305WB")</f>
        <v>SM305WB</v>
      </c>
      <c r="B1083" s="164">
        <f>IFERROR(__xludf.DUMMYFUNCTION("""COMPUTED_VALUE"""),1.1817891E7)</f>
        <v>11817891</v>
      </c>
      <c r="C1083" s="164" t="str">
        <f>IFERROR(__xludf.DUMMYFUNCTION("""COMPUTED_VALUE"""),"11817891L")</f>
        <v>11817891L</v>
      </c>
      <c r="D1083" s="133" t="str">
        <f>IFERROR(__xludf.DUMMYFUNCTION("""COMPUTED_VALUE"""),"Свитшот мужской")</f>
        <v>Свитшот мужской</v>
      </c>
      <c r="E1083" s="133" t="str">
        <f>IFERROR(__xludf.DUMMYFUNCTION("""COMPUTED_VALUE"""),"L")</f>
        <v>L</v>
      </c>
      <c r="F1083" s="133" t="str">
        <f>IFERROR(__xludf.DUMMYFUNCTION("""COMPUTED_VALUE"""),"SM305WBL")</f>
        <v>SM305WBL</v>
      </c>
      <c r="G1083" s="165">
        <f>IFERROR(__xludf.DUMMYFUNCTION("""COMPUTED_VALUE"""),887.0)</f>
        <v>887</v>
      </c>
    </row>
    <row r="1084" ht="15.75" customHeight="1">
      <c r="A1084" s="133" t="str">
        <f>IFERROR(__xludf.DUMMYFUNCTION("""COMPUTED_VALUE"""),"SM305WB")</f>
        <v>SM305WB</v>
      </c>
      <c r="B1084" s="164">
        <f>IFERROR(__xludf.DUMMYFUNCTION("""COMPUTED_VALUE"""),1.1817891E7)</f>
        <v>11817891</v>
      </c>
      <c r="C1084" s="164" t="str">
        <f>IFERROR(__xludf.DUMMYFUNCTION("""COMPUTED_VALUE"""),"11817891XL")</f>
        <v>11817891XL</v>
      </c>
      <c r="D1084" s="133" t="str">
        <f>IFERROR(__xludf.DUMMYFUNCTION("""COMPUTED_VALUE"""),"Свитшот мужской")</f>
        <v>Свитшот мужской</v>
      </c>
      <c r="E1084" s="133" t="str">
        <f>IFERROR(__xludf.DUMMYFUNCTION("""COMPUTED_VALUE"""),"XL")</f>
        <v>XL</v>
      </c>
      <c r="F1084" s="133" t="str">
        <f>IFERROR(__xludf.DUMMYFUNCTION("""COMPUTED_VALUE"""),"SM305WBXL")</f>
        <v>SM305WBXL</v>
      </c>
      <c r="G1084" s="165">
        <f>IFERROR(__xludf.DUMMYFUNCTION("""COMPUTED_VALUE"""),887.0)</f>
        <v>887</v>
      </c>
    </row>
    <row r="1085" ht="15.75" customHeight="1">
      <c r="A1085" s="133" t="str">
        <f>IFERROR(__xludf.DUMMYFUNCTION("""COMPUTED_VALUE"""),"SM305WB")</f>
        <v>SM305WB</v>
      </c>
      <c r="B1085" s="164">
        <f>IFERROR(__xludf.DUMMYFUNCTION("""COMPUTED_VALUE"""),1.1817891E7)</f>
        <v>11817891</v>
      </c>
      <c r="C1085" s="164" t="str">
        <f>IFERROR(__xludf.DUMMYFUNCTION("""COMPUTED_VALUE"""),"11817891XXL")</f>
        <v>11817891XXL</v>
      </c>
      <c r="D1085" s="133" t="str">
        <f>IFERROR(__xludf.DUMMYFUNCTION("""COMPUTED_VALUE"""),"Свитшот мужской")</f>
        <v>Свитшот мужской</v>
      </c>
      <c r="E1085" s="133" t="str">
        <f>IFERROR(__xludf.DUMMYFUNCTION("""COMPUTED_VALUE"""),"XXL")</f>
        <v>XXL</v>
      </c>
      <c r="F1085" s="133" t="str">
        <f>IFERROR(__xludf.DUMMYFUNCTION("""COMPUTED_VALUE"""),"SM305WBXXL")</f>
        <v>SM305WBXXL</v>
      </c>
      <c r="G1085" s="165">
        <f>IFERROR(__xludf.DUMMYFUNCTION("""COMPUTED_VALUE"""),887.0)</f>
        <v>887</v>
      </c>
    </row>
    <row r="1086" ht="15.75" customHeight="1">
      <c r="A1086" s="133" t="str">
        <f>IFERROR(__xludf.DUMMYFUNCTION("""COMPUTED_VALUE"""),"SM305WB")</f>
        <v>SM305WB</v>
      </c>
      <c r="B1086" s="164">
        <f>IFERROR(__xludf.DUMMYFUNCTION("""COMPUTED_VALUE"""),1.1817891E7)</f>
        <v>11817891</v>
      </c>
      <c r="C1086" s="164" t="str">
        <f>IFERROR(__xludf.DUMMYFUNCTION("""COMPUTED_VALUE"""),"11817891XXXL")</f>
        <v>11817891XXXL</v>
      </c>
      <c r="D1086" s="133" t="str">
        <f>IFERROR(__xludf.DUMMYFUNCTION("""COMPUTED_VALUE"""),"Свитшот мужской")</f>
        <v>Свитшот мужской</v>
      </c>
      <c r="E1086" s="133" t="str">
        <f>IFERROR(__xludf.DUMMYFUNCTION("""COMPUTED_VALUE"""),"XXXL")</f>
        <v>XXXL</v>
      </c>
      <c r="F1086" s="133" t="str">
        <f>IFERROR(__xludf.DUMMYFUNCTION("""COMPUTED_VALUE"""),"SM305WBXXXL")</f>
        <v>SM305WBXXXL</v>
      </c>
      <c r="G1086" s="165">
        <f>IFERROR(__xludf.DUMMYFUNCTION("""COMPUTED_VALUE"""),887.0)</f>
        <v>887</v>
      </c>
    </row>
    <row r="1087" ht="15.75" customHeight="1">
      <c r="A1087" s="133" t="str">
        <f>IFERROR(__xludf.DUMMYFUNCTION("""COMPUTED_VALUE"""),"SV40370SLM")</f>
        <v>SV40370SLM</v>
      </c>
      <c r="B1087" s="164">
        <f>IFERROR(__xludf.DUMMYFUNCTION("""COMPUTED_VALUE"""),1.6073482E7)</f>
        <v>16073482</v>
      </c>
      <c r="C1087" s="164" t="str">
        <f>IFERROR(__xludf.DUMMYFUNCTION("""COMPUTED_VALUE"""),"1607348246-52")</f>
        <v>1607348246-52</v>
      </c>
      <c r="D1087" s="133" t="str">
        <f>IFERROR(__xludf.DUMMYFUNCTION("""COMPUTED_VALUE"""),"Свитшот мужской")</f>
        <v>Свитшот мужской</v>
      </c>
      <c r="E1087" s="133" t="str">
        <f>IFERROR(__xludf.DUMMYFUNCTION("""COMPUTED_VALUE"""),"46-52")</f>
        <v>46-52</v>
      </c>
      <c r="F1087" s="133" t="str">
        <f>IFERROR(__xludf.DUMMYFUNCTION("""COMPUTED_VALUE"""),"SV40370SLM46-52")</f>
        <v>SV40370SLM46-52</v>
      </c>
      <c r="G1087" s="165">
        <f>IFERROR(__xludf.DUMMYFUNCTION("""COMPUTED_VALUE"""),696.0)</f>
        <v>696</v>
      </c>
    </row>
    <row r="1088" ht="15.75" customHeight="1">
      <c r="A1088" s="133" t="str">
        <f>IFERROR(__xludf.DUMMYFUNCTION("""COMPUTED_VALUE"""),"V40026SLM")</f>
        <v>V40026SLM</v>
      </c>
      <c r="B1088" s="164">
        <f>IFERROR(__xludf.DUMMYFUNCTION("""COMPUTED_VALUE"""),1.4936023E7)</f>
        <v>14936023</v>
      </c>
      <c r="C1088" s="164" t="str">
        <f>IFERROR(__xludf.DUMMYFUNCTION("""COMPUTED_VALUE"""),"14936023S")</f>
        <v>14936023S</v>
      </c>
      <c r="D1088" s="133" t="str">
        <f>IFERROR(__xludf.DUMMYFUNCTION("""COMPUTED_VALUE"""),"Жилет Мужской")</f>
        <v>Жилет Мужской</v>
      </c>
      <c r="E1088" s="133" t="str">
        <f>IFERROR(__xludf.DUMMYFUNCTION("""COMPUTED_VALUE"""),"S")</f>
        <v>S</v>
      </c>
      <c r="F1088" s="133" t="str">
        <f>IFERROR(__xludf.DUMMYFUNCTION("""COMPUTED_VALUE"""),"V40026SLMS")</f>
        <v>V40026SLMS</v>
      </c>
      <c r="G1088" s="165">
        <f>IFERROR(__xludf.DUMMYFUNCTION("""COMPUTED_VALUE"""),1733.0)</f>
        <v>1733</v>
      </c>
    </row>
    <row r="1089" ht="15.75" customHeight="1">
      <c r="A1089" s="133" t="str">
        <f>IFERROR(__xludf.DUMMYFUNCTION("""COMPUTED_VALUE"""),"V40026SLM")</f>
        <v>V40026SLM</v>
      </c>
      <c r="B1089" s="164">
        <f>IFERROR(__xludf.DUMMYFUNCTION("""COMPUTED_VALUE"""),1.4936023E7)</f>
        <v>14936023</v>
      </c>
      <c r="C1089" s="164" t="str">
        <f>IFERROR(__xludf.DUMMYFUNCTION("""COMPUTED_VALUE"""),"14936023M")</f>
        <v>14936023M</v>
      </c>
      <c r="D1089" s="133" t="str">
        <f>IFERROR(__xludf.DUMMYFUNCTION("""COMPUTED_VALUE"""),"Жилет Мужской")</f>
        <v>Жилет Мужской</v>
      </c>
      <c r="E1089" s="133" t="str">
        <f>IFERROR(__xludf.DUMMYFUNCTION("""COMPUTED_VALUE"""),"M")</f>
        <v>M</v>
      </c>
      <c r="F1089" s="133" t="str">
        <f>IFERROR(__xludf.DUMMYFUNCTION("""COMPUTED_VALUE"""),"V40026SLMM")</f>
        <v>V40026SLMM</v>
      </c>
      <c r="G1089" s="165">
        <f>IFERROR(__xludf.DUMMYFUNCTION("""COMPUTED_VALUE"""),1733.0)</f>
        <v>1733</v>
      </c>
    </row>
    <row r="1090" ht="15.75" customHeight="1">
      <c r="A1090" s="133" t="str">
        <f>IFERROR(__xludf.DUMMYFUNCTION("""COMPUTED_VALUE"""),"V40026SLM")</f>
        <v>V40026SLM</v>
      </c>
      <c r="B1090" s="164">
        <f>IFERROR(__xludf.DUMMYFUNCTION("""COMPUTED_VALUE"""),1.4936023E7)</f>
        <v>14936023</v>
      </c>
      <c r="C1090" s="164" t="str">
        <f>IFERROR(__xludf.DUMMYFUNCTION("""COMPUTED_VALUE"""),"14936023L")</f>
        <v>14936023L</v>
      </c>
      <c r="D1090" s="133" t="str">
        <f>IFERROR(__xludf.DUMMYFUNCTION("""COMPUTED_VALUE"""),"Жилет Мужской")</f>
        <v>Жилет Мужской</v>
      </c>
      <c r="E1090" s="133" t="str">
        <f>IFERROR(__xludf.DUMMYFUNCTION("""COMPUTED_VALUE"""),"L")</f>
        <v>L</v>
      </c>
      <c r="F1090" s="133" t="str">
        <f>IFERROR(__xludf.DUMMYFUNCTION("""COMPUTED_VALUE"""),"V40026SLML")</f>
        <v>V40026SLML</v>
      </c>
      <c r="G1090" s="165">
        <f>IFERROR(__xludf.DUMMYFUNCTION("""COMPUTED_VALUE"""),1733.0)</f>
        <v>1733</v>
      </c>
    </row>
    <row r="1091" ht="15.75" customHeight="1">
      <c r="A1091" s="133" t="str">
        <f>IFERROR(__xludf.DUMMYFUNCTION("""COMPUTED_VALUE"""),"V40026SLM")</f>
        <v>V40026SLM</v>
      </c>
      <c r="B1091" s="164">
        <f>IFERROR(__xludf.DUMMYFUNCTION("""COMPUTED_VALUE"""),1.4936023E7)</f>
        <v>14936023</v>
      </c>
      <c r="C1091" s="164" t="str">
        <f>IFERROR(__xludf.DUMMYFUNCTION("""COMPUTED_VALUE"""),"14936023XL")</f>
        <v>14936023XL</v>
      </c>
      <c r="D1091" s="133" t="str">
        <f>IFERROR(__xludf.DUMMYFUNCTION("""COMPUTED_VALUE"""),"Жилет Мужской")</f>
        <v>Жилет Мужской</v>
      </c>
      <c r="E1091" s="133" t="str">
        <f>IFERROR(__xludf.DUMMYFUNCTION("""COMPUTED_VALUE"""),"XL")</f>
        <v>XL</v>
      </c>
      <c r="F1091" s="133" t="str">
        <f>IFERROR(__xludf.DUMMYFUNCTION("""COMPUTED_VALUE"""),"V40026SLMXL")</f>
        <v>V40026SLMXL</v>
      </c>
      <c r="G1091" s="165">
        <f>IFERROR(__xludf.DUMMYFUNCTION("""COMPUTED_VALUE"""),1733.0)</f>
        <v>1733</v>
      </c>
    </row>
    <row r="1092" ht="15.75" customHeight="1">
      <c r="A1092" s="133" t="str">
        <f>IFERROR(__xludf.DUMMYFUNCTION("""COMPUTED_VALUE"""),"V40026SLM")</f>
        <v>V40026SLM</v>
      </c>
      <c r="B1092" s="164">
        <f>IFERROR(__xludf.DUMMYFUNCTION("""COMPUTED_VALUE"""),1.4936023E7)</f>
        <v>14936023</v>
      </c>
      <c r="C1092" s="164" t="str">
        <f>IFERROR(__xludf.DUMMYFUNCTION("""COMPUTED_VALUE"""),"14936023XXL")</f>
        <v>14936023XXL</v>
      </c>
      <c r="D1092" s="133" t="str">
        <f>IFERROR(__xludf.DUMMYFUNCTION("""COMPUTED_VALUE"""),"Жилет Мужской")</f>
        <v>Жилет Мужской</v>
      </c>
      <c r="E1092" s="133" t="str">
        <f>IFERROR(__xludf.DUMMYFUNCTION("""COMPUTED_VALUE"""),"XXL")</f>
        <v>XXL</v>
      </c>
      <c r="F1092" s="133" t="str">
        <f>IFERROR(__xludf.DUMMYFUNCTION("""COMPUTED_VALUE"""),"V40026SLMXXL")</f>
        <v>V40026SLMXXL</v>
      </c>
      <c r="G1092" s="165">
        <f>IFERROR(__xludf.DUMMYFUNCTION("""COMPUTED_VALUE"""),1733.0)</f>
        <v>1733</v>
      </c>
    </row>
    <row r="1093" ht="15.75" customHeight="1">
      <c r="A1093" s="133" t="str">
        <f>IFERROR(__xludf.DUMMYFUNCTION("""COMPUTED_VALUE"""),"V40026SLM")</f>
        <v>V40026SLM</v>
      </c>
      <c r="B1093" s="164">
        <f>IFERROR(__xludf.DUMMYFUNCTION("""COMPUTED_VALUE"""),1.4936023E7)</f>
        <v>14936023</v>
      </c>
      <c r="C1093" s="164" t="str">
        <f>IFERROR(__xludf.DUMMYFUNCTION("""COMPUTED_VALUE"""),"14936023XXXL")</f>
        <v>14936023XXXL</v>
      </c>
      <c r="D1093" s="133" t="str">
        <f>IFERROR(__xludf.DUMMYFUNCTION("""COMPUTED_VALUE"""),"Жилет Мужской")</f>
        <v>Жилет Мужской</v>
      </c>
      <c r="E1093" s="133" t="str">
        <f>IFERROR(__xludf.DUMMYFUNCTION("""COMPUTED_VALUE"""),"XXXL")</f>
        <v>XXXL</v>
      </c>
      <c r="F1093" s="133" t="str">
        <f>IFERROR(__xludf.DUMMYFUNCTION("""COMPUTED_VALUE"""),"V40026SLMXXXL")</f>
        <v>V40026SLMXXXL</v>
      </c>
      <c r="G1093" s="165">
        <f>IFERROR(__xludf.DUMMYFUNCTION("""COMPUTED_VALUE"""),1733.0)</f>
        <v>1733</v>
      </c>
    </row>
    <row r="1094" ht="15.75" customHeight="1">
      <c r="A1094" s="133" t="str">
        <f>IFERROR(__xludf.DUMMYFUNCTION("""COMPUTED_VALUE"""),"V40026SLM")</f>
        <v>V40026SLM</v>
      </c>
      <c r="B1094" s="164">
        <f>IFERROR(__xludf.DUMMYFUNCTION("""COMPUTED_VALUE"""),1.4936023E7)</f>
        <v>14936023</v>
      </c>
      <c r="C1094" s="164" t="str">
        <f>IFERROR(__xludf.DUMMYFUNCTION("""COMPUTED_VALUE"""),"14936023XXXXL")</f>
        <v>14936023XXXXL</v>
      </c>
      <c r="D1094" s="133" t="str">
        <f>IFERROR(__xludf.DUMMYFUNCTION("""COMPUTED_VALUE"""),"Жилет Мужской")</f>
        <v>Жилет Мужской</v>
      </c>
      <c r="E1094" s="133" t="str">
        <f>IFERROR(__xludf.DUMMYFUNCTION("""COMPUTED_VALUE"""),"XXXXL")</f>
        <v>XXXXL</v>
      </c>
      <c r="F1094" s="133" t="str">
        <f>IFERROR(__xludf.DUMMYFUNCTION("""COMPUTED_VALUE"""),"V40026SLMXXXXL")</f>
        <v>V40026SLMXXXXL</v>
      </c>
      <c r="G1094" s="165">
        <f>IFERROR(__xludf.DUMMYFUNCTION("""COMPUTED_VALUE"""),1733.0)</f>
        <v>1733</v>
      </c>
    </row>
    <row r="1095" ht="15.75" customHeight="1">
      <c r="A1095" s="133" t="str">
        <f>IFERROR(__xludf.DUMMYFUNCTION("""COMPUTED_VALUE"""),"V40026SLM")</f>
        <v>V40026SLM</v>
      </c>
      <c r="B1095" s="164">
        <f>IFERROR(__xludf.DUMMYFUNCTION("""COMPUTED_VALUE"""),1.4936023E7)</f>
        <v>14936023</v>
      </c>
      <c r="C1095" s="164" t="str">
        <f>IFERROR(__xludf.DUMMYFUNCTION("""COMPUTED_VALUE"""),"14936023XXXXXL")</f>
        <v>14936023XXXXXL</v>
      </c>
      <c r="D1095" s="133" t="str">
        <f>IFERROR(__xludf.DUMMYFUNCTION("""COMPUTED_VALUE"""),"Жилет Мужской")</f>
        <v>Жилет Мужской</v>
      </c>
      <c r="E1095" s="133" t="str">
        <f>IFERROR(__xludf.DUMMYFUNCTION("""COMPUTED_VALUE"""),"XXXXXL")</f>
        <v>XXXXXL</v>
      </c>
      <c r="F1095" s="133" t="str">
        <f>IFERROR(__xludf.DUMMYFUNCTION("""COMPUTED_VALUE"""),"V40026SLMXXXXXL")</f>
        <v>V40026SLMXXXXXL</v>
      </c>
      <c r="G1095" s="165">
        <f>IFERROR(__xludf.DUMMYFUNCTION("""COMPUTED_VALUE"""),1733.0)</f>
        <v>1733</v>
      </c>
    </row>
    <row r="1096" ht="15.75" customHeight="1">
      <c r="A1096" s="133" t="str">
        <f>IFERROR(__xludf.DUMMYFUNCTION("""COMPUTED_VALUE"""),"BR00325SLW")</f>
        <v>BR00325SLW</v>
      </c>
      <c r="B1096" s="164">
        <f>IFERROR(__xludf.DUMMYFUNCTION("""COMPUTED_VALUE"""),1.3178265E7)</f>
        <v>13178265</v>
      </c>
      <c r="C1096" s="164" t="str">
        <f>IFERROR(__xludf.DUMMYFUNCTION("""COMPUTED_VALUE"""),"13178265S")</f>
        <v>13178265S</v>
      </c>
      <c r="D1096" s="133" t="str">
        <f>IFERROR(__xludf.DUMMYFUNCTION("""COMPUTED_VALUE"""),"Штаны рефлективы")</f>
        <v>Штаны рефлективы</v>
      </c>
      <c r="E1096" s="133" t="str">
        <f>IFERROR(__xludf.DUMMYFUNCTION("""COMPUTED_VALUE"""),"S")</f>
        <v>S</v>
      </c>
      <c r="F1096" s="133" t="str">
        <f>IFERROR(__xludf.DUMMYFUNCTION("""COMPUTED_VALUE"""),"BR00325SLWS")</f>
        <v>BR00325SLWS</v>
      </c>
      <c r="G1096" s="165">
        <f>IFERROR(__xludf.DUMMYFUNCTION("""COMPUTED_VALUE"""),1152.0)</f>
        <v>1152</v>
      </c>
    </row>
    <row r="1097" ht="15.75" customHeight="1">
      <c r="A1097" s="133" t="str">
        <f>IFERROR(__xludf.DUMMYFUNCTION("""COMPUTED_VALUE"""),"BR00325SLW")</f>
        <v>BR00325SLW</v>
      </c>
      <c r="B1097" s="164">
        <f>IFERROR(__xludf.DUMMYFUNCTION("""COMPUTED_VALUE"""),1.3178265E7)</f>
        <v>13178265</v>
      </c>
      <c r="C1097" s="164" t="str">
        <f>IFERROR(__xludf.DUMMYFUNCTION("""COMPUTED_VALUE"""),"13178265M")</f>
        <v>13178265M</v>
      </c>
      <c r="D1097" s="133" t="str">
        <f>IFERROR(__xludf.DUMMYFUNCTION("""COMPUTED_VALUE"""),"Штаны рефлективы")</f>
        <v>Штаны рефлективы</v>
      </c>
      <c r="E1097" s="133" t="str">
        <f>IFERROR(__xludf.DUMMYFUNCTION("""COMPUTED_VALUE"""),"M")</f>
        <v>M</v>
      </c>
      <c r="F1097" s="133" t="str">
        <f>IFERROR(__xludf.DUMMYFUNCTION("""COMPUTED_VALUE"""),"BR00325SLWM")</f>
        <v>BR00325SLWM</v>
      </c>
      <c r="G1097" s="165">
        <f>IFERROR(__xludf.DUMMYFUNCTION("""COMPUTED_VALUE"""),1152.0)</f>
        <v>1152</v>
      </c>
    </row>
    <row r="1098" ht="15.75" customHeight="1">
      <c r="A1098" s="133" t="str">
        <f>IFERROR(__xludf.DUMMYFUNCTION("""COMPUTED_VALUE"""),"BR00325SLW")</f>
        <v>BR00325SLW</v>
      </c>
      <c r="B1098" s="164">
        <f>IFERROR(__xludf.DUMMYFUNCTION("""COMPUTED_VALUE"""),1.3178265E7)</f>
        <v>13178265</v>
      </c>
      <c r="C1098" s="164" t="str">
        <f>IFERROR(__xludf.DUMMYFUNCTION("""COMPUTED_VALUE"""),"13178265L")</f>
        <v>13178265L</v>
      </c>
      <c r="D1098" s="133" t="str">
        <f>IFERROR(__xludf.DUMMYFUNCTION("""COMPUTED_VALUE"""),"Штаны рефлективы")</f>
        <v>Штаны рефлективы</v>
      </c>
      <c r="E1098" s="133" t="str">
        <f>IFERROR(__xludf.DUMMYFUNCTION("""COMPUTED_VALUE"""),"L")</f>
        <v>L</v>
      </c>
      <c r="F1098" s="133" t="str">
        <f>IFERROR(__xludf.DUMMYFUNCTION("""COMPUTED_VALUE"""),"BR00325SLWL")</f>
        <v>BR00325SLWL</v>
      </c>
      <c r="G1098" s="165">
        <f>IFERROR(__xludf.DUMMYFUNCTION("""COMPUTED_VALUE"""),1152.0)</f>
        <v>1152</v>
      </c>
    </row>
    <row r="1099" ht="15.75" customHeight="1">
      <c r="A1099" s="133" t="str">
        <f>IFERROR(__xludf.DUMMYFUNCTION("""COMPUTED_VALUE"""),"BR00308SLM")</f>
        <v>BR00308SLM</v>
      </c>
      <c r="B1099" s="164">
        <f>IFERROR(__xludf.DUMMYFUNCTION("""COMPUTED_VALUE"""),1.3176414E7)</f>
        <v>13176414</v>
      </c>
      <c r="C1099" s="164" t="str">
        <f>IFERROR(__xludf.DUMMYFUNCTION("""COMPUTED_VALUE"""),"1317641429/32")</f>
        <v>1317641429/32</v>
      </c>
      <c r="D1099" s="133" t="str">
        <f>IFERROR(__xludf.DUMMYFUNCTION("""COMPUTED_VALUE"""),"Карго")</f>
        <v>Карго</v>
      </c>
      <c r="E1099" s="133" t="str">
        <f>IFERROR(__xludf.DUMMYFUNCTION("""COMPUTED_VALUE"""),"29/32")</f>
        <v>29/32</v>
      </c>
      <c r="F1099" s="133" t="str">
        <f>IFERROR(__xludf.DUMMYFUNCTION("""COMPUTED_VALUE"""),"BR00308SLM29/32")</f>
        <v>BR00308SLM29/32</v>
      </c>
      <c r="G1099" s="165">
        <f>IFERROR(__xludf.DUMMYFUNCTION("""COMPUTED_VALUE"""),1796.0)</f>
        <v>1796</v>
      </c>
    </row>
    <row r="1100" ht="15.75" customHeight="1">
      <c r="A1100" s="133" t="str">
        <f>IFERROR(__xludf.DUMMYFUNCTION("""COMPUTED_VALUE"""),"BR00308SLM")</f>
        <v>BR00308SLM</v>
      </c>
      <c r="B1100" s="164">
        <f>IFERROR(__xludf.DUMMYFUNCTION("""COMPUTED_VALUE"""),1.3176414E7)</f>
        <v>13176414</v>
      </c>
      <c r="C1100" s="164" t="str">
        <f>IFERROR(__xludf.DUMMYFUNCTION("""COMPUTED_VALUE"""),"1317641430/32")</f>
        <v>1317641430/32</v>
      </c>
      <c r="D1100" s="133" t="str">
        <f>IFERROR(__xludf.DUMMYFUNCTION("""COMPUTED_VALUE"""),"Карго")</f>
        <v>Карго</v>
      </c>
      <c r="E1100" s="133" t="str">
        <f>IFERROR(__xludf.DUMMYFUNCTION("""COMPUTED_VALUE"""),"30/32")</f>
        <v>30/32</v>
      </c>
      <c r="F1100" s="133" t="str">
        <f>IFERROR(__xludf.DUMMYFUNCTION("""COMPUTED_VALUE"""),"BR00308SLM30/32")</f>
        <v>BR00308SLM30/32</v>
      </c>
      <c r="G1100" s="165">
        <f>IFERROR(__xludf.DUMMYFUNCTION("""COMPUTED_VALUE"""),1796.0)</f>
        <v>1796</v>
      </c>
    </row>
    <row r="1101" ht="15.75" customHeight="1">
      <c r="A1101" s="133" t="str">
        <f>IFERROR(__xludf.DUMMYFUNCTION("""COMPUTED_VALUE"""),"BR00308SLM")</f>
        <v>BR00308SLM</v>
      </c>
      <c r="B1101" s="164">
        <f>IFERROR(__xludf.DUMMYFUNCTION("""COMPUTED_VALUE"""),1.3176414E7)</f>
        <v>13176414</v>
      </c>
      <c r="C1101" s="164" t="str">
        <f>IFERROR(__xludf.DUMMYFUNCTION("""COMPUTED_VALUE"""),"1317641431/32")</f>
        <v>1317641431/32</v>
      </c>
      <c r="D1101" s="133" t="str">
        <f>IFERROR(__xludf.DUMMYFUNCTION("""COMPUTED_VALUE"""),"Карго")</f>
        <v>Карго</v>
      </c>
      <c r="E1101" s="133" t="str">
        <f>IFERROR(__xludf.DUMMYFUNCTION("""COMPUTED_VALUE"""),"31/32")</f>
        <v>31/32</v>
      </c>
      <c r="F1101" s="133" t="str">
        <f>IFERROR(__xludf.DUMMYFUNCTION("""COMPUTED_VALUE"""),"BR00308SLM31/32")</f>
        <v>BR00308SLM31/32</v>
      </c>
      <c r="G1101" s="165">
        <f>IFERROR(__xludf.DUMMYFUNCTION("""COMPUTED_VALUE"""),1796.0)</f>
        <v>1796</v>
      </c>
    </row>
    <row r="1102" ht="15.75" customHeight="1">
      <c r="A1102" s="133" t="str">
        <f>IFERROR(__xludf.DUMMYFUNCTION("""COMPUTED_VALUE"""),"BR00308SLM")</f>
        <v>BR00308SLM</v>
      </c>
      <c r="B1102" s="164">
        <f>IFERROR(__xludf.DUMMYFUNCTION("""COMPUTED_VALUE"""),1.3176414E7)</f>
        <v>13176414</v>
      </c>
      <c r="C1102" s="164" t="str">
        <f>IFERROR(__xludf.DUMMYFUNCTION("""COMPUTED_VALUE"""),"1317641432/32")</f>
        <v>1317641432/32</v>
      </c>
      <c r="D1102" s="133" t="str">
        <f>IFERROR(__xludf.DUMMYFUNCTION("""COMPUTED_VALUE"""),"Карго")</f>
        <v>Карго</v>
      </c>
      <c r="E1102" s="133" t="str">
        <f>IFERROR(__xludf.DUMMYFUNCTION("""COMPUTED_VALUE"""),"32/32")</f>
        <v>32/32</v>
      </c>
      <c r="F1102" s="133" t="str">
        <f>IFERROR(__xludf.DUMMYFUNCTION("""COMPUTED_VALUE"""),"BR00308SLM32/32")</f>
        <v>BR00308SLM32/32</v>
      </c>
      <c r="G1102" s="165">
        <f>IFERROR(__xludf.DUMMYFUNCTION("""COMPUTED_VALUE"""),1796.0)</f>
        <v>1796</v>
      </c>
    </row>
    <row r="1103" ht="15.75" customHeight="1">
      <c r="A1103" s="133" t="str">
        <f>IFERROR(__xludf.DUMMYFUNCTION("""COMPUTED_VALUE"""),"BR00308SLM")</f>
        <v>BR00308SLM</v>
      </c>
      <c r="B1103" s="164">
        <f>IFERROR(__xludf.DUMMYFUNCTION("""COMPUTED_VALUE"""),1.3176414E7)</f>
        <v>13176414</v>
      </c>
      <c r="C1103" s="164" t="str">
        <f>IFERROR(__xludf.DUMMYFUNCTION("""COMPUTED_VALUE"""),"1317641433/32")</f>
        <v>1317641433/32</v>
      </c>
      <c r="D1103" s="133" t="str">
        <f>IFERROR(__xludf.DUMMYFUNCTION("""COMPUTED_VALUE"""),"Карго")</f>
        <v>Карго</v>
      </c>
      <c r="E1103" s="133" t="str">
        <f>IFERROR(__xludf.DUMMYFUNCTION("""COMPUTED_VALUE"""),"33/32")</f>
        <v>33/32</v>
      </c>
      <c r="F1103" s="133" t="str">
        <f>IFERROR(__xludf.DUMMYFUNCTION("""COMPUTED_VALUE"""),"BR00308SLM33/32")</f>
        <v>BR00308SLM33/32</v>
      </c>
      <c r="G1103" s="165">
        <f>IFERROR(__xludf.DUMMYFUNCTION("""COMPUTED_VALUE"""),1796.0)</f>
        <v>1796</v>
      </c>
    </row>
    <row r="1104" ht="15.75" customHeight="1">
      <c r="A1104" s="133" t="str">
        <f>IFERROR(__xludf.DUMMYFUNCTION("""COMPUTED_VALUE"""),"BR00308SLM")</f>
        <v>BR00308SLM</v>
      </c>
      <c r="B1104" s="164">
        <f>IFERROR(__xludf.DUMMYFUNCTION("""COMPUTED_VALUE"""),1.3176414E7)</f>
        <v>13176414</v>
      </c>
      <c r="C1104" s="164" t="str">
        <f>IFERROR(__xludf.DUMMYFUNCTION("""COMPUTED_VALUE"""),"1317641434/32")</f>
        <v>1317641434/32</v>
      </c>
      <c r="D1104" s="133" t="str">
        <f>IFERROR(__xludf.DUMMYFUNCTION("""COMPUTED_VALUE"""),"Карго")</f>
        <v>Карго</v>
      </c>
      <c r="E1104" s="133" t="str">
        <f>IFERROR(__xludf.DUMMYFUNCTION("""COMPUTED_VALUE"""),"34/32")</f>
        <v>34/32</v>
      </c>
      <c r="F1104" s="133" t="str">
        <f>IFERROR(__xludf.DUMMYFUNCTION("""COMPUTED_VALUE"""),"BR00308SLM34/32")</f>
        <v>BR00308SLM34/32</v>
      </c>
      <c r="G1104" s="165">
        <f>IFERROR(__xludf.DUMMYFUNCTION("""COMPUTED_VALUE"""),1796.0)</f>
        <v>1796</v>
      </c>
    </row>
    <row r="1105" ht="15.75" customHeight="1">
      <c r="A1105" s="133" t="str">
        <f>IFERROR(__xludf.DUMMYFUNCTION("""COMPUTED_VALUE"""),"BR00308SLM")</f>
        <v>BR00308SLM</v>
      </c>
      <c r="B1105" s="164">
        <f>IFERROR(__xludf.DUMMYFUNCTION("""COMPUTED_VALUE"""),1.3176414E7)</f>
        <v>13176414</v>
      </c>
      <c r="C1105" s="164" t="str">
        <f>IFERROR(__xludf.DUMMYFUNCTION("""COMPUTED_VALUE"""),"1317641436/32")</f>
        <v>1317641436/32</v>
      </c>
      <c r="D1105" s="133" t="str">
        <f>IFERROR(__xludf.DUMMYFUNCTION("""COMPUTED_VALUE"""),"Карго")</f>
        <v>Карго</v>
      </c>
      <c r="E1105" s="133" t="str">
        <f>IFERROR(__xludf.DUMMYFUNCTION("""COMPUTED_VALUE"""),"36/32")</f>
        <v>36/32</v>
      </c>
      <c r="F1105" s="133" t="str">
        <f>IFERROR(__xludf.DUMMYFUNCTION("""COMPUTED_VALUE"""),"BR00308SLM36/32")</f>
        <v>BR00308SLM36/32</v>
      </c>
      <c r="G1105" s="165">
        <f>IFERROR(__xludf.DUMMYFUNCTION("""COMPUTED_VALUE"""),1796.0)</f>
        <v>1796</v>
      </c>
    </row>
    <row r="1106" ht="15.75" customHeight="1">
      <c r="A1106" s="133" t="str">
        <f>IFERROR(__xludf.DUMMYFUNCTION("""COMPUTED_VALUE"""),"BR00309SLM")</f>
        <v>BR00309SLM</v>
      </c>
      <c r="B1106" s="164">
        <f>IFERROR(__xludf.DUMMYFUNCTION("""COMPUTED_VALUE"""),1.3176415E7)</f>
        <v>13176415</v>
      </c>
      <c r="C1106" s="164" t="str">
        <f>IFERROR(__xludf.DUMMYFUNCTION("""COMPUTED_VALUE"""),"1317641529/32")</f>
        <v>1317641529/32</v>
      </c>
      <c r="D1106" s="133" t="str">
        <f>IFERROR(__xludf.DUMMYFUNCTION("""COMPUTED_VALUE"""),"Карго")</f>
        <v>Карго</v>
      </c>
      <c r="E1106" s="133" t="str">
        <f>IFERROR(__xludf.DUMMYFUNCTION("""COMPUTED_VALUE"""),"29/32")</f>
        <v>29/32</v>
      </c>
      <c r="F1106" s="133" t="str">
        <f>IFERROR(__xludf.DUMMYFUNCTION("""COMPUTED_VALUE"""),"BR00309SLM29/32")</f>
        <v>BR00309SLM29/32</v>
      </c>
      <c r="G1106" s="165">
        <f>IFERROR(__xludf.DUMMYFUNCTION("""COMPUTED_VALUE"""),1796.0)</f>
        <v>1796</v>
      </c>
    </row>
    <row r="1107" ht="15.75" customHeight="1">
      <c r="A1107" s="133" t="str">
        <f>IFERROR(__xludf.DUMMYFUNCTION("""COMPUTED_VALUE"""),"BR00309SLM")</f>
        <v>BR00309SLM</v>
      </c>
      <c r="B1107" s="164">
        <f>IFERROR(__xludf.DUMMYFUNCTION("""COMPUTED_VALUE"""),1.3176415E7)</f>
        <v>13176415</v>
      </c>
      <c r="C1107" s="164" t="str">
        <f>IFERROR(__xludf.DUMMYFUNCTION("""COMPUTED_VALUE"""),"1317641530/32")</f>
        <v>1317641530/32</v>
      </c>
      <c r="D1107" s="133" t="str">
        <f>IFERROR(__xludf.DUMMYFUNCTION("""COMPUTED_VALUE"""),"Карго")</f>
        <v>Карго</v>
      </c>
      <c r="E1107" s="133" t="str">
        <f>IFERROR(__xludf.DUMMYFUNCTION("""COMPUTED_VALUE"""),"30/32")</f>
        <v>30/32</v>
      </c>
      <c r="F1107" s="133" t="str">
        <f>IFERROR(__xludf.DUMMYFUNCTION("""COMPUTED_VALUE"""),"BR00309SLM30/32")</f>
        <v>BR00309SLM30/32</v>
      </c>
      <c r="G1107" s="165">
        <f>IFERROR(__xludf.DUMMYFUNCTION("""COMPUTED_VALUE"""),1796.0)</f>
        <v>1796</v>
      </c>
    </row>
    <row r="1108" ht="15.75" customHeight="1">
      <c r="A1108" s="133" t="str">
        <f>IFERROR(__xludf.DUMMYFUNCTION("""COMPUTED_VALUE"""),"BR00309SLM")</f>
        <v>BR00309SLM</v>
      </c>
      <c r="B1108" s="164">
        <f>IFERROR(__xludf.DUMMYFUNCTION("""COMPUTED_VALUE"""),1.3176415E7)</f>
        <v>13176415</v>
      </c>
      <c r="C1108" s="164" t="str">
        <f>IFERROR(__xludf.DUMMYFUNCTION("""COMPUTED_VALUE"""),"1317641531/32")</f>
        <v>1317641531/32</v>
      </c>
      <c r="D1108" s="133" t="str">
        <f>IFERROR(__xludf.DUMMYFUNCTION("""COMPUTED_VALUE"""),"Карго")</f>
        <v>Карго</v>
      </c>
      <c r="E1108" s="133" t="str">
        <f>IFERROR(__xludf.DUMMYFUNCTION("""COMPUTED_VALUE"""),"31/32")</f>
        <v>31/32</v>
      </c>
      <c r="F1108" s="133" t="str">
        <f>IFERROR(__xludf.DUMMYFUNCTION("""COMPUTED_VALUE"""),"BR00309SLM31/32")</f>
        <v>BR00309SLM31/32</v>
      </c>
      <c r="G1108" s="165">
        <f>IFERROR(__xludf.DUMMYFUNCTION("""COMPUTED_VALUE"""),1796.0)</f>
        <v>1796</v>
      </c>
    </row>
    <row r="1109" ht="15.75" customHeight="1">
      <c r="A1109" s="133" t="str">
        <f>IFERROR(__xludf.DUMMYFUNCTION("""COMPUTED_VALUE"""),"BR00309SLM")</f>
        <v>BR00309SLM</v>
      </c>
      <c r="B1109" s="164">
        <f>IFERROR(__xludf.DUMMYFUNCTION("""COMPUTED_VALUE"""),1.3176415E7)</f>
        <v>13176415</v>
      </c>
      <c r="C1109" s="164" t="str">
        <f>IFERROR(__xludf.DUMMYFUNCTION("""COMPUTED_VALUE"""),"1317641532/32")</f>
        <v>1317641532/32</v>
      </c>
      <c r="D1109" s="133" t="str">
        <f>IFERROR(__xludf.DUMMYFUNCTION("""COMPUTED_VALUE"""),"Карго")</f>
        <v>Карго</v>
      </c>
      <c r="E1109" s="133" t="str">
        <f>IFERROR(__xludf.DUMMYFUNCTION("""COMPUTED_VALUE"""),"32/32")</f>
        <v>32/32</v>
      </c>
      <c r="F1109" s="133" t="str">
        <f>IFERROR(__xludf.DUMMYFUNCTION("""COMPUTED_VALUE"""),"BR00309SLM32/32")</f>
        <v>BR00309SLM32/32</v>
      </c>
      <c r="G1109" s="165">
        <f>IFERROR(__xludf.DUMMYFUNCTION("""COMPUTED_VALUE"""),1796.0)</f>
        <v>1796</v>
      </c>
    </row>
    <row r="1110" ht="15.75" customHeight="1">
      <c r="A1110" s="133" t="str">
        <f>IFERROR(__xludf.DUMMYFUNCTION("""COMPUTED_VALUE"""),"BR00309SLM")</f>
        <v>BR00309SLM</v>
      </c>
      <c r="B1110" s="164">
        <f>IFERROR(__xludf.DUMMYFUNCTION("""COMPUTED_VALUE"""),1.3176415E7)</f>
        <v>13176415</v>
      </c>
      <c r="C1110" s="164" t="str">
        <f>IFERROR(__xludf.DUMMYFUNCTION("""COMPUTED_VALUE"""),"1317641533/32")</f>
        <v>1317641533/32</v>
      </c>
      <c r="D1110" s="133" t="str">
        <f>IFERROR(__xludf.DUMMYFUNCTION("""COMPUTED_VALUE"""),"Карго")</f>
        <v>Карго</v>
      </c>
      <c r="E1110" s="133" t="str">
        <f>IFERROR(__xludf.DUMMYFUNCTION("""COMPUTED_VALUE"""),"33/32")</f>
        <v>33/32</v>
      </c>
      <c r="F1110" s="133" t="str">
        <f>IFERROR(__xludf.DUMMYFUNCTION("""COMPUTED_VALUE"""),"BR00309SLM33/32")</f>
        <v>BR00309SLM33/32</v>
      </c>
      <c r="G1110" s="165">
        <f>IFERROR(__xludf.DUMMYFUNCTION("""COMPUTED_VALUE"""),1796.0)</f>
        <v>1796</v>
      </c>
    </row>
    <row r="1111" ht="15.75" customHeight="1">
      <c r="A1111" s="133" t="str">
        <f>IFERROR(__xludf.DUMMYFUNCTION("""COMPUTED_VALUE"""),"BR00309SLM")</f>
        <v>BR00309SLM</v>
      </c>
      <c r="B1111" s="164">
        <f>IFERROR(__xludf.DUMMYFUNCTION("""COMPUTED_VALUE"""),1.3176415E7)</f>
        <v>13176415</v>
      </c>
      <c r="C1111" s="164" t="str">
        <f>IFERROR(__xludf.DUMMYFUNCTION("""COMPUTED_VALUE"""),"1317641534/32")</f>
        <v>1317641534/32</v>
      </c>
      <c r="D1111" s="133" t="str">
        <f>IFERROR(__xludf.DUMMYFUNCTION("""COMPUTED_VALUE"""),"Карго")</f>
        <v>Карго</v>
      </c>
      <c r="E1111" s="133" t="str">
        <f>IFERROR(__xludf.DUMMYFUNCTION("""COMPUTED_VALUE"""),"34/32")</f>
        <v>34/32</v>
      </c>
      <c r="F1111" s="133" t="str">
        <f>IFERROR(__xludf.DUMMYFUNCTION("""COMPUTED_VALUE"""),"BR00309SLM34/32")</f>
        <v>BR00309SLM34/32</v>
      </c>
      <c r="G1111" s="165">
        <f>IFERROR(__xludf.DUMMYFUNCTION("""COMPUTED_VALUE"""),1796.0)</f>
        <v>1796</v>
      </c>
    </row>
    <row r="1112" ht="15.75" customHeight="1">
      <c r="A1112" s="133" t="str">
        <f>IFERROR(__xludf.DUMMYFUNCTION("""COMPUTED_VALUE"""),"BR00309SLM")</f>
        <v>BR00309SLM</v>
      </c>
      <c r="B1112" s="164">
        <f>IFERROR(__xludf.DUMMYFUNCTION("""COMPUTED_VALUE"""),1.3176415E7)</f>
        <v>13176415</v>
      </c>
      <c r="C1112" s="164" t="str">
        <f>IFERROR(__xludf.DUMMYFUNCTION("""COMPUTED_VALUE"""),"1317641536/32")</f>
        <v>1317641536/32</v>
      </c>
      <c r="D1112" s="133" t="str">
        <f>IFERROR(__xludf.DUMMYFUNCTION("""COMPUTED_VALUE"""),"Карго")</f>
        <v>Карго</v>
      </c>
      <c r="E1112" s="133" t="str">
        <f>IFERROR(__xludf.DUMMYFUNCTION("""COMPUTED_VALUE"""),"36/32")</f>
        <v>36/32</v>
      </c>
      <c r="F1112" s="133" t="str">
        <f>IFERROR(__xludf.DUMMYFUNCTION("""COMPUTED_VALUE"""),"BR00309SLM36/32")</f>
        <v>BR00309SLM36/32</v>
      </c>
      <c r="G1112" s="165">
        <f>IFERROR(__xludf.DUMMYFUNCTION("""COMPUTED_VALUE"""),1796.0)</f>
        <v>1796</v>
      </c>
    </row>
    <row r="1113" ht="15.75" customHeight="1">
      <c r="A1113" s="133" t="str">
        <f>IFERROR(__xludf.DUMMYFUNCTION("""COMPUTED_VALUE"""),"BR00331SLM")</f>
        <v>BR00331SLM</v>
      </c>
      <c r="B1113" s="164">
        <f>IFERROR(__xludf.DUMMYFUNCTION("""COMPUTED_VALUE"""),1.3176416E7)</f>
        <v>13176416</v>
      </c>
      <c r="C1113" s="164" t="str">
        <f>IFERROR(__xludf.DUMMYFUNCTION("""COMPUTED_VALUE"""),"1317641629/34")</f>
        <v>1317641629/34</v>
      </c>
      <c r="D1113" s="133" t="str">
        <f>IFERROR(__xludf.DUMMYFUNCTION("""COMPUTED_VALUE"""),"Карго")</f>
        <v>Карго</v>
      </c>
      <c r="E1113" s="133" t="str">
        <f>IFERROR(__xludf.DUMMYFUNCTION("""COMPUTED_VALUE"""),"29/34")</f>
        <v>29/34</v>
      </c>
      <c r="F1113" s="133" t="str">
        <f>IFERROR(__xludf.DUMMYFUNCTION("""COMPUTED_VALUE"""),"BR00331SLM29/34")</f>
        <v>BR00331SLM29/34</v>
      </c>
      <c r="G1113" s="165">
        <f>IFERROR(__xludf.DUMMYFUNCTION("""COMPUTED_VALUE"""),1796.0)</f>
        <v>1796</v>
      </c>
    </row>
    <row r="1114" ht="15.75" customHeight="1">
      <c r="A1114" s="133" t="str">
        <f>IFERROR(__xludf.DUMMYFUNCTION("""COMPUTED_VALUE"""),"BR00331SLM")</f>
        <v>BR00331SLM</v>
      </c>
      <c r="B1114" s="164">
        <f>IFERROR(__xludf.DUMMYFUNCTION("""COMPUTED_VALUE"""),1.3176416E7)</f>
        <v>13176416</v>
      </c>
      <c r="C1114" s="164" t="str">
        <f>IFERROR(__xludf.DUMMYFUNCTION("""COMPUTED_VALUE"""),"1317641630/34")</f>
        <v>1317641630/34</v>
      </c>
      <c r="D1114" s="133" t="str">
        <f>IFERROR(__xludf.DUMMYFUNCTION("""COMPUTED_VALUE"""),"Карго")</f>
        <v>Карго</v>
      </c>
      <c r="E1114" s="133" t="str">
        <f>IFERROR(__xludf.DUMMYFUNCTION("""COMPUTED_VALUE"""),"30/34")</f>
        <v>30/34</v>
      </c>
      <c r="F1114" s="133" t="str">
        <f>IFERROR(__xludf.DUMMYFUNCTION("""COMPUTED_VALUE"""),"BR00331SLM30/34")</f>
        <v>BR00331SLM30/34</v>
      </c>
      <c r="G1114" s="165">
        <f>IFERROR(__xludf.DUMMYFUNCTION("""COMPUTED_VALUE"""),1796.0)</f>
        <v>1796</v>
      </c>
    </row>
    <row r="1115" ht="15.75" customHeight="1">
      <c r="A1115" s="133" t="str">
        <f>IFERROR(__xludf.DUMMYFUNCTION("""COMPUTED_VALUE"""),"BR00331SLM")</f>
        <v>BR00331SLM</v>
      </c>
      <c r="B1115" s="164">
        <f>IFERROR(__xludf.DUMMYFUNCTION("""COMPUTED_VALUE"""),1.3176416E7)</f>
        <v>13176416</v>
      </c>
      <c r="C1115" s="164" t="str">
        <f>IFERROR(__xludf.DUMMYFUNCTION("""COMPUTED_VALUE"""),"1317641631/34")</f>
        <v>1317641631/34</v>
      </c>
      <c r="D1115" s="133" t="str">
        <f>IFERROR(__xludf.DUMMYFUNCTION("""COMPUTED_VALUE"""),"Карго")</f>
        <v>Карго</v>
      </c>
      <c r="E1115" s="133" t="str">
        <f>IFERROR(__xludf.DUMMYFUNCTION("""COMPUTED_VALUE"""),"31/34")</f>
        <v>31/34</v>
      </c>
      <c r="F1115" s="133" t="str">
        <f>IFERROR(__xludf.DUMMYFUNCTION("""COMPUTED_VALUE"""),"BR00331SLM31/34")</f>
        <v>BR00331SLM31/34</v>
      </c>
      <c r="G1115" s="165">
        <f>IFERROR(__xludf.DUMMYFUNCTION("""COMPUTED_VALUE"""),1796.0)</f>
        <v>1796</v>
      </c>
    </row>
    <row r="1116" ht="15.75" customHeight="1">
      <c r="A1116" s="133" t="str">
        <f>IFERROR(__xludf.DUMMYFUNCTION("""COMPUTED_VALUE"""),"BR00331SLM")</f>
        <v>BR00331SLM</v>
      </c>
      <c r="B1116" s="164">
        <f>IFERROR(__xludf.DUMMYFUNCTION("""COMPUTED_VALUE"""),1.3176416E7)</f>
        <v>13176416</v>
      </c>
      <c r="C1116" s="164" t="str">
        <f>IFERROR(__xludf.DUMMYFUNCTION("""COMPUTED_VALUE"""),"1317641632/34")</f>
        <v>1317641632/34</v>
      </c>
      <c r="D1116" s="133" t="str">
        <f>IFERROR(__xludf.DUMMYFUNCTION("""COMPUTED_VALUE"""),"Карго")</f>
        <v>Карго</v>
      </c>
      <c r="E1116" s="133" t="str">
        <f>IFERROR(__xludf.DUMMYFUNCTION("""COMPUTED_VALUE"""),"32/34")</f>
        <v>32/34</v>
      </c>
      <c r="F1116" s="133" t="str">
        <f>IFERROR(__xludf.DUMMYFUNCTION("""COMPUTED_VALUE"""),"BR00331SLM32/34")</f>
        <v>BR00331SLM32/34</v>
      </c>
      <c r="G1116" s="165">
        <f>IFERROR(__xludf.DUMMYFUNCTION("""COMPUTED_VALUE"""),1796.0)</f>
        <v>1796</v>
      </c>
    </row>
    <row r="1117" ht="15.75" customHeight="1">
      <c r="A1117" s="133" t="str">
        <f>IFERROR(__xludf.DUMMYFUNCTION("""COMPUTED_VALUE"""),"BR00331SLM")</f>
        <v>BR00331SLM</v>
      </c>
      <c r="B1117" s="164">
        <f>IFERROR(__xludf.DUMMYFUNCTION("""COMPUTED_VALUE"""),1.3176416E7)</f>
        <v>13176416</v>
      </c>
      <c r="C1117" s="164" t="str">
        <f>IFERROR(__xludf.DUMMYFUNCTION("""COMPUTED_VALUE"""),"1317641633/34")</f>
        <v>1317641633/34</v>
      </c>
      <c r="D1117" s="133" t="str">
        <f>IFERROR(__xludf.DUMMYFUNCTION("""COMPUTED_VALUE"""),"Карго")</f>
        <v>Карго</v>
      </c>
      <c r="E1117" s="133" t="str">
        <f>IFERROR(__xludf.DUMMYFUNCTION("""COMPUTED_VALUE"""),"33/34")</f>
        <v>33/34</v>
      </c>
      <c r="F1117" s="133" t="str">
        <f>IFERROR(__xludf.DUMMYFUNCTION("""COMPUTED_VALUE"""),"BR00331SLM33/34")</f>
        <v>BR00331SLM33/34</v>
      </c>
      <c r="G1117" s="165">
        <f>IFERROR(__xludf.DUMMYFUNCTION("""COMPUTED_VALUE"""),1796.0)</f>
        <v>1796</v>
      </c>
    </row>
    <row r="1118" ht="15.75" customHeight="1">
      <c r="A1118" s="133" t="str">
        <f>IFERROR(__xludf.DUMMYFUNCTION("""COMPUTED_VALUE"""),"BR00331SLM")</f>
        <v>BR00331SLM</v>
      </c>
      <c r="B1118" s="164">
        <f>IFERROR(__xludf.DUMMYFUNCTION("""COMPUTED_VALUE"""),1.3176416E7)</f>
        <v>13176416</v>
      </c>
      <c r="C1118" s="164" t="str">
        <f>IFERROR(__xludf.DUMMYFUNCTION("""COMPUTED_VALUE"""),"1317641634/34")</f>
        <v>1317641634/34</v>
      </c>
      <c r="D1118" s="133" t="str">
        <f>IFERROR(__xludf.DUMMYFUNCTION("""COMPUTED_VALUE"""),"Карго")</f>
        <v>Карго</v>
      </c>
      <c r="E1118" s="133" t="str">
        <f>IFERROR(__xludf.DUMMYFUNCTION("""COMPUTED_VALUE"""),"34/34")</f>
        <v>34/34</v>
      </c>
      <c r="F1118" s="133" t="str">
        <f>IFERROR(__xludf.DUMMYFUNCTION("""COMPUTED_VALUE"""),"BR00331SLM34/34")</f>
        <v>BR00331SLM34/34</v>
      </c>
      <c r="G1118" s="165">
        <f>IFERROR(__xludf.DUMMYFUNCTION("""COMPUTED_VALUE"""),1796.0)</f>
        <v>1796</v>
      </c>
    </row>
    <row r="1119" ht="15.75" customHeight="1">
      <c r="A1119" s="133" t="str">
        <f>IFERROR(__xludf.DUMMYFUNCTION("""COMPUTED_VALUE"""),"BR00331SLM")</f>
        <v>BR00331SLM</v>
      </c>
      <c r="B1119" s="164">
        <f>IFERROR(__xludf.DUMMYFUNCTION("""COMPUTED_VALUE"""),1.3176416E7)</f>
        <v>13176416</v>
      </c>
      <c r="C1119" s="164" t="str">
        <f>IFERROR(__xludf.DUMMYFUNCTION("""COMPUTED_VALUE"""),"1317641636/34")</f>
        <v>1317641636/34</v>
      </c>
      <c r="D1119" s="133" t="str">
        <f>IFERROR(__xludf.DUMMYFUNCTION("""COMPUTED_VALUE"""),"Карго")</f>
        <v>Карго</v>
      </c>
      <c r="E1119" s="133" t="str">
        <f>IFERROR(__xludf.DUMMYFUNCTION("""COMPUTED_VALUE"""),"36/34")</f>
        <v>36/34</v>
      </c>
      <c r="F1119" s="133" t="str">
        <f>IFERROR(__xludf.DUMMYFUNCTION("""COMPUTED_VALUE"""),"BR00331SLM36/34")</f>
        <v>BR00331SLM36/34</v>
      </c>
      <c r="G1119" s="165">
        <f>IFERROR(__xludf.DUMMYFUNCTION("""COMPUTED_VALUE"""),1796.0)</f>
        <v>1796</v>
      </c>
    </row>
    <row r="1120" ht="15.75" customHeight="1">
      <c r="A1120" s="133" t="str">
        <f>IFERROR(__xludf.DUMMYFUNCTION("""COMPUTED_VALUE"""),"BR00332SLM")</f>
        <v>BR00332SLM</v>
      </c>
      <c r="B1120" s="164">
        <f>IFERROR(__xludf.DUMMYFUNCTION("""COMPUTED_VALUE"""),1.3176417E7)</f>
        <v>13176417</v>
      </c>
      <c r="C1120" s="164" t="str">
        <f>IFERROR(__xludf.DUMMYFUNCTION("""COMPUTED_VALUE"""),"1317641729/34")</f>
        <v>1317641729/34</v>
      </c>
      <c r="D1120" s="133" t="str">
        <f>IFERROR(__xludf.DUMMYFUNCTION("""COMPUTED_VALUE"""),"Карго")</f>
        <v>Карго</v>
      </c>
      <c r="E1120" s="133" t="str">
        <f>IFERROR(__xludf.DUMMYFUNCTION("""COMPUTED_VALUE"""),"29/34")</f>
        <v>29/34</v>
      </c>
      <c r="F1120" s="133" t="str">
        <f>IFERROR(__xludf.DUMMYFUNCTION("""COMPUTED_VALUE"""),"BR00332SLM29/34")</f>
        <v>BR00332SLM29/34</v>
      </c>
      <c r="G1120" s="165">
        <f>IFERROR(__xludf.DUMMYFUNCTION("""COMPUTED_VALUE"""),1796.0)</f>
        <v>1796</v>
      </c>
    </row>
    <row r="1121" ht="15.75" customHeight="1">
      <c r="A1121" s="133" t="str">
        <f>IFERROR(__xludf.DUMMYFUNCTION("""COMPUTED_VALUE"""),"BR00332SLM")</f>
        <v>BR00332SLM</v>
      </c>
      <c r="B1121" s="164">
        <f>IFERROR(__xludf.DUMMYFUNCTION("""COMPUTED_VALUE"""),1.3176417E7)</f>
        <v>13176417</v>
      </c>
      <c r="C1121" s="164" t="str">
        <f>IFERROR(__xludf.DUMMYFUNCTION("""COMPUTED_VALUE"""),"1317641730/34")</f>
        <v>1317641730/34</v>
      </c>
      <c r="D1121" s="133" t="str">
        <f>IFERROR(__xludf.DUMMYFUNCTION("""COMPUTED_VALUE"""),"Карго")</f>
        <v>Карго</v>
      </c>
      <c r="E1121" s="133" t="str">
        <f>IFERROR(__xludf.DUMMYFUNCTION("""COMPUTED_VALUE"""),"30/34")</f>
        <v>30/34</v>
      </c>
      <c r="F1121" s="133" t="str">
        <f>IFERROR(__xludf.DUMMYFUNCTION("""COMPUTED_VALUE"""),"BR00332SLM30/34")</f>
        <v>BR00332SLM30/34</v>
      </c>
      <c r="G1121" s="165">
        <f>IFERROR(__xludf.DUMMYFUNCTION("""COMPUTED_VALUE"""),1796.0)</f>
        <v>1796</v>
      </c>
    </row>
    <row r="1122" ht="15.75" customHeight="1">
      <c r="A1122" s="133" t="str">
        <f>IFERROR(__xludf.DUMMYFUNCTION("""COMPUTED_VALUE"""),"BR00332SLM")</f>
        <v>BR00332SLM</v>
      </c>
      <c r="B1122" s="164">
        <f>IFERROR(__xludf.DUMMYFUNCTION("""COMPUTED_VALUE"""),1.3176417E7)</f>
        <v>13176417</v>
      </c>
      <c r="C1122" s="164" t="str">
        <f>IFERROR(__xludf.DUMMYFUNCTION("""COMPUTED_VALUE"""),"1317641731/34")</f>
        <v>1317641731/34</v>
      </c>
      <c r="D1122" s="133" t="str">
        <f>IFERROR(__xludf.DUMMYFUNCTION("""COMPUTED_VALUE"""),"Карго")</f>
        <v>Карго</v>
      </c>
      <c r="E1122" s="133" t="str">
        <f>IFERROR(__xludf.DUMMYFUNCTION("""COMPUTED_VALUE"""),"31/34")</f>
        <v>31/34</v>
      </c>
      <c r="F1122" s="133" t="str">
        <f>IFERROR(__xludf.DUMMYFUNCTION("""COMPUTED_VALUE"""),"BR00332SLM31/34")</f>
        <v>BR00332SLM31/34</v>
      </c>
      <c r="G1122" s="165">
        <f>IFERROR(__xludf.DUMMYFUNCTION("""COMPUTED_VALUE"""),1796.0)</f>
        <v>1796</v>
      </c>
    </row>
    <row r="1123" ht="15.75" customHeight="1">
      <c r="A1123" s="133" t="str">
        <f>IFERROR(__xludf.DUMMYFUNCTION("""COMPUTED_VALUE"""),"BR00332SLM")</f>
        <v>BR00332SLM</v>
      </c>
      <c r="B1123" s="164">
        <f>IFERROR(__xludf.DUMMYFUNCTION("""COMPUTED_VALUE"""),1.3176417E7)</f>
        <v>13176417</v>
      </c>
      <c r="C1123" s="164" t="str">
        <f>IFERROR(__xludf.DUMMYFUNCTION("""COMPUTED_VALUE"""),"1317641732/34")</f>
        <v>1317641732/34</v>
      </c>
      <c r="D1123" s="133" t="str">
        <f>IFERROR(__xludf.DUMMYFUNCTION("""COMPUTED_VALUE"""),"Карго")</f>
        <v>Карго</v>
      </c>
      <c r="E1123" s="133" t="str">
        <f>IFERROR(__xludf.DUMMYFUNCTION("""COMPUTED_VALUE"""),"32/34")</f>
        <v>32/34</v>
      </c>
      <c r="F1123" s="133" t="str">
        <f>IFERROR(__xludf.DUMMYFUNCTION("""COMPUTED_VALUE"""),"BR00332SLM32/34")</f>
        <v>BR00332SLM32/34</v>
      </c>
      <c r="G1123" s="165">
        <f>IFERROR(__xludf.DUMMYFUNCTION("""COMPUTED_VALUE"""),1796.0)</f>
        <v>1796</v>
      </c>
    </row>
    <row r="1124" ht="15.75" customHeight="1">
      <c r="A1124" s="133" t="str">
        <f>IFERROR(__xludf.DUMMYFUNCTION("""COMPUTED_VALUE"""),"BR00332SLM")</f>
        <v>BR00332SLM</v>
      </c>
      <c r="B1124" s="164">
        <f>IFERROR(__xludf.DUMMYFUNCTION("""COMPUTED_VALUE"""),1.3176417E7)</f>
        <v>13176417</v>
      </c>
      <c r="C1124" s="164" t="str">
        <f>IFERROR(__xludf.DUMMYFUNCTION("""COMPUTED_VALUE"""),"1317641733/34")</f>
        <v>1317641733/34</v>
      </c>
      <c r="D1124" s="133" t="str">
        <f>IFERROR(__xludf.DUMMYFUNCTION("""COMPUTED_VALUE"""),"Карго")</f>
        <v>Карго</v>
      </c>
      <c r="E1124" s="133" t="str">
        <f>IFERROR(__xludf.DUMMYFUNCTION("""COMPUTED_VALUE"""),"33/34")</f>
        <v>33/34</v>
      </c>
      <c r="F1124" s="133" t="str">
        <f>IFERROR(__xludf.DUMMYFUNCTION("""COMPUTED_VALUE"""),"BR00332SLM33/34")</f>
        <v>BR00332SLM33/34</v>
      </c>
      <c r="G1124" s="165">
        <f>IFERROR(__xludf.DUMMYFUNCTION("""COMPUTED_VALUE"""),1796.0)</f>
        <v>1796</v>
      </c>
    </row>
    <row r="1125" ht="15.75" customHeight="1">
      <c r="A1125" s="133" t="str">
        <f>IFERROR(__xludf.DUMMYFUNCTION("""COMPUTED_VALUE"""),"BR00332SLM")</f>
        <v>BR00332SLM</v>
      </c>
      <c r="B1125" s="164">
        <f>IFERROR(__xludf.DUMMYFUNCTION("""COMPUTED_VALUE"""),1.3176417E7)</f>
        <v>13176417</v>
      </c>
      <c r="C1125" s="164" t="str">
        <f>IFERROR(__xludf.DUMMYFUNCTION("""COMPUTED_VALUE"""),"1317641734/34")</f>
        <v>1317641734/34</v>
      </c>
      <c r="D1125" s="133" t="str">
        <f>IFERROR(__xludf.DUMMYFUNCTION("""COMPUTED_VALUE"""),"Карго")</f>
        <v>Карго</v>
      </c>
      <c r="E1125" s="133" t="str">
        <f>IFERROR(__xludf.DUMMYFUNCTION("""COMPUTED_VALUE"""),"34/34")</f>
        <v>34/34</v>
      </c>
      <c r="F1125" s="133" t="str">
        <f>IFERROR(__xludf.DUMMYFUNCTION("""COMPUTED_VALUE"""),"BR00332SLM34/34")</f>
        <v>BR00332SLM34/34</v>
      </c>
      <c r="G1125" s="165">
        <f>IFERROR(__xludf.DUMMYFUNCTION("""COMPUTED_VALUE"""),1796.0)</f>
        <v>1796</v>
      </c>
    </row>
    <row r="1126" ht="15.75" customHeight="1">
      <c r="A1126" s="133" t="str">
        <f>IFERROR(__xludf.DUMMYFUNCTION("""COMPUTED_VALUE"""),"BR00332SLM")</f>
        <v>BR00332SLM</v>
      </c>
      <c r="B1126" s="164">
        <f>IFERROR(__xludf.DUMMYFUNCTION("""COMPUTED_VALUE"""),1.3176417E7)</f>
        <v>13176417</v>
      </c>
      <c r="C1126" s="164" t="str">
        <f>IFERROR(__xludf.DUMMYFUNCTION("""COMPUTED_VALUE"""),"1317641736/34")</f>
        <v>1317641736/34</v>
      </c>
      <c r="D1126" s="133" t="str">
        <f>IFERROR(__xludf.DUMMYFUNCTION("""COMPUTED_VALUE"""),"Карго")</f>
        <v>Карго</v>
      </c>
      <c r="E1126" s="133" t="str">
        <f>IFERROR(__xludf.DUMMYFUNCTION("""COMPUTED_VALUE"""),"36/34")</f>
        <v>36/34</v>
      </c>
      <c r="F1126" s="133" t="str">
        <f>IFERROR(__xludf.DUMMYFUNCTION("""COMPUTED_VALUE"""),"BR00332SLM36/34")</f>
        <v>BR00332SLM36/34</v>
      </c>
      <c r="G1126" s="165">
        <f>IFERROR(__xludf.DUMMYFUNCTION("""COMPUTED_VALUE"""),1796.0)</f>
        <v>1796</v>
      </c>
    </row>
    <row r="1127" ht="15.75" customHeight="1">
      <c r="A1127" s="133" t="str">
        <f>IFERROR(__xludf.DUMMYFUNCTION("""COMPUTED_VALUE"""),"JO00310SLM")</f>
        <v>JO00310SLM</v>
      </c>
      <c r="B1127" s="164">
        <f>IFERROR(__xludf.DUMMYFUNCTION("""COMPUTED_VALUE"""),1.3178266E7)</f>
        <v>13178266</v>
      </c>
      <c r="C1127" s="164" t="str">
        <f>IFERROR(__xludf.DUMMYFUNCTION("""COMPUTED_VALUE"""),"13178266XS")</f>
        <v>13178266XS</v>
      </c>
      <c r="D1127" s="133" t="str">
        <f>IFERROR(__xludf.DUMMYFUNCTION("""COMPUTED_VALUE"""),"Джогеры")</f>
        <v>Джогеры</v>
      </c>
      <c r="E1127" s="133" t="str">
        <f>IFERROR(__xludf.DUMMYFUNCTION("""COMPUTED_VALUE"""),"XS")</f>
        <v>XS</v>
      </c>
      <c r="F1127" s="133" t="str">
        <f>IFERROR(__xludf.DUMMYFUNCTION("""COMPUTED_VALUE"""),"JO00310SLMXS")</f>
        <v>JO00310SLMXS</v>
      </c>
      <c r="G1127" s="165">
        <f>IFERROR(__xludf.DUMMYFUNCTION("""COMPUTED_VALUE"""),1446.0)</f>
        <v>1446</v>
      </c>
    </row>
    <row r="1128" ht="15.75" customHeight="1">
      <c r="A1128" s="133" t="str">
        <f>IFERROR(__xludf.DUMMYFUNCTION("""COMPUTED_VALUE"""),"JO00310SLM")</f>
        <v>JO00310SLM</v>
      </c>
      <c r="B1128" s="164">
        <f>IFERROR(__xludf.DUMMYFUNCTION("""COMPUTED_VALUE"""),1.3178266E7)</f>
        <v>13178266</v>
      </c>
      <c r="C1128" s="164" t="str">
        <f>IFERROR(__xludf.DUMMYFUNCTION("""COMPUTED_VALUE"""),"13178266S")</f>
        <v>13178266S</v>
      </c>
      <c r="D1128" s="133" t="str">
        <f>IFERROR(__xludf.DUMMYFUNCTION("""COMPUTED_VALUE"""),"Джогеры")</f>
        <v>Джогеры</v>
      </c>
      <c r="E1128" s="133" t="str">
        <f>IFERROR(__xludf.DUMMYFUNCTION("""COMPUTED_VALUE"""),"S")</f>
        <v>S</v>
      </c>
      <c r="F1128" s="133" t="str">
        <f>IFERROR(__xludf.DUMMYFUNCTION("""COMPUTED_VALUE"""),"JO00310SLMS")</f>
        <v>JO00310SLMS</v>
      </c>
      <c r="G1128" s="165">
        <f>IFERROR(__xludf.DUMMYFUNCTION("""COMPUTED_VALUE"""),1446.0)</f>
        <v>1446</v>
      </c>
    </row>
    <row r="1129" ht="15.75" customHeight="1">
      <c r="A1129" s="133" t="str">
        <f>IFERROR(__xludf.DUMMYFUNCTION("""COMPUTED_VALUE"""),"JO00310SLM")</f>
        <v>JO00310SLM</v>
      </c>
      <c r="B1129" s="164">
        <f>IFERROR(__xludf.DUMMYFUNCTION("""COMPUTED_VALUE"""),1.3178266E7)</f>
        <v>13178266</v>
      </c>
      <c r="C1129" s="164" t="str">
        <f>IFERROR(__xludf.DUMMYFUNCTION("""COMPUTED_VALUE"""),"13178266M")</f>
        <v>13178266M</v>
      </c>
      <c r="D1129" s="133" t="str">
        <f>IFERROR(__xludf.DUMMYFUNCTION("""COMPUTED_VALUE"""),"Джогеры")</f>
        <v>Джогеры</v>
      </c>
      <c r="E1129" s="133" t="str">
        <f>IFERROR(__xludf.DUMMYFUNCTION("""COMPUTED_VALUE"""),"M")</f>
        <v>M</v>
      </c>
      <c r="F1129" s="133" t="str">
        <f>IFERROR(__xludf.DUMMYFUNCTION("""COMPUTED_VALUE"""),"JO00310SLMM")</f>
        <v>JO00310SLMM</v>
      </c>
      <c r="G1129" s="165">
        <f>IFERROR(__xludf.DUMMYFUNCTION("""COMPUTED_VALUE"""),1446.0)</f>
        <v>1446</v>
      </c>
    </row>
    <row r="1130" ht="15.75" customHeight="1">
      <c r="A1130" s="133" t="str">
        <f>IFERROR(__xludf.DUMMYFUNCTION("""COMPUTED_VALUE"""),"JO00310SLM")</f>
        <v>JO00310SLM</v>
      </c>
      <c r="B1130" s="164">
        <f>IFERROR(__xludf.DUMMYFUNCTION("""COMPUTED_VALUE"""),1.3178266E7)</f>
        <v>13178266</v>
      </c>
      <c r="C1130" s="164" t="str">
        <f>IFERROR(__xludf.DUMMYFUNCTION("""COMPUTED_VALUE"""),"13178266L")</f>
        <v>13178266L</v>
      </c>
      <c r="D1130" s="133" t="str">
        <f>IFERROR(__xludf.DUMMYFUNCTION("""COMPUTED_VALUE"""),"Джогеры")</f>
        <v>Джогеры</v>
      </c>
      <c r="E1130" s="133" t="str">
        <f>IFERROR(__xludf.DUMMYFUNCTION("""COMPUTED_VALUE"""),"L")</f>
        <v>L</v>
      </c>
      <c r="F1130" s="133" t="str">
        <f>IFERROR(__xludf.DUMMYFUNCTION("""COMPUTED_VALUE"""),"JO00310SLML")</f>
        <v>JO00310SLML</v>
      </c>
      <c r="G1130" s="165">
        <f>IFERROR(__xludf.DUMMYFUNCTION("""COMPUTED_VALUE"""),1446.0)</f>
        <v>1446</v>
      </c>
    </row>
    <row r="1131" ht="15.75" customHeight="1">
      <c r="A1131" s="133" t="str">
        <f>IFERROR(__xludf.DUMMYFUNCTION("""COMPUTED_VALUE"""),"JO00310SLM")</f>
        <v>JO00310SLM</v>
      </c>
      <c r="B1131" s="164">
        <f>IFERROR(__xludf.DUMMYFUNCTION("""COMPUTED_VALUE"""),1.3178266E7)</f>
        <v>13178266</v>
      </c>
      <c r="C1131" s="164" t="str">
        <f>IFERROR(__xludf.DUMMYFUNCTION("""COMPUTED_VALUE"""),"13178266XL")</f>
        <v>13178266XL</v>
      </c>
      <c r="D1131" s="133" t="str">
        <f>IFERROR(__xludf.DUMMYFUNCTION("""COMPUTED_VALUE"""),"Джогеры")</f>
        <v>Джогеры</v>
      </c>
      <c r="E1131" s="133" t="str">
        <f>IFERROR(__xludf.DUMMYFUNCTION("""COMPUTED_VALUE"""),"XL")</f>
        <v>XL</v>
      </c>
      <c r="F1131" s="133" t="str">
        <f>IFERROR(__xludf.DUMMYFUNCTION("""COMPUTED_VALUE"""),"JO00310SLMXL")</f>
        <v>JO00310SLMXL</v>
      </c>
      <c r="G1131" s="165">
        <f>IFERROR(__xludf.DUMMYFUNCTION("""COMPUTED_VALUE"""),1446.0)</f>
        <v>1446</v>
      </c>
    </row>
    <row r="1132" ht="15.75" customHeight="1">
      <c r="A1132" s="133" t="str">
        <f>IFERROR(__xludf.DUMMYFUNCTION("""COMPUTED_VALUE"""),"JO00310SLM")</f>
        <v>JO00310SLM</v>
      </c>
      <c r="B1132" s="164">
        <f>IFERROR(__xludf.DUMMYFUNCTION("""COMPUTED_VALUE"""),1.3178266E7)</f>
        <v>13178266</v>
      </c>
      <c r="C1132" s="164" t="str">
        <f>IFERROR(__xludf.DUMMYFUNCTION("""COMPUTED_VALUE"""),"13178266XXL")</f>
        <v>13178266XXL</v>
      </c>
      <c r="D1132" s="133" t="str">
        <f>IFERROR(__xludf.DUMMYFUNCTION("""COMPUTED_VALUE"""),"Джогеры")</f>
        <v>Джогеры</v>
      </c>
      <c r="E1132" s="133" t="str">
        <f>IFERROR(__xludf.DUMMYFUNCTION("""COMPUTED_VALUE"""),"XXL")</f>
        <v>XXL</v>
      </c>
      <c r="F1132" s="133" t="str">
        <f>IFERROR(__xludf.DUMMYFUNCTION("""COMPUTED_VALUE"""),"JO00310SLMXXL")</f>
        <v>JO00310SLMXXL</v>
      </c>
      <c r="G1132" s="165">
        <f>IFERROR(__xludf.DUMMYFUNCTION("""COMPUTED_VALUE"""),1446.0)</f>
        <v>1446</v>
      </c>
    </row>
    <row r="1133" ht="15.75" customHeight="1">
      <c r="A1133" s="133" t="str">
        <f>IFERROR(__xludf.DUMMYFUNCTION("""COMPUTED_VALUE"""),"JO00310SLM")</f>
        <v>JO00310SLM</v>
      </c>
      <c r="B1133" s="164">
        <f>IFERROR(__xludf.DUMMYFUNCTION("""COMPUTED_VALUE"""),1.3178266E7)</f>
        <v>13178266</v>
      </c>
      <c r="C1133" s="164" t="str">
        <f>IFERROR(__xludf.DUMMYFUNCTION("""COMPUTED_VALUE"""),"13178266XXXL")</f>
        <v>13178266XXXL</v>
      </c>
      <c r="D1133" s="133" t="str">
        <f>IFERROR(__xludf.DUMMYFUNCTION("""COMPUTED_VALUE"""),"Джогеры")</f>
        <v>Джогеры</v>
      </c>
      <c r="E1133" s="133" t="str">
        <f>IFERROR(__xludf.DUMMYFUNCTION("""COMPUTED_VALUE"""),"XXXL")</f>
        <v>XXXL</v>
      </c>
      <c r="F1133" s="133" t="str">
        <f>IFERROR(__xludf.DUMMYFUNCTION("""COMPUTED_VALUE"""),"JO00310SLMXXXL")</f>
        <v>JO00310SLMXXXL</v>
      </c>
      <c r="G1133" s="165">
        <f>IFERROR(__xludf.DUMMYFUNCTION("""COMPUTED_VALUE"""),1446.0)</f>
        <v>1446</v>
      </c>
    </row>
    <row r="1134" ht="15.75" customHeight="1">
      <c r="A1134" s="133" t="str">
        <f>IFERROR(__xludf.DUMMYFUNCTION("""COMPUTED_VALUE"""),"JO00311SLM")</f>
        <v>JO00311SLM</v>
      </c>
      <c r="B1134" s="164">
        <f>IFERROR(__xludf.DUMMYFUNCTION("""COMPUTED_VALUE"""),1.3178267E7)</f>
        <v>13178267</v>
      </c>
      <c r="C1134" s="164" t="str">
        <f>IFERROR(__xludf.DUMMYFUNCTION("""COMPUTED_VALUE"""),"13178267XS")</f>
        <v>13178267XS</v>
      </c>
      <c r="D1134" s="133" t="str">
        <f>IFERROR(__xludf.DUMMYFUNCTION("""COMPUTED_VALUE"""),"Джогеры")</f>
        <v>Джогеры</v>
      </c>
      <c r="E1134" s="133" t="str">
        <f>IFERROR(__xludf.DUMMYFUNCTION("""COMPUTED_VALUE"""),"XS")</f>
        <v>XS</v>
      </c>
      <c r="F1134" s="133" t="str">
        <f>IFERROR(__xludf.DUMMYFUNCTION("""COMPUTED_VALUE"""),"JO00311SLMXS")</f>
        <v>JO00311SLMXS</v>
      </c>
      <c r="G1134" s="165">
        <f>IFERROR(__xludf.DUMMYFUNCTION("""COMPUTED_VALUE"""),1446.0)</f>
        <v>1446</v>
      </c>
    </row>
    <row r="1135" ht="15.75" customHeight="1">
      <c r="A1135" s="133" t="str">
        <f>IFERROR(__xludf.DUMMYFUNCTION("""COMPUTED_VALUE"""),"JO00311SLM")</f>
        <v>JO00311SLM</v>
      </c>
      <c r="B1135" s="164">
        <f>IFERROR(__xludf.DUMMYFUNCTION("""COMPUTED_VALUE"""),1.3178267E7)</f>
        <v>13178267</v>
      </c>
      <c r="C1135" s="164" t="str">
        <f>IFERROR(__xludf.DUMMYFUNCTION("""COMPUTED_VALUE"""),"13178267S")</f>
        <v>13178267S</v>
      </c>
      <c r="D1135" s="133" t="str">
        <f>IFERROR(__xludf.DUMMYFUNCTION("""COMPUTED_VALUE"""),"Джогеры")</f>
        <v>Джогеры</v>
      </c>
      <c r="E1135" s="133" t="str">
        <f>IFERROR(__xludf.DUMMYFUNCTION("""COMPUTED_VALUE"""),"S")</f>
        <v>S</v>
      </c>
      <c r="F1135" s="133" t="str">
        <f>IFERROR(__xludf.DUMMYFUNCTION("""COMPUTED_VALUE"""),"JO00311SLMS")</f>
        <v>JO00311SLMS</v>
      </c>
      <c r="G1135" s="165">
        <f>IFERROR(__xludf.DUMMYFUNCTION("""COMPUTED_VALUE"""),1446.0)</f>
        <v>1446</v>
      </c>
    </row>
    <row r="1136" ht="15.75" customHeight="1">
      <c r="A1136" s="133" t="str">
        <f>IFERROR(__xludf.DUMMYFUNCTION("""COMPUTED_VALUE"""),"JO00311SLM")</f>
        <v>JO00311SLM</v>
      </c>
      <c r="B1136" s="164">
        <f>IFERROR(__xludf.DUMMYFUNCTION("""COMPUTED_VALUE"""),1.3178267E7)</f>
        <v>13178267</v>
      </c>
      <c r="C1136" s="164" t="str">
        <f>IFERROR(__xludf.DUMMYFUNCTION("""COMPUTED_VALUE"""),"13178267M")</f>
        <v>13178267M</v>
      </c>
      <c r="D1136" s="133" t="str">
        <f>IFERROR(__xludf.DUMMYFUNCTION("""COMPUTED_VALUE"""),"Джогеры")</f>
        <v>Джогеры</v>
      </c>
      <c r="E1136" s="133" t="str">
        <f>IFERROR(__xludf.DUMMYFUNCTION("""COMPUTED_VALUE"""),"M")</f>
        <v>M</v>
      </c>
      <c r="F1136" s="133" t="str">
        <f>IFERROR(__xludf.DUMMYFUNCTION("""COMPUTED_VALUE"""),"JO00311SLMM")</f>
        <v>JO00311SLMM</v>
      </c>
      <c r="G1136" s="165">
        <f>IFERROR(__xludf.DUMMYFUNCTION("""COMPUTED_VALUE"""),1446.0)</f>
        <v>1446</v>
      </c>
    </row>
    <row r="1137" ht="15.75" customHeight="1">
      <c r="A1137" s="133" t="str">
        <f>IFERROR(__xludf.DUMMYFUNCTION("""COMPUTED_VALUE"""),"JO00311SLM")</f>
        <v>JO00311SLM</v>
      </c>
      <c r="B1137" s="164">
        <f>IFERROR(__xludf.DUMMYFUNCTION("""COMPUTED_VALUE"""),1.3178267E7)</f>
        <v>13178267</v>
      </c>
      <c r="C1137" s="164" t="str">
        <f>IFERROR(__xludf.DUMMYFUNCTION("""COMPUTED_VALUE"""),"13178267L")</f>
        <v>13178267L</v>
      </c>
      <c r="D1137" s="133" t="str">
        <f>IFERROR(__xludf.DUMMYFUNCTION("""COMPUTED_VALUE"""),"Джогеры")</f>
        <v>Джогеры</v>
      </c>
      <c r="E1137" s="133" t="str">
        <f>IFERROR(__xludf.DUMMYFUNCTION("""COMPUTED_VALUE"""),"L")</f>
        <v>L</v>
      </c>
      <c r="F1137" s="133" t="str">
        <f>IFERROR(__xludf.DUMMYFUNCTION("""COMPUTED_VALUE"""),"JO00311SLML")</f>
        <v>JO00311SLML</v>
      </c>
      <c r="G1137" s="165">
        <f>IFERROR(__xludf.DUMMYFUNCTION("""COMPUTED_VALUE"""),1446.0)</f>
        <v>1446</v>
      </c>
    </row>
    <row r="1138" ht="15.75" customHeight="1">
      <c r="A1138" s="133" t="str">
        <f>IFERROR(__xludf.DUMMYFUNCTION("""COMPUTED_VALUE"""),"JO00311SLM")</f>
        <v>JO00311SLM</v>
      </c>
      <c r="B1138" s="164">
        <f>IFERROR(__xludf.DUMMYFUNCTION("""COMPUTED_VALUE"""),1.3178267E7)</f>
        <v>13178267</v>
      </c>
      <c r="C1138" s="164" t="str">
        <f>IFERROR(__xludf.DUMMYFUNCTION("""COMPUTED_VALUE"""),"13178267XL")</f>
        <v>13178267XL</v>
      </c>
      <c r="D1138" s="133" t="str">
        <f>IFERROR(__xludf.DUMMYFUNCTION("""COMPUTED_VALUE"""),"Джогеры")</f>
        <v>Джогеры</v>
      </c>
      <c r="E1138" s="133" t="str">
        <f>IFERROR(__xludf.DUMMYFUNCTION("""COMPUTED_VALUE"""),"XL")</f>
        <v>XL</v>
      </c>
      <c r="F1138" s="133" t="str">
        <f>IFERROR(__xludf.DUMMYFUNCTION("""COMPUTED_VALUE"""),"JO00311SLMXL")</f>
        <v>JO00311SLMXL</v>
      </c>
      <c r="G1138" s="165">
        <f>IFERROR(__xludf.DUMMYFUNCTION("""COMPUTED_VALUE"""),1446.0)</f>
        <v>1446</v>
      </c>
    </row>
    <row r="1139" ht="15.75" customHeight="1">
      <c r="A1139" s="133" t="str">
        <f>IFERROR(__xludf.DUMMYFUNCTION("""COMPUTED_VALUE"""),"JO00311SLM")</f>
        <v>JO00311SLM</v>
      </c>
      <c r="B1139" s="164">
        <f>IFERROR(__xludf.DUMMYFUNCTION("""COMPUTED_VALUE"""),1.3178267E7)</f>
        <v>13178267</v>
      </c>
      <c r="C1139" s="164" t="str">
        <f>IFERROR(__xludf.DUMMYFUNCTION("""COMPUTED_VALUE"""),"13178267XXL")</f>
        <v>13178267XXL</v>
      </c>
      <c r="D1139" s="133" t="str">
        <f>IFERROR(__xludf.DUMMYFUNCTION("""COMPUTED_VALUE"""),"Джогеры")</f>
        <v>Джогеры</v>
      </c>
      <c r="E1139" s="133" t="str">
        <f>IFERROR(__xludf.DUMMYFUNCTION("""COMPUTED_VALUE"""),"XXL")</f>
        <v>XXL</v>
      </c>
      <c r="F1139" s="133" t="str">
        <f>IFERROR(__xludf.DUMMYFUNCTION("""COMPUTED_VALUE"""),"JO00311SLMXXL")</f>
        <v>JO00311SLMXXL</v>
      </c>
      <c r="G1139" s="165">
        <f>IFERROR(__xludf.DUMMYFUNCTION("""COMPUTED_VALUE"""),1446.0)</f>
        <v>1446</v>
      </c>
    </row>
    <row r="1140" ht="15.75" customHeight="1">
      <c r="A1140" s="133" t="str">
        <f>IFERROR(__xludf.DUMMYFUNCTION("""COMPUTED_VALUE"""),"JO00311SLM")</f>
        <v>JO00311SLM</v>
      </c>
      <c r="B1140" s="164">
        <f>IFERROR(__xludf.DUMMYFUNCTION("""COMPUTED_VALUE"""),1.3178267E7)</f>
        <v>13178267</v>
      </c>
      <c r="C1140" s="164" t="str">
        <f>IFERROR(__xludf.DUMMYFUNCTION("""COMPUTED_VALUE"""),"13178267XXXL")</f>
        <v>13178267XXXL</v>
      </c>
      <c r="D1140" s="133" t="str">
        <f>IFERROR(__xludf.DUMMYFUNCTION("""COMPUTED_VALUE"""),"Джогеры")</f>
        <v>Джогеры</v>
      </c>
      <c r="E1140" s="133" t="str">
        <f>IFERROR(__xludf.DUMMYFUNCTION("""COMPUTED_VALUE"""),"XXXL")</f>
        <v>XXXL</v>
      </c>
      <c r="F1140" s="133" t="str">
        <f>IFERROR(__xludf.DUMMYFUNCTION("""COMPUTED_VALUE"""),"JO00311SLMXXXL")</f>
        <v>JO00311SLMXXXL</v>
      </c>
      <c r="G1140" s="165">
        <f>IFERROR(__xludf.DUMMYFUNCTION("""COMPUTED_VALUE"""),1446.0)</f>
        <v>1446</v>
      </c>
    </row>
    <row r="1141" ht="15.75" customHeight="1">
      <c r="A1141" s="133" t="str">
        <f>IFERROR(__xludf.DUMMYFUNCTION("""COMPUTED_VALUE"""),"SH00326SLM")</f>
        <v>SH00326SLM</v>
      </c>
      <c r="B1141" s="164">
        <f>IFERROR(__xludf.DUMMYFUNCTION("""COMPUTED_VALUE"""),1.3515427E7)</f>
        <v>13515427</v>
      </c>
      <c r="C1141" s="164" t="str">
        <f>IFERROR(__xludf.DUMMYFUNCTION("""COMPUTED_VALUE"""),"1351542729")</f>
        <v>1351542729</v>
      </c>
      <c r="D1141" s="133" t="str">
        <f>IFERROR(__xludf.DUMMYFUNCTION("""COMPUTED_VALUE"""),"Шорты")</f>
        <v>Шорты</v>
      </c>
      <c r="E1141" s="133">
        <f>IFERROR(__xludf.DUMMYFUNCTION("""COMPUTED_VALUE"""),29.0)</f>
        <v>29</v>
      </c>
      <c r="F1141" s="133" t="str">
        <f>IFERROR(__xludf.DUMMYFUNCTION("""COMPUTED_VALUE"""),"SH00326SLM29")</f>
        <v>SH00326SLM29</v>
      </c>
      <c r="G1141" s="165">
        <f>IFERROR(__xludf.DUMMYFUNCTION("""COMPUTED_VALUE"""),1476.0)</f>
        <v>1476</v>
      </c>
    </row>
    <row r="1142" ht="15.75" customHeight="1">
      <c r="A1142" s="133" t="str">
        <f>IFERROR(__xludf.DUMMYFUNCTION("""COMPUTED_VALUE"""),"SH00326SLM")</f>
        <v>SH00326SLM</v>
      </c>
      <c r="B1142" s="164">
        <f>IFERROR(__xludf.DUMMYFUNCTION("""COMPUTED_VALUE"""),1.3515427E7)</f>
        <v>13515427</v>
      </c>
      <c r="C1142" s="164" t="str">
        <f>IFERROR(__xludf.DUMMYFUNCTION("""COMPUTED_VALUE"""),"1351542730")</f>
        <v>1351542730</v>
      </c>
      <c r="D1142" s="133" t="str">
        <f>IFERROR(__xludf.DUMMYFUNCTION("""COMPUTED_VALUE"""),"Шорты")</f>
        <v>Шорты</v>
      </c>
      <c r="E1142" s="133">
        <f>IFERROR(__xludf.DUMMYFUNCTION("""COMPUTED_VALUE"""),30.0)</f>
        <v>30</v>
      </c>
      <c r="F1142" s="133" t="str">
        <f>IFERROR(__xludf.DUMMYFUNCTION("""COMPUTED_VALUE"""),"SH00326SLM30")</f>
        <v>SH00326SLM30</v>
      </c>
      <c r="G1142" s="165">
        <f>IFERROR(__xludf.DUMMYFUNCTION("""COMPUTED_VALUE"""),1476.0)</f>
        <v>1476</v>
      </c>
    </row>
    <row r="1143" ht="15.75" customHeight="1">
      <c r="A1143" s="133" t="str">
        <f>IFERROR(__xludf.DUMMYFUNCTION("""COMPUTED_VALUE"""),"SH00326SLM")</f>
        <v>SH00326SLM</v>
      </c>
      <c r="B1143" s="164">
        <f>IFERROR(__xludf.DUMMYFUNCTION("""COMPUTED_VALUE"""),1.3515427E7)</f>
        <v>13515427</v>
      </c>
      <c r="C1143" s="164" t="str">
        <f>IFERROR(__xludf.DUMMYFUNCTION("""COMPUTED_VALUE"""),"1351542731")</f>
        <v>1351542731</v>
      </c>
      <c r="D1143" s="133" t="str">
        <f>IFERROR(__xludf.DUMMYFUNCTION("""COMPUTED_VALUE"""),"Шорты")</f>
        <v>Шорты</v>
      </c>
      <c r="E1143" s="133">
        <f>IFERROR(__xludf.DUMMYFUNCTION("""COMPUTED_VALUE"""),31.0)</f>
        <v>31</v>
      </c>
      <c r="F1143" s="133" t="str">
        <f>IFERROR(__xludf.DUMMYFUNCTION("""COMPUTED_VALUE"""),"SH00326SLM31")</f>
        <v>SH00326SLM31</v>
      </c>
      <c r="G1143" s="165">
        <f>IFERROR(__xludf.DUMMYFUNCTION("""COMPUTED_VALUE"""),1476.0)</f>
        <v>1476</v>
      </c>
    </row>
    <row r="1144" ht="15.75" customHeight="1">
      <c r="A1144" s="133" t="str">
        <f>IFERROR(__xludf.DUMMYFUNCTION("""COMPUTED_VALUE"""),"SH00326SLM")</f>
        <v>SH00326SLM</v>
      </c>
      <c r="B1144" s="164">
        <f>IFERROR(__xludf.DUMMYFUNCTION("""COMPUTED_VALUE"""),1.3515427E7)</f>
        <v>13515427</v>
      </c>
      <c r="C1144" s="164" t="str">
        <f>IFERROR(__xludf.DUMMYFUNCTION("""COMPUTED_VALUE"""),"1351542732")</f>
        <v>1351542732</v>
      </c>
      <c r="D1144" s="133" t="str">
        <f>IFERROR(__xludf.DUMMYFUNCTION("""COMPUTED_VALUE"""),"Шорты")</f>
        <v>Шорты</v>
      </c>
      <c r="E1144" s="133">
        <f>IFERROR(__xludf.DUMMYFUNCTION("""COMPUTED_VALUE"""),32.0)</f>
        <v>32</v>
      </c>
      <c r="F1144" s="133" t="str">
        <f>IFERROR(__xludf.DUMMYFUNCTION("""COMPUTED_VALUE"""),"SH00326SLM32")</f>
        <v>SH00326SLM32</v>
      </c>
      <c r="G1144" s="165">
        <f>IFERROR(__xludf.DUMMYFUNCTION("""COMPUTED_VALUE"""),1476.0)</f>
        <v>1476</v>
      </c>
    </row>
    <row r="1145" ht="15.75" customHeight="1">
      <c r="A1145" s="133" t="str">
        <f>IFERROR(__xludf.DUMMYFUNCTION("""COMPUTED_VALUE"""),"SH00326SLM")</f>
        <v>SH00326SLM</v>
      </c>
      <c r="B1145" s="164">
        <f>IFERROR(__xludf.DUMMYFUNCTION("""COMPUTED_VALUE"""),1.3515427E7)</f>
        <v>13515427</v>
      </c>
      <c r="C1145" s="164" t="str">
        <f>IFERROR(__xludf.DUMMYFUNCTION("""COMPUTED_VALUE"""),"1351542733")</f>
        <v>1351542733</v>
      </c>
      <c r="D1145" s="133" t="str">
        <f>IFERROR(__xludf.DUMMYFUNCTION("""COMPUTED_VALUE"""),"Шорты")</f>
        <v>Шорты</v>
      </c>
      <c r="E1145" s="133">
        <f>IFERROR(__xludf.DUMMYFUNCTION("""COMPUTED_VALUE"""),33.0)</f>
        <v>33</v>
      </c>
      <c r="F1145" s="133" t="str">
        <f>IFERROR(__xludf.DUMMYFUNCTION("""COMPUTED_VALUE"""),"SH00326SLM33")</f>
        <v>SH00326SLM33</v>
      </c>
      <c r="G1145" s="165">
        <f>IFERROR(__xludf.DUMMYFUNCTION("""COMPUTED_VALUE"""),1476.0)</f>
        <v>1476</v>
      </c>
    </row>
    <row r="1146" ht="15.75" customHeight="1">
      <c r="A1146" s="133" t="str">
        <f>IFERROR(__xludf.DUMMYFUNCTION("""COMPUTED_VALUE"""),"SH00326SLM")</f>
        <v>SH00326SLM</v>
      </c>
      <c r="B1146" s="164">
        <f>IFERROR(__xludf.DUMMYFUNCTION("""COMPUTED_VALUE"""),1.3515427E7)</f>
        <v>13515427</v>
      </c>
      <c r="C1146" s="164" t="str">
        <f>IFERROR(__xludf.DUMMYFUNCTION("""COMPUTED_VALUE"""),"1351542734")</f>
        <v>1351542734</v>
      </c>
      <c r="D1146" s="133" t="str">
        <f>IFERROR(__xludf.DUMMYFUNCTION("""COMPUTED_VALUE"""),"Шорты")</f>
        <v>Шорты</v>
      </c>
      <c r="E1146" s="133">
        <f>IFERROR(__xludf.DUMMYFUNCTION("""COMPUTED_VALUE"""),34.0)</f>
        <v>34</v>
      </c>
      <c r="F1146" s="133" t="str">
        <f>IFERROR(__xludf.DUMMYFUNCTION("""COMPUTED_VALUE"""),"SH00326SLM34")</f>
        <v>SH00326SLM34</v>
      </c>
      <c r="G1146" s="165">
        <f>IFERROR(__xludf.DUMMYFUNCTION("""COMPUTED_VALUE"""),1476.0)</f>
        <v>1476</v>
      </c>
    </row>
    <row r="1147" ht="15.75" customHeight="1">
      <c r="A1147" s="133" t="str">
        <f>IFERROR(__xludf.DUMMYFUNCTION("""COMPUTED_VALUE"""),"SH00326SLM")</f>
        <v>SH00326SLM</v>
      </c>
      <c r="B1147" s="164">
        <f>IFERROR(__xludf.DUMMYFUNCTION("""COMPUTED_VALUE"""),1.3515427E7)</f>
        <v>13515427</v>
      </c>
      <c r="C1147" s="164" t="str">
        <f>IFERROR(__xludf.DUMMYFUNCTION("""COMPUTED_VALUE"""),"1351542736")</f>
        <v>1351542736</v>
      </c>
      <c r="D1147" s="133" t="str">
        <f>IFERROR(__xludf.DUMMYFUNCTION("""COMPUTED_VALUE"""),"Шорты")</f>
        <v>Шорты</v>
      </c>
      <c r="E1147" s="133">
        <f>IFERROR(__xludf.DUMMYFUNCTION("""COMPUTED_VALUE"""),36.0)</f>
        <v>36</v>
      </c>
      <c r="F1147" s="133" t="str">
        <f>IFERROR(__xludf.DUMMYFUNCTION("""COMPUTED_VALUE"""),"SH00326SLM36")</f>
        <v>SH00326SLM36</v>
      </c>
      <c r="G1147" s="165">
        <f>IFERROR(__xludf.DUMMYFUNCTION("""COMPUTED_VALUE"""),1476.0)</f>
        <v>1476</v>
      </c>
    </row>
    <row r="1148" ht="15.75" customHeight="1">
      <c r="A1148" s="133" t="str">
        <f>IFERROR(__xludf.DUMMYFUNCTION("""COMPUTED_VALUE"""),"SH00323SLM")</f>
        <v>SH00323SLM</v>
      </c>
      <c r="B1148" s="164">
        <f>IFERROR(__xludf.DUMMYFUNCTION("""COMPUTED_VALUE"""),1.3178268E7)</f>
        <v>13178268</v>
      </c>
      <c r="C1148" s="164" t="str">
        <f>IFERROR(__xludf.DUMMYFUNCTION("""COMPUTED_VALUE"""),"1317826829")</f>
        <v>1317826829</v>
      </c>
      <c r="D1148" s="133" t="str">
        <f>IFERROR(__xludf.DUMMYFUNCTION("""COMPUTED_VALUE"""),"Шорты")</f>
        <v>Шорты</v>
      </c>
      <c r="E1148" s="133">
        <f>IFERROR(__xludf.DUMMYFUNCTION("""COMPUTED_VALUE"""),29.0)</f>
        <v>29</v>
      </c>
      <c r="F1148" s="133" t="str">
        <f>IFERROR(__xludf.DUMMYFUNCTION("""COMPUTED_VALUE"""),"SH00323SLM29")</f>
        <v>SH00323SLM29</v>
      </c>
      <c r="G1148" s="165">
        <f>IFERROR(__xludf.DUMMYFUNCTION("""COMPUTED_VALUE"""),1476.0)</f>
        <v>1476</v>
      </c>
    </row>
    <row r="1149" ht="15.75" customHeight="1">
      <c r="A1149" s="133" t="str">
        <f>IFERROR(__xludf.DUMMYFUNCTION("""COMPUTED_VALUE"""),"SH00323SLM")</f>
        <v>SH00323SLM</v>
      </c>
      <c r="B1149" s="164">
        <f>IFERROR(__xludf.DUMMYFUNCTION("""COMPUTED_VALUE"""),1.3178268E7)</f>
        <v>13178268</v>
      </c>
      <c r="C1149" s="164" t="str">
        <f>IFERROR(__xludf.DUMMYFUNCTION("""COMPUTED_VALUE"""),"1317826830")</f>
        <v>1317826830</v>
      </c>
      <c r="D1149" s="133" t="str">
        <f>IFERROR(__xludf.DUMMYFUNCTION("""COMPUTED_VALUE"""),"Шорты")</f>
        <v>Шорты</v>
      </c>
      <c r="E1149" s="133">
        <f>IFERROR(__xludf.DUMMYFUNCTION("""COMPUTED_VALUE"""),30.0)</f>
        <v>30</v>
      </c>
      <c r="F1149" s="133" t="str">
        <f>IFERROR(__xludf.DUMMYFUNCTION("""COMPUTED_VALUE"""),"SH00323SLM30")</f>
        <v>SH00323SLM30</v>
      </c>
      <c r="G1149" s="165">
        <f>IFERROR(__xludf.DUMMYFUNCTION("""COMPUTED_VALUE"""),1476.0)</f>
        <v>1476</v>
      </c>
    </row>
    <row r="1150" ht="15.75" customHeight="1">
      <c r="A1150" s="133" t="str">
        <f>IFERROR(__xludf.DUMMYFUNCTION("""COMPUTED_VALUE"""),"SH00323SLM")</f>
        <v>SH00323SLM</v>
      </c>
      <c r="B1150" s="164">
        <f>IFERROR(__xludf.DUMMYFUNCTION("""COMPUTED_VALUE"""),1.3178268E7)</f>
        <v>13178268</v>
      </c>
      <c r="C1150" s="164" t="str">
        <f>IFERROR(__xludf.DUMMYFUNCTION("""COMPUTED_VALUE"""),"1317826831")</f>
        <v>1317826831</v>
      </c>
      <c r="D1150" s="133" t="str">
        <f>IFERROR(__xludf.DUMMYFUNCTION("""COMPUTED_VALUE"""),"Шорты")</f>
        <v>Шорты</v>
      </c>
      <c r="E1150" s="133">
        <f>IFERROR(__xludf.DUMMYFUNCTION("""COMPUTED_VALUE"""),31.0)</f>
        <v>31</v>
      </c>
      <c r="F1150" s="133" t="str">
        <f>IFERROR(__xludf.DUMMYFUNCTION("""COMPUTED_VALUE"""),"SH00323SLM31")</f>
        <v>SH00323SLM31</v>
      </c>
      <c r="G1150" s="165">
        <f>IFERROR(__xludf.DUMMYFUNCTION("""COMPUTED_VALUE"""),1476.0)</f>
        <v>1476</v>
      </c>
    </row>
    <row r="1151" ht="15.75" customHeight="1">
      <c r="A1151" s="133" t="str">
        <f>IFERROR(__xludf.DUMMYFUNCTION("""COMPUTED_VALUE"""),"SH00323SLM")</f>
        <v>SH00323SLM</v>
      </c>
      <c r="B1151" s="164">
        <f>IFERROR(__xludf.DUMMYFUNCTION("""COMPUTED_VALUE"""),1.3178268E7)</f>
        <v>13178268</v>
      </c>
      <c r="C1151" s="164" t="str">
        <f>IFERROR(__xludf.DUMMYFUNCTION("""COMPUTED_VALUE"""),"1317826832")</f>
        <v>1317826832</v>
      </c>
      <c r="D1151" s="133" t="str">
        <f>IFERROR(__xludf.DUMMYFUNCTION("""COMPUTED_VALUE"""),"Шорты")</f>
        <v>Шорты</v>
      </c>
      <c r="E1151" s="133">
        <f>IFERROR(__xludf.DUMMYFUNCTION("""COMPUTED_VALUE"""),32.0)</f>
        <v>32</v>
      </c>
      <c r="F1151" s="133" t="str">
        <f>IFERROR(__xludf.DUMMYFUNCTION("""COMPUTED_VALUE"""),"SH00323SLM32")</f>
        <v>SH00323SLM32</v>
      </c>
      <c r="G1151" s="165">
        <f>IFERROR(__xludf.DUMMYFUNCTION("""COMPUTED_VALUE"""),1476.0)</f>
        <v>1476</v>
      </c>
    </row>
    <row r="1152" ht="15.75" customHeight="1">
      <c r="A1152" s="133" t="str">
        <f>IFERROR(__xludf.DUMMYFUNCTION("""COMPUTED_VALUE"""),"SH00323SLM")</f>
        <v>SH00323SLM</v>
      </c>
      <c r="B1152" s="164">
        <f>IFERROR(__xludf.DUMMYFUNCTION("""COMPUTED_VALUE"""),1.3178268E7)</f>
        <v>13178268</v>
      </c>
      <c r="C1152" s="164" t="str">
        <f>IFERROR(__xludf.DUMMYFUNCTION("""COMPUTED_VALUE"""),"1317826833")</f>
        <v>1317826833</v>
      </c>
      <c r="D1152" s="133" t="str">
        <f>IFERROR(__xludf.DUMMYFUNCTION("""COMPUTED_VALUE"""),"Шорты")</f>
        <v>Шорты</v>
      </c>
      <c r="E1152" s="133">
        <f>IFERROR(__xludf.DUMMYFUNCTION("""COMPUTED_VALUE"""),33.0)</f>
        <v>33</v>
      </c>
      <c r="F1152" s="133" t="str">
        <f>IFERROR(__xludf.DUMMYFUNCTION("""COMPUTED_VALUE"""),"SH00323SLM33")</f>
        <v>SH00323SLM33</v>
      </c>
      <c r="G1152" s="165">
        <f>IFERROR(__xludf.DUMMYFUNCTION("""COMPUTED_VALUE"""),1476.0)</f>
        <v>1476</v>
      </c>
    </row>
    <row r="1153" ht="15.75" customHeight="1">
      <c r="A1153" s="133" t="str">
        <f>IFERROR(__xludf.DUMMYFUNCTION("""COMPUTED_VALUE"""),"SH00323SLM")</f>
        <v>SH00323SLM</v>
      </c>
      <c r="B1153" s="164">
        <f>IFERROR(__xludf.DUMMYFUNCTION("""COMPUTED_VALUE"""),1.3178268E7)</f>
        <v>13178268</v>
      </c>
      <c r="C1153" s="164" t="str">
        <f>IFERROR(__xludf.DUMMYFUNCTION("""COMPUTED_VALUE"""),"1317826834")</f>
        <v>1317826834</v>
      </c>
      <c r="D1153" s="133" t="str">
        <f>IFERROR(__xludf.DUMMYFUNCTION("""COMPUTED_VALUE"""),"Шорты")</f>
        <v>Шорты</v>
      </c>
      <c r="E1153" s="133">
        <f>IFERROR(__xludf.DUMMYFUNCTION("""COMPUTED_VALUE"""),34.0)</f>
        <v>34</v>
      </c>
      <c r="F1153" s="133" t="str">
        <f>IFERROR(__xludf.DUMMYFUNCTION("""COMPUTED_VALUE"""),"SH00323SLM34")</f>
        <v>SH00323SLM34</v>
      </c>
      <c r="G1153" s="165">
        <f>IFERROR(__xludf.DUMMYFUNCTION("""COMPUTED_VALUE"""),1476.0)</f>
        <v>1476</v>
      </c>
    </row>
    <row r="1154" ht="15.75" customHeight="1">
      <c r="A1154" s="133" t="str">
        <f>IFERROR(__xludf.DUMMYFUNCTION("""COMPUTED_VALUE"""),"SH00323SLM")</f>
        <v>SH00323SLM</v>
      </c>
      <c r="B1154" s="164">
        <f>IFERROR(__xludf.DUMMYFUNCTION("""COMPUTED_VALUE"""),1.3178268E7)</f>
        <v>13178268</v>
      </c>
      <c r="C1154" s="164" t="str">
        <f>IFERROR(__xludf.DUMMYFUNCTION("""COMPUTED_VALUE"""),"1317826836")</f>
        <v>1317826836</v>
      </c>
      <c r="D1154" s="133" t="str">
        <f>IFERROR(__xludf.DUMMYFUNCTION("""COMPUTED_VALUE"""),"Шорты")</f>
        <v>Шорты</v>
      </c>
      <c r="E1154" s="133">
        <f>IFERROR(__xludf.DUMMYFUNCTION("""COMPUTED_VALUE"""),36.0)</f>
        <v>36</v>
      </c>
      <c r="F1154" s="133" t="str">
        <f>IFERROR(__xludf.DUMMYFUNCTION("""COMPUTED_VALUE"""),"SH00323SLM36")</f>
        <v>SH00323SLM36</v>
      </c>
      <c r="G1154" s="165">
        <f>IFERROR(__xludf.DUMMYFUNCTION("""COMPUTED_VALUE"""),1476.0)</f>
        <v>1476</v>
      </c>
    </row>
    <row r="1155" ht="15.75" customHeight="1">
      <c r="A1155" s="133" t="str">
        <f>IFERROR(__xludf.DUMMYFUNCTION("""COMPUTED_VALUE"""),"SH00324SLM")</f>
        <v>SH00324SLM</v>
      </c>
      <c r="B1155" s="164">
        <f>IFERROR(__xludf.DUMMYFUNCTION("""COMPUTED_VALUE"""),1.3178269E7)</f>
        <v>13178269</v>
      </c>
      <c r="C1155" s="164" t="str">
        <f>IFERROR(__xludf.DUMMYFUNCTION("""COMPUTED_VALUE"""),"1317826929")</f>
        <v>1317826929</v>
      </c>
      <c r="D1155" s="133" t="str">
        <f>IFERROR(__xludf.DUMMYFUNCTION("""COMPUTED_VALUE"""),"Шорты")</f>
        <v>Шорты</v>
      </c>
      <c r="E1155" s="133">
        <f>IFERROR(__xludf.DUMMYFUNCTION("""COMPUTED_VALUE"""),29.0)</f>
        <v>29</v>
      </c>
      <c r="F1155" s="133" t="str">
        <f>IFERROR(__xludf.DUMMYFUNCTION("""COMPUTED_VALUE"""),"SH00324SLM29")</f>
        <v>SH00324SLM29</v>
      </c>
      <c r="G1155" s="165">
        <f>IFERROR(__xludf.DUMMYFUNCTION("""COMPUTED_VALUE"""),1476.0)</f>
        <v>1476</v>
      </c>
    </row>
    <row r="1156" ht="15.75" customHeight="1">
      <c r="A1156" s="133" t="str">
        <f>IFERROR(__xludf.DUMMYFUNCTION("""COMPUTED_VALUE"""),"SH00324SLM")</f>
        <v>SH00324SLM</v>
      </c>
      <c r="B1156" s="164">
        <f>IFERROR(__xludf.DUMMYFUNCTION("""COMPUTED_VALUE"""),1.3178269E7)</f>
        <v>13178269</v>
      </c>
      <c r="C1156" s="164" t="str">
        <f>IFERROR(__xludf.DUMMYFUNCTION("""COMPUTED_VALUE"""),"1317826930")</f>
        <v>1317826930</v>
      </c>
      <c r="D1156" s="133" t="str">
        <f>IFERROR(__xludf.DUMMYFUNCTION("""COMPUTED_VALUE"""),"Шорты")</f>
        <v>Шорты</v>
      </c>
      <c r="E1156" s="133">
        <f>IFERROR(__xludf.DUMMYFUNCTION("""COMPUTED_VALUE"""),30.0)</f>
        <v>30</v>
      </c>
      <c r="F1156" s="133" t="str">
        <f>IFERROR(__xludf.DUMMYFUNCTION("""COMPUTED_VALUE"""),"SH00324SLM30")</f>
        <v>SH00324SLM30</v>
      </c>
      <c r="G1156" s="165">
        <f>IFERROR(__xludf.DUMMYFUNCTION("""COMPUTED_VALUE"""),1476.0)</f>
        <v>1476</v>
      </c>
    </row>
    <row r="1157" ht="15.75" customHeight="1">
      <c r="A1157" s="133" t="str">
        <f>IFERROR(__xludf.DUMMYFUNCTION("""COMPUTED_VALUE"""),"SH00324SLM")</f>
        <v>SH00324SLM</v>
      </c>
      <c r="B1157" s="164">
        <f>IFERROR(__xludf.DUMMYFUNCTION("""COMPUTED_VALUE"""),1.3178269E7)</f>
        <v>13178269</v>
      </c>
      <c r="C1157" s="164" t="str">
        <f>IFERROR(__xludf.DUMMYFUNCTION("""COMPUTED_VALUE"""),"1317826931")</f>
        <v>1317826931</v>
      </c>
      <c r="D1157" s="133" t="str">
        <f>IFERROR(__xludf.DUMMYFUNCTION("""COMPUTED_VALUE"""),"Шорты")</f>
        <v>Шорты</v>
      </c>
      <c r="E1157" s="133">
        <f>IFERROR(__xludf.DUMMYFUNCTION("""COMPUTED_VALUE"""),31.0)</f>
        <v>31</v>
      </c>
      <c r="F1157" s="133" t="str">
        <f>IFERROR(__xludf.DUMMYFUNCTION("""COMPUTED_VALUE"""),"SH00324SLM31")</f>
        <v>SH00324SLM31</v>
      </c>
      <c r="G1157" s="165">
        <f>IFERROR(__xludf.DUMMYFUNCTION("""COMPUTED_VALUE"""),1476.0)</f>
        <v>1476</v>
      </c>
    </row>
    <row r="1158" ht="15.75" customHeight="1">
      <c r="A1158" s="133" t="str">
        <f>IFERROR(__xludf.DUMMYFUNCTION("""COMPUTED_VALUE"""),"SH00324SLM")</f>
        <v>SH00324SLM</v>
      </c>
      <c r="B1158" s="164">
        <f>IFERROR(__xludf.DUMMYFUNCTION("""COMPUTED_VALUE"""),1.3178269E7)</f>
        <v>13178269</v>
      </c>
      <c r="C1158" s="164" t="str">
        <f>IFERROR(__xludf.DUMMYFUNCTION("""COMPUTED_VALUE"""),"1317826932")</f>
        <v>1317826932</v>
      </c>
      <c r="D1158" s="133" t="str">
        <f>IFERROR(__xludf.DUMMYFUNCTION("""COMPUTED_VALUE"""),"Шорты")</f>
        <v>Шорты</v>
      </c>
      <c r="E1158" s="133">
        <f>IFERROR(__xludf.DUMMYFUNCTION("""COMPUTED_VALUE"""),32.0)</f>
        <v>32</v>
      </c>
      <c r="F1158" s="133" t="str">
        <f>IFERROR(__xludf.DUMMYFUNCTION("""COMPUTED_VALUE"""),"SH00324SLM32")</f>
        <v>SH00324SLM32</v>
      </c>
      <c r="G1158" s="165">
        <f>IFERROR(__xludf.DUMMYFUNCTION("""COMPUTED_VALUE"""),1476.0)</f>
        <v>1476</v>
      </c>
    </row>
    <row r="1159" ht="15.75" customHeight="1">
      <c r="A1159" s="133" t="str">
        <f>IFERROR(__xludf.DUMMYFUNCTION("""COMPUTED_VALUE"""),"SH00324SLM")</f>
        <v>SH00324SLM</v>
      </c>
      <c r="B1159" s="164">
        <f>IFERROR(__xludf.DUMMYFUNCTION("""COMPUTED_VALUE"""),1.3178269E7)</f>
        <v>13178269</v>
      </c>
      <c r="C1159" s="164" t="str">
        <f>IFERROR(__xludf.DUMMYFUNCTION("""COMPUTED_VALUE"""),"1317826933")</f>
        <v>1317826933</v>
      </c>
      <c r="D1159" s="133" t="str">
        <f>IFERROR(__xludf.DUMMYFUNCTION("""COMPUTED_VALUE"""),"Шорты")</f>
        <v>Шорты</v>
      </c>
      <c r="E1159" s="133">
        <f>IFERROR(__xludf.DUMMYFUNCTION("""COMPUTED_VALUE"""),33.0)</f>
        <v>33</v>
      </c>
      <c r="F1159" s="133" t="str">
        <f>IFERROR(__xludf.DUMMYFUNCTION("""COMPUTED_VALUE"""),"SH00324SLM33")</f>
        <v>SH00324SLM33</v>
      </c>
      <c r="G1159" s="165">
        <f>IFERROR(__xludf.DUMMYFUNCTION("""COMPUTED_VALUE"""),1476.0)</f>
        <v>1476</v>
      </c>
    </row>
    <row r="1160" ht="15.75" customHeight="1">
      <c r="A1160" s="133" t="str">
        <f>IFERROR(__xludf.DUMMYFUNCTION("""COMPUTED_VALUE"""),"SH00324SLM")</f>
        <v>SH00324SLM</v>
      </c>
      <c r="B1160" s="164">
        <f>IFERROR(__xludf.DUMMYFUNCTION("""COMPUTED_VALUE"""),1.3178269E7)</f>
        <v>13178269</v>
      </c>
      <c r="C1160" s="164" t="str">
        <f>IFERROR(__xludf.DUMMYFUNCTION("""COMPUTED_VALUE"""),"1317826934")</f>
        <v>1317826934</v>
      </c>
      <c r="D1160" s="133" t="str">
        <f>IFERROR(__xludf.DUMMYFUNCTION("""COMPUTED_VALUE"""),"Шорты")</f>
        <v>Шорты</v>
      </c>
      <c r="E1160" s="133">
        <f>IFERROR(__xludf.DUMMYFUNCTION("""COMPUTED_VALUE"""),34.0)</f>
        <v>34</v>
      </c>
      <c r="F1160" s="133" t="str">
        <f>IFERROR(__xludf.DUMMYFUNCTION("""COMPUTED_VALUE"""),"SH00324SLM34")</f>
        <v>SH00324SLM34</v>
      </c>
      <c r="G1160" s="165">
        <f>IFERROR(__xludf.DUMMYFUNCTION("""COMPUTED_VALUE"""),1476.0)</f>
        <v>1476</v>
      </c>
    </row>
    <row r="1161" ht="15.75" customHeight="1">
      <c r="A1161" s="133" t="str">
        <f>IFERROR(__xludf.DUMMYFUNCTION("""COMPUTED_VALUE"""),"SH00324SLM")</f>
        <v>SH00324SLM</v>
      </c>
      <c r="B1161" s="164">
        <f>IFERROR(__xludf.DUMMYFUNCTION("""COMPUTED_VALUE"""),1.3178269E7)</f>
        <v>13178269</v>
      </c>
      <c r="C1161" s="164" t="str">
        <f>IFERROR(__xludf.DUMMYFUNCTION("""COMPUTED_VALUE"""),"1317826936")</f>
        <v>1317826936</v>
      </c>
      <c r="D1161" s="133" t="str">
        <f>IFERROR(__xludf.DUMMYFUNCTION("""COMPUTED_VALUE"""),"Шорты")</f>
        <v>Шорты</v>
      </c>
      <c r="E1161" s="133">
        <f>IFERROR(__xludf.DUMMYFUNCTION("""COMPUTED_VALUE"""),36.0)</f>
        <v>36</v>
      </c>
      <c r="F1161" s="133" t="str">
        <f>IFERROR(__xludf.DUMMYFUNCTION("""COMPUTED_VALUE"""),"SH00324SLM36")</f>
        <v>SH00324SLM36</v>
      </c>
      <c r="G1161" s="165">
        <f>IFERROR(__xludf.DUMMYFUNCTION("""COMPUTED_VALUE"""),1476.0)</f>
        <v>1476</v>
      </c>
    </row>
    <row r="1162" ht="15.75" customHeight="1">
      <c r="A1162" s="133" t="str">
        <f>IFERROR(__xludf.DUMMYFUNCTION("""COMPUTED_VALUE"""),"AN00326SLW")</f>
        <v>AN00326SLW</v>
      </c>
      <c r="B1162" s="164">
        <f>IFERROR(__xludf.DUMMYFUNCTION("""COMPUTED_VALUE"""),1.3922087E7)</f>
        <v>13922087</v>
      </c>
      <c r="C1162" s="164" t="str">
        <f>IFERROR(__xludf.DUMMYFUNCTION("""COMPUTED_VALUE"""),"13922087XXS")</f>
        <v>13922087XXS</v>
      </c>
      <c r="D1162" s="133" t="str">
        <f>IFERROR(__xludf.DUMMYFUNCTION("""COMPUTED_VALUE"""),"Анораки")</f>
        <v>Анораки</v>
      </c>
      <c r="E1162" s="133" t="str">
        <f>IFERROR(__xludf.DUMMYFUNCTION("""COMPUTED_VALUE"""),"XXS")</f>
        <v>XXS</v>
      </c>
      <c r="F1162" s="133" t="str">
        <f>IFERROR(__xludf.DUMMYFUNCTION("""COMPUTED_VALUE"""),"AN00326SLWXXS")</f>
        <v>AN00326SLWXXS</v>
      </c>
      <c r="G1162" s="165">
        <f>IFERROR(__xludf.DUMMYFUNCTION("""COMPUTED_VALUE"""),1066.0)</f>
        <v>1066</v>
      </c>
    </row>
    <row r="1163" ht="15.75" customHeight="1">
      <c r="A1163" s="133" t="str">
        <f>IFERROR(__xludf.DUMMYFUNCTION("""COMPUTED_VALUE"""),"AN00326SLW")</f>
        <v>AN00326SLW</v>
      </c>
      <c r="B1163" s="164">
        <f>IFERROR(__xludf.DUMMYFUNCTION("""COMPUTED_VALUE"""),1.3922087E7)</f>
        <v>13922087</v>
      </c>
      <c r="C1163" s="164" t="str">
        <f>IFERROR(__xludf.DUMMYFUNCTION("""COMPUTED_VALUE"""),"13922087XS")</f>
        <v>13922087XS</v>
      </c>
      <c r="D1163" s="133" t="str">
        <f>IFERROR(__xludf.DUMMYFUNCTION("""COMPUTED_VALUE"""),"Анораки")</f>
        <v>Анораки</v>
      </c>
      <c r="E1163" s="133" t="str">
        <f>IFERROR(__xludf.DUMMYFUNCTION("""COMPUTED_VALUE"""),"XS")</f>
        <v>XS</v>
      </c>
      <c r="F1163" s="133" t="str">
        <f>IFERROR(__xludf.DUMMYFUNCTION("""COMPUTED_VALUE"""),"AN00326SLWXS")</f>
        <v>AN00326SLWXS</v>
      </c>
      <c r="G1163" s="165">
        <f>IFERROR(__xludf.DUMMYFUNCTION("""COMPUTED_VALUE"""),1066.0)</f>
        <v>1066</v>
      </c>
    </row>
    <row r="1164" ht="15.75" customHeight="1">
      <c r="A1164" s="133" t="str">
        <f>IFERROR(__xludf.DUMMYFUNCTION("""COMPUTED_VALUE"""),"AN00326SLW")</f>
        <v>AN00326SLW</v>
      </c>
      <c r="B1164" s="164">
        <f>IFERROR(__xludf.DUMMYFUNCTION("""COMPUTED_VALUE"""),1.3922087E7)</f>
        <v>13922087</v>
      </c>
      <c r="C1164" s="164" t="str">
        <f>IFERROR(__xludf.DUMMYFUNCTION("""COMPUTED_VALUE"""),"13922087S")</f>
        <v>13922087S</v>
      </c>
      <c r="D1164" s="133" t="str">
        <f>IFERROR(__xludf.DUMMYFUNCTION("""COMPUTED_VALUE"""),"Анораки")</f>
        <v>Анораки</v>
      </c>
      <c r="E1164" s="133" t="str">
        <f>IFERROR(__xludf.DUMMYFUNCTION("""COMPUTED_VALUE"""),"S")</f>
        <v>S</v>
      </c>
      <c r="F1164" s="133" t="str">
        <f>IFERROR(__xludf.DUMMYFUNCTION("""COMPUTED_VALUE"""),"AN00326SLWS")</f>
        <v>AN00326SLWS</v>
      </c>
      <c r="G1164" s="165">
        <f>IFERROR(__xludf.DUMMYFUNCTION("""COMPUTED_VALUE"""),1066.0)</f>
        <v>1066</v>
      </c>
    </row>
    <row r="1165" ht="15.75" customHeight="1">
      <c r="A1165" s="133" t="str">
        <f>IFERROR(__xludf.DUMMYFUNCTION("""COMPUTED_VALUE"""),"AN00326SLW")</f>
        <v>AN00326SLW</v>
      </c>
      <c r="B1165" s="164">
        <f>IFERROR(__xludf.DUMMYFUNCTION("""COMPUTED_VALUE"""),1.3922087E7)</f>
        <v>13922087</v>
      </c>
      <c r="C1165" s="164" t="str">
        <f>IFERROR(__xludf.DUMMYFUNCTION("""COMPUTED_VALUE"""),"13922087M")</f>
        <v>13922087M</v>
      </c>
      <c r="D1165" s="133" t="str">
        <f>IFERROR(__xludf.DUMMYFUNCTION("""COMPUTED_VALUE"""),"Анораки")</f>
        <v>Анораки</v>
      </c>
      <c r="E1165" s="133" t="str">
        <f>IFERROR(__xludf.DUMMYFUNCTION("""COMPUTED_VALUE"""),"M")</f>
        <v>M</v>
      </c>
      <c r="F1165" s="133" t="str">
        <f>IFERROR(__xludf.DUMMYFUNCTION("""COMPUTED_VALUE"""),"AN00326SLWM")</f>
        <v>AN00326SLWM</v>
      </c>
      <c r="G1165" s="165">
        <f>IFERROR(__xludf.DUMMYFUNCTION("""COMPUTED_VALUE"""),1066.0)</f>
        <v>1066</v>
      </c>
    </row>
    <row r="1166" ht="15.75" customHeight="1">
      <c r="A1166" s="133" t="str">
        <f>IFERROR(__xludf.DUMMYFUNCTION("""COMPUTED_VALUE"""),"AN00326SLW")</f>
        <v>AN00326SLW</v>
      </c>
      <c r="B1166" s="164">
        <f>IFERROR(__xludf.DUMMYFUNCTION("""COMPUTED_VALUE"""),1.3922087E7)</f>
        <v>13922087</v>
      </c>
      <c r="C1166" s="164" t="str">
        <f>IFERROR(__xludf.DUMMYFUNCTION("""COMPUTED_VALUE"""),"13922087L")</f>
        <v>13922087L</v>
      </c>
      <c r="D1166" s="133" t="str">
        <f>IFERROR(__xludf.DUMMYFUNCTION("""COMPUTED_VALUE"""),"Анораки")</f>
        <v>Анораки</v>
      </c>
      <c r="E1166" s="133" t="str">
        <f>IFERROR(__xludf.DUMMYFUNCTION("""COMPUTED_VALUE"""),"L")</f>
        <v>L</v>
      </c>
      <c r="F1166" s="133" t="str">
        <f>IFERROR(__xludf.DUMMYFUNCTION("""COMPUTED_VALUE"""),"AN00326SLWL")</f>
        <v>AN00326SLWL</v>
      </c>
      <c r="G1166" s="165">
        <f>IFERROR(__xludf.DUMMYFUNCTION("""COMPUTED_VALUE"""),1066.0)</f>
        <v>1066</v>
      </c>
    </row>
    <row r="1167" ht="15.75" customHeight="1">
      <c r="A1167" s="133" t="str">
        <f>IFERROR(__xludf.DUMMYFUNCTION("""COMPUTED_VALUE"""),"AN00326SLW")</f>
        <v>AN00326SLW</v>
      </c>
      <c r="B1167" s="164">
        <f>IFERROR(__xludf.DUMMYFUNCTION("""COMPUTED_VALUE"""),1.3922087E7)</f>
        <v>13922087</v>
      </c>
      <c r="C1167" s="164" t="str">
        <f>IFERROR(__xludf.DUMMYFUNCTION("""COMPUTED_VALUE"""),"13922087XL")</f>
        <v>13922087XL</v>
      </c>
      <c r="D1167" s="133" t="str">
        <f>IFERROR(__xludf.DUMMYFUNCTION("""COMPUTED_VALUE"""),"Анораки")</f>
        <v>Анораки</v>
      </c>
      <c r="E1167" s="133" t="str">
        <f>IFERROR(__xludf.DUMMYFUNCTION("""COMPUTED_VALUE"""),"XL")</f>
        <v>XL</v>
      </c>
      <c r="F1167" s="133" t="str">
        <f>IFERROR(__xludf.DUMMYFUNCTION("""COMPUTED_VALUE"""),"AN00326SLWXL")</f>
        <v>AN00326SLWXL</v>
      </c>
      <c r="G1167" s="165">
        <f>IFERROR(__xludf.DUMMYFUNCTION("""COMPUTED_VALUE"""),1066.0)</f>
        <v>1066</v>
      </c>
    </row>
    <row r="1168" ht="15.75" customHeight="1">
      <c r="A1168" s="133" t="str">
        <f>IFERROR(__xludf.DUMMYFUNCTION("""COMPUTED_VALUE"""),"AN00327SLM")</f>
        <v>AN00327SLM</v>
      </c>
      <c r="B1168" s="164">
        <f>IFERROR(__xludf.DUMMYFUNCTION("""COMPUTED_VALUE"""),1.3922324E7)</f>
        <v>13922324</v>
      </c>
      <c r="C1168" s="164" t="str">
        <f>IFERROR(__xludf.DUMMYFUNCTION("""COMPUTED_VALUE"""),"13922324S")</f>
        <v>13922324S</v>
      </c>
      <c r="D1168" s="133" t="str">
        <f>IFERROR(__xludf.DUMMYFUNCTION("""COMPUTED_VALUE"""),"Анораки")</f>
        <v>Анораки</v>
      </c>
      <c r="E1168" s="133" t="str">
        <f>IFERROR(__xludf.DUMMYFUNCTION("""COMPUTED_VALUE"""),"S")</f>
        <v>S</v>
      </c>
      <c r="F1168" s="133" t="str">
        <f>IFERROR(__xludf.DUMMYFUNCTION("""COMPUTED_VALUE"""),"AN00327SLMS")</f>
        <v>AN00327SLMS</v>
      </c>
      <c r="G1168" s="165">
        <f>IFERROR(__xludf.DUMMYFUNCTION("""COMPUTED_VALUE"""),1066.0)</f>
        <v>1066</v>
      </c>
    </row>
    <row r="1169" ht="15.75" customHeight="1">
      <c r="A1169" s="133" t="str">
        <f>IFERROR(__xludf.DUMMYFUNCTION("""COMPUTED_VALUE"""),"AN00327SLM")</f>
        <v>AN00327SLM</v>
      </c>
      <c r="B1169" s="164">
        <f>IFERROR(__xludf.DUMMYFUNCTION("""COMPUTED_VALUE"""),1.3922324E7)</f>
        <v>13922324</v>
      </c>
      <c r="C1169" s="164" t="str">
        <f>IFERROR(__xludf.DUMMYFUNCTION("""COMPUTED_VALUE"""),"13922324M")</f>
        <v>13922324M</v>
      </c>
      <c r="D1169" s="133" t="str">
        <f>IFERROR(__xludf.DUMMYFUNCTION("""COMPUTED_VALUE"""),"Анораки")</f>
        <v>Анораки</v>
      </c>
      <c r="E1169" s="133" t="str">
        <f>IFERROR(__xludf.DUMMYFUNCTION("""COMPUTED_VALUE"""),"M")</f>
        <v>M</v>
      </c>
      <c r="F1169" s="133" t="str">
        <f>IFERROR(__xludf.DUMMYFUNCTION("""COMPUTED_VALUE"""),"AN00327SLMM")</f>
        <v>AN00327SLMM</v>
      </c>
      <c r="G1169" s="165">
        <f>IFERROR(__xludf.DUMMYFUNCTION("""COMPUTED_VALUE"""),1066.0)</f>
        <v>1066</v>
      </c>
    </row>
    <row r="1170" ht="15.75" customHeight="1">
      <c r="A1170" s="133" t="str">
        <f>IFERROR(__xludf.DUMMYFUNCTION("""COMPUTED_VALUE"""),"AN00327SLM")</f>
        <v>AN00327SLM</v>
      </c>
      <c r="B1170" s="164">
        <f>IFERROR(__xludf.DUMMYFUNCTION("""COMPUTED_VALUE"""),1.3922324E7)</f>
        <v>13922324</v>
      </c>
      <c r="C1170" s="164" t="str">
        <f>IFERROR(__xludf.DUMMYFUNCTION("""COMPUTED_VALUE"""),"13922324L")</f>
        <v>13922324L</v>
      </c>
      <c r="D1170" s="133" t="str">
        <f>IFERROR(__xludf.DUMMYFUNCTION("""COMPUTED_VALUE"""),"Анораки")</f>
        <v>Анораки</v>
      </c>
      <c r="E1170" s="133" t="str">
        <f>IFERROR(__xludf.DUMMYFUNCTION("""COMPUTED_VALUE"""),"L")</f>
        <v>L</v>
      </c>
      <c r="F1170" s="133" t="str">
        <f>IFERROR(__xludf.DUMMYFUNCTION("""COMPUTED_VALUE"""),"AN00327SLML")</f>
        <v>AN00327SLML</v>
      </c>
      <c r="G1170" s="165">
        <f>IFERROR(__xludf.DUMMYFUNCTION("""COMPUTED_VALUE"""),1066.0)</f>
        <v>1066</v>
      </c>
    </row>
    <row r="1171" ht="15.75" customHeight="1">
      <c r="A1171" s="133" t="str">
        <f>IFERROR(__xludf.DUMMYFUNCTION("""COMPUTED_VALUE"""),"AN00327SLM")</f>
        <v>AN00327SLM</v>
      </c>
      <c r="B1171" s="164">
        <f>IFERROR(__xludf.DUMMYFUNCTION("""COMPUTED_VALUE"""),1.3922324E7)</f>
        <v>13922324</v>
      </c>
      <c r="C1171" s="164" t="str">
        <f>IFERROR(__xludf.DUMMYFUNCTION("""COMPUTED_VALUE"""),"13922324XL")</f>
        <v>13922324XL</v>
      </c>
      <c r="D1171" s="133" t="str">
        <f>IFERROR(__xludf.DUMMYFUNCTION("""COMPUTED_VALUE"""),"Анораки")</f>
        <v>Анораки</v>
      </c>
      <c r="E1171" s="133" t="str">
        <f>IFERROR(__xludf.DUMMYFUNCTION("""COMPUTED_VALUE"""),"XL")</f>
        <v>XL</v>
      </c>
      <c r="F1171" s="133" t="str">
        <f>IFERROR(__xludf.DUMMYFUNCTION("""COMPUTED_VALUE"""),"AN00327SLMXL")</f>
        <v>AN00327SLMXL</v>
      </c>
      <c r="G1171" s="165">
        <f>IFERROR(__xludf.DUMMYFUNCTION("""COMPUTED_VALUE"""),1066.0)</f>
        <v>1066</v>
      </c>
    </row>
    <row r="1172" ht="15.75" customHeight="1">
      <c r="A1172" s="133" t="str">
        <f>IFERROR(__xludf.DUMMYFUNCTION("""COMPUTED_VALUE"""),"AN00327SLM")</f>
        <v>AN00327SLM</v>
      </c>
      <c r="B1172" s="164">
        <f>IFERROR(__xludf.DUMMYFUNCTION("""COMPUTED_VALUE"""),1.3922324E7)</f>
        <v>13922324</v>
      </c>
      <c r="C1172" s="164" t="str">
        <f>IFERROR(__xludf.DUMMYFUNCTION("""COMPUTED_VALUE"""),"13922324XXL")</f>
        <v>13922324XXL</v>
      </c>
      <c r="D1172" s="133" t="str">
        <f>IFERROR(__xludf.DUMMYFUNCTION("""COMPUTED_VALUE"""),"Анораки")</f>
        <v>Анораки</v>
      </c>
      <c r="E1172" s="133" t="str">
        <f>IFERROR(__xludf.DUMMYFUNCTION("""COMPUTED_VALUE"""),"XXL")</f>
        <v>XXL</v>
      </c>
      <c r="F1172" s="133" t="str">
        <f>IFERROR(__xludf.DUMMYFUNCTION("""COMPUTED_VALUE"""),"AN00327SLMXXL")</f>
        <v>AN00327SLMXXL</v>
      </c>
      <c r="G1172" s="165">
        <f>IFERROR(__xludf.DUMMYFUNCTION("""COMPUTED_VALUE"""),1066.0)</f>
        <v>1066</v>
      </c>
    </row>
    <row r="1173" ht="15.75" customHeight="1">
      <c r="A1173" s="133" t="str">
        <f>IFERROR(__xludf.DUMMYFUNCTION("""COMPUTED_VALUE"""),"AN00327SLM")</f>
        <v>AN00327SLM</v>
      </c>
      <c r="B1173" s="164">
        <f>IFERROR(__xludf.DUMMYFUNCTION("""COMPUTED_VALUE"""),1.3922324E7)</f>
        <v>13922324</v>
      </c>
      <c r="C1173" s="164" t="str">
        <f>IFERROR(__xludf.DUMMYFUNCTION("""COMPUTED_VALUE"""),"13922324XXXL")</f>
        <v>13922324XXXL</v>
      </c>
      <c r="D1173" s="133" t="str">
        <f>IFERROR(__xludf.DUMMYFUNCTION("""COMPUTED_VALUE"""),"Анораки")</f>
        <v>Анораки</v>
      </c>
      <c r="E1173" s="133" t="str">
        <f>IFERROR(__xludf.DUMMYFUNCTION("""COMPUTED_VALUE"""),"XXXL")</f>
        <v>XXXL</v>
      </c>
      <c r="F1173" s="133" t="str">
        <f>IFERROR(__xludf.DUMMYFUNCTION("""COMPUTED_VALUE"""),"AN00327SLMXXXL")</f>
        <v>AN00327SLMXXXL</v>
      </c>
      <c r="G1173" s="165">
        <f>IFERROR(__xludf.DUMMYFUNCTION("""COMPUTED_VALUE"""),1066.0)</f>
        <v>1066</v>
      </c>
    </row>
    <row r="1174" ht="15.75" customHeight="1">
      <c r="A1174" s="133" t="str">
        <f>IFERROR(__xludf.DUMMYFUNCTION("""COMPUTED_VALUE"""),"PX00346SLM")</f>
        <v>PX00346SLM</v>
      </c>
      <c r="B1174" s="164">
        <f>IFERROR(__xludf.DUMMYFUNCTION("""COMPUTED_VALUE"""),1.6123097E7)</f>
        <v>16123097</v>
      </c>
      <c r="C1174" s="164" t="str">
        <f>IFERROR(__xludf.DUMMYFUNCTION("""COMPUTED_VALUE"""),"16123097S")</f>
        <v>16123097S</v>
      </c>
      <c r="D1174" s="133" t="str">
        <f>IFERROR(__xludf.DUMMYFUNCTION("""COMPUTED_VALUE"""),"Пуховик мужской")</f>
        <v>Пуховик мужской</v>
      </c>
      <c r="E1174" s="133" t="str">
        <f>IFERROR(__xludf.DUMMYFUNCTION("""COMPUTED_VALUE"""),"S")</f>
        <v>S</v>
      </c>
      <c r="F1174" s="133" t="str">
        <f>IFERROR(__xludf.DUMMYFUNCTION("""COMPUTED_VALUE"""),"PX00346SLMS")</f>
        <v>PX00346SLMS</v>
      </c>
      <c r="G1174" s="165">
        <f>IFERROR(__xludf.DUMMYFUNCTION("""COMPUTED_VALUE"""),2996.0)</f>
        <v>2996</v>
      </c>
    </row>
    <row r="1175" ht="15.75" customHeight="1">
      <c r="A1175" s="133" t="str">
        <f>IFERROR(__xludf.DUMMYFUNCTION("""COMPUTED_VALUE"""),"PX00346SLM")</f>
        <v>PX00346SLM</v>
      </c>
      <c r="B1175" s="164">
        <f>IFERROR(__xludf.DUMMYFUNCTION("""COMPUTED_VALUE"""),1.6123097E7)</f>
        <v>16123097</v>
      </c>
      <c r="C1175" s="164" t="str">
        <f>IFERROR(__xludf.DUMMYFUNCTION("""COMPUTED_VALUE"""),"16123097M")</f>
        <v>16123097M</v>
      </c>
      <c r="D1175" s="133" t="str">
        <f>IFERROR(__xludf.DUMMYFUNCTION("""COMPUTED_VALUE"""),"Пуховик мужской")</f>
        <v>Пуховик мужской</v>
      </c>
      <c r="E1175" s="133" t="str">
        <f>IFERROR(__xludf.DUMMYFUNCTION("""COMPUTED_VALUE"""),"M")</f>
        <v>M</v>
      </c>
      <c r="F1175" s="133" t="str">
        <f>IFERROR(__xludf.DUMMYFUNCTION("""COMPUTED_VALUE"""),"PX00346SLMM")</f>
        <v>PX00346SLMM</v>
      </c>
      <c r="G1175" s="165">
        <f>IFERROR(__xludf.DUMMYFUNCTION("""COMPUTED_VALUE"""),2996.0)</f>
        <v>2996</v>
      </c>
    </row>
    <row r="1176" ht="15.75" customHeight="1">
      <c r="A1176" s="133" t="str">
        <f>IFERROR(__xludf.DUMMYFUNCTION("""COMPUTED_VALUE"""),"PX00346SLM")</f>
        <v>PX00346SLM</v>
      </c>
      <c r="B1176" s="164">
        <f>IFERROR(__xludf.DUMMYFUNCTION("""COMPUTED_VALUE"""),1.6123097E7)</f>
        <v>16123097</v>
      </c>
      <c r="C1176" s="164" t="str">
        <f>IFERROR(__xludf.DUMMYFUNCTION("""COMPUTED_VALUE"""),"16123097L")</f>
        <v>16123097L</v>
      </c>
      <c r="D1176" s="133" t="str">
        <f>IFERROR(__xludf.DUMMYFUNCTION("""COMPUTED_VALUE"""),"Пуховик мужской")</f>
        <v>Пуховик мужской</v>
      </c>
      <c r="E1176" s="133" t="str">
        <f>IFERROR(__xludf.DUMMYFUNCTION("""COMPUTED_VALUE"""),"L")</f>
        <v>L</v>
      </c>
      <c r="F1176" s="133" t="str">
        <f>IFERROR(__xludf.DUMMYFUNCTION("""COMPUTED_VALUE"""),"PX00346SLML")</f>
        <v>PX00346SLML</v>
      </c>
      <c r="G1176" s="165">
        <f>IFERROR(__xludf.DUMMYFUNCTION("""COMPUTED_VALUE"""),2996.0)</f>
        <v>2996</v>
      </c>
    </row>
    <row r="1177" ht="15.75" customHeight="1">
      <c r="A1177" s="133" t="str">
        <f>IFERROR(__xludf.DUMMYFUNCTION("""COMPUTED_VALUE"""),"PX00346SLM")</f>
        <v>PX00346SLM</v>
      </c>
      <c r="B1177" s="164">
        <f>IFERROR(__xludf.DUMMYFUNCTION("""COMPUTED_VALUE"""),1.6123097E7)</f>
        <v>16123097</v>
      </c>
      <c r="C1177" s="164" t="str">
        <f>IFERROR(__xludf.DUMMYFUNCTION("""COMPUTED_VALUE"""),"16123097XL")</f>
        <v>16123097XL</v>
      </c>
      <c r="D1177" s="133" t="str">
        <f>IFERROR(__xludf.DUMMYFUNCTION("""COMPUTED_VALUE"""),"Пуховик мужской")</f>
        <v>Пуховик мужской</v>
      </c>
      <c r="E1177" s="133" t="str">
        <f>IFERROR(__xludf.DUMMYFUNCTION("""COMPUTED_VALUE"""),"XL")</f>
        <v>XL</v>
      </c>
      <c r="F1177" s="133" t="str">
        <f>IFERROR(__xludf.DUMMYFUNCTION("""COMPUTED_VALUE"""),"PX00346SLMXL")</f>
        <v>PX00346SLMXL</v>
      </c>
      <c r="G1177" s="165">
        <f>IFERROR(__xludf.DUMMYFUNCTION("""COMPUTED_VALUE"""),2996.0)</f>
        <v>2996</v>
      </c>
    </row>
    <row r="1178" ht="15.75" customHeight="1">
      <c r="A1178" s="133" t="str">
        <f>IFERROR(__xludf.DUMMYFUNCTION("""COMPUTED_VALUE"""),"PX00346SLM")</f>
        <v>PX00346SLM</v>
      </c>
      <c r="B1178" s="164">
        <f>IFERROR(__xludf.DUMMYFUNCTION("""COMPUTED_VALUE"""),1.6123097E7)</f>
        <v>16123097</v>
      </c>
      <c r="C1178" s="164" t="str">
        <f>IFERROR(__xludf.DUMMYFUNCTION("""COMPUTED_VALUE"""),"16123097XXL")</f>
        <v>16123097XXL</v>
      </c>
      <c r="D1178" s="133" t="str">
        <f>IFERROR(__xludf.DUMMYFUNCTION("""COMPUTED_VALUE"""),"Пуховик мужской")</f>
        <v>Пуховик мужской</v>
      </c>
      <c r="E1178" s="133" t="str">
        <f>IFERROR(__xludf.DUMMYFUNCTION("""COMPUTED_VALUE"""),"XXL")</f>
        <v>XXL</v>
      </c>
      <c r="F1178" s="133" t="str">
        <f>IFERROR(__xludf.DUMMYFUNCTION("""COMPUTED_VALUE"""),"PX00346SLMXXL")</f>
        <v>PX00346SLMXXL</v>
      </c>
      <c r="G1178" s="165">
        <f>IFERROR(__xludf.DUMMYFUNCTION("""COMPUTED_VALUE"""),2996.0)</f>
        <v>2996</v>
      </c>
    </row>
    <row r="1179" ht="15.75" customHeight="1">
      <c r="A1179" s="133" t="str">
        <f>IFERROR(__xludf.DUMMYFUNCTION("""COMPUTED_VALUE"""),"PX00346SLM")</f>
        <v>PX00346SLM</v>
      </c>
      <c r="B1179" s="164">
        <f>IFERROR(__xludf.DUMMYFUNCTION("""COMPUTED_VALUE"""),1.6123097E7)</f>
        <v>16123097</v>
      </c>
      <c r="C1179" s="164" t="str">
        <f>IFERROR(__xludf.DUMMYFUNCTION("""COMPUTED_VALUE"""),"16123097XXXL")</f>
        <v>16123097XXXL</v>
      </c>
      <c r="D1179" s="133" t="str">
        <f>IFERROR(__xludf.DUMMYFUNCTION("""COMPUTED_VALUE"""),"Пуховик мужской")</f>
        <v>Пуховик мужской</v>
      </c>
      <c r="E1179" s="133" t="str">
        <f>IFERROR(__xludf.DUMMYFUNCTION("""COMPUTED_VALUE"""),"XXXL")</f>
        <v>XXXL</v>
      </c>
      <c r="F1179" s="133" t="str">
        <f>IFERROR(__xludf.DUMMYFUNCTION("""COMPUTED_VALUE"""),"PX00346SLMXXXL")</f>
        <v>PX00346SLMXXXL</v>
      </c>
      <c r="G1179" s="165">
        <f>IFERROR(__xludf.DUMMYFUNCTION("""COMPUTED_VALUE"""),2996.0)</f>
        <v>2996</v>
      </c>
    </row>
    <row r="1180" ht="15.75" customHeight="1">
      <c r="A1180" s="133" t="str">
        <f>IFERROR(__xludf.DUMMYFUNCTION("""COMPUTED_VALUE"""),"PX00350SLM")</f>
        <v>PX00350SLM</v>
      </c>
      <c r="B1180" s="164">
        <f>IFERROR(__xludf.DUMMYFUNCTION("""COMPUTED_VALUE"""),1.61231E7)</f>
        <v>16123100</v>
      </c>
      <c r="C1180" s="164" t="str">
        <f>IFERROR(__xludf.DUMMYFUNCTION("""COMPUTED_VALUE"""),"16123100S")</f>
        <v>16123100S</v>
      </c>
      <c r="D1180" s="133" t="str">
        <f>IFERROR(__xludf.DUMMYFUNCTION("""COMPUTED_VALUE"""),"Пуховик мужской")</f>
        <v>Пуховик мужской</v>
      </c>
      <c r="E1180" s="133" t="str">
        <f>IFERROR(__xludf.DUMMYFUNCTION("""COMPUTED_VALUE"""),"S")</f>
        <v>S</v>
      </c>
      <c r="F1180" s="133" t="str">
        <f>IFERROR(__xludf.DUMMYFUNCTION("""COMPUTED_VALUE"""),"PX00350SLMS")</f>
        <v>PX00350SLMS</v>
      </c>
      <c r="G1180" s="165">
        <f>IFERROR(__xludf.DUMMYFUNCTION("""COMPUTED_VALUE"""),2996.0)</f>
        <v>2996</v>
      </c>
    </row>
    <row r="1181" ht="15.75" customHeight="1">
      <c r="A1181" s="133" t="str">
        <f>IFERROR(__xludf.DUMMYFUNCTION("""COMPUTED_VALUE"""),"PX00350SLM")</f>
        <v>PX00350SLM</v>
      </c>
      <c r="B1181" s="164">
        <f>IFERROR(__xludf.DUMMYFUNCTION("""COMPUTED_VALUE"""),1.61231E7)</f>
        <v>16123100</v>
      </c>
      <c r="C1181" s="164" t="str">
        <f>IFERROR(__xludf.DUMMYFUNCTION("""COMPUTED_VALUE"""),"16123100M")</f>
        <v>16123100M</v>
      </c>
      <c r="D1181" s="133" t="str">
        <f>IFERROR(__xludf.DUMMYFUNCTION("""COMPUTED_VALUE"""),"Пуховик мужской")</f>
        <v>Пуховик мужской</v>
      </c>
      <c r="E1181" s="133" t="str">
        <f>IFERROR(__xludf.DUMMYFUNCTION("""COMPUTED_VALUE"""),"M")</f>
        <v>M</v>
      </c>
      <c r="F1181" s="133" t="str">
        <f>IFERROR(__xludf.DUMMYFUNCTION("""COMPUTED_VALUE"""),"PX00350SLMM")</f>
        <v>PX00350SLMM</v>
      </c>
      <c r="G1181" s="165">
        <f>IFERROR(__xludf.DUMMYFUNCTION("""COMPUTED_VALUE"""),2996.0)</f>
        <v>2996</v>
      </c>
    </row>
    <row r="1182" ht="15.75" customHeight="1">
      <c r="A1182" s="133" t="str">
        <f>IFERROR(__xludf.DUMMYFUNCTION("""COMPUTED_VALUE"""),"PX00350SLM")</f>
        <v>PX00350SLM</v>
      </c>
      <c r="B1182" s="164">
        <f>IFERROR(__xludf.DUMMYFUNCTION("""COMPUTED_VALUE"""),1.61231E7)</f>
        <v>16123100</v>
      </c>
      <c r="C1182" s="164" t="str">
        <f>IFERROR(__xludf.DUMMYFUNCTION("""COMPUTED_VALUE"""),"16123100L")</f>
        <v>16123100L</v>
      </c>
      <c r="D1182" s="133" t="str">
        <f>IFERROR(__xludf.DUMMYFUNCTION("""COMPUTED_VALUE"""),"Пуховик мужской")</f>
        <v>Пуховик мужской</v>
      </c>
      <c r="E1182" s="133" t="str">
        <f>IFERROR(__xludf.DUMMYFUNCTION("""COMPUTED_VALUE"""),"L")</f>
        <v>L</v>
      </c>
      <c r="F1182" s="133" t="str">
        <f>IFERROR(__xludf.DUMMYFUNCTION("""COMPUTED_VALUE"""),"PX00350SLML")</f>
        <v>PX00350SLML</v>
      </c>
      <c r="G1182" s="165">
        <f>IFERROR(__xludf.DUMMYFUNCTION("""COMPUTED_VALUE"""),2996.0)</f>
        <v>2996</v>
      </c>
    </row>
    <row r="1183" ht="15.75" customHeight="1">
      <c r="A1183" s="133" t="str">
        <f>IFERROR(__xludf.DUMMYFUNCTION("""COMPUTED_VALUE"""),"PX00350SLM")</f>
        <v>PX00350SLM</v>
      </c>
      <c r="B1183" s="164">
        <f>IFERROR(__xludf.DUMMYFUNCTION("""COMPUTED_VALUE"""),1.61231E7)</f>
        <v>16123100</v>
      </c>
      <c r="C1183" s="164" t="str">
        <f>IFERROR(__xludf.DUMMYFUNCTION("""COMPUTED_VALUE"""),"16123100XL")</f>
        <v>16123100XL</v>
      </c>
      <c r="D1183" s="133" t="str">
        <f>IFERROR(__xludf.DUMMYFUNCTION("""COMPUTED_VALUE"""),"Пуховик мужской")</f>
        <v>Пуховик мужской</v>
      </c>
      <c r="E1183" s="133" t="str">
        <f>IFERROR(__xludf.DUMMYFUNCTION("""COMPUTED_VALUE"""),"XL")</f>
        <v>XL</v>
      </c>
      <c r="F1183" s="133" t="str">
        <f>IFERROR(__xludf.DUMMYFUNCTION("""COMPUTED_VALUE"""),"PX00350SLMXL")</f>
        <v>PX00350SLMXL</v>
      </c>
      <c r="G1183" s="165">
        <f>IFERROR(__xludf.DUMMYFUNCTION("""COMPUTED_VALUE"""),2996.0)</f>
        <v>2996</v>
      </c>
    </row>
    <row r="1184" ht="15.75" customHeight="1">
      <c r="A1184" s="133" t="str">
        <f>IFERROR(__xludf.DUMMYFUNCTION("""COMPUTED_VALUE"""),"PX00350SLM")</f>
        <v>PX00350SLM</v>
      </c>
      <c r="B1184" s="164">
        <f>IFERROR(__xludf.DUMMYFUNCTION("""COMPUTED_VALUE"""),1.61231E7)</f>
        <v>16123100</v>
      </c>
      <c r="C1184" s="164" t="str">
        <f>IFERROR(__xludf.DUMMYFUNCTION("""COMPUTED_VALUE"""),"16123100XXL")</f>
        <v>16123100XXL</v>
      </c>
      <c r="D1184" s="133" t="str">
        <f>IFERROR(__xludf.DUMMYFUNCTION("""COMPUTED_VALUE"""),"Пуховик мужской")</f>
        <v>Пуховик мужской</v>
      </c>
      <c r="E1184" s="133" t="str">
        <f>IFERROR(__xludf.DUMMYFUNCTION("""COMPUTED_VALUE"""),"XXL")</f>
        <v>XXL</v>
      </c>
      <c r="F1184" s="133" t="str">
        <f>IFERROR(__xludf.DUMMYFUNCTION("""COMPUTED_VALUE"""),"PX00350SLMXXL")</f>
        <v>PX00350SLMXXL</v>
      </c>
      <c r="G1184" s="165">
        <f>IFERROR(__xludf.DUMMYFUNCTION("""COMPUTED_VALUE"""),2996.0)</f>
        <v>2996</v>
      </c>
    </row>
    <row r="1185" ht="15.75" customHeight="1">
      <c r="A1185" s="133" t="str">
        <f>IFERROR(__xludf.DUMMYFUNCTION("""COMPUTED_VALUE"""),"PX00350SLM")</f>
        <v>PX00350SLM</v>
      </c>
      <c r="B1185" s="164">
        <f>IFERROR(__xludf.DUMMYFUNCTION("""COMPUTED_VALUE"""),1.61231E7)</f>
        <v>16123100</v>
      </c>
      <c r="C1185" s="164" t="str">
        <f>IFERROR(__xludf.DUMMYFUNCTION("""COMPUTED_VALUE"""),"16123100XXXL")</f>
        <v>16123100XXXL</v>
      </c>
      <c r="D1185" s="133" t="str">
        <f>IFERROR(__xludf.DUMMYFUNCTION("""COMPUTED_VALUE"""),"Пуховик мужской")</f>
        <v>Пуховик мужской</v>
      </c>
      <c r="E1185" s="133" t="str">
        <f>IFERROR(__xludf.DUMMYFUNCTION("""COMPUTED_VALUE"""),"XXXL")</f>
        <v>XXXL</v>
      </c>
      <c r="F1185" s="133" t="str">
        <f>IFERROR(__xludf.DUMMYFUNCTION("""COMPUTED_VALUE"""),"PX00350SLMXXXL")</f>
        <v>PX00350SLMXXXL</v>
      </c>
      <c r="G1185" s="165">
        <f>IFERROR(__xludf.DUMMYFUNCTION("""COMPUTED_VALUE"""),2996.0)</f>
        <v>2996</v>
      </c>
    </row>
    <row r="1186" ht="15.75" customHeight="1">
      <c r="A1186" s="133" t="str">
        <f>IFERROR(__xludf.DUMMYFUNCTION("""COMPUTED_VALUE"""),"RK00312SLU")</f>
        <v>RK00312SLU</v>
      </c>
      <c r="B1186" s="164">
        <f>IFERROR(__xludf.DUMMYFUNCTION("""COMPUTED_VALUE"""),1.3169126E7)</f>
        <v>13169126</v>
      </c>
      <c r="C1186" s="164" t="str">
        <f>IFERROR(__xludf.DUMMYFUNCTION("""COMPUTED_VALUE"""),"131691260")</f>
        <v>131691260</v>
      </c>
      <c r="D1186" s="133" t="str">
        <f>IFERROR(__xludf.DUMMYFUNCTION("""COMPUTED_VALUE"""),"Рюкзак")</f>
        <v>Рюкзак</v>
      </c>
      <c r="E1186" s="133">
        <f>IFERROR(__xludf.DUMMYFUNCTION("""COMPUTED_VALUE"""),0.0)</f>
        <v>0</v>
      </c>
      <c r="F1186" s="133" t="str">
        <f>IFERROR(__xludf.DUMMYFUNCTION("""COMPUTED_VALUE"""),"RK00312SLU0")</f>
        <v>RK00312SLU0</v>
      </c>
      <c r="G1186" s="165">
        <f>IFERROR(__xludf.DUMMYFUNCTION("""COMPUTED_VALUE"""),900.0)</f>
        <v>900</v>
      </c>
    </row>
    <row r="1187" ht="15.75" customHeight="1">
      <c r="A1187" s="133" t="str">
        <f>IFERROR(__xludf.DUMMYFUNCTION("""COMPUTED_VALUE"""),"RK00313SLU")</f>
        <v>RK00313SLU</v>
      </c>
      <c r="B1187" s="164">
        <f>IFERROR(__xludf.DUMMYFUNCTION("""COMPUTED_VALUE"""),1.3169127E7)</f>
        <v>13169127</v>
      </c>
      <c r="C1187" s="164" t="str">
        <f>IFERROR(__xludf.DUMMYFUNCTION("""COMPUTED_VALUE"""),"131691270")</f>
        <v>131691270</v>
      </c>
      <c r="D1187" s="133" t="str">
        <f>IFERROR(__xludf.DUMMYFUNCTION("""COMPUTED_VALUE"""),"Рюкзак")</f>
        <v>Рюкзак</v>
      </c>
      <c r="E1187" s="133">
        <f>IFERROR(__xludf.DUMMYFUNCTION("""COMPUTED_VALUE"""),0.0)</f>
        <v>0</v>
      </c>
      <c r="F1187" s="133" t="str">
        <f>IFERROR(__xludf.DUMMYFUNCTION("""COMPUTED_VALUE"""),"RK00313SLU0")</f>
        <v>RK00313SLU0</v>
      </c>
      <c r="G1187" s="165">
        <f>IFERROR(__xludf.DUMMYFUNCTION("""COMPUTED_VALUE"""),900.0)</f>
        <v>900</v>
      </c>
    </row>
    <row r="1188" ht="15.75" customHeight="1">
      <c r="A1188" s="133" t="str">
        <f>IFERROR(__xludf.DUMMYFUNCTION("""COMPUTED_VALUE"""),"RK00314SLU")</f>
        <v>RK00314SLU</v>
      </c>
      <c r="B1188" s="164">
        <f>IFERROR(__xludf.DUMMYFUNCTION("""COMPUTED_VALUE"""),1.3169128E7)</f>
        <v>13169128</v>
      </c>
      <c r="C1188" s="164" t="str">
        <f>IFERROR(__xludf.DUMMYFUNCTION("""COMPUTED_VALUE"""),"131691280")</f>
        <v>131691280</v>
      </c>
      <c r="D1188" s="133" t="str">
        <f>IFERROR(__xludf.DUMMYFUNCTION("""COMPUTED_VALUE"""),"Рюкзак")</f>
        <v>Рюкзак</v>
      </c>
      <c r="E1188" s="133">
        <f>IFERROR(__xludf.DUMMYFUNCTION("""COMPUTED_VALUE"""),0.0)</f>
        <v>0</v>
      </c>
      <c r="F1188" s="133" t="str">
        <f>IFERROR(__xludf.DUMMYFUNCTION("""COMPUTED_VALUE"""),"RK00314SLU0")</f>
        <v>RK00314SLU0</v>
      </c>
      <c r="G1188" s="165">
        <f>IFERROR(__xludf.DUMMYFUNCTION("""COMPUTED_VALUE"""),900.0)</f>
        <v>900</v>
      </c>
    </row>
    <row r="1189" ht="15.75" customHeight="1">
      <c r="A1189" s="133" t="str">
        <f>IFERROR(__xludf.DUMMYFUNCTION("""COMPUTED_VALUE"""),"RK00315SLU")</f>
        <v>RK00315SLU</v>
      </c>
      <c r="B1189" s="164">
        <f>IFERROR(__xludf.DUMMYFUNCTION("""COMPUTED_VALUE"""),1.3169129E7)</f>
        <v>13169129</v>
      </c>
      <c r="C1189" s="164" t="str">
        <f>IFERROR(__xludf.DUMMYFUNCTION("""COMPUTED_VALUE"""),"131691290")</f>
        <v>131691290</v>
      </c>
      <c r="D1189" s="133" t="str">
        <f>IFERROR(__xludf.DUMMYFUNCTION("""COMPUTED_VALUE"""),"Рюкзак")</f>
        <v>Рюкзак</v>
      </c>
      <c r="E1189" s="133">
        <f>IFERROR(__xludf.DUMMYFUNCTION("""COMPUTED_VALUE"""),0.0)</f>
        <v>0</v>
      </c>
      <c r="F1189" s="133" t="str">
        <f>IFERROR(__xludf.DUMMYFUNCTION("""COMPUTED_VALUE"""),"RK00315SLU0")</f>
        <v>RK00315SLU0</v>
      </c>
      <c r="G1189" s="165">
        <f>IFERROR(__xludf.DUMMYFUNCTION("""COMPUTED_VALUE"""),900.0)</f>
        <v>900</v>
      </c>
    </row>
    <row r="1190" ht="15.75" customHeight="1">
      <c r="A1190" s="133" t="str">
        <f>IFERROR(__xludf.DUMMYFUNCTION("""COMPUTED_VALUE"""),"RK00316SLU")</f>
        <v>RK00316SLU</v>
      </c>
      <c r="B1190" s="164">
        <f>IFERROR(__xludf.DUMMYFUNCTION("""COMPUTED_VALUE"""),1.316913E7)</f>
        <v>13169130</v>
      </c>
      <c r="C1190" s="164" t="str">
        <f>IFERROR(__xludf.DUMMYFUNCTION("""COMPUTED_VALUE"""),"131691300")</f>
        <v>131691300</v>
      </c>
      <c r="D1190" s="133" t="str">
        <f>IFERROR(__xludf.DUMMYFUNCTION("""COMPUTED_VALUE"""),"Рюкзак")</f>
        <v>Рюкзак</v>
      </c>
      <c r="E1190" s="133">
        <f>IFERROR(__xludf.DUMMYFUNCTION("""COMPUTED_VALUE"""),0.0)</f>
        <v>0</v>
      </c>
      <c r="F1190" s="133" t="str">
        <f>IFERROR(__xludf.DUMMYFUNCTION("""COMPUTED_VALUE"""),"RK00316SLU0")</f>
        <v>RK00316SLU0</v>
      </c>
      <c r="G1190" s="165">
        <f>IFERROR(__xludf.DUMMYFUNCTION("""COMPUTED_VALUE"""),900.0)</f>
        <v>900</v>
      </c>
    </row>
    <row r="1191" ht="15.75" customHeight="1">
      <c r="A1191" s="133" t="str">
        <f>IFERROR(__xludf.DUMMYFUNCTION("""COMPUTED_VALUE"""),"RK00317SLU")</f>
        <v>RK00317SLU</v>
      </c>
      <c r="B1191" s="164">
        <f>IFERROR(__xludf.DUMMYFUNCTION("""COMPUTED_VALUE"""),1.3169131E7)</f>
        <v>13169131</v>
      </c>
      <c r="C1191" s="164" t="str">
        <f>IFERROR(__xludf.DUMMYFUNCTION("""COMPUTED_VALUE"""),"131691310")</f>
        <v>131691310</v>
      </c>
      <c r="D1191" s="133" t="str">
        <f>IFERROR(__xludf.DUMMYFUNCTION("""COMPUTED_VALUE"""),"Рюкзак")</f>
        <v>Рюкзак</v>
      </c>
      <c r="E1191" s="133">
        <f>IFERROR(__xludf.DUMMYFUNCTION("""COMPUTED_VALUE"""),0.0)</f>
        <v>0</v>
      </c>
      <c r="F1191" s="133" t="str">
        <f>IFERROR(__xludf.DUMMYFUNCTION("""COMPUTED_VALUE"""),"RK00317SLU0")</f>
        <v>RK00317SLU0</v>
      </c>
      <c r="G1191" s="165">
        <f>IFERROR(__xludf.DUMMYFUNCTION("""COMPUTED_VALUE"""),900.0)</f>
        <v>900</v>
      </c>
    </row>
    <row r="1192" ht="15.75" customHeight="1">
      <c r="A1192" s="133" t="str">
        <f>IFERROR(__xludf.DUMMYFUNCTION("""COMPUTED_VALUE"""),"RK00322SLU")</f>
        <v>RK00322SLU</v>
      </c>
      <c r="B1192" s="164">
        <f>IFERROR(__xludf.DUMMYFUNCTION("""COMPUTED_VALUE"""),1.3169136E7)</f>
        <v>13169136</v>
      </c>
      <c r="C1192" s="164" t="str">
        <f>IFERROR(__xludf.DUMMYFUNCTION("""COMPUTED_VALUE"""),"131691360")</f>
        <v>131691360</v>
      </c>
      <c r="D1192" s="133" t="str">
        <f>IFERROR(__xludf.DUMMYFUNCTION("""COMPUTED_VALUE"""),"Рюкзак")</f>
        <v>Рюкзак</v>
      </c>
      <c r="E1192" s="133">
        <f>IFERROR(__xludf.DUMMYFUNCTION("""COMPUTED_VALUE"""),0.0)</f>
        <v>0</v>
      </c>
      <c r="F1192" s="133" t="str">
        <f>IFERROR(__xludf.DUMMYFUNCTION("""COMPUTED_VALUE"""),"RK00322SLU0")</f>
        <v>RK00322SLU0</v>
      </c>
      <c r="G1192" s="165">
        <f>IFERROR(__xludf.DUMMYFUNCTION("""COMPUTED_VALUE"""),900.0)</f>
        <v>900</v>
      </c>
    </row>
    <row r="1193" ht="15.75" customHeight="1">
      <c r="A1193" s="133" t="str">
        <f>IFERROR(__xludf.DUMMYFUNCTION("""COMPUTED_VALUE"""),"RK00318SLU")</f>
        <v>RK00318SLU</v>
      </c>
      <c r="B1193" s="164">
        <f>IFERROR(__xludf.DUMMYFUNCTION("""COMPUTED_VALUE"""),1.3169132E7)</f>
        <v>13169132</v>
      </c>
      <c r="C1193" s="164" t="str">
        <f>IFERROR(__xludf.DUMMYFUNCTION("""COMPUTED_VALUE"""),"131691320")</f>
        <v>131691320</v>
      </c>
      <c r="D1193" s="133" t="str">
        <f>IFERROR(__xludf.DUMMYFUNCTION("""COMPUTED_VALUE"""),"Рюкзак")</f>
        <v>Рюкзак</v>
      </c>
      <c r="E1193" s="133">
        <f>IFERROR(__xludf.DUMMYFUNCTION("""COMPUTED_VALUE"""),0.0)</f>
        <v>0</v>
      </c>
      <c r="F1193" s="133" t="str">
        <f>IFERROR(__xludf.DUMMYFUNCTION("""COMPUTED_VALUE"""),"RK00318SLU0")</f>
        <v>RK00318SLU0</v>
      </c>
      <c r="G1193" s="165">
        <f>IFERROR(__xludf.DUMMYFUNCTION("""COMPUTED_VALUE"""),900.0)</f>
        <v>900</v>
      </c>
    </row>
    <row r="1194" ht="15.75" customHeight="1">
      <c r="A1194" s="133" t="str">
        <f>IFERROR(__xludf.DUMMYFUNCTION("""COMPUTED_VALUE"""),"RK00319SLU")</f>
        <v>RK00319SLU</v>
      </c>
      <c r="B1194" s="164">
        <f>IFERROR(__xludf.DUMMYFUNCTION("""COMPUTED_VALUE"""),1.3169133E7)</f>
        <v>13169133</v>
      </c>
      <c r="C1194" s="164" t="str">
        <f>IFERROR(__xludf.DUMMYFUNCTION("""COMPUTED_VALUE"""),"131691330")</f>
        <v>131691330</v>
      </c>
      <c r="D1194" s="133" t="str">
        <f>IFERROR(__xludf.DUMMYFUNCTION("""COMPUTED_VALUE"""),"Рюкзак")</f>
        <v>Рюкзак</v>
      </c>
      <c r="E1194" s="133">
        <f>IFERROR(__xludf.DUMMYFUNCTION("""COMPUTED_VALUE"""),0.0)</f>
        <v>0</v>
      </c>
      <c r="F1194" s="133" t="str">
        <f>IFERROR(__xludf.DUMMYFUNCTION("""COMPUTED_VALUE"""),"RK00319SLU0")</f>
        <v>RK00319SLU0</v>
      </c>
      <c r="G1194" s="165">
        <f>IFERROR(__xludf.DUMMYFUNCTION("""COMPUTED_VALUE"""),900.0)</f>
        <v>900</v>
      </c>
    </row>
    <row r="1195" ht="15.75" customHeight="1">
      <c r="A1195" s="133" t="str">
        <f>IFERROR(__xludf.DUMMYFUNCTION("""COMPUTED_VALUE"""),"RK00320SLU")</f>
        <v>RK00320SLU</v>
      </c>
      <c r="B1195" s="164">
        <f>IFERROR(__xludf.DUMMYFUNCTION("""COMPUTED_VALUE"""),1.3169134E7)</f>
        <v>13169134</v>
      </c>
      <c r="C1195" s="164" t="str">
        <f>IFERROR(__xludf.DUMMYFUNCTION("""COMPUTED_VALUE"""),"131691340")</f>
        <v>131691340</v>
      </c>
      <c r="D1195" s="133" t="str">
        <f>IFERROR(__xludf.DUMMYFUNCTION("""COMPUTED_VALUE"""),"Рюкзак")</f>
        <v>Рюкзак</v>
      </c>
      <c r="E1195" s="133">
        <f>IFERROR(__xludf.DUMMYFUNCTION("""COMPUTED_VALUE"""),0.0)</f>
        <v>0</v>
      </c>
      <c r="F1195" s="133" t="str">
        <f>IFERROR(__xludf.DUMMYFUNCTION("""COMPUTED_VALUE"""),"RK00320SLU0")</f>
        <v>RK00320SLU0</v>
      </c>
      <c r="G1195" s="165">
        <f>IFERROR(__xludf.DUMMYFUNCTION("""COMPUTED_VALUE"""),900.0)</f>
        <v>900</v>
      </c>
    </row>
    <row r="1196" ht="15.75" customHeight="1">
      <c r="A1196" s="133" t="str">
        <f>IFERROR(__xludf.DUMMYFUNCTION("""COMPUTED_VALUE"""),"RK00321SLU")</f>
        <v>RK00321SLU</v>
      </c>
      <c r="B1196" s="164">
        <f>IFERROR(__xludf.DUMMYFUNCTION("""COMPUTED_VALUE"""),1.3169135E7)</f>
        <v>13169135</v>
      </c>
      <c r="C1196" s="164" t="str">
        <f>IFERROR(__xludf.DUMMYFUNCTION("""COMPUTED_VALUE"""),"131691350")</f>
        <v>131691350</v>
      </c>
      <c r="D1196" s="133" t="str">
        <f>IFERROR(__xludf.DUMMYFUNCTION("""COMPUTED_VALUE"""),"Рюкзак")</f>
        <v>Рюкзак</v>
      </c>
      <c r="E1196" s="133">
        <f>IFERROR(__xludf.DUMMYFUNCTION("""COMPUTED_VALUE"""),0.0)</f>
        <v>0</v>
      </c>
      <c r="F1196" s="133" t="str">
        <f>IFERROR(__xludf.DUMMYFUNCTION("""COMPUTED_VALUE"""),"RK00321SLU0")</f>
        <v>RK00321SLU0</v>
      </c>
      <c r="G1196" s="165">
        <f>IFERROR(__xludf.DUMMYFUNCTION("""COMPUTED_VALUE"""),900.0)</f>
        <v>900</v>
      </c>
    </row>
    <row r="1197" ht="15.75" customHeight="1">
      <c r="A1197" s="133" t="str">
        <f>IFERROR(__xludf.DUMMYFUNCTION("""COMPUTED_VALUE"""),"RK00325SLU")</f>
        <v>RK00325SLU</v>
      </c>
      <c r="B1197" s="164">
        <f>IFERROR(__xludf.DUMMYFUNCTION("""COMPUTED_VALUE"""),1.3295395E7)</f>
        <v>13295395</v>
      </c>
      <c r="C1197" s="164" t="str">
        <f>IFERROR(__xludf.DUMMYFUNCTION("""COMPUTED_VALUE"""),"132953950")</f>
        <v>132953950</v>
      </c>
      <c r="D1197" s="133" t="str">
        <f>IFERROR(__xludf.DUMMYFUNCTION("""COMPUTED_VALUE"""),"Рюкзак")</f>
        <v>Рюкзак</v>
      </c>
      <c r="E1197" s="133">
        <f>IFERROR(__xludf.DUMMYFUNCTION("""COMPUTED_VALUE"""),0.0)</f>
        <v>0</v>
      </c>
      <c r="F1197" s="133" t="str">
        <f>IFERROR(__xludf.DUMMYFUNCTION("""COMPUTED_VALUE"""),"RK00325SLU0")</f>
        <v>RK00325SLU0</v>
      </c>
      <c r="G1197" s="165">
        <f>IFERROR(__xludf.DUMMYFUNCTION("""COMPUTED_VALUE"""),900.0)</f>
        <v>900</v>
      </c>
    </row>
    <row r="1198" ht="15.75" customHeight="1">
      <c r="A1198" s="133" t="str">
        <f>IFERROR(__xludf.DUMMYFUNCTION("""COMPUTED_VALUE"""),"RK00326SLU")</f>
        <v>RK00326SLU</v>
      </c>
      <c r="B1198" s="164">
        <f>IFERROR(__xludf.DUMMYFUNCTION("""COMPUTED_VALUE"""),1.3295396E7)</f>
        <v>13295396</v>
      </c>
      <c r="C1198" s="164" t="str">
        <f>IFERROR(__xludf.DUMMYFUNCTION("""COMPUTED_VALUE"""),"132953960")</f>
        <v>132953960</v>
      </c>
      <c r="D1198" s="133" t="str">
        <f>IFERROR(__xludf.DUMMYFUNCTION("""COMPUTED_VALUE"""),"Рюкзак")</f>
        <v>Рюкзак</v>
      </c>
      <c r="E1198" s="133">
        <f>IFERROR(__xludf.DUMMYFUNCTION("""COMPUTED_VALUE"""),0.0)</f>
        <v>0</v>
      </c>
      <c r="F1198" s="133" t="str">
        <f>IFERROR(__xludf.DUMMYFUNCTION("""COMPUTED_VALUE"""),"RK00326SLU0")</f>
        <v>RK00326SLU0</v>
      </c>
      <c r="G1198" s="165">
        <f>IFERROR(__xludf.DUMMYFUNCTION("""COMPUTED_VALUE"""),900.0)</f>
        <v>900</v>
      </c>
    </row>
    <row r="1199" ht="15.75" customHeight="1">
      <c r="A1199" s="133" t="str">
        <f>IFERROR(__xludf.DUMMYFUNCTION("""COMPUTED_VALUE"""),"RK00327SLU")</f>
        <v>RK00327SLU</v>
      </c>
      <c r="B1199" s="164">
        <f>IFERROR(__xludf.DUMMYFUNCTION("""COMPUTED_VALUE"""),1.3295397E7)</f>
        <v>13295397</v>
      </c>
      <c r="C1199" s="164" t="str">
        <f>IFERROR(__xludf.DUMMYFUNCTION("""COMPUTED_VALUE"""),"132953970")</f>
        <v>132953970</v>
      </c>
      <c r="D1199" s="133" t="str">
        <f>IFERROR(__xludf.DUMMYFUNCTION("""COMPUTED_VALUE"""),"Рюкзак")</f>
        <v>Рюкзак</v>
      </c>
      <c r="E1199" s="133">
        <f>IFERROR(__xludf.DUMMYFUNCTION("""COMPUTED_VALUE"""),0.0)</f>
        <v>0</v>
      </c>
      <c r="F1199" s="133" t="str">
        <f>IFERROR(__xludf.DUMMYFUNCTION("""COMPUTED_VALUE"""),"RK00327SLU0")</f>
        <v>RK00327SLU0</v>
      </c>
      <c r="G1199" s="165">
        <f>IFERROR(__xludf.DUMMYFUNCTION("""COMPUTED_VALUE"""),900.0)</f>
        <v>900</v>
      </c>
    </row>
    <row r="1200" ht="15.75" customHeight="1">
      <c r="A1200" s="133" t="str">
        <f>IFERROR(__xludf.DUMMYFUNCTION("""COMPUTED_VALUE"""),"MM04041SLU")</f>
        <v>MM04041SLU</v>
      </c>
      <c r="B1200" s="164">
        <f>IFERROR(__xludf.DUMMYFUNCTION("""COMPUTED_VALUE"""),1.1961029E7)</f>
        <v>11961029</v>
      </c>
      <c r="C1200" s="164" t="str">
        <f>IFERROR(__xludf.DUMMYFUNCTION("""COMPUTED_VALUE"""),"119610290р")</f>
        <v>119610290р</v>
      </c>
      <c r="D1200" s="133" t="str">
        <f>IFERROR(__xludf.DUMMYFUNCTION("""COMPUTED_VALUE"""),"Маска")</f>
        <v>Маска</v>
      </c>
      <c r="E1200" s="133" t="str">
        <f>IFERROR(__xludf.DUMMYFUNCTION("""COMPUTED_VALUE"""),"0р")</f>
        <v>0р</v>
      </c>
      <c r="F1200" s="133" t="str">
        <f>IFERROR(__xludf.DUMMYFUNCTION("""COMPUTED_VALUE"""),"MM04041SLU0р")</f>
        <v>MM04041SLU0р</v>
      </c>
      <c r="G1200" s="165">
        <f>IFERROR(__xludf.DUMMYFUNCTION("""COMPUTED_VALUE"""),60.0)</f>
        <v>60</v>
      </c>
    </row>
    <row r="1201" ht="15.75" customHeight="1">
      <c r="A1201" s="133" t="str">
        <f>IFERROR(__xludf.DUMMYFUNCTION("""COMPUTED_VALUE"""),"MM04042SLU")</f>
        <v>MM04042SLU</v>
      </c>
      <c r="B1201" s="164">
        <f>IFERROR(__xludf.DUMMYFUNCTION("""COMPUTED_VALUE"""),1.196103E7)</f>
        <v>11961030</v>
      </c>
      <c r="C1201" s="164" t="str">
        <f>IFERROR(__xludf.DUMMYFUNCTION("""COMPUTED_VALUE"""),"119610300р")</f>
        <v>119610300р</v>
      </c>
      <c r="D1201" s="133" t="str">
        <f>IFERROR(__xludf.DUMMYFUNCTION("""COMPUTED_VALUE"""),"Маска")</f>
        <v>Маска</v>
      </c>
      <c r="E1201" s="133" t="str">
        <f>IFERROR(__xludf.DUMMYFUNCTION("""COMPUTED_VALUE"""),"0р")</f>
        <v>0р</v>
      </c>
      <c r="F1201" s="133" t="str">
        <f>IFERROR(__xludf.DUMMYFUNCTION("""COMPUTED_VALUE"""),"MM04042SLU0р")</f>
        <v>MM04042SLU0р</v>
      </c>
      <c r="G1201" s="165">
        <f>IFERROR(__xludf.DUMMYFUNCTION("""COMPUTED_VALUE"""),60.0)</f>
        <v>60</v>
      </c>
    </row>
    <row r="1202" ht="15.75" customHeight="1">
      <c r="A1202" s="133" t="str">
        <f>IFERROR(__xludf.DUMMYFUNCTION("""COMPUTED_VALUE"""),"MM04043SLU")</f>
        <v>MM04043SLU</v>
      </c>
      <c r="B1202" s="164">
        <f>IFERROR(__xludf.DUMMYFUNCTION("""COMPUTED_VALUE"""),1.1961031E7)</f>
        <v>11961031</v>
      </c>
      <c r="C1202" s="164" t="str">
        <f>IFERROR(__xludf.DUMMYFUNCTION("""COMPUTED_VALUE"""),"119610310р")</f>
        <v>119610310р</v>
      </c>
      <c r="D1202" s="133" t="str">
        <f>IFERROR(__xludf.DUMMYFUNCTION("""COMPUTED_VALUE"""),"Маска")</f>
        <v>Маска</v>
      </c>
      <c r="E1202" s="133" t="str">
        <f>IFERROR(__xludf.DUMMYFUNCTION("""COMPUTED_VALUE"""),"0р")</f>
        <v>0р</v>
      </c>
      <c r="F1202" s="133" t="str">
        <f>IFERROR(__xludf.DUMMYFUNCTION("""COMPUTED_VALUE"""),"MM04043SLU0р")</f>
        <v>MM04043SLU0р</v>
      </c>
      <c r="G1202" s="165">
        <f>IFERROR(__xludf.DUMMYFUNCTION("""COMPUTED_VALUE"""),60.0)</f>
        <v>60</v>
      </c>
    </row>
    <row r="1203" ht="15.75" customHeight="1">
      <c r="A1203" s="133" t="str">
        <f>IFERROR(__xludf.DUMMYFUNCTION("""COMPUTED_VALUE"""),"MM04044SLU")</f>
        <v>MM04044SLU</v>
      </c>
      <c r="B1203" s="164">
        <f>IFERROR(__xludf.DUMMYFUNCTION("""COMPUTED_VALUE"""),1.1961032E7)</f>
        <v>11961032</v>
      </c>
      <c r="C1203" s="164" t="str">
        <f>IFERROR(__xludf.DUMMYFUNCTION("""COMPUTED_VALUE"""),"119610320р")</f>
        <v>119610320р</v>
      </c>
      <c r="D1203" s="133" t="str">
        <f>IFERROR(__xludf.DUMMYFUNCTION("""COMPUTED_VALUE"""),"Маска")</f>
        <v>Маска</v>
      </c>
      <c r="E1203" s="133" t="str">
        <f>IFERROR(__xludf.DUMMYFUNCTION("""COMPUTED_VALUE"""),"0р")</f>
        <v>0р</v>
      </c>
      <c r="F1203" s="133" t="str">
        <f>IFERROR(__xludf.DUMMYFUNCTION("""COMPUTED_VALUE"""),"MM04044SLU0р")</f>
        <v>MM04044SLU0р</v>
      </c>
      <c r="G1203" s="165">
        <f>IFERROR(__xludf.DUMMYFUNCTION("""COMPUTED_VALUE"""),60.0)</f>
        <v>60</v>
      </c>
    </row>
    <row r="1204" ht="15.75" customHeight="1">
      <c r="A1204" s="133" t="str">
        <f>IFERROR(__xludf.DUMMYFUNCTION("""COMPUTED_VALUE"""),"MM04046SLU")</f>
        <v>MM04046SLU</v>
      </c>
      <c r="B1204" s="164">
        <f>IFERROR(__xludf.DUMMYFUNCTION("""COMPUTED_VALUE"""),1.1961033E7)</f>
        <v>11961033</v>
      </c>
      <c r="C1204" s="164" t="str">
        <f>IFERROR(__xludf.DUMMYFUNCTION("""COMPUTED_VALUE"""),"119610330р")</f>
        <v>119610330р</v>
      </c>
      <c r="D1204" s="133" t="str">
        <f>IFERROR(__xludf.DUMMYFUNCTION("""COMPUTED_VALUE"""),"Маска")</f>
        <v>Маска</v>
      </c>
      <c r="E1204" s="133" t="str">
        <f>IFERROR(__xludf.DUMMYFUNCTION("""COMPUTED_VALUE"""),"0р")</f>
        <v>0р</v>
      </c>
      <c r="F1204" s="133" t="str">
        <f>IFERROR(__xludf.DUMMYFUNCTION("""COMPUTED_VALUE"""),"MM04046SLU0р")</f>
        <v>MM04046SLU0р</v>
      </c>
      <c r="G1204" s="165">
        <f>IFERROR(__xludf.DUMMYFUNCTION("""COMPUTED_VALUE"""),60.0)</f>
        <v>60</v>
      </c>
    </row>
    <row r="1205" ht="15.75" customHeight="1">
      <c r="A1205" s="133" t="str">
        <f>IFERROR(__xludf.DUMMYFUNCTION("""COMPUTED_VALUE"""),"MM04047SLU")</f>
        <v>MM04047SLU</v>
      </c>
      <c r="B1205" s="164">
        <f>IFERROR(__xludf.DUMMYFUNCTION("""COMPUTED_VALUE"""),1.1961034E7)</f>
        <v>11961034</v>
      </c>
      <c r="C1205" s="164" t="str">
        <f>IFERROR(__xludf.DUMMYFUNCTION("""COMPUTED_VALUE"""),"119610340р")</f>
        <v>119610340р</v>
      </c>
      <c r="D1205" s="133" t="str">
        <f>IFERROR(__xludf.DUMMYFUNCTION("""COMPUTED_VALUE"""),"Маска")</f>
        <v>Маска</v>
      </c>
      <c r="E1205" s="133" t="str">
        <f>IFERROR(__xludf.DUMMYFUNCTION("""COMPUTED_VALUE"""),"0р")</f>
        <v>0р</v>
      </c>
      <c r="F1205" s="133" t="str">
        <f>IFERROR(__xludf.DUMMYFUNCTION("""COMPUTED_VALUE"""),"MM04047SLU0р")</f>
        <v>MM04047SLU0р</v>
      </c>
      <c r="G1205" s="165">
        <f>IFERROR(__xludf.DUMMYFUNCTION("""COMPUTED_VALUE"""),60.0)</f>
        <v>60</v>
      </c>
    </row>
    <row r="1206" ht="15.75" customHeight="1">
      <c r="A1206" s="133" t="str">
        <f>IFERROR(__xludf.DUMMYFUNCTION("""COMPUTED_VALUE"""),"MM04048SLU")</f>
        <v>MM04048SLU</v>
      </c>
      <c r="B1206" s="164">
        <f>IFERROR(__xludf.DUMMYFUNCTION("""COMPUTED_VALUE"""),1.1961035E7)</f>
        <v>11961035</v>
      </c>
      <c r="C1206" s="164" t="str">
        <f>IFERROR(__xludf.DUMMYFUNCTION("""COMPUTED_VALUE"""),"119610350р")</f>
        <v>119610350р</v>
      </c>
      <c r="D1206" s="133" t="str">
        <f>IFERROR(__xludf.DUMMYFUNCTION("""COMPUTED_VALUE"""),"Маска")</f>
        <v>Маска</v>
      </c>
      <c r="E1206" s="133" t="str">
        <f>IFERROR(__xludf.DUMMYFUNCTION("""COMPUTED_VALUE"""),"0р")</f>
        <v>0р</v>
      </c>
      <c r="F1206" s="133" t="str">
        <f>IFERROR(__xludf.DUMMYFUNCTION("""COMPUTED_VALUE"""),"MM04048SLU0р")</f>
        <v>MM04048SLU0р</v>
      </c>
      <c r="G1206" s="165">
        <f>IFERROR(__xludf.DUMMYFUNCTION("""COMPUTED_VALUE"""),60.0)</f>
        <v>60</v>
      </c>
    </row>
    <row r="1207" ht="15.75" customHeight="1">
      <c r="A1207" s="133" t="str">
        <f>IFERROR(__xludf.DUMMYFUNCTION("""COMPUTED_VALUE"""),"MM04049SLU")</f>
        <v>MM04049SLU</v>
      </c>
      <c r="B1207" s="164">
        <f>IFERROR(__xludf.DUMMYFUNCTION("""COMPUTED_VALUE"""),1.1961036E7)</f>
        <v>11961036</v>
      </c>
      <c r="C1207" s="164" t="str">
        <f>IFERROR(__xludf.DUMMYFUNCTION("""COMPUTED_VALUE"""),"119610360р")</f>
        <v>119610360р</v>
      </c>
      <c r="D1207" s="133" t="str">
        <f>IFERROR(__xludf.DUMMYFUNCTION("""COMPUTED_VALUE"""),"Маска")</f>
        <v>Маска</v>
      </c>
      <c r="E1207" s="133" t="str">
        <f>IFERROR(__xludf.DUMMYFUNCTION("""COMPUTED_VALUE"""),"0р")</f>
        <v>0р</v>
      </c>
      <c r="F1207" s="133" t="str">
        <f>IFERROR(__xludf.DUMMYFUNCTION("""COMPUTED_VALUE"""),"MM04049SLU0р")</f>
        <v>MM04049SLU0р</v>
      </c>
      <c r="G1207" s="165">
        <f>IFERROR(__xludf.DUMMYFUNCTION("""COMPUTED_VALUE"""),60.0)</f>
        <v>60</v>
      </c>
    </row>
    <row r="1208" ht="15.75" customHeight="1">
      <c r="A1208" s="133" t="str">
        <f>IFERROR(__xludf.DUMMYFUNCTION("""COMPUTED_VALUE"""),"MM04059SLU")</f>
        <v>MM04059SLU</v>
      </c>
      <c r="B1208" s="164">
        <f>IFERROR(__xludf.DUMMYFUNCTION("""COMPUTED_VALUE"""),1.1961046E7)</f>
        <v>11961046</v>
      </c>
      <c r="C1208" s="164" t="str">
        <f>IFERROR(__xludf.DUMMYFUNCTION("""COMPUTED_VALUE"""),"119610460р")</f>
        <v>119610460р</v>
      </c>
      <c r="D1208" s="133" t="str">
        <f>IFERROR(__xludf.DUMMYFUNCTION("""COMPUTED_VALUE"""),"Маска")</f>
        <v>Маска</v>
      </c>
      <c r="E1208" s="133" t="str">
        <f>IFERROR(__xludf.DUMMYFUNCTION("""COMPUTED_VALUE"""),"0р")</f>
        <v>0р</v>
      </c>
      <c r="F1208" s="133" t="str">
        <f>IFERROR(__xludf.DUMMYFUNCTION("""COMPUTED_VALUE"""),"MM04059SLU0р")</f>
        <v>MM04059SLU0р</v>
      </c>
      <c r="G1208" s="165">
        <f>IFERROR(__xludf.DUMMYFUNCTION("""COMPUTED_VALUE"""),60.0)</f>
        <v>60</v>
      </c>
    </row>
    <row r="1209" ht="15.75" customHeight="1">
      <c r="A1209" s="133" t="str">
        <f>IFERROR(__xludf.DUMMYFUNCTION("""COMPUTED_VALUE"""),"MM04060SLU")</f>
        <v>MM04060SLU</v>
      </c>
      <c r="B1209" s="164">
        <f>IFERROR(__xludf.DUMMYFUNCTION("""COMPUTED_VALUE"""),1.1961047E7)</f>
        <v>11961047</v>
      </c>
      <c r="C1209" s="164" t="str">
        <f>IFERROR(__xludf.DUMMYFUNCTION("""COMPUTED_VALUE"""),"119610470р")</f>
        <v>119610470р</v>
      </c>
      <c r="D1209" s="133" t="str">
        <f>IFERROR(__xludf.DUMMYFUNCTION("""COMPUTED_VALUE"""),"Маска")</f>
        <v>Маска</v>
      </c>
      <c r="E1209" s="133" t="str">
        <f>IFERROR(__xludf.DUMMYFUNCTION("""COMPUTED_VALUE"""),"0р")</f>
        <v>0р</v>
      </c>
      <c r="F1209" s="133" t="str">
        <f>IFERROR(__xludf.DUMMYFUNCTION("""COMPUTED_VALUE"""),"MM04060SLU0р")</f>
        <v>MM04060SLU0р</v>
      </c>
      <c r="G1209" s="165">
        <f>IFERROR(__xludf.DUMMYFUNCTION("""COMPUTED_VALUE"""),60.0)</f>
        <v>60</v>
      </c>
    </row>
    <row r="1210" ht="15.75" customHeight="1">
      <c r="A1210" s="133" t="str">
        <f>IFERROR(__xludf.DUMMYFUNCTION("""COMPUTED_VALUE"""),"MM04061SLU")</f>
        <v>MM04061SLU</v>
      </c>
      <c r="B1210" s="164">
        <f>IFERROR(__xludf.DUMMYFUNCTION("""COMPUTED_VALUE"""),1.1961048E7)</f>
        <v>11961048</v>
      </c>
      <c r="C1210" s="164" t="str">
        <f>IFERROR(__xludf.DUMMYFUNCTION("""COMPUTED_VALUE"""),"119610480р")</f>
        <v>119610480р</v>
      </c>
      <c r="D1210" s="133" t="str">
        <f>IFERROR(__xludf.DUMMYFUNCTION("""COMPUTED_VALUE"""),"Маска")</f>
        <v>Маска</v>
      </c>
      <c r="E1210" s="133" t="str">
        <f>IFERROR(__xludf.DUMMYFUNCTION("""COMPUTED_VALUE"""),"0р")</f>
        <v>0р</v>
      </c>
      <c r="F1210" s="133" t="str">
        <f>IFERROR(__xludf.DUMMYFUNCTION("""COMPUTED_VALUE"""),"MM04061SLU0р")</f>
        <v>MM04061SLU0р</v>
      </c>
      <c r="G1210" s="165">
        <f>IFERROR(__xludf.DUMMYFUNCTION("""COMPUTED_VALUE"""),60.0)</f>
        <v>60</v>
      </c>
    </row>
    <row r="1211" ht="15.75" customHeight="1">
      <c r="A1211" s="133" t="str">
        <f>IFERROR(__xludf.DUMMYFUNCTION("""COMPUTED_VALUE"""),"MM04062SLU")</f>
        <v>MM04062SLU</v>
      </c>
      <c r="B1211" s="164">
        <f>IFERROR(__xludf.DUMMYFUNCTION("""COMPUTED_VALUE"""),1.1961049E7)</f>
        <v>11961049</v>
      </c>
      <c r="C1211" s="164" t="str">
        <f>IFERROR(__xludf.DUMMYFUNCTION("""COMPUTED_VALUE"""),"119610490р")</f>
        <v>119610490р</v>
      </c>
      <c r="D1211" s="133" t="str">
        <f>IFERROR(__xludf.DUMMYFUNCTION("""COMPUTED_VALUE"""),"Маска")</f>
        <v>Маска</v>
      </c>
      <c r="E1211" s="133" t="str">
        <f>IFERROR(__xludf.DUMMYFUNCTION("""COMPUTED_VALUE"""),"0р")</f>
        <v>0р</v>
      </c>
      <c r="F1211" s="133" t="str">
        <f>IFERROR(__xludf.DUMMYFUNCTION("""COMPUTED_VALUE"""),"MM04062SLU0р")</f>
        <v>MM04062SLU0р</v>
      </c>
      <c r="G1211" s="165">
        <f>IFERROR(__xludf.DUMMYFUNCTION("""COMPUTED_VALUE"""),60.0)</f>
        <v>60</v>
      </c>
    </row>
    <row r="1212" ht="15.75" customHeight="1">
      <c r="A1212" s="133" t="str">
        <f>IFERROR(__xludf.DUMMYFUNCTION("""COMPUTED_VALUE"""),"MM04063SLU")</f>
        <v>MM04063SLU</v>
      </c>
      <c r="B1212" s="164">
        <f>IFERROR(__xludf.DUMMYFUNCTION("""COMPUTED_VALUE"""),1.196105E7)</f>
        <v>11961050</v>
      </c>
      <c r="C1212" s="164" t="str">
        <f>IFERROR(__xludf.DUMMYFUNCTION("""COMPUTED_VALUE"""),"119610500р")</f>
        <v>119610500р</v>
      </c>
      <c r="D1212" s="133" t="str">
        <f>IFERROR(__xludf.DUMMYFUNCTION("""COMPUTED_VALUE"""),"Маска")</f>
        <v>Маска</v>
      </c>
      <c r="E1212" s="133" t="str">
        <f>IFERROR(__xludf.DUMMYFUNCTION("""COMPUTED_VALUE"""),"0р")</f>
        <v>0р</v>
      </c>
      <c r="F1212" s="133" t="str">
        <f>IFERROR(__xludf.DUMMYFUNCTION("""COMPUTED_VALUE"""),"MM04063SLU0р")</f>
        <v>MM04063SLU0р</v>
      </c>
      <c r="G1212" s="165">
        <f>IFERROR(__xludf.DUMMYFUNCTION("""COMPUTED_VALUE"""),60.0)</f>
        <v>60</v>
      </c>
    </row>
    <row r="1213" ht="15.75" customHeight="1">
      <c r="A1213" s="133" t="str">
        <f>IFERROR(__xludf.DUMMYFUNCTION("""COMPUTED_VALUE"""),"MM04050SLU")</f>
        <v>MM04050SLU</v>
      </c>
      <c r="B1213" s="164">
        <f>IFERROR(__xludf.DUMMYFUNCTION("""COMPUTED_VALUE"""),1.1961037E7)</f>
        <v>11961037</v>
      </c>
      <c r="C1213" s="164" t="str">
        <f>IFERROR(__xludf.DUMMYFUNCTION("""COMPUTED_VALUE"""),"119610370р")</f>
        <v>119610370р</v>
      </c>
      <c r="D1213" s="133" t="str">
        <f>IFERROR(__xludf.DUMMYFUNCTION("""COMPUTED_VALUE"""),"Маска")</f>
        <v>Маска</v>
      </c>
      <c r="E1213" s="133" t="str">
        <f>IFERROR(__xludf.DUMMYFUNCTION("""COMPUTED_VALUE"""),"0р")</f>
        <v>0р</v>
      </c>
      <c r="F1213" s="133" t="str">
        <f>IFERROR(__xludf.DUMMYFUNCTION("""COMPUTED_VALUE"""),"MM04050SLU0р")</f>
        <v>MM04050SLU0р</v>
      </c>
      <c r="G1213" s="165">
        <f>IFERROR(__xludf.DUMMYFUNCTION("""COMPUTED_VALUE"""),60.0)</f>
        <v>60</v>
      </c>
    </row>
    <row r="1214" ht="15.75" customHeight="1">
      <c r="A1214" s="133" t="str">
        <f>IFERROR(__xludf.DUMMYFUNCTION("""COMPUTED_VALUE"""),"MM04051SLU")</f>
        <v>MM04051SLU</v>
      </c>
      <c r="B1214" s="164">
        <f>IFERROR(__xludf.DUMMYFUNCTION("""COMPUTED_VALUE"""),1.1961038E7)</f>
        <v>11961038</v>
      </c>
      <c r="C1214" s="164" t="str">
        <f>IFERROR(__xludf.DUMMYFUNCTION("""COMPUTED_VALUE"""),"119610380р")</f>
        <v>119610380р</v>
      </c>
      <c r="D1214" s="133" t="str">
        <f>IFERROR(__xludf.DUMMYFUNCTION("""COMPUTED_VALUE"""),"Маска")</f>
        <v>Маска</v>
      </c>
      <c r="E1214" s="133" t="str">
        <f>IFERROR(__xludf.DUMMYFUNCTION("""COMPUTED_VALUE"""),"0р")</f>
        <v>0р</v>
      </c>
      <c r="F1214" s="133" t="str">
        <f>IFERROR(__xludf.DUMMYFUNCTION("""COMPUTED_VALUE"""),"MM04051SLU0р")</f>
        <v>MM04051SLU0р</v>
      </c>
      <c r="G1214" s="165">
        <f>IFERROR(__xludf.DUMMYFUNCTION("""COMPUTED_VALUE"""),60.0)</f>
        <v>60</v>
      </c>
    </row>
    <row r="1215" ht="15.75" customHeight="1">
      <c r="A1215" s="133" t="str">
        <f>IFERROR(__xludf.DUMMYFUNCTION("""COMPUTED_VALUE"""),"MM04052SLU")</f>
        <v>MM04052SLU</v>
      </c>
      <c r="B1215" s="164">
        <f>IFERROR(__xludf.DUMMYFUNCTION("""COMPUTED_VALUE"""),1.1961039E7)</f>
        <v>11961039</v>
      </c>
      <c r="C1215" s="164" t="str">
        <f>IFERROR(__xludf.DUMMYFUNCTION("""COMPUTED_VALUE"""),"119610390р")</f>
        <v>119610390р</v>
      </c>
      <c r="D1215" s="133" t="str">
        <f>IFERROR(__xludf.DUMMYFUNCTION("""COMPUTED_VALUE"""),"Маска")</f>
        <v>Маска</v>
      </c>
      <c r="E1215" s="133" t="str">
        <f>IFERROR(__xludf.DUMMYFUNCTION("""COMPUTED_VALUE"""),"0р")</f>
        <v>0р</v>
      </c>
      <c r="F1215" s="133" t="str">
        <f>IFERROR(__xludf.DUMMYFUNCTION("""COMPUTED_VALUE"""),"MM04052SLU0р")</f>
        <v>MM04052SLU0р</v>
      </c>
      <c r="G1215" s="165">
        <f>IFERROR(__xludf.DUMMYFUNCTION("""COMPUTED_VALUE"""),60.0)</f>
        <v>60</v>
      </c>
    </row>
    <row r="1216" ht="15.75" customHeight="1">
      <c r="A1216" s="133" t="str">
        <f>IFERROR(__xludf.DUMMYFUNCTION("""COMPUTED_VALUE"""),"MM04053SLU")</f>
        <v>MM04053SLU</v>
      </c>
      <c r="B1216" s="164">
        <f>IFERROR(__xludf.DUMMYFUNCTION("""COMPUTED_VALUE"""),1.196104E7)</f>
        <v>11961040</v>
      </c>
      <c r="C1216" s="164" t="str">
        <f>IFERROR(__xludf.DUMMYFUNCTION("""COMPUTED_VALUE"""),"119610400р")</f>
        <v>119610400р</v>
      </c>
      <c r="D1216" s="133" t="str">
        <f>IFERROR(__xludf.DUMMYFUNCTION("""COMPUTED_VALUE"""),"Маска")</f>
        <v>Маска</v>
      </c>
      <c r="E1216" s="133" t="str">
        <f>IFERROR(__xludf.DUMMYFUNCTION("""COMPUTED_VALUE"""),"0р")</f>
        <v>0р</v>
      </c>
      <c r="F1216" s="133" t="str">
        <f>IFERROR(__xludf.DUMMYFUNCTION("""COMPUTED_VALUE"""),"MM04053SLU0р")</f>
        <v>MM04053SLU0р</v>
      </c>
      <c r="G1216" s="165">
        <f>IFERROR(__xludf.DUMMYFUNCTION("""COMPUTED_VALUE"""),60.0)</f>
        <v>60</v>
      </c>
    </row>
    <row r="1217" ht="15.75" customHeight="1">
      <c r="A1217" s="133" t="str">
        <f>IFERROR(__xludf.DUMMYFUNCTION("""COMPUTED_VALUE"""),"MM04054SLU")</f>
        <v>MM04054SLU</v>
      </c>
      <c r="B1217" s="164">
        <f>IFERROR(__xludf.DUMMYFUNCTION("""COMPUTED_VALUE"""),1.1961041E7)</f>
        <v>11961041</v>
      </c>
      <c r="C1217" s="164" t="str">
        <f>IFERROR(__xludf.DUMMYFUNCTION("""COMPUTED_VALUE"""),"119610410р")</f>
        <v>119610410р</v>
      </c>
      <c r="D1217" s="133" t="str">
        <f>IFERROR(__xludf.DUMMYFUNCTION("""COMPUTED_VALUE"""),"Маска")</f>
        <v>Маска</v>
      </c>
      <c r="E1217" s="133" t="str">
        <f>IFERROR(__xludf.DUMMYFUNCTION("""COMPUTED_VALUE"""),"0р")</f>
        <v>0р</v>
      </c>
      <c r="F1217" s="133" t="str">
        <f>IFERROR(__xludf.DUMMYFUNCTION("""COMPUTED_VALUE"""),"MM04054SLU0р")</f>
        <v>MM04054SLU0р</v>
      </c>
      <c r="G1217" s="165">
        <f>IFERROR(__xludf.DUMMYFUNCTION("""COMPUTED_VALUE"""),60.0)</f>
        <v>60</v>
      </c>
    </row>
    <row r="1218" ht="15.75" customHeight="1">
      <c r="A1218" s="133" t="str">
        <f>IFERROR(__xludf.DUMMYFUNCTION("""COMPUTED_VALUE"""),"MM04055SLU")</f>
        <v>MM04055SLU</v>
      </c>
      <c r="B1218" s="164">
        <f>IFERROR(__xludf.DUMMYFUNCTION("""COMPUTED_VALUE"""),1.1961042E7)</f>
        <v>11961042</v>
      </c>
      <c r="C1218" s="164" t="str">
        <f>IFERROR(__xludf.DUMMYFUNCTION("""COMPUTED_VALUE"""),"119610420р")</f>
        <v>119610420р</v>
      </c>
      <c r="D1218" s="133" t="str">
        <f>IFERROR(__xludf.DUMMYFUNCTION("""COMPUTED_VALUE"""),"Маска")</f>
        <v>Маска</v>
      </c>
      <c r="E1218" s="133" t="str">
        <f>IFERROR(__xludf.DUMMYFUNCTION("""COMPUTED_VALUE"""),"0р")</f>
        <v>0р</v>
      </c>
      <c r="F1218" s="133" t="str">
        <f>IFERROR(__xludf.DUMMYFUNCTION("""COMPUTED_VALUE"""),"MM04055SLU0р")</f>
        <v>MM04055SLU0р</v>
      </c>
      <c r="G1218" s="165">
        <f>IFERROR(__xludf.DUMMYFUNCTION("""COMPUTED_VALUE"""),60.0)</f>
        <v>60</v>
      </c>
    </row>
    <row r="1219" ht="15.75" customHeight="1">
      <c r="A1219" s="133" t="str">
        <f>IFERROR(__xludf.DUMMYFUNCTION("""COMPUTED_VALUE"""),"MM04056SLU")</f>
        <v>MM04056SLU</v>
      </c>
      <c r="B1219" s="164">
        <f>IFERROR(__xludf.DUMMYFUNCTION("""COMPUTED_VALUE"""),1.1961043E7)</f>
        <v>11961043</v>
      </c>
      <c r="C1219" s="164" t="str">
        <f>IFERROR(__xludf.DUMMYFUNCTION("""COMPUTED_VALUE"""),"119610430р")</f>
        <v>119610430р</v>
      </c>
      <c r="D1219" s="133" t="str">
        <f>IFERROR(__xludf.DUMMYFUNCTION("""COMPUTED_VALUE"""),"Маска")</f>
        <v>Маска</v>
      </c>
      <c r="E1219" s="133" t="str">
        <f>IFERROR(__xludf.DUMMYFUNCTION("""COMPUTED_VALUE"""),"0р")</f>
        <v>0р</v>
      </c>
      <c r="F1219" s="133" t="str">
        <f>IFERROR(__xludf.DUMMYFUNCTION("""COMPUTED_VALUE"""),"MM04056SLU0р")</f>
        <v>MM04056SLU0р</v>
      </c>
      <c r="G1219" s="165">
        <f>IFERROR(__xludf.DUMMYFUNCTION("""COMPUTED_VALUE"""),60.0)</f>
        <v>60</v>
      </c>
    </row>
    <row r="1220" ht="15.75" customHeight="1">
      <c r="A1220" s="133" t="str">
        <f>IFERROR(__xludf.DUMMYFUNCTION("""COMPUTED_VALUE"""),"MM04057SLU")</f>
        <v>MM04057SLU</v>
      </c>
      <c r="B1220" s="164">
        <f>IFERROR(__xludf.DUMMYFUNCTION("""COMPUTED_VALUE"""),1.1961044E7)</f>
        <v>11961044</v>
      </c>
      <c r="C1220" s="164" t="str">
        <f>IFERROR(__xludf.DUMMYFUNCTION("""COMPUTED_VALUE"""),"119610440р")</f>
        <v>119610440р</v>
      </c>
      <c r="D1220" s="133" t="str">
        <f>IFERROR(__xludf.DUMMYFUNCTION("""COMPUTED_VALUE"""),"Маска")</f>
        <v>Маска</v>
      </c>
      <c r="E1220" s="133" t="str">
        <f>IFERROR(__xludf.DUMMYFUNCTION("""COMPUTED_VALUE"""),"0р")</f>
        <v>0р</v>
      </c>
      <c r="F1220" s="133" t="str">
        <f>IFERROR(__xludf.DUMMYFUNCTION("""COMPUTED_VALUE"""),"MM04057SLU0р")</f>
        <v>MM04057SLU0р</v>
      </c>
      <c r="G1220" s="165">
        <f>IFERROR(__xludf.DUMMYFUNCTION("""COMPUTED_VALUE"""),60.0)</f>
        <v>60</v>
      </c>
    </row>
    <row r="1221" ht="15.75" customHeight="1">
      <c r="A1221" s="133" t="str">
        <f>IFERROR(__xludf.DUMMYFUNCTION("""COMPUTED_VALUE"""),"MM04058SLU")</f>
        <v>MM04058SLU</v>
      </c>
      <c r="B1221" s="164">
        <f>IFERROR(__xludf.DUMMYFUNCTION("""COMPUTED_VALUE"""),1.1961045E7)</f>
        <v>11961045</v>
      </c>
      <c r="C1221" s="164" t="str">
        <f>IFERROR(__xludf.DUMMYFUNCTION("""COMPUTED_VALUE"""),"119610450р")</f>
        <v>119610450р</v>
      </c>
      <c r="D1221" s="133" t="str">
        <f>IFERROR(__xludf.DUMMYFUNCTION("""COMPUTED_VALUE"""),"Маска")</f>
        <v>Маска</v>
      </c>
      <c r="E1221" s="133" t="str">
        <f>IFERROR(__xludf.DUMMYFUNCTION("""COMPUTED_VALUE"""),"0р")</f>
        <v>0р</v>
      </c>
      <c r="F1221" s="133" t="str">
        <f>IFERROR(__xludf.DUMMYFUNCTION("""COMPUTED_VALUE"""),"MM04058SLU0р")</f>
        <v>MM04058SLU0р</v>
      </c>
      <c r="G1221" s="165">
        <f>IFERROR(__xludf.DUMMYFUNCTION("""COMPUTED_VALUE"""),60.0)</f>
        <v>60</v>
      </c>
    </row>
    <row r="1222" ht="15.75" customHeight="1">
      <c r="A1222" s="133" t="str">
        <f>IFERROR(__xludf.DUMMYFUNCTION("""COMPUTED_VALUE"""),"MM04064SLU")</f>
        <v>MM04064SLU</v>
      </c>
      <c r="B1222" s="164">
        <f>IFERROR(__xludf.DUMMYFUNCTION("""COMPUTED_VALUE"""),1.1961051E7)</f>
        <v>11961051</v>
      </c>
      <c r="C1222" s="164" t="str">
        <f>IFERROR(__xludf.DUMMYFUNCTION("""COMPUTED_VALUE"""),"119610510р")</f>
        <v>119610510р</v>
      </c>
      <c r="D1222" s="133" t="str">
        <f>IFERROR(__xludf.DUMMYFUNCTION("""COMPUTED_VALUE"""),"Маска")</f>
        <v>Маска</v>
      </c>
      <c r="E1222" s="133" t="str">
        <f>IFERROR(__xludf.DUMMYFUNCTION("""COMPUTED_VALUE"""),"0р")</f>
        <v>0р</v>
      </c>
      <c r="F1222" s="133" t="str">
        <f>IFERROR(__xludf.DUMMYFUNCTION("""COMPUTED_VALUE"""),"MM04064SLU0р")</f>
        <v>MM04064SLU0р</v>
      </c>
      <c r="G1222" s="165">
        <f>IFERROR(__xludf.DUMMYFUNCTION("""COMPUTED_VALUE"""),60.0)</f>
        <v>60</v>
      </c>
    </row>
    <row r="1223" ht="15.75" customHeight="1">
      <c r="A1223" s="133" t="str">
        <f>IFERROR(__xludf.DUMMYFUNCTION("""COMPUTED_VALUE"""),"MM04065SLU")</f>
        <v>MM04065SLU</v>
      </c>
      <c r="B1223" s="164">
        <f>IFERROR(__xludf.DUMMYFUNCTION("""COMPUTED_VALUE"""),1.1961052E7)</f>
        <v>11961052</v>
      </c>
      <c r="C1223" s="164" t="str">
        <f>IFERROR(__xludf.DUMMYFUNCTION("""COMPUTED_VALUE"""),"119610520р")</f>
        <v>119610520р</v>
      </c>
      <c r="D1223" s="133" t="str">
        <f>IFERROR(__xludf.DUMMYFUNCTION("""COMPUTED_VALUE"""),"Маска")</f>
        <v>Маска</v>
      </c>
      <c r="E1223" s="133" t="str">
        <f>IFERROR(__xludf.DUMMYFUNCTION("""COMPUTED_VALUE"""),"0р")</f>
        <v>0р</v>
      </c>
      <c r="F1223" s="133" t="str">
        <f>IFERROR(__xludf.DUMMYFUNCTION("""COMPUTED_VALUE"""),"MM04065SLU0р")</f>
        <v>MM04065SLU0р</v>
      </c>
      <c r="G1223" s="165">
        <f>IFERROR(__xludf.DUMMYFUNCTION("""COMPUTED_VALUE"""),60.0)</f>
        <v>60</v>
      </c>
    </row>
    <row r="1224" ht="15.75" customHeight="1">
      <c r="A1224" s="133" t="str">
        <f>IFERROR(__xludf.DUMMYFUNCTION("""COMPUTED_VALUE"""),"MM04066SLU")</f>
        <v>MM04066SLU</v>
      </c>
      <c r="B1224" s="164">
        <f>IFERROR(__xludf.DUMMYFUNCTION("""COMPUTED_VALUE"""),1.2374887E7)</f>
        <v>12374887</v>
      </c>
      <c r="C1224" s="164" t="str">
        <f>IFERROR(__xludf.DUMMYFUNCTION("""COMPUTED_VALUE"""),"123748870р")</f>
        <v>123748870р</v>
      </c>
      <c r="D1224" s="133" t="str">
        <f>IFERROR(__xludf.DUMMYFUNCTION("""COMPUTED_VALUE"""),"Маска")</f>
        <v>Маска</v>
      </c>
      <c r="E1224" s="133" t="str">
        <f>IFERROR(__xludf.DUMMYFUNCTION("""COMPUTED_VALUE"""),"0р")</f>
        <v>0р</v>
      </c>
      <c r="F1224" s="133" t="str">
        <f>IFERROR(__xludf.DUMMYFUNCTION("""COMPUTED_VALUE"""),"MM04066SLU0р")</f>
        <v>MM04066SLU0р</v>
      </c>
      <c r="G1224" s="165">
        <f>IFERROR(__xludf.DUMMYFUNCTION("""COMPUTED_VALUE"""),60.0)</f>
        <v>60</v>
      </c>
    </row>
    <row r="1225" ht="15.75" customHeight="1">
      <c r="A1225" s="133" t="str">
        <f>IFERROR(__xludf.DUMMYFUNCTION("""COMPUTED_VALUE"""),"MM04067SLU")</f>
        <v>MM04067SLU</v>
      </c>
      <c r="B1225" s="164">
        <f>IFERROR(__xludf.DUMMYFUNCTION("""COMPUTED_VALUE"""),1.2374888E7)</f>
        <v>12374888</v>
      </c>
      <c r="C1225" s="164" t="str">
        <f>IFERROR(__xludf.DUMMYFUNCTION("""COMPUTED_VALUE"""),"123748880р")</f>
        <v>123748880р</v>
      </c>
      <c r="D1225" s="133" t="str">
        <f>IFERROR(__xludf.DUMMYFUNCTION("""COMPUTED_VALUE"""),"Маска")</f>
        <v>Маска</v>
      </c>
      <c r="E1225" s="133" t="str">
        <f>IFERROR(__xludf.DUMMYFUNCTION("""COMPUTED_VALUE"""),"0р")</f>
        <v>0р</v>
      </c>
      <c r="F1225" s="133" t="str">
        <f>IFERROR(__xludf.DUMMYFUNCTION("""COMPUTED_VALUE"""),"MM04067SLU0р")</f>
        <v>MM04067SLU0р</v>
      </c>
      <c r="G1225" s="165">
        <f>IFERROR(__xludf.DUMMYFUNCTION("""COMPUTED_VALUE"""),60.0)</f>
        <v>60</v>
      </c>
    </row>
    <row r="1226" ht="15.75" customHeight="1">
      <c r="A1226" s="133" t="str">
        <f>IFERROR(__xludf.DUMMYFUNCTION("""COMPUTED_VALUE"""),"MM04068SLU")</f>
        <v>MM04068SLU</v>
      </c>
      <c r="B1226" s="164">
        <f>IFERROR(__xludf.DUMMYFUNCTION("""COMPUTED_VALUE"""),1.2374889E7)</f>
        <v>12374889</v>
      </c>
      <c r="C1226" s="164" t="str">
        <f>IFERROR(__xludf.DUMMYFUNCTION("""COMPUTED_VALUE"""),"123748890р")</f>
        <v>123748890р</v>
      </c>
      <c r="D1226" s="133" t="str">
        <f>IFERROR(__xludf.DUMMYFUNCTION("""COMPUTED_VALUE"""),"Маска")</f>
        <v>Маска</v>
      </c>
      <c r="E1226" s="133" t="str">
        <f>IFERROR(__xludf.DUMMYFUNCTION("""COMPUTED_VALUE"""),"0р")</f>
        <v>0р</v>
      </c>
      <c r="F1226" s="133" t="str">
        <f>IFERROR(__xludf.DUMMYFUNCTION("""COMPUTED_VALUE"""),"MM04068SLU0р")</f>
        <v>MM04068SLU0р</v>
      </c>
      <c r="G1226" s="165">
        <f>IFERROR(__xludf.DUMMYFUNCTION("""COMPUTED_VALUE"""),60.0)</f>
        <v>60</v>
      </c>
    </row>
    <row r="1227" ht="15.75" customHeight="1">
      <c r="A1227" s="133" t="str">
        <f>IFERROR(__xludf.DUMMYFUNCTION("""COMPUTED_VALUE"""),"MM04069SLU")</f>
        <v>MM04069SLU</v>
      </c>
      <c r="B1227" s="164">
        <f>IFERROR(__xludf.DUMMYFUNCTION("""COMPUTED_VALUE"""),1.237489E7)</f>
        <v>12374890</v>
      </c>
      <c r="C1227" s="164" t="str">
        <f>IFERROR(__xludf.DUMMYFUNCTION("""COMPUTED_VALUE"""),"123748900р")</f>
        <v>123748900р</v>
      </c>
      <c r="D1227" s="133" t="str">
        <f>IFERROR(__xludf.DUMMYFUNCTION("""COMPUTED_VALUE"""),"Маска")</f>
        <v>Маска</v>
      </c>
      <c r="E1227" s="133" t="str">
        <f>IFERROR(__xludf.DUMMYFUNCTION("""COMPUTED_VALUE"""),"0р")</f>
        <v>0р</v>
      </c>
      <c r="F1227" s="133" t="str">
        <f>IFERROR(__xludf.DUMMYFUNCTION("""COMPUTED_VALUE"""),"MM04069SLU0р")</f>
        <v>MM04069SLU0р</v>
      </c>
      <c r="G1227" s="165">
        <f>IFERROR(__xludf.DUMMYFUNCTION("""COMPUTED_VALUE"""),60.0)</f>
        <v>60</v>
      </c>
    </row>
    <row r="1228" ht="15.75" customHeight="1">
      <c r="A1228" s="133" t="str">
        <f>IFERROR(__xludf.DUMMYFUNCTION("""COMPUTED_VALUE"""),"MM04070SLU")</f>
        <v>MM04070SLU</v>
      </c>
      <c r="B1228" s="164">
        <f>IFERROR(__xludf.DUMMYFUNCTION("""COMPUTED_VALUE"""),1.2374891E7)</f>
        <v>12374891</v>
      </c>
      <c r="C1228" s="164" t="str">
        <f>IFERROR(__xludf.DUMMYFUNCTION("""COMPUTED_VALUE"""),"123748910р")</f>
        <v>123748910р</v>
      </c>
      <c r="D1228" s="133" t="str">
        <f>IFERROR(__xludf.DUMMYFUNCTION("""COMPUTED_VALUE"""),"Маска")</f>
        <v>Маска</v>
      </c>
      <c r="E1228" s="133" t="str">
        <f>IFERROR(__xludf.DUMMYFUNCTION("""COMPUTED_VALUE"""),"0р")</f>
        <v>0р</v>
      </c>
      <c r="F1228" s="133" t="str">
        <f>IFERROR(__xludf.DUMMYFUNCTION("""COMPUTED_VALUE"""),"MM04070SLU0р")</f>
        <v>MM04070SLU0р</v>
      </c>
      <c r="G1228" s="165">
        <f>IFERROR(__xludf.DUMMYFUNCTION("""COMPUTED_VALUE"""),60.0)</f>
        <v>60</v>
      </c>
    </row>
    <row r="1229" ht="15.75" customHeight="1">
      <c r="A1229" s="133" t="str">
        <f>IFERROR(__xludf.DUMMYFUNCTION("""COMPUTED_VALUE"""),"MM04071SLU")</f>
        <v>MM04071SLU</v>
      </c>
      <c r="B1229" s="164">
        <f>IFERROR(__xludf.DUMMYFUNCTION("""COMPUTED_VALUE"""),1.2374892E7)</f>
        <v>12374892</v>
      </c>
      <c r="C1229" s="164" t="str">
        <f>IFERROR(__xludf.DUMMYFUNCTION("""COMPUTED_VALUE"""),"123748920р")</f>
        <v>123748920р</v>
      </c>
      <c r="D1229" s="133" t="str">
        <f>IFERROR(__xludf.DUMMYFUNCTION("""COMPUTED_VALUE"""),"Маска")</f>
        <v>Маска</v>
      </c>
      <c r="E1229" s="133" t="str">
        <f>IFERROR(__xludf.DUMMYFUNCTION("""COMPUTED_VALUE"""),"0р")</f>
        <v>0р</v>
      </c>
      <c r="F1229" s="133" t="str">
        <f>IFERROR(__xludf.DUMMYFUNCTION("""COMPUTED_VALUE"""),"MM04071SLU0р")</f>
        <v>MM04071SLU0р</v>
      </c>
      <c r="G1229" s="165">
        <f>IFERROR(__xludf.DUMMYFUNCTION("""COMPUTED_VALUE"""),60.0)</f>
        <v>60</v>
      </c>
    </row>
    <row r="1230" ht="15.75" customHeight="1">
      <c r="A1230" s="133" t="str">
        <f>IFERROR(__xludf.DUMMYFUNCTION("""COMPUTED_VALUE"""),"MM04072SLU")</f>
        <v>MM04072SLU</v>
      </c>
      <c r="B1230" s="164">
        <f>IFERROR(__xludf.DUMMYFUNCTION("""COMPUTED_VALUE"""),1.2374893E7)</f>
        <v>12374893</v>
      </c>
      <c r="C1230" s="164" t="str">
        <f>IFERROR(__xludf.DUMMYFUNCTION("""COMPUTED_VALUE"""),"123748930р")</f>
        <v>123748930р</v>
      </c>
      <c r="D1230" s="133" t="str">
        <f>IFERROR(__xludf.DUMMYFUNCTION("""COMPUTED_VALUE"""),"Маска")</f>
        <v>Маска</v>
      </c>
      <c r="E1230" s="133" t="str">
        <f>IFERROR(__xludf.DUMMYFUNCTION("""COMPUTED_VALUE"""),"0р")</f>
        <v>0р</v>
      </c>
      <c r="F1230" s="133" t="str">
        <f>IFERROR(__xludf.DUMMYFUNCTION("""COMPUTED_VALUE"""),"MM04072SLU0р")</f>
        <v>MM04072SLU0р</v>
      </c>
      <c r="G1230" s="165">
        <f>IFERROR(__xludf.DUMMYFUNCTION("""COMPUTED_VALUE"""),60.0)</f>
        <v>60</v>
      </c>
    </row>
    <row r="1231" ht="15.75" customHeight="1">
      <c r="A1231" s="133" t="str">
        <f>IFERROR(__xludf.DUMMYFUNCTION("""COMPUTED_VALUE"""),"PL0001DGW")</f>
        <v>PL0001DGW</v>
      </c>
      <c r="B1231" s="164">
        <f>IFERROR(__xludf.DUMMYFUNCTION("""COMPUTED_VALUE"""),1.3046207E7)</f>
        <v>13046207</v>
      </c>
      <c r="C1231" s="164" t="str">
        <f>IFERROR(__xludf.DUMMYFUNCTION("""COMPUTED_VALUE"""),"1304620742")</f>
        <v>1304620742</v>
      </c>
      <c r="D1231" s="133" t="str">
        <f>IFERROR(__xludf.DUMMYFUNCTION("""COMPUTED_VALUE"""),"Платье")</f>
        <v>Платье</v>
      </c>
      <c r="E1231" s="133">
        <f>IFERROR(__xludf.DUMMYFUNCTION("""COMPUTED_VALUE"""),42.0)</f>
        <v>42</v>
      </c>
      <c r="F1231" s="133" t="str">
        <f>IFERROR(__xludf.DUMMYFUNCTION("""COMPUTED_VALUE"""),"PL0001DGW42")</f>
        <v>PL0001DGW42</v>
      </c>
      <c r="G1231" s="165">
        <f>IFERROR(__xludf.DUMMYFUNCTION("""COMPUTED_VALUE"""),630.0)</f>
        <v>630</v>
      </c>
    </row>
    <row r="1232" ht="15.75" customHeight="1">
      <c r="A1232" s="133" t="str">
        <f>IFERROR(__xludf.DUMMYFUNCTION("""COMPUTED_VALUE"""),"PL0001DGW")</f>
        <v>PL0001DGW</v>
      </c>
      <c r="B1232" s="164">
        <f>IFERROR(__xludf.DUMMYFUNCTION("""COMPUTED_VALUE"""),1.3046207E7)</f>
        <v>13046207</v>
      </c>
      <c r="C1232" s="164" t="str">
        <f>IFERROR(__xludf.DUMMYFUNCTION("""COMPUTED_VALUE"""),"1304620744")</f>
        <v>1304620744</v>
      </c>
      <c r="D1232" s="133" t="str">
        <f>IFERROR(__xludf.DUMMYFUNCTION("""COMPUTED_VALUE"""),"Платье")</f>
        <v>Платье</v>
      </c>
      <c r="E1232" s="133">
        <f>IFERROR(__xludf.DUMMYFUNCTION("""COMPUTED_VALUE"""),44.0)</f>
        <v>44</v>
      </c>
      <c r="F1232" s="133" t="str">
        <f>IFERROR(__xludf.DUMMYFUNCTION("""COMPUTED_VALUE"""),"PL0001DGW44")</f>
        <v>PL0001DGW44</v>
      </c>
      <c r="G1232" s="165">
        <f>IFERROR(__xludf.DUMMYFUNCTION("""COMPUTED_VALUE"""),630.0)</f>
        <v>630</v>
      </c>
    </row>
    <row r="1233" ht="15.75" customHeight="1">
      <c r="A1233" s="133" t="str">
        <f>IFERROR(__xludf.DUMMYFUNCTION("""COMPUTED_VALUE"""),"PL0001DGW")</f>
        <v>PL0001DGW</v>
      </c>
      <c r="B1233" s="164">
        <f>IFERROR(__xludf.DUMMYFUNCTION("""COMPUTED_VALUE"""),1.3046207E7)</f>
        <v>13046207</v>
      </c>
      <c r="C1233" s="164" t="str">
        <f>IFERROR(__xludf.DUMMYFUNCTION("""COMPUTED_VALUE"""),"1304620746")</f>
        <v>1304620746</v>
      </c>
      <c r="D1233" s="133" t="str">
        <f>IFERROR(__xludf.DUMMYFUNCTION("""COMPUTED_VALUE"""),"Платье")</f>
        <v>Платье</v>
      </c>
      <c r="E1233" s="133">
        <f>IFERROR(__xludf.DUMMYFUNCTION("""COMPUTED_VALUE"""),46.0)</f>
        <v>46</v>
      </c>
      <c r="F1233" s="133" t="str">
        <f>IFERROR(__xludf.DUMMYFUNCTION("""COMPUTED_VALUE"""),"PL0001DGW46")</f>
        <v>PL0001DGW46</v>
      </c>
      <c r="G1233" s="165">
        <f>IFERROR(__xludf.DUMMYFUNCTION("""COMPUTED_VALUE"""),630.0)</f>
        <v>630</v>
      </c>
    </row>
    <row r="1234" ht="15.75" customHeight="1">
      <c r="A1234" s="133" t="str">
        <f>IFERROR(__xludf.DUMMYFUNCTION("""COMPUTED_VALUE"""),"PL0001DGW")</f>
        <v>PL0001DGW</v>
      </c>
      <c r="B1234" s="164">
        <f>IFERROR(__xludf.DUMMYFUNCTION("""COMPUTED_VALUE"""),1.3046207E7)</f>
        <v>13046207</v>
      </c>
      <c r="C1234" s="164" t="str">
        <f>IFERROR(__xludf.DUMMYFUNCTION("""COMPUTED_VALUE"""),"1304620748")</f>
        <v>1304620748</v>
      </c>
      <c r="D1234" s="133" t="str">
        <f>IFERROR(__xludf.DUMMYFUNCTION("""COMPUTED_VALUE"""),"Платье")</f>
        <v>Платье</v>
      </c>
      <c r="E1234" s="133">
        <f>IFERROR(__xludf.DUMMYFUNCTION("""COMPUTED_VALUE"""),48.0)</f>
        <v>48</v>
      </c>
      <c r="F1234" s="133" t="str">
        <f>IFERROR(__xludf.DUMMYFUNCTION("""COMPUTED_VALUE"""),"PL0001DGW48")</f>
        <v>PL0001DGW48</v>
      </c>
      <c r="G1234" s="165">
        <f>IFERROR(__xludf.DUMMYFUNCTION("""COMPUTED_VALUE"""),630.0)</f>
        <v>630</v>
      </c>
    </row>
    <row r="1235" ht="15.75" customHeight="1">
      <c r="A1235" s="133" t="str">
        <f>IFERROR(__xludf.DUMMYFUNCTION("""COMPUTED_VALUE"""),"PL0002DGW")</f>
        <v>PL0002DGW</v>
      </c>
      <c r="B1235" s="164">
        <f>IFERROR(__xludf.DUMMYFUNCTION("""COMPUTED_VALUE"""),1.3046208E7)</f>
        <v>13046208</v>
      </c>
      <c r="C1235" s="164" t="str">
        <f>IFERROR(__xludf.DUMMYFUNCTION("""COMPUTED_VALUE"""),"1304620842")</f>
        <v>1304620842</v>
      </c>
      <c r="D1235" s="133" t="str">
        <f>IFERROR(__xludf.DUMMYFUNCTION("""COMPUTED_VALUE"""),"Платье")</f>
        <v>Платье</v>
      </c>
      <c r="E1235" s="133">
        <f>IFERROR(__xludf.DUMMYFUNCTION("""COMPUTED_VALUE"""),42.0)</f>
        <v>42</v>
      </c>
      <c r="F1235" s="133" t="str">
        <f>IFERROR(__xludf.DUMMYFUNCTION("""COMPUTED_VALUE"""),"PL0002DGW42")</f>
        <v>PL0002DGW42</v>
      </c>
      <c r="G1235" s="165">
        <f>IFERROR(__xludf.DUMMYFUNCTION("""COMPUTED_VALUE"""),460.0)</f>
        <v>460</v>
      </c>
    </row>
    <row r="1236" ht="15.75" customHeight="1">
      <c r="A1236" s="133" t="str">
        <f>IFERROR(__xludf.DUMMYFUNCTION("""COMPUTED_VALUE"""),"PL0002DGW")</f>
        <v>PL0002DGW</v>
      </c>
      <c r="B1236" s="164">
        <f>IFERROR(__xludf.DUMMYFUNCTION("""COMPUTED_VALUE"""),1.3046208E7)</f>
        <v>13046208</v>
      </c>
      <c r="C1236" s="164" t="str">
        <f>IFERROR(__xludf.DUMMYFUNCTION("""COMPUTED_VALUE"""),"1304620844")</f>
        <v>1304620844</v>
      </c>
      <c r="D1236" s="133" t="str">
        <f>IFERROR(__xludf.DUMMYFUNCTION("""COMPUTED_VALUE"""),"Платье")</f>
        <v>Платье</v>
      </c>
      <c r="E1236" s="133">
        <f>IFERROR(__xludf.DUMMYFUNCTION("""COMPUTED_VALUE"""),44.0)</f>
        <v>44</v>
      </c>
      <c r="F1236" s="133" t="str">
        <f>IFERROR(__xludf.DUMMYFUNCTION("""COMPUTED_VALUE"""),"PL0002DGW44")</f>
        <v>PL0002DGW44</v>
      </c>
      <c r="G1236" s="165">
        <f>IFERROR(__xludf.DUMMYFUNCTION("""COMPUTED_VALUE"""),460.0)</f>
        <v>460</v>
      </c>
    </row>
    <row r="1237" ht="15.75" customHeight="1">
      <c r="A1237" s="133" t="str">
        <f>IFERROR(__xludf.DUMMYFUNCTION("""COMPUTED_VALUE"""),"PL0002DGW")</f>
        <v>PL0002DGW</v>
      </c>
      <c r="B1237" s="164">
        <f>IFERROR(__xludf.DUMMYFUNCTION("""COMPUTED_VALUE"""),1.3046208E7)</f>
        <v>13046208</v>
      </c>
      <c r="C1237" s="164" t="str">
        <f>IFERROR(__xludf.DUMMYFUNCTION("""COMPUTED_VALUE"""),"1304620846")</f>
        <v>1304620846</v>
      </c>
      <c r="D1237" s="133" t="str">
        <f>IFERROR(__xludf.DUMMYFUNCTION("""COMPUTED_VALUE"""),"Платье")</f>
        <v>Платье</v>
      </c>
      <c r="E1237" s="133">
        <f>IFERROR(__xludf.DUMMYFUNCTION("""COMPUTED_VALUE"""),46.0)</f>
        <v>46</v>
      </c>
      <c r="F1237" s="133" t="str">
        <f>IFERROR(__xludf.DUMMYFUNCTION("""COMPUTED_VALUE"""),"PL0002DGW46")</f>
        <v>PL0002DGW46</v>
      </c>
      <c r="G1237" s="165">
        <f>IFERROR(__xludf.DUMMYFUNCTION("""COMPUTED_VALUE"""),460.0)</f>
        <v>460</v>
      </c>
    </row>
    <row r="1238" ht="15.75" customHeight="1">
      <c r="A1238" s="133" t="str">
        <f>IFERROR(__xludf.DUMMYFUNCTION("""COMPUTED_VALUE"""),"PL0002DGW")</f>
        <v>PL0002DGW</v>
      </c>
      <c r="B1238" s="164">
        <f>IFERROR(__xludf.DUMMYFUNCTION("""COMPUTED_VALUE"""),1.3046208E7)</f>
        <v>13046208</v>
      </c>
      <c r="C1238" s="164" t="str">
        <f>IFERROR(__xludf.DUMMYFUNCTION("""COMPUTED_VALUE"""),"1304620848")</f>
        <v>1304620848</v>
      </c>
      <c r="D1238" s="133" t="str">
        <f>IFERROR(__xludf.DUMMYFUNCTION("""COMPUTED_VALUE"""),"Платье")</f>
        <v>Платье</v>
      </c>
      <c r="E1238" s="133">
        <f>IFERROR(__xludf.DUMMYFUNCTION("""COMPUTED_VALUE"""),48.0)</f>
        <v>48</v>
      </c>
      <c r="F1238" s="133" t="str">
        <f>IFERROR(__xludf.DUMMYFUNCTION("""COMPUTED_VALUE"""),"PL0002DGW48")</f>
        <v>PL0002DGW48</v>
      </c>
      <c r="G1238" s="165">
        <f>IFERROR(__xludf.DUMMYFUNCTION("""COMPUTED_VALUE"""),460.0)</f>
        <v>460</v>
      </c>
    </row>
    <row r="1239" ht="15.75" customHeight="1">
      <c r="A1239" s="133" t="str">
        <f>IFERROR(__xludf.DUMMYFUNCTION("""COMPUTED_VALUE"""),"PL0003DGW")</f>
        <v>PL0003DGW</v>
      </c>
      <c r="B1239" s="164">
        <f>IFERROR(__xludf.DUMMYFUNCTION("""COMPUTED_VALUE"""),1.3046209E7)</f>
        <v>13046209</v>
      </c>
      <c r="C1239" s="164" t="str">
        <f>IFERROR(__xludf.DUMMYFUNCTION("""COMPUTED_VALUE"""),"1304620942")</f>
        <v>1304620942</v>
      </c>
      <c r="D1239" s="133" t="str">
        <f>IFERROR(__xludf.DUMMYFUNCTION("""COMPUTED_VALUE"""),"Платье")</f>
        <v>Платье</v>
      </c>
      <c r="E1239" s="133">
        <f>IFERROR(__xludf.DUMMYFUNCTION("""COMPUTED_VALUE"""),42.0)</f>
        <v>42</v>
      </c>
      <c r="F1239" s="133" t="str">
        <f>IFERROR(__xludf.DUMMYFUNCTION("""COMPUTED_VALUE"""),"PL0003DGW42")</f>
        <v>PL0003DGW42</v>
      </c>
      <c r="G1239" s="165">
        <f>IFERROR(__xludf.DUMMYFUNCTION("""COMPUTED_VALUE"""),460.0)</f>
        <v>460</v>
      </c>
    </row>
    <row r="1240" ht="15.75" customHeight="1">
      <c r="A1240" s="133" t="str">
        <f>IFERROR(__xludf.DUMMYFUNCTION("""COMPUTED_VALUE"""),"PL0003DGW")</f>
        <v>PL0003DGW</v>
      </c>
      <c r="B1240" s="164">
        <f>IFERROR(__xludf.DUMMYFUNCTION("""COMPUTED_VALUE"""),1.3046209E7)</f>
        <v>13046209</v>
      </c>
      <c r="C1240" s="164" t="str">
        <f>IFERROR(__xludf.DUMMYFUNCTION("""COMPUTED_VALUE"""),"1304620944")</f>
        <v>1304620944</v>
      </c>
      <c r="D1240" s="133" t="str">
        <f>IFERROR(__xludf.DUMMYFUNCTION("""COMPUTED_VALUE"""),"Платье")</f>
        <v>Платье</v>
      </c>
      <c r="E1240" s="133">
        <f>IFERROR(__xludf.DUMMYFUNCTION("""COMPUTED_VALUE"""),44.0)</f>
        <v>44</v>
      </c>
      <c r="F1240" s="133" t="str">
        <f>IFERROR(__xludf.DUMMYFUNCTION("""COMPUTED_VALUE"""),"PL0003DGW44")</f>
        <v>PL0003DGW44</v>
      </c>
      <c r="G1240" s="165">
        <f>IFERROR(__xludf.DUMMYFUNCTION("""COMPUTED_VALUE"""),460.0)</f>
        <v>460</v>
      </c>
    </row>
    <row r="1241" ht="15.75" customHeight="1">
      <c r="A1241" s="133" t="str">
        <f>IFERROR(__xludf.DUMMYFUNCTION("""COMPUTED_VALUE"""),"PL0003DGW")</f>
        <v>PL0003DGW</v>
      </c>
      <c r="B1241" s="164">
        <f>IFERROR(__xludf.DUMMYFUNCTION("""COMPUTED_VALUE"""),1.3046209E7)</f>
        <v>13046209</v>
      </c>
      <c r="C1241" s="164" t="str">
        <f>IFERROR(__xludf.DUMMYFUNCTION("""COMPUTED_VALUE"""),"1304620946")</f>
        <v>1304620946</v>
      </c>
      <c r="D1241" s="133" t="str">
        <f>IFERROR(__xludf.DUMMYFUNCTION("""COMPUTED_VALUE"""),"Платье")</f>
        <v>Платье</v>
      </c>
      <c r="E1241" s="133">
        <f>IFERROR(__xludf.DUMMYFUNCTION("""COMPUTED_VALUE"""),46.0)</f>
        <v>46</v>
      </c>
      <c r="F1241" s="133" t="str">
        <f>IFERROR(__xludf.DUMMYFUNCTION("""COMPUTED_VALUE"""),"PL0003DGW46")</f>
        <v>PL0003DGW46</v>
      </c>
      <c r="G1241" s="165">
        <f>IFERROR(__xludf.DUMMYFUNCTION("""COMPUTED_VALUE"""),460.0)</f>
        <v>460</v>
      </c>
    </row>
    <row r="1242" ht="15.75" customHeight="1">
      <c r="A1242" s="133" t="str">
        <f>IFERROR(__xludf.DUMMYFUNCTION("""COMPUTED_VALUE"""),"PL0003DGW")</f>
        <v>PL0003DGW</v>
      </c>
      <c r="B1242" s="164">
        <f>IFERROR(__xludf.DUMMYFUNCTION("""COMPUTED_VALUE"""),1.3046209E7)</f>
        <v>13046209</v>
      </c>
      <c r="C1242" s="164" t="str">
        <f>IFERROR(__xludf.DUMMYFUNCTION("""COMPUTED_VALUE"""),"1304620948")</f>
        <v>1304620948</v>
      </c>
      <c r="D1242" s="133" t="str">
        <f>IFERROR(__xludf.DUMMYFUNCTION("""COMPUTED_VALUE"""),"Платье")</f>
        <v>Платье</v>
      </c>
      <c r="E1242" s="133">
        <f>IFERROR(__xludf.DUMMYFUNCTION("""COMPUTED_VALUE"""),48.0)</f>
        <v>48</v>
      </c>
      <c r="F1242" s="133" t="str">
        <f>IFERROR(__xludf.DUMMYFUNCTION("""COMPUTED_VALUE"""),"PL0003DGW48")</f>
        <v>PL0003DGW48</v>
      </c>
      <c r="G1242" s="165">
        <f>IFERROR(__xludf.DUMMYFUNCTION("""COMPUTED_VALUE"""),460.0)</f>
        <v>460</v>
      </c>
    </row>
    <row r="1243" ht="15.75" customHeight="1">
      <c r="A1243" s="133" t="str">
        <f>IFERROR(__xludf.DUMMYFUNCTION("""COMPUTED_VALUE"""),"PL0004DGW")</f>
        <v>PL0004DGW</v>
      </c>
      <c r="B1243" s="164">
        <f>IFERROR(__xludf.DUMMYFUNCTION("""COMPUTED_VALUE"""),1.304621E7)</f>
        <v>13046210</v>
      </c>
      <c r="C1243" s="164" t="str">
        <f>IFERROR(__xludf.DUMMYFUNCTION("""COMPUTED_VALUE"""),"1304621042")</f>
        <v>1304621042</v>
      </c>
      <c r="D1243" s="133" t="str">
        <f>IFERROR(__xludf.DUMMYFUNCTION("""COMPUTED_VALUE"""),"Платье")</f>
        <v>Платье</v>
      </c>
      <c r="E1243" s="133">
        <f>IFERROR(__xludf.DUMMYFUNCTION("""COMPUTED_VALUE"""),42.0)</f>
        <v>42</v>
      </c>
      <c r="F1243" s="133" t="str">
        <f>IFERROR(__xludf.DUMMYFUNCTION("""COMPUTED_VALUE"""),"PL0004DGW42")</f>
        <v>PL0004DGW42</v>
      </c>
      <c r="G1243" s="165">
        <f>IFERROR(__xludf.DUMMYFUNCTION("""COMPUTED_VALUE"""),690.0)</f>
        <v>690</v>
      </c>
    </row>
    <row r="1244" ht="15.75" customHeight="1">
      <c r="A1244" s="133" t="str">
        <f>IFERROR(__xludf.DUMMYFUNCTION("""COMPUTED_VALUE"""),"PL0004DGW")</f>
        <v>PL0004DGW</v>
      </c>
      <c r="B1244" s="164">
        <f>IFERROR(__xludf.DUMMYFUNCTION("""COMPUTED_VALUE"""),1.304621E7)</f>
        <v>13046210</v>
      </c>
      <c r="C1244" s="164" t="str">
        <f>IFERROR(__xludf.DUMMYFUNCTION("""COMPUTED_VALUE"""),"1304621044")</f>
        <v>1304621044</v>
      </c>
      <c r="D1244" s="133" t="str">
        <f>IFERROR(__xludf.DUMMYFUNCTION("""COMPUTED_VALUE"""),"Платье")</f>
        <v>Платье</v>
      </c>
      <c r="E1244" s="133">
        <f>IFERROR(__xludf.DUMMYFUNCTION("""COMPUTED_VALUE"""),44.0)</f>
        <v>44</v>
      </c>
      <c r="F1244" s="133" t="str">
        <f>IFERROR(__xludf.DUMMYFUNCTION("""COMPUTED_VALUE"""),"PL0004DGW44")</f>
        <v>PL0004DGW44</v>
      </c>
      <c r="G1244" s="165">
        <f>IFERROR(__xludf.DUMMYFUNCTION("""COMPUTED_VALUE"""),690.0)</f>
        <v>690</v>
      </c>
    </row>
    <row r="1245" ht="15.75" customHeight="1">
      <c r="A1245" s="133" t="str">
        <f>IFERROR(__xludf.DUMMYFUNCTION("""COMPUTED_VALUE"""),"PL0004DGW")</f>
        <v>PL0004DGW</v>
      </c>
      <c r="B1245" s="164">
        <f>IFERROR(__xludf.DUMMYFUNCTION("""COMPUTED_VALUE"""),1.304621E7)</f>
        <v>13046210</v>
      </c>
      <c r="C1245" s="164" t="str">
        <f>IFERROR(__xludf.DUMMYFUNCTION("""COMPUTED_VALUE"""),"1304621046")</f>
        <v>1304621046</v>
      </c>
      <c r="D1245" s="133" t="str">
        <f>IFERROR(__xludf.DUMMYFUNCTION("""COMPUTED_VALUE"""),"Платье")</f>
        <v>Платье</v>
      </c>
      <c r="E1245" s="133">
        <f>IFERROR(__xludf.DUMMYFUNCTION("""COMPUTED_VALUE"""),46.0)</f>
        <v>46</v>
      </c>
      <c r="F1245" s="133" t="str">
        <f>IFERROR(__xludf.DUMMYFUNCTION("""COMPUTED_VALUE"""),"PL0004DGW46")</f>
        <v>PL0004DGW46</v>
      </c>
      <c r="G1245" s="165">
        <f>IFERROR(__xludf.DUMMYFUNCTION("""COMPUTED_VALUE"""),690.0)</f>
        <v>690</v>
      </c>
    </row>
    <row r="1246" ht="15.75" customHeight="1">
      <c r="A1246" s="133" t="str">
        <f>IFERROR(__xludf.DUMMYFUNCTION("""COMPUTED_VALUE"""),"PL0004DGW")</f>
        <v>PL0004DGW</v>
      </c>
      <c r="B1246" s="164">
        <f>IFERROR(__xludf.DUMMYFUNCTION("""COMPUTED_VALUE"""),1.304621E7)</f>
        <v>13046210</v>
      </c>
      <c r="C1246" s="164" t="str">
        <f>IFERROR(__xludf.DUMMYFUNCTION("""COMPUTED_VALUE"""),"1304621048")</f>
        <v>1304621048</v>
      </c>
      <c r="D1246" s="133" t="str">
        <f>IFERROR(__xludf.DUMMYFUNCTION("""COMPUTED_VALUE"""),"Платье")</f>
        <v>Платье</v>
      </c>
      <c r="E1246" s="133">
        <f>IFERROR(__xludf.DUMMYFUNCTION("""COMPUTED_VALUE"""),48.0)</f>
        <v>48</v>
      </c>
      <c r="F1246" s="133" t="str">
        <f>IFERROR(__xludf.DUMMYFUNCTION("""COMPUTED_VALUE"""),"PL0004DGW48")</f>
        <v>PL0004DGW48</v>
      </c>
      <c r="G1246" s="165">
        <f>IFERROR(__xludf.DUMMYFUNCTION("""COMPUTED_VALUE"""),690.0)</f>
        <v>690</v>
      </c>
    </row>
    <row r="1247" ht="15.75" customHeight="1">
      <c r="A1247" s="133" t="str">
        <f>IFERROR(__xludf.DUMMYFUNCTION("""COMPUTED_VALUE"""),"PL0006DGW")</f>
        <v>PL0006DGW</v>
      </c>
      <c r="B1247" s="164">
        <f>IFERROR(__xludf.DUMMYFUNCTION("""COMPUTED_VALUE"""),1.3046211E7)</f>
        <v>13046211</v>
      </c>
      <c r="C1247" s="164" t="str">
        <f>IFERROR(__xludf.DUMMYFUNCTION("""COMPUTED_VALUE"""),"1304621142")</f>
        <v>1304621142</v>
      </c>
      <c r="D1247" s="133" t="str">
        <f>IFERROR(__xludf.DUMMYFUNCTION("""COMPUTED_VALUE"""),"Платье")</f>
        <v>Платье</v>
      </c>
      <c r="E1247" s="133">
        <f>IFERROR(__xludf.DUMMYFUNCTION("""COMPUTED_VALUE"""),42.0)</f>
        <v>42</v>
      </c>
      <c r="F1247" s="133" t="str">
        <f>IFERROR(__xludf.DUMMYFUNCTION("""COMPUTED_VALUE"""),"PL0006DGW42")</f>
        <v>PL0006DGW42</v>
      </c>
      <c r="G1247" s="165">
        <f>IFERROR(__xludf.DUMMYFUNCTION("""COMPUTED_VALUE"""),510.0)</f>
        <v>510</v>
      </c>
    </row>
    <row r="1248" ht="15.75" customHeight="1">
      <c r="A1248" s="133" t="str">
        <f>IFERROR(__xludf.DUMMYFUNCTION("""COMPUTED_VALUE"""),"PL0006DGW")</f>
        <v>PL0006DGW</v>
      </c>
      <c r="B1248" s="164">
        <f>IFERROR(__xludf.DUMMYFUNCTION("""COMPUTED_VALUE"""),1.3046211E7)</f>
        <v>13046211</v>
      </c>
      <c r="C1248" s="164" t="str">
        <f>IFERROR(__xludf.DUMMYFUNCTION("""COMPUTED_VALUE"""),"1304621144")</f>
        <v>1304621144</v>
      </c>
      <c r="D1248" s="133" t="str">
        <f>IFERROR(__xludf.DUMMYFUNCTION("""COMPUTED_VALUE"""),"Платье")</f>
        <v>Платье</v>
      </c>
      <c r="E1248" s="133">
        <f>IFERROR(__xludf.DUMMYFUNCTION("""COMPUTED_VALUE"""),44.0)</f>
        <v>44</v>
      </c>
      <c r="F1248" s="133" t="str">
        <f>IFERROR(__xludf.DUMMYFUNCTION("""COMPUTED_VALUE"""),"PL0006DGW44")</f>
        <v>PL0006DGW44</v>
      </c>
      <c r="G1248" s="165">
        <f>IFERROR(__xludf.DUMMYFUNCTION("""COMPUTED_VALUE"""),510.0)</f>
        <v>510</v>
      </c>
    </row>
    <row r="1249" ht="15.75" customHeight="1">
      <c r="A1249" s="133" t="str">
        <f>IFERROR(__xludf.DUMMYFUNCTION("""COMPUTED_VALUE"""),"PL0006DGW")</f>
        <v>PL0006DGW</v>
      </c>
      <c r="B1249" s="164">
        <f>IFERROR(__xludf.DUMMYFUNCTION("""COMPUTED_VALUE"""),1.3046211E7)</f>
        <v>13046211</v>
      </c>
      <c r="C1249" s="164" t="str">
        <f>IFERROR(__xludf.DUMMYFUNCTION("""COMPUTED_VALUE"""),"1304621146")</f>
        <v>1304621146</v>
      </c>
      <c r="D1249" s="133" t="str">
        <f>IFERROR(__xludf.DUMMYFUNCTION("""COMPUTED_VALUE"""),"Платье")</f>
        <v>Платье</v>
      </c>
      <c r="E1249" s="133">
        <f>IFERROR(__xludf.DUMMYFUNCTION("""COMPUTED_VALUE"""),46.0)</f>
        <v>46</v>
      </c>
      <c r="F1249" s="133" t="str">
        <f>IFERROR(__xludf.DUMMYFUNCTION("""COMPUTED_VALUE"""),"PL0006DGW46")</f>
        <v>PL0006DGW46</v>
      </c>
      <c r="G1249" s="165">
        <f>IFERROR(__xludf.DUMMYFUNCTION("""COMPUTED_VALUE"""),510.0)</f>
        <v>510</v>
      </c>
    </row>
    <row r="1250" ht="15.75" customHeight="1">
      <c r="A1250" s="133" t="str">
        <f>IFERROR(__xludf.DUMMYFUNCTION("""COMPUTED_VALUE"""),"PL0006DGW")</f>
        <v>PL0006DGW</v>
      </c>
      <c r="B1250" s="164">
        <f>IFERROR(__xludf.DUMMYFUNCTION("""COMPUTED_VALUE"""),1.3046211E7)</f>
        <v>13046211</v>
      </c>
      <c r="C1250" s="164" t="str">
        <f>IFERROR(__xludf.DUMMYFUNCTION("""COMPUTED_VALUE"""),"1304621148")</f>
        <v>1304621148</v>
      </c>
      <c r="D1250" s="133" t="str">
        <f>IFERROR(__xludf.DUMMYFUNCTION("""COMPUTED_VALUE"""),"Платье")</f>
        <v>Платье</v>
      </c>
      <c r="E1250" s="133">
        <f>IFERROR(__xludf.DUMMYFUNCTION("""COMPUTED_VALUE"""),48.0)</f>
        <v>48</v>
      </c>
      <c r="F1250" s="133" t="str">
        <f>IFERROR(__xludf.DUMMYFUNCTION("""COMPUTED_VALUE"""),"PL0006DGW48")</f>
        <v>PL0006DGW48</v>
      </c>
      <c r="G1250" s="165">
        <f>IFERROR(__xludf.DUMMYFUNCTION("""COMPUTED_VALUE"""),510.0)</f>
        <v>510</v>
      </c>
    </row>
    <row r="1251" ht="15.75" customHeight="1">
      <c r="A1251" s="133" t="str">
        <f>IFERROR(__xludf.DUMMYFUNCTION("""COMPUTED_VALUE"""),"PL0007DGW")</f>
        <v>PL0007DGW</v>
      </c>
      <c r="B1251" s="164">
        <f>IFERROR(__xludf.DUMMYFUNCTION("""COMPUTED_VALUE"""),1.3046212E7)</f>
        <v>13046212</v>
      </c>
      <c r="C1251" s="164" t="str">
        <f>IFERROR(__xludf.DUMMYFUNCTION("""COMPUTED_VALUE"""),"1304621242")</f>
        <v>1304621242</v>
      </c>
      <c r="D1251" s="133" t="str">
        <f>IFERROR(__xludf.DUMMYFUNCTION("""COMPUTED_VALUE"""),"Платье")</f>
        <v>Платье</v>
      </c>
      <c r="E1251" s="133">
        <f>IFERROR(__xludf.DUMMYFUNCTION("""COMPUTED_VALUE"""),42.0)</f>
        <v>42</v>
      </c>
      <c r="F1251" s="133" t="str">
        <f>IFERROR(__xludf.DUMMYFUNCTION("""COMPUTED_VALUE"""),"PL0007DGW42")</f>
        <v>PL0007DGW42</v>
      </c>
      <c r="G1251" s="165">
        <f>IFERROR(__xludf.DUMMYFUNCTION("""COMPUTED_VALUE"""),510.0)</f>
        <v>510</v>
      </c>
    </row>
    <row r="1252" ht="15.75" customHeight="1">
      <c r="A1252" s="133" t="str">
        <f>IFERROR(__xludf.DUMMYFUNCTION("""COMPUTED_VALUE"""),"PL0007DGW")</f>
        <v>PL0007DGW</v>
      </c>
      <c r="B1252" s="164">
        <f>IFERROR(__xludf.DUMMYFUNCTION("""COMPUTED_VALUE"""),1.3046212E7)</f>
        <v>13046212</v>
      </c>
      <c r="C1252" s="164" t="str">
        <f>IFERROR(__xludf.DUMMYFUNCTION("""COMPUTED_VALUE"""),"1304621244")</f>
        <v>1304621244</v>
      </c>
      <c r="D1252" s="133" t="str">
        <f>IFERROR(__xludf.DUMMYFUNCTION("""COMPUTED_VALUE"""),"Платье")</f>
        <v>Платье</v>
      </c>
      <c r="E1252" s="133">
        <f>IFERROR(__xludf.DUMMYFUNCTION("""COMPUTED_VALUE"""),44.0)</f>
        <v>44</v>
      </c>
      <c r="F1252" s="133" t="str">
        <f>IFERROR(__xludf.DUMMYFUNCTION("""COMPUTED_VALUE"""),"PL0007DGW44")</f>
        <v>PL0007DGW44</v>
      </c>
      <c r="G1252" s="165">
        <f>IFERROR(__xludf.DUMMYFUNCTION("""COMPUTED_VALUE"""),510.0)</f>
        <v>510</v>
      </c>
    </row>
    <row r="1253" ht="15.75" customHeight="1">
      <c r="A1253" s="133" t="str">
        <f>IFERROR(__xludf.DUMMYFUNCTION("""COMPUTED_VALUE"""),"PL0007DGW")</f>
        <v>PL0007DGW</v>
      </c>
      <c r="B1253" s="164">
        <f>IFERROR(__xludf.DUMMYFUNCTION("""COMPUTED_VALUE"""),1.3046212E7)</f>
        <v>13046212</v>
      </c>
      <c r="C1253" s="164" t="str">
        <f>IFERROR(__xludf.DUMMYFUNCTION("""COMPUTED_VALUE"""),"1304621246")</f>
        <v>1304621246</v>
      </c>
      <c r="D1253" s="133" t="str">
        <f>IFERROR(__xludf.DUMMYFUNCTION("""COMPUTED_VALUE"""),"Платье")</f>
        <v>Платье</v>
      </c>
      <c r="E1253" s="133">
        <f>IFERROR(__xludf.DUMMYFUNCTION("""COMPUTED_VALUE"""),46.0)</f>
        <v>46</v>
      </c>
      <c r="F1253" s="133" t="str">
        <f>IFERROR(__xludf.DUMMYFUNCTION("""COMPUTED_VALUE"""),"PL0007DGW46")</f>
        <v>PL0007DGW46</v>
      </c>
      <c r="G1253" s="165">
        <f>IFERROR(__xludf.DUMMYFUNCTION("""COMPUTED_VALUE"""),510.0)</f>
        <v>510</v>
      </c>
    </row>
    <row r="1254" ht="15.75" customHeight="1">
      <c r="A1254" s="133" t="str">
        <f>IFERROR(__xludf.DUMMYFUNCTION("""COMPUTED_VALUE"""),"PL0007DGW")</f>
        <v>PL0007DGW</v>
      </c>
      <c r="B1254" s="164">
        <f>IFERROR(__xludf.DUMMYFUNCTION("""COMPUTED_VALUE"""),1.3046212E7)</f>
        <v>13046212</v>
      </c>
      <c r="C1254" s="164" t="str">
        <f>IFERROR(__xludf.DUMMYFUNCTION("""COMPUTED_VALUE"""),"1304621248")</f>
        <v>1304621248</v>
      </c>
      <c r="D1254" s="133" t="str">
        <f>IFERROR(__xludf.DUMMYFUNCTION("""COMPUTED_VALUE"""),"Платье")</f>
        <v>Платье</v>
      </c>
      <c r="E1254" s="133">
        <f>IFERROR(__xludf.DUMMYFUNCTION("""COMPUTED_VALUE"""),48.0)</f>
        <v>48</v>
      </c>
      <c r="F1254" s="133" t="str">
        <f>IFERROR(__xludf.DUMMYFUNCTION("""COMPUTED_VALUE"""),"PL0007DGW48")</f>
        <v>PL0007DGW48</v>
      </c>
      <c r="G1254" s="165">
        <f>IFERROR(__xludf.DUMMYFUNCTION("""COMPUTED_VALUE"""),510.0)</f>
        <v>510</v>
      </c>
    </row>
    <row r="1255" ht="15.75" customHeight="1">
      <c r="A1255" s="133" t="str">
        <f>IFERROR(__xludf.DUMMYFUNCTION("""COMPUTED_VALUE"""),"PL0008DGW")</f>
        <v>PL0008DGW</v>
      </c>
      <c r="B1255" s="164">
        <f>IFERROR(__xludf.DUMMYFUNCTION("""COMPUTED_VALUE"""),1.3046213E7)</f>
        <v>13046213</v>
      </c>
      <c r="C1255" s="164" t="str">
        <f>IFERROR(__xludf.DUMMYFUNCTION("""COMPUTED_VALUE"""),"1304621342")</f>
        <v>1304621342</v>
      </c>
      <c r="D1255" s="133" t="str">
        <f>IFERROR(__xludf.DUMMYFUNCTION("""COMPUTED_VALUE"""),"Платье")</f>
        <v>Платье</v>
      </c>
      <c r="E1255" s="133">
        <f>IFERROR(__xludf.DUMMYFUNCTION("""COMPUTED_VALUE"""),42.0)</f>
        <v>42</v>
      </c>
      <c r="F1255" s="133" t="str">
        <f>IFERROR(__xludf.DUMMYFUNCTION("""COMPUTED_VALUE"""),"PL0008DGW42")</f>
        <v>PL0008DGW42</v>
      </c>
      <c r="G1255" s="165">
        <f>IFERROR(__xludf.DUMMYFUNCTION("""COMPUTED_VALUE"""),510.0)</f>
        <v>510</v>
      </c>
    </row>
    <row r="1256" ht="15.75" customHeight="1">
      <c r="A1256" s="133" t="str">
        <f>IFERROR(__xludf.DUMMYFUNCTION("""COMPUTED_VALUE"""),"PL0008DGW")</f>
        <v>PL0008DGW</v>
      </c>
      <c r="B1256" s="164">
        <f>IFERROR(__xludf.DUMMYFUNCTION("""COMPUTED_VALUE"""),1.3046213E7)</f>
        <v>13046213</v>
      </c>
      <c r="C1256" s="164" t="str">
        <f>IFERROR(__xludf.DUMMYFUNCTION("""COMPUTED_VALUE"""),"1304621344")</f>
        <v>1304621344</v>
      </c>
      <c r="D1256" s="133" t="str">
        <f>IFERROR(__xludf.DUMMYFUNCTION("""COMPUTED_VALUE"""),"Платье")</f>
        <v>Платье</v>
      </c>
      <c r="E1256" s="133">
        <f>IFERROR(__xludf.DUMMYFUNCTION("""COMPUTED_VALUE"""),44.0)</f>
        <v>44</v>
      </c>
      <c r="F1256" s="133" t="str">
        <f>IFERROR(__xludf.DUMMYFUNCTION("""COMPUTED_VALUE"""),"PL0008DGW44")</f>
        <v>PL0008DGW44</v>
      </c>
      <c r="G1256" s="165">
        <f>IFERROR(__xludf.DUMMYFUNCTION("""COMPUTED_VALUE"""),510.0)</f>
        <v>510</v>
      </c>
    </row>
    <row r="1257" ht="15.75" customHeight="1">
      <c r="A1257" s="133" t="str">
        <f>IFERROR(__xludf.DUMMYFUNCTION("""COMPUTED_VALUE"""),"PL0008DGW")</f>
        <v>PL0008DGW</v>
      </c>
      <c r="B1257" s="164">
        <f>IFERROR(__xludf.DUMMYFUNCTION("""COMPUTED_VALUE"""),1.3046213E7)</f>
        <v>13046213</v>
      </c>
      <c r="C1257" s="164" t="str">
        <f>IFERROR(__xludf.DUMMYFUNCTION("""COMPUTED_VALUE"""),"1304621346")</f>
        <v>1304621346</v>
      </c>
      <c r="D1257" s="133" t="str">
        <f>IFERROR(__xludf.DUMMYFUNCTION("""COMPUTED_VALUE"""),"Платье")</f>
        <v>Платье</v>
      </c>
      <c r="E1257" s="133">
        <f>IFERROR(__xludf.DUMMYFUNCTION("""COMPUTED_VALUE"""),46.0)</f>
        <v>46</v>
      </c>
      <c r="F1257" s="133" t="str">
        <f>IFERROR(__xludf.DUMMYFUNCTION("""COMPUTED_VALUE"""),"PL0008DGW46")</f>
        <v>PL0008DGW46</v>
      </c>
      <c r="G1257" s="165">
        <f>IFERROR(__xludf.DUMMYFUNCTION("""COMPUTED_VALUE"""),510.0)</f>
        <v>510</v>
      </c>
    </row>
    <row r="1258" ht="15.75" customHeight="1">
      <c r="A1258" s="133" t="str">
        <f>IFERROR(__xludf.DUMMYFUNCTION("""COMPUTED_VALUE"""),"PL0008DGW")</f>
        <v>PL0008DGW</v>
      </c>
      <c r="B1258" s="164">
        <f>IFERROR(__xludf.DUMMYFUNCTION("""COMPUTED_VALUE"""),1.3046213E7)</f>
        <v>13046213</v>
      </c>
      <c r="C1258" s="164" t="str">
        <f>IFERROR(__xludf.DUMMYFUNCTION("""COMPUTED_VALUE"""),"1304621348")</f>
        <v>1304621348</v>
      </c>
      <c r="D1258" s="133" t="str">
        <f>IFERROR(__xludf.DUMMYFUNCTION("""COMPUTED_VALUE"""),"Платье")</f>
        <v>Платье</v>
      </c>
      <c r="E1258" s="133">
        <f>IFERROR(__xludf.DUMMYFUNCTION("""COMPUTED_VALUE"""),48.0)</f>
        <v>48</v>
      </c>
      <c r="F1258" s="133" t="str">
        <f>IFERROR(__xludf.DUMMYFUNCTION("""COMPUTED_VALUE"""),"PL0008DGW48")</f>
        <v>PL0008DGW48</v>
      </c>
      <c r="G1258" s="165">
        <f>IFERROR(__xludf.DUMMYFUNCTION("""COMPUTED_VALUE"""),510.0)</f>
        <v>510</v>
      </c>
    </row>
    <row r="1259" ht="15.75" customHeight="1">
      <c r="A1259" s="133" t="str">
        <f>IFERROR(__xludf.DUMMYFUNCTION("""COMPUTED_VALUE"""),"PL0009DGW")</f>
        <v>PL0009DGW</v>
      </c>
      <c r="B1259" s="164">
        <f>IFERROR(__xludf.DUMMYFUNCTION("""COMPUTED_VALUE"""),1.3046214E7)</f>
        <v>13046214</v>
      </c>
      <c r="C1259" s="164" t="str">
        <f>IFERROR(__xludf.DUMMYFUNCTION("""COMPUTED_VALUE"""),"1304621442")</f>
        <v>1304621442</v>
      </c>
      <c r="D1259" s="133" t="str">
        <f>IFERROR(__xludf.DUMMYFUNCTION("""COMPUTED_VALUE"""),"Платье")</f>
        <v>Платье</v>
      </c>
      <c r="E1259" s="133">
        <f>IFERROR(__xludf.DUMMYFUNCTION("""COMPUTED_VALUE"""),42.0)</f>
        <v>42</v>
      </c>
      <c r="F1259" s="133" t="str">
        <f>IFERROR(__xludf.DUMMYFUNCTION("""COMPUTED_VALUE"""),"PL0009DGW42")</f>
        <v>PL0009DGW42</v>
      </c>
      <c r="G1259" s="165">
        <f>IFERROR(__xludf.DUMMYFUNCTION("""COMPUTED_VALUE"""),510.0)</f>
        <v>510</v>
      </c>
    </row>
    <row r="1260" ht="15.75" customHeight="1">
      <c r="A1260" s="133" t="str">
        <f>IFERROR(__xludf.DUMMYFUNCTION("""COMPUTED_VALUE"""),"PL0009DGW")</f>
        <v>PL0009DGW</v>
      </c>
      <c r="B1260" s="164">
        <f>IFERROR(__xludf.DUMMYFUNCTION("""COMPUTED_VALUE"""),1.3046214E7)</f>
        <v>13046214</v>
      </c>
      <c r="C1260" s="164" t="str">
        <f>IFERROR(__xludf.DUMMYFUNCTION("""COMPUTED_VALUE"""),"1304621444")</f>
        <v>1304621444</v>
      </c>
      <c r="D1260" s="133" t="str">
        <f>IFERROR(__xludf.DUMMYFUNCTION("""COMPUTED_VALUE"""),"Платье")</f>
        <v>Платье</v>
      </c>
      <c r="E1260" s="133">
        <f>IFERROR(__xludf.DUMMYFUNCTION("""COMPUTED_VALUE"""),44.0)</f>
        <v>44</v>
      </c>
      <c r="F1260" s="133" t="str">
        <f>IFERROR(__xludf.DUMMYFUNCTION("""COMPUTED_VALUE"""),"PL0009DGW44")</f>
        <v>PL0009DGW44</v>
      </c>
      <c r="G1260" s="165">
        <f>IFERROR(__xludf.DUMMYFUNCTION("""COMPUTED_VALUE"""),510.0)</f>
        <v>510</v>
      </c>
    </row>
    <row r="1261" ht="15.75" customHeight="1">
      <c r="A1261" s="133" t="str">
        <f>IFERROR(__xludf.DUMMYFUNCTION("""COMPUTED_VALUE"""),"PL0009DGW")</f>
        <v>PL0009DGW</v>
      </c>
      <c r="B1261" s="164">
        <f>IFERROR(__xludf.DUMMYFUNCTION("""COMPUTED_VALUE"""),1.3046214E7)</f>
        <v>13046214</v>
      </c>
      <c r="C1261" s="164" t="str">
        <f>IFERROR(__xludf.DUMMYFUNCTION("""COMPUTED_VALUE"""),"1304621446")</f>
        <v>1304621446</v>
      </c>
      <c r="D1261" s="133" t="str">
        <f>IFERROR(__xludf.DUMMYFUNCTION("""COMPUTED_VALUE"""),"Платье")</f>
        <v>Платье</v>
      </c>
      <c r="E1261" s="133">
        <f>IFERROR(__xludf.DUMMYFUNCTION("""COMPUTED_VALUE"""),46.0)</f>
        <v>46</v>
      </c>
      <c r="F1261" s="133" t="str">
        <f>IFERROR(__xludf.DUMMYFUNCTION("""COMPUTED_VALUE"""),"PL0009DGW46")</f>
        <v>PL0009DGW46</v>
      </c>
      <c r="G1261" s="165">
        <f>IFERROR(__xludf.DUMMYFUNCTION("""COMPUTED_VALUE"""),510.0)</f>
        <v>510</v>
      </c>
    </row>
    <row r="1262" ht="15.75" customHeight="1">
      <c r="A1262" s="133" t="str">
        <f>IFERROR(__xludf.DUMMYFUNCTION("""COMPUTED_VALUE"""),"PL0009DGW")</f>
        <v>PL0009DGW</v>
      </c>
      <c r="B1262" s="164">
        <f>IFERROR(__xludf.DUMMYFUNCTION("""COMPUTED_VALUE"""),1.3046214E7)</f>
        <v>13046214</v>
      </c>
      <c r="C1262" s="164" t="str">
        <f>IFERROR(__xludf.DUMMYFUNCTION("""COMPUTED_VALUE"""),"1304621448")</f>
        <v>1304621448</v>
      </c>
      <c r="D1262" s="133" t="str">
        <f>IFERROR(__xludf.DUMMYFUNCTION("""COMPUTED_VALUE"""),"Платье")</f>
        <v>Платье</v>
      </c>
      <c r="E1262" s="133">
        <f>IFERROR(__xludf.DUMMYFUNCTION("""COMPUTED_VALUE"""),48.0)</f>
        <v>48</v>
      </c>
      <c r="F1262" s="133" t="str">
        <f>IFERROR(__xludf.DUMMYFUNCTION("""COMPUTED_VALUE"""),"PL0009DGW48")</f>
        <v>PL0009DGW48</v>
      </c>
      <c r="G1262" s="165">
        <f>IFERROR(__xludf.DUMMYFUNCTION("""COMPUTED_VALUE"""),510.0)</f>
        <v>510</v>
      </c>
    </row>
    <row r="1263" ht="15.75" customHeight="1">
      <c r="A1263" s="133" t="str">
        <f>IFERROR(__xludf.DUMMYFUNCTION("""COMPUTED_VALUE"""),"PL0010DGW")</f>
        <v>PL0010DGW</v>
      </c>
      <c r="B1263" s="164">
        <f>IFERROR(__xludf.DUMMYFUNCTION("""COMPUTED_VALUE"""),1.3046215E7)</f>
        <v>13046215</v>
      </c>
      <c r="C1263" s="164" t="str">
        <f>IFERROR(__xludf.DUMMYFUNCTION("""COMPUTED_VALUE"""),"1304621542")</f>
        <v>1304621542</v>
      </c>
      <c r="D1263" s="133" t="str">
        <f>IFERROR(__xludf.DUMMYFUNCTION("""COMPUTED_VALUE"""),"Платье")</f>
        <v>Платье</v>
      </c>
      <c r="E1263" s="133">
        <f>IFERROR(__xludf.DUMMYFUNCTION("""COMPUTED_VALUE"""),42.0)</f>
        <v>42</v>
      </c>
      <c r="F1263" s="133" t="str">
        <f>IFERROR(__xludf.DUMMYFUNCTION("""COMPUTED_VALUE"""),"PL0010DGW42")</f>
        <v>PL0010DGW42</v>
      </c>
      <c r="G1263" s="165">
        <f>IFERROR(__xludf.DUMMYFUNCTION("""COMPUTED_VALUE"""),660.0)</f>
        <v>660</v>
      </c>
    </row>
    <row r="1264" ht="15.75" customHeight="1">
      <c r="A1264" s="133" t="str">
        <f>IFERROR(__xludf.DUMMYFUNCTION("""COMPUTED_VALUE"""),"PL0010DGW")</f>
        <v>PL0010DGW</v>
      </c>
      <c r="B1264" s="164">
        <f>IFERROR(__xludf.DUMMYFUNCTION("""COMPUTED_VALUE"""),1.3046215E7)</f>
        <v>13046215</v>
      </c>
      <c r="C1264" s="164" t="str">
        <f>IFERROR(__xludf.DUMMYFUNCTION("""COMPUTED_VALUE"""),"1304621544")</f>
        <v>1304621544</v>
      </c>
      <c r="D1264" s="133" t="str">
        <f>IFERROR(__xludf.DUMMYFUNCTION("""COMPUTED_VALUE"""),"Платье")</f>
        <v>Платье</v>
      </c>
      <c r="E1264" s="133">
        <f>IFERROR(__xludf.DUMMYFUNCTION("""COMPUTED_VALUE"""),44.0)</f>
        <v>44</v>
      </c>
      <c r="F1264" s="133" t="str">
        <f>IFERROR(__xludf.DUMMYFUNCTION("""COMPUTED_VALUE"""),"PL0010DGW44")</f>
        <v>PL0010DGW44</v>
      </c>
      <c r="G1264" s="165">
        <f>IFERROR(__xludf.DUMMYFUNCTION("""COMPUTED_VALUE"""),660.0)</f>
        <v>660</v>
      </c>
    </row>
    <row r="1265" ht="15.75" customHeight="1">
      <c r="A1265" s="133" t="str">
        <f>IFERROR(__xludf.DUMMYFUNCTION("""COMPUTED_VALUE"""),"PL0011DGW")</f>
        <v>PL0011DGW</v>
      </c>
      <c r="B1265" s="164">
        <f>IFERROR(__xludf.DUMMYFUNCTION("""COMPUTED_VALUE"""),1.3046216E7)</f>
        <v>13046216</v>
      </c>
      <c r="C1265" s="164" t="str">
        <f>IFERROR(__xludf.DUMMYFUNCTION("""COMPUTED_VALUE"""),"1304621642")</f>
        <v>1304621642</v>
      </c>
      <c r="D1265" s="133" t="str">
        <f>IFERROR(__xludf.DUMMYFUNCTION("""COMPUTED_VALUE"""),"Платье")</f>
        <v>Платье</v>
      </c>
      <c r="E1265" s="133">
        <f>IFERROR(__xludf.DUMMYFUNCTION("""COMPUTED_VALUE"""),42.0)</f>
        <v>42</v>
      </c>
      <c r="F1265" s="133" t="str">
        <f>IFERROR(__xludf.DUMMYFUNCTION("""COMPUTED_VALUE"""),"PL0011DGW42")</f>
        <v>PL0011DGW42</v>
      </c>
      <c r="G1265" s="165">
        <f>IFERROR(__xludf.DUMMYFUNCTION("""COMPUTED_VALUE"""),660.0)</f>
        <v>660</v>
      </c>
    </row>
    <row r="1266" ht="15.75" customHeight="1">
      <c r="A1266" s="133" t="str">
        <f>IFERROR(__xludf.DUMMYFUNCTION("""COMPUTED_VALUE"""),"PL0011DGW")</f>
        <v>PL0011DGW</v>
      </c>
      <c r="B1266" s="164">
        <f>IFERROR(__xludf.DUMMYFUNCTION("""COMPUTED_VALUE"""),1.3046216E7)</f>
        <v>13046216</v>
      </c>
      <c r="C1266" s="164" t="str">
        <f>IFERROR(__xludf.DUMMYFUNCTION("""COMPUTED_VALUE"""),"1304621644")</f>
        <v>1304621644</v>
      </c>
      <c r="D1266" s="133" t="str">
        <f>IFERROR(__xludf.DUMMYFUNCTION("""COMPUTED_VALUE"""),"Платье")</f>
        <v>Платье</v>
      </c>
      <c r="E1266" s="133">
        <f>IFERROR(__xludf.DUMMYFUNCTION("""COMPUTED_VALUE"""),44.0)</f>
        <v>44</v>
      </c>
      <c r="F1266" s="133" t="str">
        <f>IFERROR(__xludf.DUMMYFUNCTION("""COMPUTED_VALUE"""),"PL0011DGW44")</f>
        <v>PL0011DGW44</v>
      </c>
      <c r="G1266" s="165">
        <f>IFERROR(__xludf.DUMMYFUNCTION("""COMPUTED_VALUE"""),660.0)</f>
        <v>660</v>
      </c>
    </row>
    <row r="1267" ht="15.75" customHeight="1">
      <c r="A1267" s="133" t="str">
        <f>IFERROR(__xludf.DUMMYFUNCTION("""COMPUTED_VALUE"""),"PL0012DGW")</f>
        <v>PL0012DGW</v>
      </c>
      <c r="B1267" s="164">
        <f>IFERROR(__xludf.DUMMYFUNCTION("""COMPUTED_VALUE"""),1.3046217E7)</f>
        <v>13046217</v>
      </c>
      <c r="C1267" s="164" t="str">
        <f>IFERROR(__xludf.DUMMYFUNCTION("""COMPUTED_VALUE"""),"1304621742-46")</f>
        <v>1304621742-46</v>
      </c>
      <c r="D1267" s="133" t="str">
        <f>IFERROR(__xludf.DUMMYFUNCTION("""COMPUTED_VALUE"""),"Платье")</f>
        <v>Платье</v>
      </c>
      <c r="E1267" s="133" t="str">
        <f>IFERROR(__xludf.DUMMYFUNCTION("""COMPUTED_VALUE"""),"42-46")</f>
        <v>42-46</v>
      </c>
      <c r="F1267" s="133" t="str">
        <f>IFERROR(__xludf.DUMMYFUNCTION("""COMPUTED_VALUE"""),"PL0012DGW42-46")</f>
        <v>PL0012DGW42-46</v>
      </c>
      <c r="G1267" s="165">
        <f>IFERROR(__xludf.DUMMYFUNCTION("""COMPUTED_VALUE"""),810.0)</f>
        <v>810</v>
      </c>
    </row>
    <row r="1268" ht="15.75" customHeight="1">
      <c r="A1268" s="133" t="str">
        <f>IFERROR(__xludf.DUMMYFUNCTION("""COMPUTED_VALUE"""),"PL0013DGW")</f>
        <v>PL0013DGW</v>
      </c>
      <c r="B1268" s="164">
        <f>IFERROR(__xludf.DUMMYFUNCTION("""COMPUTED_VALUE"""),1.3046218E7)</f>
        <v>13046218</v>
      </c>
      <c r="C1268" s="164" t="str">
        <f>IFERROR(__xludf.DUMMYFUNCTION("""COMPUTED_VALUE"""),"1304621842")</f>
        <v>1304621842</v>
      </c>
      <c r="D1268" s="133" t="str">
        <f>IFERROR(__xludf.DUMMYFUNCTION("""COMPUTED_VALUE"""),"Платье")</f>
        <v>Платье</v>
      </c>
      <c r="E1268" s="133">
        <f>IFERROR(__xludf.DUMMYFUNCTION("""COMPUTED_VALUE"""),42.0)</f>
        <v>42</v>
      </c>
      <c r="F1268" s="133" t="str">
        <f>IFERROR(__xludf.DUMMYFUNCTION("""COMPUTED_VALUE"""),"PL0013DGW42")</f>
        <v>PL0013DGW42</v>
      </c>
      <c r="G1268" s="165">
        <f>IFERROR(__xludf.DUMMYFUNCTION("""COMPUTED_VALUE"""),710.0)</f>
        <v>710</v>
      </c>
    </row>
    <row r="1269" ht="15.75" customHeight="1">
      <c r="A1269" s="133" t="str">
        <f>IFERROR(__xludf.DUMMYFUNCTION("""COMPUTED_VALUE"""),"PL0013DGW")</f>
        <v>PL0013DGW</v>
      </c>
      <c r="B1269" s="164">
        <f>IFERROR(__xludf.DUMMYFUNCTION("""COMPUTED_VALUE"""),1.3046218E7)</f>
        <v>13046218</v>
      </c>
      <c r="C1269" s="164" t="str">
        <f>IFERROR(__xludf.DUMMYFUNCTION("""COMPUTED_VALUE"""),"1304621844")</f>
        <v>1304621844</v>
      </c>
      <c r="D1269" s="133" t="str">
        <f>IFERROR(__xludf.DUMMYFUNCTION("""COMPUTED_VALUE"""),"Платье")</f>
        <v>Платье</v>
      </c>
      <c r="E1269" s="133">
        <f>IFERROR(__xludf.DUMMYFUNCTION("""COMPUTED_VALUE"""),44.0)</f>
        <v>44</v>
      </c>
      <c r="F1269" s="133" t="str">
        <f>IFERROR(__xludf.DUMMYFUNCTION("""COMPUTED_VALUE"""),"PL0013DGW44")</f>
        <v>PL0013DGW44</v>
      </c>
      <c r="G1269" s="165">
        <f>IFERROR(__xludf.DUMMYFUNCTION("""COMPUTED_VALUE"""),710.0)</f>
        <v>710</v>
      </c>
    </row>
    <row r="1270" ht="15.75" customHeight="1">
      <c r="A1270" s="133" t="str">
        <f>IFERROR(__xludf.DUMMYFUNCTION("""COMPUTED_VALUE"""),"PL0013DGW")</f>
        <v>PL0013DGW</v>
      </c>
      <c r="B1270" s="164">
        <f>IFERROR(__xludf.DUMMYFUNCTION("""COMPUTED_VALUE"""),1.3046218E7)</f>
        <v>13046218</v>
      </c>
      <c r="C1270" s="164" t="str">
        <f>IFERROR(__xludf.DUMMYFUNCTION("""COMPUTED_VALUE"""),"1304621846")</f>
        <v>1304621846</v>
      </c>
      <c r="D1270" s="133" t="str">
        <f>IFERROR(__xludf.DUMMYFUNCTION("""COMPUTED_VALUE"""),"Платье")</f>
        <v>Платье</v>
      </c>
      <c r="E1270" s="133">
        <f>IFERROR(__xludf.DUMMYFUNCTION("""COMPUTED_VALUE"""),46.0)</f>
        <v>46</v>
      </c>
      <c r="F1270" s="133" t="str">
        <f>IFERROR(__xludf.DUMMYFUNCTION("""COMPUTED_VALUE"""),"PL0013DGW46")</f>
        <v>PL0013DGW46</v>
      </c>
      <c r="G1270" s="165">
        <f>IFERROR(__xludf.DUMMYFUNCTION("""COMPUTED_VALUE"""),710.0)</f>
        <v>710</v>
      </c>
    </row>
    <row r="1271" ht="15.75" customHeight="1">
      <c r="A1271" s="133" t="str">
        <f>IFERROR(__xludf.DUMMYFUNCTION("""COMPUTED_VALUE"""),"PL0013DGW")</f>
        <v>PL0013DGW</v>
      </c>
      <c r="B1271" s="164">
        <f>IFERROR(__xludf.DUMMYFUNCTION("""COMPUTED_VALUE"""),1.3046218E7)</f>
        <v>13046218</v>
      </c>
      <c r="C1271" s="164" t="str">
        <f>IFERROR(__xludf.DUMMYFUNCTION("""COMPUTED_VALUE"""),"1304621848")</f>
        <v>1304621848</v>
      </c>
      <c r="D1271" s="133" t="str">
        <f>IFERROR(__xludf.DUMMYFUNCTION("""COMPUTED_VALUE"""),"Платье")</f>
        <v>Платье</v>
      </c>
      <c r="E1271" s="133">
        <f>IFERROR(__xludf.DUMMYFUNCTION("""COMPUTED_VALUE"""),48.0)</f>
        <v>48</v>
      </c>
      <c r="F1271" s="133" t="str">
        <f>IFERROR(__xludf.DUMMYFUNCTION("""COMPUTED_VALUE"""),"PL0013DGW48")</f>
        <v>PL0013DGW48</v>
      </c>
      <c r="G1271" s="165">
        <f>IFERROR(__xludf.DUMMYFUNCTION("""COMPUTED_VALUE"""),710.0)</f>
        <v>710</v>
      </c>
    </row>
    <row r="1272" ht="15.75" customHeight="1">
      <c r="A1272" s="133" t="str">
        <f>IFERROR(__xludf.DUMMYFUNCTION("""COMPUTED_VALUE"""),"PL0014DGW")</f>
        <v>PL0014DGW</v>
      </c>
      <c r="B1272" s="164">
        <f>IFERROR(__xludf.DUMMYFUNCTION("""COMPUTED_VALUE"""),1.3046219E7)</f>
        <v>13046219</v>
      </c>
      <c r="C1272" s="164" t="str">
        <f>IFERROR(__xludf.DUMMYFUNCTION("""COMPUTED_VALUE"""),"1304621942")</f>
        <v>1304621942</v>
      </c>
      <c r="D1272" s="133" t="str">
        <f>IFERROR(__xludf.DUMMYFUNCTION("""COMPUTED_VALUE"""),"Платье")</f>
        <v>Платье</v>
      </c>
      <c r="E1272" s="133">
        <f>IFERROR(__xludf.DUMMYFUNCTION("""COMPUTED_VALUE"""),42.0)</f>
        <v>42</v>
      </c>
      <c r="F1272" s="133" t="str">
        <f>IFERROR(__xludf.DUMMYFUNCTION("""COMPUTED_VALUE"""),"PL0014DGW42")</f>
        <v>PL0014DGW42</v>
      </c>
      <c r="G1272" s="165">
        <f>IFERROR(__xludf.DUMMYFUNCTION("""COMPUTED_VALUE"""),710.0)</f>
        <v>710</v>
      </c>
    </row>
    <row r="1273" ht="15.75" customHeight="1">
      <c r="A1273" s="133" t="str">
        <f>IFERROR(__xludf.DUMMYFUNCTION("""COMPUTED_VALUE"""),"PL0014DGW")</f>
        <v>PL0014DGW</v>
      </c>
      <c r="B1273" s="164">
        <f>IFERROR(__xludf.DUMMYFUNCTION("""COMPUTED_VALUE"""),1.3046219E7)</f>
        <v>13046219</v>
      </c>
      <c r="C1273" s="164" t="str">
        <f>IFERROR(__xludf.DUMMYFUNCTION("""COMPUTED_VALUE"""),"1304621944")</f>
        <v>1304621944</v>
      </c>
      <c r="D1273" s="133" t="str">
        <f>IFERROR(__xludf.DUMMYFUNCTION("""COMPUTED_VALUE"""),"Платье")</f>
        <v>Платье</v>
      </c>
      <c r="E1273" s="133">
        <f>IFERROR(__xludf.DUMMYFUNCTION("""COMPUTED_VALUE"""),44.0)</f>
        <v>44</v>
      </c>
      <c r="F1273" s="133" t="str">
        <f>IFERROR(__xludf.DUMMYFUNCTION("""COMPUTED_VALUE"""),"PL0014DGW44")</f>
        <v>PL0014DGW44</v>
      </c>
      <c r="G1273" s="165">
        <f>IFERROR(__xludf.DUMMYFUNCTION("""COMPUTED_VALUE"""),710.0)</f>
        <v>710</v>
      </c>
    </row>
    <row r="1274" ht="15.75" customHeight="1">
      <c r="A1274" s="133" t="str">
        <f>IFERROR(__xludf.DUMMYFUNCTION("""COMPUTED_VALUE"""),"PL0014DGW")</f>
        <v>PL0014DGW</v>
      </c>
      <c r="B1274" s="164">
        <f>IFERROR(__xludf.DUMMYFUNCTION("""COMPUTED_VALUE"""),1.3046219E7)</f>
        <v>13046219</v>
      </c>
      <c r="C1274" s="164" t="str">
        <f>IFERROR(__xludf.DUMMYFUNCTION("""COMPUTED_VALUE"""),"1304621946")</f>
        <v>1304621946</v>
      </c>
      <c r="D1274" s="133" t="str">
        <f>IFERROR(__xludf.DUMMYFUNCTION("""COMPUTED_VALUE"""),"Платье")</f>
        <v>Платье</v>
      </c>
      <c r="E1274" s="133">
        <f>IFERROR(__xludf.DUMMYFUNCTION("""COMPUTED_VALUE"""),46.0)</f>
        <v>46</v>
      </c>
      <c r="F1274" s="133" t="str">
        <f>IFERROR(__xludf.DUMMYFUNCTION("""COMPUTED_VALUE"""),"PL0014DGW46")</f>
        <v>PL0014DGW46</v>
      </c>
      <c r="G1274" s="165">
        <f>IFERROR(__xludf.DUMMYFUNCTION("""COMPUTED_VALUE"""),710.0)</f>
        <v>710</v>
      </c>
    </row>
    <row r="1275" ht="15.75" customHeight="1">
      <c r="A1275" s="133" t="str">
        <f>IFERROR(__xludf.DUMMYFUNCTION("""COMPUTED_VALUE"""),"PL0014DGW")</f>
        <v>PL0014DGW</v>
      </c>
      <c r="B1275" s="164">
        <f>IFERROR(__xludf.DUMMYFUNCTION("""COMPUTED_VALUE"""),1.3046219E7)</f>
        <v>13046219</v>
      </c>
      <c r="C1275" s="164" t="str">
        <f>IFERROR(__xludf.DUMMYFUNCTION("""COMPUTED_VALUE"""),"1304621948")</f>
        <v>1304621948</v>
      </c>
      <c r="D1275" s="133" t="str">
        <f>IFERROR(__xludf.DUMMYFUNCTION("""COMPUTED_VALUE"""),"Платье")</f>
        <v>Платье</v>
      </c>
      <c r="E1275" s="133">
        <f>IFERROR(__xludf.DUMMYFUNCTION("""COMPUTED_VALUE"""),48.0)</f>
        <v>48</v>
      </c>
      <c r="F1275" s="133" t="str">
        <f>IFERROR(__xludf.DUMMYFUNCTION("""COMPUTED_VALUE"""),"PL0014DGW48")</f>
        <v>PL0014DGW48</v>
      </c>
      <c r="G1275" s="165">
        <f>IFERROR(__xludf.DUMMYFUNCTION("""COMPUTED_VALUE"""),710.0)</f>
        <v>710</v>
      </c>
    </row>
    <row r="1276" ht="15.75" customHeight="1">
      <c r="A1276" s="133" t="str">
        <f>IFERROR(__xludf.DUMMYFUNCTION("""COMPUTED_VALUE"""),"PL0015DGW")</f>
        <v>PL0015DGW</v>
      </c>
      <c r="B1276" s="164">
        <f>IFERROR(__xludf.DUMMYFUNCTION("""COMPUTED_VALUE"""),1.304622E7)</f>
        <v>13046220</v>
      </c>
      <c r="C1276" s="164" t="str">
        <f>IFERROR(__xludf.DUMMYFUNCTION("""COMPUTED_VALUE"""),"1304622042")</f>
        <v>1304622042</v>
      </c>
      <c r="D1276" s="133" t="str">
        <f>IFERROR(__xludf.DUMMYFUNCTION("""COMPUTED_VALUE"""),"Платье")</f>
        <v>Платье</v>
      </c>
      <c r="E1276" s="133">
        <f>IFERROR(__xludf.DUMMYFUNCTION("""COMPUTED_VALUE"""),42.0)</f>
        <v>42</v>
      </c>
      <c r="F1276" s="133" t="str">
        <f>IFERROR(__xludf.DUMMYFUNCTION("""COMPUTED_VALUE"""),"PL0015DGW42")</f>
        <v>PL0015DGW42</v>
      </c>
      <c r="G1276" s="165">
        <f>IFERROR(__xludf.DUMMYFUNCTION("""COMPUTED_VALUE"""),660.0)</f>
        <v>660</v>
      </c>
    </row>
    <row r="1277" ht="15.75" customHeight="1">
      <c r="A1277" s="133" t="str">
        <f>IFERROR(__xludf.DUMMYFUNCTION("""COMPUTED_VALUE"""),"PL0015DGW")</f>
        <v>PL0015DGW</v>
      </c>
      <c r="B1277" s="164">
        <f>IFERROR(__xludf.DUMMYFUNCTION("""COMPUTED_VALUE"""),1.304622E7)</f>
        <v>13046220</v>
      </c>
      <c r="C1277" s="164" t="str">
        <f>IFERROR(__xludf.DUMMYFUNCTION("""COMPUTED_VALUE"""),"1304622044")</f>
        <v>1304622044</v>
      </c>
      <c r="D1277" s="133" t="str">
        <f>IFERROR(__xludf.DUMMYFUNCTION("""COMPUTED_VALUE"""),"Платье")</f>
        <v>Платье</v>
      </c>
      <c r="E1277" s="133">
        <f>IFERROR(__xludf.DUMMYFUNCTION("""COMPUTED_VALUE"""),44.0)</f>
        <v>44</v>
      </c>
      <c r="F1277" s="133" t="str">
        <f>IFERROR(__xludf.DUMMYFUNCTION("""COMPUTED_VALUE"""),"PL0015DGW44")</f>
        <v>PL0015DGW44</v>
      </c>
      <c r="G1277" s="165">
        <f>IFERROR(__xludf.DUMMYFUNCTION("""COMPUTED_VALUE"""),660.0)</f>
        <v>660</v>
      </c>
    </row>
    <row r="1278" ht="15.75" customHeight="1">
      <c r="A1278" s="133" t="str">
        <f>IFERROR(__xludf.DUMMYFUNCTION("""COMPUTED_VALUE"""),"PL0015DGW")</f>
        <v>PL0015DGW</v>
      </c>
      <c r="B1278" s="164">
        <f>IFERROR(__xludf.DUMMYFUNCTION("""COMPUTED_VALUE"""),1.304622E7)</f>
        <v>13046220</v>
      </c>
      <c r="C1278" s="164" t="str">
        <f>IFERROR(__xludf.DUMMYFUNCTION("""COMPUTED_VALUE"""),"1304622046")</f>
        <v>1304622046</v>
      </c>
      <c r="D1278" s="133" t="str">
        <f>IFERROR(__xludf.DUMMYFUNCTION("""COMPUTED_VALUE"""),"Платье")</f>
        <v>Платье</v>
      </c>
      <c r="E1278" s="133">
        <f>IFERROR(__xludf.DUMMYFUNCTION("""COMPUTED_VALUE"""),46.0)</f>
        <v>46</v>
      </c>
      <c r="F1278" s="133" t="str">
        <f>IFERROR(__xludf.DUMMYFUNCTION("""COMPUTED_VALUE"""),"PL0015DGW46")</f>
        <v>PL0015DGW46</v>
      </c>
      <c r="G1278" s="165">
        <f>IFERROR(__xludf.DUMMYFUNCTION("""COMPUTED_VALUE"""),660.0)</f>
        <v>660</v>
      </c>
    </row>
    <row r="1279" ht="15.75" customHeight="1">
      <c r="A1279" s="133" t="str">
        <f>IFERROR(__xludf.DUMMYFUNCTION("""COMPUTED_VALUE"""),"PL0015DGW")</f>
        <v>PL0015DGW</v>
      </c>
      <c r="B1279" s="164">
        <f>IFERROR(__xludf.DUMMYFUNCTION("""COMPUTED_VALUE"""),1.304622E7)</f>
        <v>13046220</v>
      </c>
      <c r="C1279" s="164" t="str">
        <f>IFERROR(__xludf.DUMMYFUNCTION("""COMPUTED_VALUE"""),"1304622048")</f>
        <v>1304622048</v>
      </c>
      <c r="D1279" s="133" t="str">
        <f>IFERROR(__xludf.DUMMYFUNCTION("""COMPUTED_VALUE"""),"Платье")</f>
        <v>Платье</v>
      </c>
      <c r="E1279" s="133">
        <f>IFERROR(__xludf.DUMMYFUNCTION("""COMPUTED_VALUE"""),48.0)</f>
        <v>48</v>
      </c>
      <c r="F1279" s="133" t="str">
        <f>IFERROR(__xludf.DUMMYFUNCTION("""COMPUTED_VALUE"""),"PL0015DGW48")</f>
        <v>PL0015DGW48</v>
      </c>
      <c r="G1279" s="165">
        <f>IFERROR(__xludf.DUMMYFUNCTION("""COMPUTED_VALUE"""),660.0)</f>
        <v>660</v>
      </c>
    </row>
    <row r="1280" ht="15.75" customHeight="1">
      <c r="A1280" s="133" t="str">
        <f>IFERROR(__xludf.DUMMYFUNCTION("""COMPUTED_VALUE"""),"PL0016DGW")</f>
        <v>PL0016DGW</v>
      </c>
      <c r="B1280" s="164">
        <f>IFERROR(__xludf.DUMMYFUNCTION("""COMPUTED_VALUE"""),1.3046221E7)</f>
        <v>13046221</v>
      </c>
      <c r="C1280" s="164" t="str">
        <f>IFERROR(__xludf.DUMMYFUNCTION("""COMPUTED_VALUE"""),"1304622142")</f>
        <v>1304622142</v>
      </c>
      <c r="D1280" s="133" t="str">
        <f>IFERROR(__xludf.DUMMYFUNCTION("""COMPUTED_VALUE"""),"Платье")</f>
        <v>Платье</v>
      </c>
      <c r="E1280" s="133">
        <f>IFERROR(__xludf.DUMMYFUNCTION("""COMPUTED_VALUE"""),42.0)</f>
        <v>42</v>
      </c>
      <c r="F1280" s="133" t="str">
        <f>IFERROR(__xludf.DUMMYFUNCTION("""COMPUTED_VALUE"""),"PL0016DGW42")</f>
        <v>PL0016DGW42</v>
      </c>
      <c r="G1280" s="165">
        <f>IFERROR(__xludf.DUMMYFUNCTION("""COMPUTED_VALUE"""),660.0)</f>
        <v>660</v>
      </c>
    </row>
    <row r="1281" ht="15.75" customHeight="1">
      <c r="A1281" s="133" t="str">
        <f>IFERROR(__xludf.DUMMYFUNCTION("""COMPUTED_VALUE"""),"PL0016DGW")</f>
        <v>PL0016DGW</v>
      </c>
      <c r="B1281" s="164">
        <f>IFERROR(__xludf.DUMMYFUNCTION("""COMPUTED_VALUE"""),1.3046221E7)</f>
        <v>13046221</v>
      </c>
      <c r="C1281" s="164" t="str">
        <f>IFERROR(__xludf.DUMMYFUNCTION("""COMPUTED_VALUE"""),"1304622144")</f>
        <v>1304622144</v>
      </c>
      <c r="D1281" s="133" t="str">
        <f>IFERROR(__xludf.DUMMYFUNCTION("""COMPUTED_VALUE"""),"Платье")</f>
        <v>Платье</v>
      </c>
      <c r="E1281" s="133">
        <f>IFERROR(__xludf.DUMMYFUNCTION("""COMPUTED_VALUE"""),44.0)</f>
        <v>44</v>
      </c>
      <c r="F1281" s="133" t="str">
        <f>IFERROR(__xludf.DUMMYFUNCTION("""COMPUTED_VALUE"""),"PL0016DGW44")</f>
        <v>PL0016DGW44</v>
      </c>
      <c r="G1281" s="165">
        <f>IFERROR(__xludf.DUMMYFUNCTION("""COMPUTED_VALUE"""),660.0)</f>
        <v>660</v>
      </c>
    </row>
    <row r="1282" ht="15.75" customHeight="1">
      <c r="A1282" s="133" t="str">
        <f>IFERROR(__xludf.DUMMYFUNCTION("""COMPUTED_VALUE"""),"PL0016DGW")</f>
        <v>PL0016DGW</v>
      </c>
      <c r="B1282" s="164">
        <f>IFERROR(__xludf.DUMMYFUNCTION("""COMPUTED_VALUE"""),1.3046221E7)</f>
        <v>13046221</v>
      </c>
      <c r="C1282" s="164" t="str">
        <f>IFERROR(__xludf.DUMMYFUNCTION("""COMPUTED_VALUE"""),"1304622146")</f>
        <v>1304622146</v>
      </c>
      <c r="D1282" s="133" t="str">
        <f>IFERROR(__xludf.DUMMYFUNCTION("""COMPUTED_VALUE"""),"Платье")</f>
        <v>Платье</v>
      </c>
      <c r="E1282" s="133">
        <f>IFERROR(__xludf.DUMMYFUNCTION("""COMPUTED_VALUE"""),46.0)</f>
        <v>46</v>
      </c>
      <c r="F1282" s="133" t="str">
        <f>IFERROR(__xludf.DUMMYFUNCTION("""COMPUTED_VALUE"""),"PL0016DGW46")</f>
        <v>PL0016DGW46</v>
      </c>
      <c r="G1282" s="165">
        <f>IFERROR(__xludf.DUMMYFUNCTION("""COMPUTED_VALUE"""),660.0)</f>
        <v>660</v>
      </c>
    </row>
    <row r="1283" ht="15.75" customHeight="1">
      <c r="A1283" s="133" t="str">
        <f>IFERROR(__xludf.DUMMYFUNCTION("""COMPUTED_VALUE"""),"PL0016DGW")</f>
        <v>PL0016DGW</v>
      </c>
      <c r="B1283" s="164">
        <f>IFERROR(__xludf.DUMMYFUNCTION("""COMPUTED_VALUE"""),1.3046221E7)</f>
        <v>13046221</v>
      </c>
      <c r="C1283" s="164" t="str">
        <f>IFERROR(__xludf.DUMMYFUNCTION("""COMPUTED_VALUE"""),"1304622148")</f>
        <v>1304622148</v>
      </c>
      <c r="D1283" s="133" t="str">
        <f>IFERROR(__xludf.DUMMYFUNCTION("""COMPUTED_VALUE"""),"Платье")</f>
        <v>Платье</v>
      </c>
      <c r="E1283" s="133">
        <f>IFERROR(__xludf.DUMMYFUNCTION("""COMPUTED_VALUE"""),48.0)</f>
        <v>48</v>
      </c>
      <c r="F1283" s="133" t="str">
        <f>IFERROR(__xludf.DUMMYFUNCTION("""COMPUTED_VALUE"""),"PL0016DGW48")</f>
        <v>PL0016DGW48</v>
      </c>
      <c r="G1283" s="165">
        <f>IFERROR(__xludf.DUMMYFUNCTION("""COMPUTED_VALUE"""),660.0)</f>
        <v>660</v>
      </c>
    </row>
    <row r="1284" ht="15.75" customHeight="1">
      <c r="A1284" s="133" t="str">
        <f>IFERROR(__xludf.DUMMYFUNCTION("""COMPUTED_VALUE"""),"PL0017DGW")</f>
        <v>PL0017DGW</v>
      </c>
      <c r="B1284" s="164">
        <f>IFERROR(__xludf.DUMMYFUNCTION("""COMPUTED_VALUE"""),1.3046222E7)</f>
        <v>13046222</v>
      </c>
      <c r="C1284" s="164" t="str">
        <f>IFERROR(__xludf.DUMMYFUNCTION("""COMPUTED_VALUE"""),"1304622242")</f>
        <v>1304622242</v>
      </c>
      <c r="D1284" s="133" t="str">
        <f>IFERROR(__xludf.DUMMYFUNCTION("""COMPUTED_VALUE"""),"Платье")</f>
        <v>Платье</v>
      </c>
      <c r="E1284" s="133">
        <f>IFERROR(__xludf.DUMMYFUNCTION("""COMPUTED_VALUE"""),42.0)</f>
        <v>42</v>
      </c>
      <c r="F1284" s="133" t="str">
        <f>IFERROR(__xludf.DUMMYFUNCTION("""COMPUTED_VALUE"""),"PL0017DGW42")</f>
        <v>PL0017DGW42</v>
      </c>
      <c r="G1284" s="165">
        <f>IFERROR(__xludf.DUMMYFUNCTION("""COMPUTED_VALUE"""),660.0)</f>
        <v>660</v>
      </c>
    </row>
    <row r="1285" ht="15.75" customHeight="1">
      <c r="A1285" s="133" t="str">
        <f>IFERROR(__xludf.DUMMYFUNCTION("""COMPUTED_VALUE"""),"PL0017DGW")</f>
        <v>PL0017DGW</v>
      </c>
      <c r="B1285" s="164">
        <f>IFERROR(__xludf.DUMMYFUNCTION("""COMPUTED_VALUE"""),1.3046222E7)</f>
        <v>13046222</v>
      </c>
      <c r="C1285" s="164" t="str">
        <f>IFERROR(__xludf.DUMMYFUNCTION("""COMPUTED_VALUE"""),"1304622244")</f>
        <v>1304622244</v>
      </c>
      <c r="D1285" s="133" t="str">
        <f>IFERROR(__xludf.DUMMYFUNCTION("""COMPUTED_VALUE"""),"Платье")</f>
        <v>Платье</v>
      </c>
      <c r="E1285" s="133">
        <f>IFERROR(__xludf.DUMMYFUNCTION("""COMPUTED_VALUE"""),44.0)</f>
        <v>44</v>
      </c>
      <c r="F1285" s="133" t="str">
        <f>IFERROR(__xludf.DUMMYFUNCTION("""COMPUTED_VALUE"""),"PL0017DGW44")</f>
        <v>PL0017DGW44</v>
      </c>
      <c r="G1285" s="165">
        <f>IFERROR(__xludf.DUMMYFUNCTION("""COMPUTED_VALUE"""),660.0)</f>
        <v>660</v>
      </c>
    </row>
    <row r="1286" ht="15.75" customHeight="1">
      <c r="A1286" s="133" t="str">
        <f>IFERROR(__xludf.DUMMYFUNCTION("""COMPUTED_VALUE"""),"PL0018DGW")</f>
        <v>PL0018DGW</v>
      </c>
      <c r="B1286" s="164">
        <f>IFERROR(__xludf.DUMMYFUNCTION("""COMPUTED_VALUE"""),1.3046223E7)</f>
        <v>13046223</v>
      </c>
      <c r="C1286" s="164" t="str">
        <f>IFERROR(__xludf.DUMMYFUNCTION("""COMPUTED_VALUE"""),"1304622342")</f>
        <v>1304622342</v>
      </c>
      <c r="D1286" s="133" t="str">
        <f>IFERROR(__xludf.DUMMYFUNCTION("""COMPUTED_VALUE"""),"Платье")</f>
        <v>Платье</v>
      </c>
      <c r="E1286" s="133">
        <f>IFERROR(__xludf.DUMMYFUNCTION("""COMPUTED_VALUE"""),42.0)</f>
        <v>42</v>
      </c>
      <c r="F1286" s="133" t="str">
        <f>IFERROR(__xludf.DUMMYFUNCTION("""COMPUTED_VALUE"""),"PL0018DGW42")</f>
        <v>PL0018DGW42</v>
      </c>
      <c r="G1286" s="165">
        <f>IFERROR(__xludf.DUMMYFUNCTION("""COMPUTED_VALUE"""),660.0)</f>
        <v>660</v>
      </c>
    </row>
    <row r="1287" ht="15.75" customHeight="1">
      <c r="A1287" s="133" t="str">
        <f>IFERROR(__xludf.DUMMYFUNCTION("""COMPUTED_VALUE"""),"PL0018DGW")</f>
        <v>PL0018DGW</v>
      </c>
      <c r="B1287" s="164">
        <f>IFERROR(__xludf.DUMMYFUNCTION("""COMPUTED_VALUE"""),1.3046223E7)</f>
        <v>13046223</v>
      </c>
      <c r="C1287" s="164" t="str">
        <f>IFERROR(__xludf.DUMMYFUNCTION("""COMPUTED_VALUE"""),"1304622344")</f>
        <v>1304622344</v>
      </c>
      <c r="D1287" s="133" t="str">
        <f>IFERROR(__xludf.DUMMYFUNCTION("""COMPUTED_VALUE"""),"Платье")</f>
        <v>Платье</v>
      </c>
      <c r="E1287" s="133">
        <f>IFERROR(__xludf.DUMMYFUNCTION("""COMPUTED_VALUE"""),44.0)</f>
        <v>44</v>
      </c>
      <c r="F1287" s="133" t="str">
        <f>IFERROR(__xludf.DUMMYFUNCTION("""COMPUTED_VALUE"""),"PL0018DGW44")</f>
        <v>PL0018DGW44</v>
      </c>
      <c r="G1287" s="165">
        <f>IFERROR(__xludf.DUMMYFUNCTION("""COMPUTED_VALUE"""),660.0)</f>
        <v>660</v>
      </c>
    </row>
    <row r="1288" ht="15.75" customHeight="1">
      <c r="A1288" s="133" t="str">
        <f>IFERROR(__xludf.DUMMYFUNCTION("""COMPUTED_VALUE"""),"PL0019DGW")</f>
        <v>PL0019DGW</v>
      </c>
      <c r="B1288" s="164">
        <f>IFERROR(__xludf.DUMMYFUNCTION("""COMPUTED_VALUE"""),1.3046224E7)</f>
        <v>13046224</v>
      </c>
      <c r="C1288" s="164" t="str">
        <f>IFERROR(__xludf.DUMMYFUNCTION("""COMPUTED_VALUE"""),"1304622442")</f>
        <v>1304622442</v>
      </c>
      <c r="D1288" s="133" t="str">
        <f>IFERROR(__xludf.DUMMYFUNCTION("""COMPUTED_VALUE"""),"Платье")</f>
        <v>Платье</v>
      </c>
      <c r="E1288" s="133">
        <f>IFERROR(__xludf.DUMMYFUNCTION("""COMPUTED_VALUE"""),42.0)</f>
        <v>42</v>
      </c>
      <c r="F1288" s="133" t="str">
        <f>IFERROR(__xludf.DUMMYFUNCTION("""COMPUTED_VALUE"""),"PL0019DGW42")</f>
        <v>PL0019DGW42</v>
      </c>
      <c r="G1288" s="165">
        <f>IFERROR(__xludf.DUMMYFUNCTION("""COMPUTED_VALUE"""),660.0)</f>
        <v>660</v>
      </c>
    </row>
    <row r="1289" ht="15.75" customHeight="1">
      <c r="A1289" s="133" t="str">
        <f>IFERROR(__xludf.DUMMYFUNCTION("""COMPUTED_VALUE"""),"PL0019DGW")</f>
        <v>PL0019DGW</v>
      </c>
      <c r="B1289" s="164">
        <f>IFERROR(__xludf.DUMMYFUNCTION("""COMPUTED_VALUE"""),1.3046224E7)</f>
        <v>13046224</v>
      </c>
      <c r="C1289" s="164" t="str">
        <f>IFERROR(__xludf.DUMMYFUNCTION("""COMPUTED_VALUE"""),"1304622444")</f>
        <v>1304622444</v>
      </c>
      <c r="D1289" s="133" t="str">
        <f>IFERROR(__xludf.DUMMYFUNCTION("""COMPUTED_VALUE"""),"Платье")</f>
        <v>Платье</v>
      </c>
      <c r="E1289" s="133">
        <f>IFERROR(__xludf.DUMMYFUNCTION("""COMPUTED_VALUE"""),44.0)</f>
        <v>44</v>
      </c>
      <c r="F1289" s="133" t="str">
        <f>IFERROR(__xludf.DUMMYFUNCTION("""COMPUTED_VALUE"""),"PL0019DGW44")</f>
        <v>PL0019DGW44</v>
      </c>
      <c r="G1289" s="165">
        <f>IFERROR(__xludf.DUMMYFUNCTION("""COMPUTED_VALUE"""),660.0)</f>
        <v>660</v>
      </c>
    </row>
    <row r="1290" ht="15.75" customHeight="1">
      <c r="A1290" s="133" t="str">
        <f>IFERROR(__xludf.DUMMYFUNCTION("""COMPUTED_VALUE"""),"PL0020DGW")</f>
        <v>PL0020DGW</v>
      </c>
      <c r="B1290" s="164">
        <f>IFERROR(__xludf.DUMMYFUNCTION("""COMPUTED_VALUE"""),1.3046225E7)</f>
        <v>13046225</v>
      </c>
      <c r="C1290" s="164" t="str">
        <f>IFERROR(__xludf.DUMMYFUNCTION("""COMPUTED_VALUE"""),"1304622542")</f>
        <v>1304622542</v>
      </c>
      <c r="D1290" s="133" t="str">
        <f>IFERROR(__xludf.DUMMYFUNCTION("""COMPUTED_VALUE"""),"Платье")</f>
        <v>Платье</v>
      </c>
      <c r="E1290" s="133">
        <f>IFERROR(__xludf.DUMMYFUNCTION("""COMPUTED_VALUE"""),42.0)</f>
        <v>42</v>
      </c>
      <c r="F1290" s="133" t="str">
        <f>IFERROR(__xludf.DUMMYFUNCTION("""COMPUTED_VALUE"""),"PL0020DGW42")</f>
        <v>PL0020DGW42</v>
      </c>
      <c r="G1290" s="165">
        <f>IFERROR(__xludf.DUMMYFUNCTION("""COMPUTED_VALUE"""),660.0)</f>
        <v>660</v>
      </c>
    </row>
    <row r="1291" ht="15.75" customHeight="1">
      <c r="A1291" s="133" t="str">
        <f>IFERROR(__xludf.DUMMYFUNCTION("""COMPUTED_VALUE"""),"PL0020DGW")</f>
        <v>PL0020DGW</v>
      </c>
      <c r="B1291" s="164">
        <f>IFERROR(__xludf.DUMMYFUNCTION("""COMPUTED_VALUE"""),1.3046225E7)</f>
        <v>13046225</v>
      </c>
      <c r="C1291" s="164" t="str">
        <f>IFERROR(__xludf.DUMMYFUNCTION("""COMPUTED_VALUE"""),"1304622544")</f>
        <v>1304622544</v>
      </c>
      <c r="D1291" s="133" t="str">
        <f>IFERROR(__xludf.DUMMYFUNCTION("""COMPUTED_VALUE"""),"Платье")</f>
        <v>Платье</v>
      </c>
      <c r="E1291" s="133">
        <f>IFERROR(__xludf.DUMMYFUNCTION("""COMPUTED_VALUE"""),44.0)</f>
        <v>44</v>
      </c>
      <c r="F1291" s="133" t="str">
        <f>IFERROR(__xludf.DUMMYFUNCTION("""COMPUTED_VALUE"""),"PL0020DGW44")</f>
        <v>PL0020DGW44</v>
      </c>
      <c r="G1291" s="165">
        <f>IFERROR(__xludf.DUMMYFUNCTION("""COMPUTED_VALUE"""),660.0)</f>
        <v>660</v>
      </c>
    </row>
    <row r="1292" ht="15.75" customHeight="1">
      <c r="A1292" s="133" t="str">
        <f>IFERROR(__xludf.DUMMYFUNCTION("""COMPUTED_VALUE"""),"PL0020DGW")</f>
        <v>PL0020DGW</v>
      </c>
      <c r="B1292" s="164">
        <f>IFERROR(__xludf.DUMMYFUNCTION("""COMPUTED_VALUE"""),1.3046225E7)</f>
        <v>13046225</v>
      </c>
      <c r="C1292" s="164" t="str">
        <f>IFERROR(__xludf.DUMMYFUNCTION("""COMPUTED_VALUE"""),"1304622546")</f>
        <v>1304622546</v>
      </c>
      <c r="D1292" s="133" t="str">
        <f>IFERROR(__xludf.DUMMYFUNCTION("""COMPUTED_VALUE"""),"Платье")</f>
        <v>Платье</v>
      </c>
      <c r="E1292" s="133">
        <f>IFERROR(__xludf.DUMMYFUNCTION("""COMPUTED_VALUE"""),46.0)</f>
        <v>46</v>
      </c>
      <c r="F1292" s="133" t="str">
        <f>IFERROR(__xludf.DUMMYFUNCTION("""COMPUTED_VALUE"""),"PL0020DGW46")</f>
        <v>PL0020DGW46</v>
      </c>
      <c r="G1292" s="165">
        <f>IFERROR(__xludf.DUMMYFUNCTION("""COMPUTED_VALUE"""),660.0)</f>
        <v>660</v>
      </c>
    </row>
    <row r="1293" ht="15.75" customHeight="1">
      <c r="A1293" s="133" t="str">
        <f>IFERROR(__xludf.DUMMYFUNCTION("""COMPUTED_VALUE"""),"PL0020DGW")</f>
        <v>PL0020DGW</v>
      </c>
      <c r="B1293" s="164">
        <f>IFERROR(__xludf.DUMMYFUNCTION("""COMPUTED_VALUE"""),1.3046225E7)</f>
        <v>13046225</v>
      </c>
      <c r="C1293" s="164" t="str">
        <f>IFERROR(__xludf.DUMMYFUNCTION("""COMPUTED_VALUE"""),"1304622548")</f>
        <v>1304622548</v>
      </c>
      <c r="D1293" s="133" t="str">
        <f>IFERROR(__xludf.DUMMYFUNCTION("""COMPUTED_VALUE"""),"Платье")</f>
        <v>Платье</v>
      </c>
      <c r="E1293" s="133">
        <f>IFERROR(__xludf.DUMMYFUNCTION("""COMPUTED_VALUE"""),48.0)</f>
        <v>48</v>
      </c>
      <c r="F1293" s="133" t="str">
        <f>IFERROR(__xludf.DUMMYFUNCTION("""COMPUTED_VALUE"""),"PL0020DGW48")</f>
        <v>PL0020DGW48</v>
      </c>
      <c r="G1293" s="165">
        <f>IFERROR(__xludf.DUMMYFUNCTION("""COMPUTED_VALUE"""),660.0)</f>
        <v>660</v>
      </c>
    </row>
    <row r="1294" ht="15.75" customHeight="1">
      <c r="A1294" s="133" t="str">
        <f>IFERROR(__xludf.DUMMYFUNCTION("""COMPUTED_VALUE"""),"PL0021DGW")</f>
        <v>PL0021DGW</v>
      </c>
      <c r="B1294" s="164">
        <f>IFERROR(__xludf.DUMMYFUNCTION("""COMPUTED_VALUE"""),1.3046226E7)</f>
        <v>13046226</v>
      </c>
      <c r="C1294" s="164" t="str">
        <f>IFERROR(__xludf.DUMMYFUNCTION("""COMPUTED_VALUE"""),"1304622642")</f>
        <v>1304622642</v>
      </c>
      <c r="D1294" s="133" t="str">
        <f>IFERROR(__xludf.DUMMYFUNCTION("""COMPUTED_VALUE"""),"Платье")</f>
        <v>Платье</v>
      </c>
      <c r="E1294" s="133">
        <f>IFERROR(__xludf.DUMMYFUNCTION("""COMPUTED_VALUE"""),42.0)</f>
        <v>42</v>
      </c>
      <c r="F1294" s="133" t="str">
        <f>IFERROR(__xludf.DUMMYFUNCTION("""COMPUTED_VALUE"""),"PL0021DGW42")</f>
        <v>PL0021DGW42</v>
      </c>
      <c r="G1294" s="165">
        <f>IFERROR(__xludf.DUMMYFUNCTION("""COMPUTED_VALUE"""),660.0)</f>
        <v>660</v>
      </c>
    </row>
    <row r="1295" ht="15.75" customHeight="1">
      <c r="A1295" s="133" t="str">
        <f>IFERROR(__xludf.DUMMYFUNCTION("""COMPUTED_VALUE"""),"PL0021DGW")</f>
        <v>PL0021DGW</v>
      </c>
      <c r="B1295" s="164">
        <f>IFERROR(__xludf.DUMMYFUNCTION("""COMPUTED_VALUE"""),1.3046226E7)</f>
        <v>13046226</v>
      </c>
      <c r="C1295" s="164" t="str">
        <f>IFERROR(__xludf.DUMMYFUNCTION("""COMPUTED_VALUE"""),"1304622644")</f>
        <v>1304622644</v>
      </c>
      <c r="D1295" s="133" t="str">
        <f>IFERROR(__xludf.DUMMYFUNCTION("""COMPUTED_VALUE"""),"Платье")</f>
        <v>Платье</v>
      </c>
      <c r="E1295" s="133">
        <f>IFERROR(__xludf.DUMMYFUNCTION("""COMPUTED_VALUE"""),44.0)</f>
        <v>44</v>
      </c>
      <c r="F1295" s="133" t="str">
        <f>IFERROR(__xludf.DUMMYFUNCTION("""COMPUTED_VALUE"""),"PL0021DGW44")</f>
        <v>PL0021DGW44</v>
      </c>
      <c r="G1295" s="165">
        <f>IFERROR(__xludf.DUMMYFUNCTION("""COMPUTED_VALUE"""),660.0)</f>
        <v>660</v>
      </c>
    </row>
    <row r="1296" ht="15.75" customHeight="1">
      <c r="A1296" s="133" t="str">
        <f>IFERROR(__xludf.DUMMYFUNCTION("""COMPUTED_VALUE"""),"PL0021DGW")</f>
        <v>PL0021DGW</v>
      </c>
      <c r="B1296" s="164">
        <f>IFERROR(__xludf.DUMMYFUNCTION("""COMPUTED_VALUE"""),1.3046226E7)</f>
        <v>13046226</v>
      </c>
      <c r="C1296" s="164" t="str">
        <f>IFERROR(__xludf.DUMMYFUNCTION("""COMPUTED_VALUE"""),"1304622646")</f>
        <v>1304622646</v>
      </c>
      <c r="D1296" s="133" t="str">
        <f>IFERROR(__xludf.DUMMYFUNCTION("""COMPUTED_VALUE"""),"Платье")</f>
        <v>Платье</v>
      </c>
      <c r="E1296" s="133">
        <f>IFERROR(__xludf.DUMMYFUNCTION("""COMPUTED_VALUE"""),46.0)</f>
        <v>46</v>
      </c>
      <c r="F1296" s="133" t="str">
        <f>IFERROR(__xludf.DUMMYFUNCTION("""COMPUTED_VALUE"""),"PL0021DGW46")</f>
        <v>PL0021DGW46</v>
      </c>
      <c r="G1296" s="165">
        <f>IFERROR(__xludf.DUMMYFUNCTION("""COMPUTED_VALUE"""),660.0)</f>
        <v>660</v>
      </c>
    </row>
    <row r="1297" ht="15.75" customHeight="1">
      <c r="A1297" s="133" t="str">
        <f>IFERROR(__xludf.DUMMYFUNCTION("""COMPUTED_VALUE"""),"PL0021DGW")</f>
        <v>PL0021DGW</v>
      </c>
      <c r="B1297" s="164">
        <f>IFERROR(__xludf.DUMMYFUNCTION("""COMPUTED_VALUE"""),1.3046226E7)</f>
        <v>13046226</v>
      </c>
      <c r="C1297" s="164" t="str">
        <f>IFERROR(__xludf.DUMMYFUNCTION("""COMPUTED_VALUE"""),"1304622648")</f>
        <v>1304622648</v>
      </c>
      <c r="D1297" s="133" t="str">
        <f>IFERROR(__xludf.DUMMYFUNCTION("""COMPUTED_VALUE"""),"Платье")</f>
        <v>Платье</v>
      </c>
      <c r="E1297" s="133">
        <f>IFERROR(__xludf.DUMMYFUNCTION("""COMPUTED_VALUE"""),48.0)</f>
        <v>48</v>
      </c>
      <c r="F1297" s="133" t="str">
        <f>IFERROR(__xludf.DUMMYFUNCTION("""COMPUTED_VALUE"""),"PL0021DGW48")</f>
        <v>PL0021DGW48</v>
      </c>
      <c r="G1297" s="165">
        <f>IFERROR(__xludf.DUMMYFUNCTION("""COMPUTED_VALUE"""),660.0)</f>
        <v>660</v>
      </c>
    </row>
    <row r="1298" ht="15.75" customHeight="1">
      <c r="A1298" s="133" t="str">
        <f>IFERROR(__xludf.DUMMYFUNCTION("""COMPUTED_VALUE"""),"PL0126DGW")</f>
        <v>PL0126DGW</v>
      </c>
      <c r="B1298" s="164">
        <f>IFERROR(__xludf.DUMMYFUNCTION("""COMPUTED_VALUE"""),1.3320219E7)</f>
        <v>13320219</v>
      </c>
      <c r="C1298" s="164" t="str">
        <f>IFERROR(__xludf.DUMMYFUNCTION("""COMPUTED_VALUE"""),"1332021942")</f>
        <v>1332021942</v>
      </c>
      <c r="D1298" s="133" t="str">
        <f>IFERROR(__xludf.DUMMYFUNCTION("""COMPUTED_VALUE"""),"Платье")</f>
        <v>Платье</v>
      </c>
      <c r="E1298" s="133">
        <f>IFERROR(__xludf.DUMMYFUNCTION("""COMPUTED_VALUE"""),42.0)</f>
        <v>42</v>
      </c>
      <c r="F1298" s="133" t="str">
        <f>IFERROR(__xludf.DUMMYFUNCTION("""COMPUTED_VALUE"""),"PL0126DGW42")</f>
        <v>PL0126DGW42</v>
      </c>
      <c r="G1298" s="165">
        <f>IFERROR(__xludf.DUMMYFUNCTION("""COMPUTED_VALUE"""),825.0)</f>
        <v>825</v>
      </c>
    </row>
    <row r="1299" ht="15.75" customHeight="1">
      <c r="A1299" s="133" t="str">
        <f>IFERROR(__xludf.DUMMYFUNCTION("""COMPUTED_VALUE"""),"PL0126DGW")</f>
        <v>PL0126DGW</v>
      </c>
      <c r="B1299" s="164">
        <f>IFERROR(__xludf.DUMMYFUNCTION("""COMPUTED_VALUE"""),1.3320219E7)</f>
        <v>13320219</v>
      </c>
      <c r="C1299" s="164" t="str">
        <f>IFERROR(__xludf.DUMMYFUNCTION("""COMPUTED_VALUE"""),"1332021944")</f>
        <v>1332021944</v>
      </c>
      <c r="D1299" s="133" t="str">
        <f>IFERROR(__xludf.DUMMYFUNCTION("""COMPUTED_VALUE"""),"Платье")</f>
        <v>Платье</v>
      </c>
      <c r="E1299" s="133">
        <f>IFERROR(__xludf.DUMMYFUNCTION("""COMPUTED_VALUE"""),44.0)</f>
        <v>44</v>
      </c>
      <c r="F1299" s="133" t="str">
        <f>IFERROR(__xludf.DUMMYFUNCTION("""COMPUTED_VALUE"""),"PL0126DGW44")</f>
        <v>PL0126DGW44</v>
      </c>
      <c r="G1299" s="165">
        <f>IFERROR(__xludf.DUMMYFUNCTION("""COMPUTED_VALUE"""),825.0)</f>
        <v>825</v>
      </c>
    </row>
    <row r="1300" ht="15.75" customHeight="1">
      <c r="A1300" s="133" t="str">
        <f>IFERROR(__xludf.DUMMYFUNCTION("""COMPUTED_VALUE"""),"PL00127DGW")</f>
        <v>PL00127DGW</v>
      </c>
      <c r="B1300" s="164">
        <f>IFERROR(__xludf.DUMMYFUNCTION("""COMPUTED_VALUE"""),1.3320215E7)</f>
        <v>13320215</v>
      </c>
      <c r="C1300" s="164" t="str">
        <f>IFERROR(__xludf.DUMMYFUNCTION("""COMPUTED_VALUE"""),"1332021542")</f>
        <v>1332021542</v>
      </c>
      <c r="D1300" s="133" t="str">
        <f>IFERROR(__xludf.DUMMYFUNCTION("""COMPUTED_VALUE"""),"Платье")</f>
        <v>Платье</v>
      </c>
      <c r="E1300" s="133">
        <f>IFERROR(__xludf.DUMMYFUNCTION("""COMPUTED_VALUE"""),42.0)</f>
        <v>42</v>
      </c>
      <c r="F1300" s="133" t="str">
        <f>IFERROR(__xludf.DUMMYFUNCTION("""COMPUTED_VALUE"""),"PL00127DGW42")</f>
        <v>PL00127DGW42</v>
      </c>
      <c r="G1300" s="165">
        <f>IFERROR(__xludf.DUMMYFUNCTION("""COMPUTED_VALUE"""),825.0)</f>
        <v>825</v>
      </c>
    </row>
    <row r="1301" ht="15.75" customHeight="1">
      <c r="A1301" s="133" t="str">
        <f>IFERROR(__xludf.DUMMYFUNCTION("""COMPUTED_VALUE"""),"PL00127DGW")</f>
        <v>PL00127DGW</v>
      </c>
      <c r="B1301" s="164">
        <f>IFERROR(__xludf.DUMMYFUNCTION("""COMPUTED_VALUE"""),1.3320215E7)</f>
        <v>13320215</v>
      </c>
      <c r="C1301" s="164" t="str">
        <f>IFERROR(__xludf.DUMMYFUNCTION("""COMPUTED_VALUE"""),"1332021544")</f>
        <v>1332021544</v>
      </c>
      <c r="D1301" s="133" t="str">
        <f>IFERROR(__xludf.DUMMYFUNCTION("""COMPUTED_VALUE"""),"Платье")</f>
        <v>Платье</v>
      </c>
      <c r="E1301" s="133">
        <f>IFERROR(__xludf.DUMMYFUNCTION("""COMPUTED_VALUE"""),44.0)</f>
        <v>44</v>
      </c>
      <c r="F1301" s="133" t="str">
        <f>IFERROR(__xludf.DUMMYFUNCTION("""COMPUTED_VALUE"""),"PL00127DGW44")</f>
        <v>PL00127DGW44</v>
      </c>
      <c r="G1301" s="165">
        <f>IFERROR(__xludf.DUMMYFUNCTION("""COMPUTED_VALUE"""),825.0)</f>
        <v>825</v>
      </c>
    </row>
    <row r="1302" ht="15.75" customHeight="1">
      <c r="A1302" s="133" t="str">
        <f>IFERROR(__xludf.DUMMYFUNCTION("""COMPUTED_VALUE"""),"PL00128DGW")</f>
        <v>PL00128DGW</v>
      </c>
      <c r="B1302" s="164">
        <f>IFERROR(__xludf.DUMMYFUNCTION("""COMPUTED_VALUE"""),1.3320216E7)</f>
        <v>13320216</v>
      </c>
      <c r="C1302" s="164" t="str">
        <f>IFERROR(__xludf.DUMMYFUNCTION("""COMPUTED_VALUE"""),"1332021642")</f>
        <v>1332021642</v>
      </c>
      <c r="D1302" s="133" t="str">
        <f>IFERROR(__xludf.DUMMYFUNCTION("""COMPUTED_VALUE"""),"Платье")</f>
        <v>Платье</v>
      </c>
      <c r="E1302" s="133">
        <f>IFERROR(__xludf.DUMMYFUNCTION("""COMPUTED_VALUE"""),42.0)</f>
        <v>42</v>
      </c>
      <c r="F1302" s="133" t="str">
        <f>IFERROR(__xludf.DUMMYFUNCTION("""COMPUTED_VALUE"""),"PL00128DGW42")</f>
        <v>PL00128DGW42</v>
      </c>
      <c r="G1302" s="165">
        <f>IFERROR(__xludf.DUMMYFUNCTION("""COMPUTED_VALUE"""),825.0)</f>
        <v>825</v>
      </c>
    </row>
    <row r="1303" ht="15.75" customHeight="1">
      <c r="A1303" s="133" t="str">
        <f>IFERROR(__xludf.DUMMYFUNCTION("""COMPUTED_VALUE"""),"PL00128DGW")</f>
        <v>PL00128DGW</v>
      </c>
      <c r="B1303" s="164">
        <f>IFERROR(__xludf.DUMMYFUNCTION("""COMPUTED_VALUE"""),1.3320216E7)</f>
        <v>13320216</v>
      </c>
      <c r="C1303" s="164" t="str">
        <f>IFERROR(__xludf.DUMMYFUNCTION("""COMPUTED_VALUE"""),"1332021644")</f>
        <v>1332021644</v>
      </c>
      <c r="D1303" s="133" t="str">
        <f>IFERROR(__xludf.DUMMYFUNCTION("""COMPUTED_VALUE"""),"Платье")</f>
        <v>Платье</v>
      </c>
      <c r="E1303" s="133">
        <f>IFERROR(__xludf.DUMMYFUNCTION("""COMPUTED_VALUE"""),44.0)</f>
        <v>44</v>
      </c>
      <c r="F1303" s="133" t="str">
        <f>IFERROR(__xludf.DUMMYFUNCTION("""COMPUTED_VALUE"""),"PL00128DGW44")</f>
        <v>PL00128DGW44</v>
      </c>
      <c r="G1303" s="165">
        <f>IFERROR(__xludf.DUMMYFUNCTION("""COMPUTED_VALUE"""),825.0)</f>
        <v>825</v>
      </c>
    </row>
    <row r="1304" ht="15.75" customHeight="1">
      <c r="A1304" s="133" t="str">
        <f>IFERROR(__xludf.DUMMYFUNCTION("""COMPUTED_VALUE"""),"PL00128DGW")</f>
        <v>PL00128DGW</v>
      </c>
      <c r="B1304" s="164">
        <f>IFERROR(__xludf.DUMMYFUNCTION("""COMPUTED_VALUE"""),1.3320216E7)</f>
        <v>13320216</v>
      </c>
      <c r="C1304" s="164" t="str">
        <f>IFERROR(__xludf.DUMMYFUNCTION("""COMPUTED_VALUE"""),"1332021646")</f>
        <v>1332021646</v>
      </c>
      <c r="D1304" s="133" t="str">
        <f>IFERROR(__xludf.DUMMYFUNCTION("""COMPUTED_VALUE"""),"Платье")</f>
        <v>Платье</v>
      </c>
      <c r="E1304" s="133">
        <f>IFERROR(__xludf.DUMMYFUNCTION("""COMPUTED_VALUE"""),46.0)</f>
        <v>46</v>
      </c>
      <c r="F1304" s="133" t="str">
        <f>IFERROR(__xludf.DUMMYFUNCTION("""COMPUTED_VALUE"""),"PL00128DGW46")</f>
        <v>PL00128DGW46</v>
      </c>
      <c r="G1304" s="165">
        <f>IFERROR(__xludf.DUMMYFUNCTION("""COMPUTED_VALUE"""),825.0)</f>
        <v>825</v>
      </c>
    </row>
    <row r="1305" ht="15.75" customHeight="1">
      <c r="A1305" s="133" t="str">
        <f>IFERROR(__xludf.DUMMYFUNCTION("""COMPUTED_VALUE"""),"PL00128DGW")</f>
        <v>PL00128DGW</v>
      </c>
      <c r="B1305" s="164">
        <f>IFERROR(__xludf.DUMMYFUNCTION("""COMPUTED_VALUE"""),1.3320216E7)</f>
        <v>13320216</v>
      </c>
      <c r="C1305" s="164" t="str">
        <f>IFERROR(__xludf.DUMMYFUNCTION("""COMPUTED_VALUE"""),"1332021648")</f>
        <v>1332021648</v>
      </c>
      <c r="D1305" s="133" t="str">
        <f>IFERROR(__xludf.DUMMYFUNCTION("""COMPUTED_VALUE"""),"Платье")</f>
        <v>Платье</v>
      </c>
      <c r="E1305" s="133">
        <f>IFERROR(__xludf.DUMMYFUNCTION("""COMPUTED_VALUE"""),48.0)</f>
        <v>48</v>
      </c>
      <c r="F1305" s="133" t="str">
        <f>IFERROR(__xludf.DUMMYFUNCTION("""COMPUTED_VALUE"""),"PL00128DGW48")</f>
        <v>PL00128DGW48</v>
      </c>
      <c r="G1305" s="165">
        <f>IFERROR(__xludf.DUMMYFUNCTION("""COMPUTED_VALUE"""),825.0)</f>
        <v>825</v>
      </c>
    </row>
    <row r="1306" ht="15.75" customHeight="1">
      <c r="A1306" s="133" t="str">
        <f>IFERROR(__xludf.DUMMYFUNCTION("""COMPUTED_VALUE"""),"PL00129DGW")</f>
        <v>PL00129DGW</v>
      </c>
      <c r="B1306" s="164">
        <f>IFERROR(__xludf.DUMMYFUNCTION("""COMPUTED_VALUE"""),1.3320217E7)</f>
        <v>13320217</v>
      </c>
      <c r="C1306" s="164" t="str">
        <f>IFERROR(__xludf.DUMMYFUNCTION("""COMPUTED_VALUE"""),"1332021742")</f>
        <v>1332021742</v>
      </c>
      <c r="D1306" s="133" t="str">
        <f>IFERROR(__xludf.DUMMYFUNCTION("""COMPUTED_VALUE"""),"Платье")</f>
        <v>Платье</v>
      </c>
      <c r="E1306" s="133">
        <f>IFERROR(__xludf.DUMMYFUNCTION("""COMPUTED_VALUE"""),42.0)</f>
        <v>42</v>
      </c>
      <c r="F1306" s="133" t="str">
        <f>IFERROR(__xludf.DUMMYFUNCTION("""COMPUTED_VALUE"""),"PL00129DGW42")</f>
        <v>PL00129DGW42</v>
      </c>
      <c r="G1306" s="165">
        <f>IFERROR(__xludf.DUMMYFUNCTION("""COMPUTED_VALUE"""),825.0)</f>
        <v>825</v>
      </c>
    </row>
    <row r="1307" ht="15.75" customHeight="1">
      <c r="A1307" s="133" t="str">
        <f>IFERROR(__xludf.DUMMYFUNCTION("""COMPUTED_VALUE"""),"PL00129DGW")</f>
        <v>PL00129DGW</v>
      </c>
      <c r="B1307" s="164">
        <f>IFERROR(__xludf.DUMMYFUNCTION("""COMPUTED_VALUE"""),1.3320217E7)</f>
        <v>13320217</v>
      </c>
      <c r="C1307" s="164" t="str">
        <f>IFERROR(__xludf.DUMMYFUNCTION("""COMPUTED_VALUE"""),"1332021744")</f>
        <v>1332021744</v>
      </c>
      <c r="D1307" s="133" t="str">
        <f>IFERROR(__xludf.DUMMYFUNCTION("""COMPUTED_VALUE"""),"Платье")</f>
        <v>Платье</v>
      </c>
      <c r="E1307" s="133">
        <f>IFERROR(__xludf.DUMMYFUNCTION("""COMPUTED_VALUE"""),44.0)</f>
        <v>44</v>
      </c>
      <c r="F1307" s="133" t="str">
        <f>IFERROR(__xludf.DUMMYFUNCTION("""COMPUTED_VALUE"""),"PL00129DGW44")</f>
        <v>PL00129DGW44</v>
      </c>
      <c r="G1307" s="165">
        <f>IFERROR(__xludf.DUMMYFUNCTION("""COMPUTED_VALUE"""),825.0)</f>
        <v>825</v>
      </c>
    </row>
    <row r="1308" ht="15.75" customHeight="1">
      <c r="A1308" s="133" t="str">
        <f>IFERROR(__xludf.DUMMYFUNCTION("""COMPUTED_VALUE"""),"PL00129DGW")</f>
        <v>PL00129DGW</v>
      </c>
      <c r="B1308" s="164">
        <f>IFERROR(__xludf.DUMMYFUNCTION("""COMPUTED_VALUE"""),1.3320217E7)</f>
        <v>13320217</v>
      </c>
      <c r="C1308" s="164" t="str">
        <f>IFERROR(__xludf.DUMMYFUNCTION("""COMPUTED_VALUE"""),"1332021746")</f>
        <v>1332021746</v>
      </c>
      <c r="D1308" s="133" t="str">
        <f>IFERROR(__xludf.DUMMYFUNCTION("""COMPUTED_VALUE"""),"Платье")</f>
        <v>Платье</v>
      </c>
      <c r="E1308" s="133">
        <f>IFERROR(__xludf.DUMMYFUNCTION("""COMPUTED_VALUE"""),46.0)</f>
        <v>46</v>
      </c>
      <c r="F1308" s="133" t="str">
        <f>IFERROR(__xludf.DUMMYFUNCTION("""COMPUTED_VALUE"""),"PL00129DGW46")</f>
        <v>PL00129DGW46</v>
      </c>
      <c r="G1308" s="165">
        <f>IFERROR(__xludf.DUMMYFUNCTION("""COMPUTED_VALUE"""),825.0)</f>
        <v>825</v>
      </c>
    </row>
    <row r="1309" ht="15.75" customHeight="1">
      <c r="A1309" s="133" t="str">
        <f>IFERROR(__xludf.DUMMYFUNCTION("""COMPUTED_VALUE"""),"PL00129DGW")</f>
        <v>PL00129DGW</v>
      </c>
      <c r="B1309" s="164">
        <f>IFERROR(__xludf.DUMMYFUNCTION("""COMPUTED_VALUE"""),1.3320217E7)</f>
        <v>13320217</v>
      </c>
      <c r="C1309" s="164" t="str">
        <f>IFERROR(__xludf.DUMMYFUNCTION("""COMPUTED_VALUE"""),"1332021748")</f>
        <v>1332021748</v>
      </c>
      <c r="D1309" s="133" t="str">
        <f>IFERROR(__xludf.DUMMYFUNCTION("""COMPUTED_VALUE"""),"Платье")</f>
        <v>Платье</v>
      </c>
      <c r="E1309" s="133">
        <f>IFERROR(__xludf.DUMMYFUNCTION("""COMPUTED_VALUE"""),48.0)</f>
        <v>48</v>
      </c>
      <c r="F1309" s="133" t="str">
        <f>IFERROR(__xludf.DUMMYFUNCTION("""COMPUTED_VALUE"""),"PL00129DGW48")</f>
        <v>PL00129DGW48</v>
      </c>
      <c r="G1309" s="165">
        <f>IFERROR(__xludf.DUMMYFUNCTION("""COMPUTED_VALUE"""),825.0)</f>
        <v>825</v>
      </c>
    </row>
    <row r="1310" ht="15.75" customHeight="1">
      <c r="A1310" s="133" t="str">
        <f>IFERROR(__xludf.DUMMYFUNCTION("""COMPUTED_VALUE"""),"PL00130DGW")</f>
        <v>PL00130DGW</v>
      </c>
      <c r="B1310" s="164">
        <f>IFERROR(__xludf.DUMMYFUNCTION("""COMPUTED_VALUE"""),1.3320218E7)</f>
        <v>13320218</v>
      </c>
      <c r="C1310" s="164" t="str">
        <f>IFERROR(__xludf.DUMMYFUNCTION("""COMPUTED_VALUE"""),"1332021844")</f>
        <v>1332021844</v>
      </c>
      <c r="D1310" s="133" t="str">
        <f>IFERROR(__xludf.DUMMYFUNCTION("""COMPUTED_VALUE"""),"Платье")</f>
        <v>Платье</v>
      </c>
      <c r="E1310" s="133">
        <f>IFERROR(__xludf.DUMMYFUNCTION("""COMPUTED_VALUE"""),44.0)</f>
        <v>44</v>
      </c>
      <c r="F1310" s="133" t="str">
        <f>IFERROR(__xludf.DUMMYFUNCTION("""COMPUTED_VALUE"""),"PL00130DGW44")</f>
        <v>PL00130DGW44</v>
      </c>
      <c r="G1310" s="165">
        <f>IFERROR(__xludf.DUMMYFUNCTION("""COMPUTED_VALUE"""),875.0)</f>
        <v>875</v>
      </c>
    </row>
    <row r="1311" ht="15.75" customHeight="1">
      <c r="A1311" s="133" t="str">
        <f>IFERROR(__xludf.DUMMYFUNCTION("""COMPUTED_VALUE"""),"PL00130DGW")</f>
        <v>PL00130DGW</v>
      </c>
      <c r="B1311" s="164">
        <f>IFERROR(__xludf.DUMMYFUNCTION("""COMPUTED_VALUE"""),1.3320218E7)</f>
        <v>13320218</v>
      </c>
      <c r="C1311" s="164" t="str">
        <f>IFERROR(__xludf.DUMMYFUNCTION("""COMPUTED_VALUE"""),"1332021846")</f>
        <v>1332021846</v>
      </c>
      <c r="D1311" s="133" t="str">
        <f>IFERROR(__xludf.DUMMYFUNCTION("""COMPUTED_VALUE"""),"Платье")</f>
        <v>Платье</v>
      </c>
      <c r="E1311" s="133">
        <f>IFERROR(__xludf.DUMMYFUNCTION("""COMPUTED_VALUE"""),46.0)</f>
        <v>46</v>
      </c>
      <c r="F1311" s="133" t="str">
        <f>IFERROR(__xludf.DUMMYFUNCTION("""COMPUTED_VALUE"""),"PL00130DGW46")</f>
        <v>PL00130DGW46</v>
      </c>
      <c r="G1311" s="165">
        <f>IFERROR(__xludf.DUMMYFUNCTION("""COMPUTED_VALUE"""),875.0)</f>
        <v>875</v>
      </c>
    </row>
    <row r="1312" ht="15.75" customHeight="1">
      <c r="A1312" s="133" t="str">
        <f>IFERROR(__xludf.DUMMYFUNCTION("""COMPUTED_VALUE"""),"PL00130DGW")</f>
        <v>PL00130DGW</v>
      </c>
      <c r="B1312" s="164">
        <f>IFERROR(__xludf.DUMMYFUNCTION("""COMPUTED_VALUE"""),1.3320218E7)</f>
        <v>13320218</v>
      </c>
      <c r="C1312" s="164" t="str">
        <f>IFERROR(__xludf.DUMMYFUNCTION("""COMPUTED_VALUE"""),"1332021848")</f>
        <v>1332021848</v>
      </c>
      <c r="D1312" s="133" t="str">
        <f>IFERROR(__xludf.DUMMYFUNCTION("""COMPUTED_VALUE"""),"Платье")</f>
        <v>Платье</v>
      </c>
      <c r="E1312" s="133">
        <f>IFERROR(__xludf.DUMMYFUNCTION("""COMPUTED_VALUE"""),48.0)</f>
        <v>48</v>
      </c>
      <c r="F1312" s="133" t="str">
        <f>IFERROR(__xludf.DUMMYFUNCTION("""COMPUTED_VALUE"""),"PL00130DGW48")</f>
        <v>PL00130DGW48</v>
      </c>
      <c r="G1312" s="165">
        <f>IFERROR(__xludf.DUMMYFUNCTION("""COMPUTED_VALUE"""),875.0)</f>
        <v>875</v>
      </c>
    </row>
    <row r="1313" ht="15.75" customHeight="1">
      <c r="A1313" s="133" t="str">
        <f>IFERROR(__xludf.DUMMYFUNCTION("""COMPUTED_VALUE"""),"PL00130DGW")</f>
        <v>PL00130DGW</v>
      </c>
      <c r="B1313" s="164">
        <f>IFERROR(__xludf.DUMMYFUNCTION("""COMPUTED_VALUE"""),1.3320218E7)</f>
        <v>13320218</v>
      </c>
      <c r="C1313" s="164" t="str">
        <f>IFERROR(__xludf.DUMMYFUNCTION("""COMPUTED_VALUE"""),"1332021850")</f>
        <v>1332021850</v>
      </c>
      <c r="D1313" s="133" t="str">
        <f>IFERROR(__xludf.DUMMYFUNCTION("""COMPUTED_VALUE"""),"Платье")</f>
        <v>Платье</v>
      </c>
      <c r="E1313" s="133">
        <f>IFERROR(__xludf.DUMMYFUNCTION("""COMPUTED_VALUE"""),50.0)</f>
        <v>50</v>
      </c>
      <c r="F1313" s="133" t="str">
        <f>IFERROR(__xludf.DUMMYFUNCTION("""COMPUTED_VALUE"""),"PL00130DGW50")</f>
        <v>PL00130DGW50</v>
      </c>
      <c r="G1313" s="165">
        <f>IFERROR(__xludf.DUMMYFUNCTION("""COMPUTED_VALUE"""),875.0)</f>
        <v>875</v>
      </c>
    </row>
    <row r="1314" ht="15.75" customHeight="1">
      <c r="A1314" s="133" t="str">
        <f>IFERROR(__xludf.DUMMYFUNCTION("""COMPUTED_VALUE"""),"PL00131DGW")</f>
        <v>PL00131DGW</v>
      </c>
      <c r="B1314" s="164">
        <f>IFERROR(__xludf.DUMMYFUNCTION("""COMPUTED_VALUE"""),1.3424949E7)</f>
        <v>13424949</v>
      </c>
      <c r="C1314" s="164" t="str">
        <f>IFERROR(__xludf.DUMMYFUNCTION("""COMPUTED_VALUE"""),"1342494942")</f>
        <v>1342494942</v>
      </c>
      <c r="D1314" s="133" t="str">
        <f>IFERROR(__xludf.DUMMYFUNCTION("""COMPUTED_VALUE"""),"Платье")</f>
        <v>Платье</v>
      </c>
      <c r="E1314" s="133">
        <f>IFERROR(__xludf.DUMMYFUNCTION("""COMPUTED_VALUE"""),42.0)</f>
        <v>42</v>
      </c>
      <c r="F1314" s="133" t="str">
        <f>IFERROR(__xludf.DUMMYFUNCTION("""COMPUTED_VALUE"""),"PL00131DGW42")</f>
        <v>PL00131DGW42</v>
      </c>
      <c r="G1314" s="165">
        <f>IFERROR(__xludf.DUMMYFUNCTION("""COMPUTED_VALUE"""),845.0)</f>
        <v>845</v>
      </c>
    </row>
    <row r="1315" ht="15.75" customHeight="1">
      <c r="A1315" s="133" t="str">
        <f>IFERROR(__xludf.DUMMYFUNCTION("""COMPUTED_VALUE"""),"PL00131DGW")</f>
        <v>PL00131DGW</v>
      </c>
      <c r="B1315" s="164">
        <f>IFERROR(__xludf.DUMMYFUNCTION("""COMPUTED_VALUE"""),1.3424949E7)</f>
        <v>13424949</v>
      </c>
      <c r="C1315" s="164" t="str">
        <f>IFERROR(__xludf.DUMMYFUNCTION("""COMPUTED_VALUE"""),"1342494944")</f>
        <v>1342494944</v>
      </c>
      <c r="D1315" s="133" t="str">
        <f>IFERROR(__xludf.DUMMYFUNCTION("""COMPUTED_VALUE"""),"Платье")</f>
        <v>Платье</v>
      </c>
      <c r="E1315" s="133">
        <f>IFERROR(__xludf.DUMMYFUNCTION("""COMPUTED_VALUE"""),44.0)</f>
        <v>44</v>
      </c>
      <c r="F1315" s="133" t="str">
        <f>IFERROR(__xludf.DUMMYFUNCTION("""COMPUTED_VALUE"""),"PL00131DGW44")</f>
        <v>PL00131DGW44</v>
      </c>
      <c r="G1315" s="165">
        <f>IFERROR(__xludf.DUMMYFUNCTION("""COMPUTED_VALUE"""),845.0)</f>
        <v>845</v>
      </c>
    </row>
    <row r="1316" ht="15.75" customHeight="1">
      <c r="A1316" s="133" t="str">
        <f>IFERROR(__xludf.DUMMYFUNCTION("""COMPUTED_VALUE"""),"PL00131DGW")</f>
        <v>PL00131DGW</v>
      </c>
      <c r="B1316" s="164">
        <f>IFERROR(__xludf.DUMMYFUNCTION("""COMPUTED_VALUE"""),1.3424949E7)</f>
        <v>13424949</v>
      </c>
      <c r="C1316" s="164" t="str">
        <f>IFERROR(__xludf.DUMMYFUNCTION("""COMPUTED_VALUE"""),"1342494946")</f>
        <v>1342494946</v>
      </c>
      <c r="D1316" s="133" t="str">
        <f>IFERROR(__xludf.DUMMYFUNCTION("""COMPUTED_VALUE"""),"Платье")</f>
        <v>Платье</v>
      </c>
      <c r="E1316" s="133">
        <f>IFERROR(__xludf.DUMMYFUNCTION("""COMPUTED_VALUE"""),46.0)</f>
        <v>46</v>
      </c>
      <c r="F1316" s="133" t="str">
        <f>IFERROR(__xludf.DUMMYFUNCTION("""COMPUTED_VALUE"""),"PL00131DGW46")</f>
        <v>PL00131DGW46</v>
      </c>
      <c r="G1316" s="165">
        <f>IFERROR(__xludf.DUMMYFUNCTION("""COMPUTED_VALUE"""),845.0)</f>
        <v>845</v>
      </c>
    </row>
    <row r="1317" ht="15.75" customHeight="1">
      <c r="A1317" s="133" t="str">
        <f>IFERROR(__xludf.DUMMYFUNCTION("""COMPUTED_VALUE"""),"PL00131DGW")</f>
        <v>PL00131DGW</v>
      </c>
      <c r="B1317" s="164">
        <f>IFERROR(__xludf.DUMMYFUNCTION("""COMPUTED_VALUE"""),1.3424949E7)</f>
        <v>13424949</v>
      </c>
      <c r="C1317" s="164" t="str">
        <f>IFERROR(__xludf.DUMMYFUNCTION("""COMPUTED_VALUE"""),"1342494948")</f>
        <v>1342494948</v>
      </c>
      <c r="D1317" s="133" t="str">
        <f>IFERROR(__xludf.DUMMYFUNCTION("""COMPUTED_VALUE"""),"Платье")</f>
        <v>Платье</v>
      </c>
      <c r="E1317" s="133">
        <f>IFERROR(__xludf.DUMMYFUNCTION("""COMPUTED_VALUE"""),48.0)</f>
        <v>48</v>
      </c>
      <c r="F1317" s="133" t="str">
        <f>IFERROR(__xludf.DUMMYFUNCTION("""COMPUTED_VALUE"""),"PL00131DGW48")</f>
        <v>PL00131DGW48</v>
      </c>
      <c r="G1317" s="165">
        <f>IFERROR(__xludf.DUMMYFUNCTION("""COMPUTED_VALUE"""),845.0)</f>
        <v>845</v>
      </c>
    </row>
    <row r="1318" ht="15.75" customHeight="1">
      <c r="A1318" s="133" t="str">
        <f>IFERROR(__xludf.DUMMYFUNCTION("""COMPUTED_VALUE"""),"PL00132DGW")</f>
        <v>PL00132DGW</v>
      </c>
      <c r="B1318" s="164">
        <f>IFERROR(__xludf.DUMMYFUNCTION("""COMPUTED_VALUE"""),1.342495E7)</f>
        <v>13424950</v>
      </c>
      <c r="C1318" s="164" t="str">
        <f>IFERROR(__xludf.DUMMYFUNCTION("""COMPUTED_VALUE"""),"1342495042/44")</f>
        <v>1342495042/44</v>
      </c>
      <c r="D1318" s="133" t="str">
        <f>IFERROR(__xludf.DUMMYFUNCTION("""COMPUTED_VALUE"""),"Платье")</f>
        <v>Платье</v>
      </c>
      <c r="E1318" s="133" t="str">
        <f>IFERROR(__xludf.DUMMYFUNCTION("""COMPUTED_VALUE"""),"42/44")</f>
        <v>42/44</v>
      </c>
      <c r="F1318" s="133" t="str">
        <f>IFERROR(__xludf.DUMMYFUNCTION("""COMPUTED_VALUE"""),"PL00132DGW42/44")</f>
        <v>PL00132DGW42/44</v>
      </c>
      <c r="G1318" s="165">
        <f>IFERROR(__xludf.DUMMYFUNCTION("""COMPUTED_VALUE"""),895.0)</f>
        <v>895</v>
      </c>
    </row>
    <row r="1319" ht="15.75" customHeight="1">
      <c r="A1319" s="133" t="str">
        <f>IFERROR(__xludf.DUMMYFUNCTION("""COMPUTED_VALUE"""),"PL00132DGW")</f>
        <v>PL00132DGW</v>
      </c>
      <c r="B1319" s="164">
        <f>IFERROR(__xludf.DUMMYFUNCTION("""COMPUTED_VALUE"""),1.342495E7)</f>
        <v>13424950</v>
      </c>
      <c r="C1319" s="164" t="str">
        <f>IFERROR(__xludf.DUMMYFUNCTION("""COMPUTED_VALUE"""),"1342495046/48")</f>
        <v>1342495046/48</v>
      </c>
      <c r="D1319" s="133" t="str">
        <f>IFERROR(__xludf.DUMMYFUNCTION("""COMPUTED_VALUE"""),"Платье")</f>
        <v>Платье</v>
      </c>
      <c r="E1319" s="133" t="str">
        <f>IFERROR(__xludf.DUMMYFUNCTION("""COMPUTED_VALUE"""),"46/48")</f>
        <v>46/48</v>
      </c>
      <c r="F1319" s="133" t="str">
        <f>IFERROR(__xludf.DUMMYFUNCTION("""COMPUTED_VALUE"""),"PL00132DGW46/48")</f>
        <v>PL00132DGW46/48</v>
      </c>
      <c r="G1319" s="165">
        <f>IFERROR(__xludf.DUMMYFUNCTION("""COMPUTED_VALUE"""),895.0)</f>
        <v>895</v>
      </c>
    </row>
    <row r="1320" ht="15.75" customHeight="1">
      <c r="A1320" s="133" t="str">
        <f>IFERROR(__xludf.DUMMYFUNCTION("""COMPUTED_VALUE"""),"PL00133DGW")</f>
        <v>PL00133DGW</v>
      </c>
      <c r="B1320" s="164">
        <f>IFERROR(__xludf.DUMMYFUNCTION("""COMPUTED_VALUE"""),1.3424951E7)</f>
        <v>13424951</v>
      </c>
      <c r="C1320" s="164" t="str">
        <f>IFERROR(__xludf.DUMMYFUNCTION("""COMPUTED_VALUE"""),"1342495142")</f>
        <v>1342495142</v>
      </c>
      <c r="D1320" s="133" t="str">
        <f>IFERROR(__xludf.DUMMYFUNCTION("""COMPUTED_VALUE"""),"Платье")</f>
        <v>Платье</v>
      </c>
      <c r="E1320" s="133">
        <f>IFERROR(__xludf.DUMMYFUNCTION("""COMPUTED_VALUE"""),42.0)</f>
        <v>42</v>
      </c>
      <c r="F1320" s="133" t="str">
        <f>IFERROR(__xludf.DUMMYFUNCTION("""COMPUTED_VALUE"""),"PL00133DGW42")</f>
        <v>PL00133DGW42</v>
      </c>
      <c r="G1320" s="165">
        <f>IFERROR(__xludf.DUMMYFUNCTION("""COMPUTED_VALUE"""),895.0)</f>
        <v>895</v>
      </c>
    </row>
    <row r="1321" ht="15.75" customHeight="1">
      <c r="A1321" s="133" t="str">
        <f>IFERROR(__xludf.DUMMYFUNCTION("""COMPUTED_VALUE"""),"PL00133DGW")</f>
        <v>PL00133DGW</v>
      </c>
      <c r="B1321" s="164">
        <f>IFERROR(__xludf.DUMMYFUNCTION("""COMPUTED_VALUE"""),1.3424951E7)</f>
        <v>13424951</v>
      </c>
      <c r="C1321" s="164" t="str">
        <f>IFERROR(__xludf.DUMMYFUNCTION("""COMPUTED_VALUE"""),"1342495144")</f>
        <v>1342495144</v>
      </c>
      <c r="D1321" s="133" t="str">
        <f>IFERROR(__xludf.DUMMYFUNCTION("""COMPUTED_VALUE"""),"Платье")</f>
        <v>Платье</v>
      </c>
      <c r="E1321" s="133">
        <f>IFERROR(__xludf.DUMMYFUNCTION("""COMPUTED_VALUE"""),44.0)</f>
        <v>44</v>
      </c>
      <c r="F1321" s="133" t="str">
        <f>IFERROR(__xludf.DUMMYFUNCTION("""COMPUTED_VALUE"""),"PL00133DGW44")</f>
        <v>PL00133DGW44</v>
      </c>
      <c r="G1321" s="165">
        <f>IFERROR(__xludf.DUMMYFUNCTION("""COMPUTED_VALUE"""),895.0)</f>
        <v>895</v>
      </c>
    </row>
    <row r="1322" ht="15.75" customHeight="1">
      <c r="A1322" s="133" t="str">
        <f>IFERROR(__xludf.DUMMYFUNCTION("""COMPUTED_VALUE"""),"PL00133DGW")</f>
        <v>PL00133DGW</v>
      </c>
      <c r="B1322" s="164">
        <f>IFERROR(__xludf.DUMMYFUNCTION("""COMPUTED_VALUE"""),1.3424951E7)</f>
        <v>13424951</v>
      </c>
      <c r="C1322" s="164" t="str">
        <f>IFERROR(__xludf.DUMMYFUNCTION("""COMPUTED_VALUE"""),"1342495146")</f>
        <v>1342495146</v>
      </c>
      <c r="D1322" s="133" t="str">
        <f>IFERROR(__xludf.DUMMYFUNCTION("""COMPUTED_VALUE"""),"Платье")</f>
        <v>Платье</v>
      </c>
      <c r="E1322" s="133">
        <f>IFERROR(__xludf.DUMMYFUNCTION("""COMPUTED_VALUE"""),46.0)</f>
        <v>46</v>
      </c>
      <c r="F1322" s="133" t="str">
        <f>IFERROR(__xludf.DUMMYFUNCTION("""COMPUTED_VALUE"""),"PL00133DGW46")</f>
        <v>PL00133DGW46</v>
      </c>
      <c r="G1322" s="165">
        <f>IFERROR(__xludf.DUMMYFUNCTION("""COMPUTED_VALUE"""),895.0)</f>
        <v>895</v>
      </c>
    </row>
    <row r="1323" ht="15.75" customHeight="1">
      <c r="A1323" s="133" t="str">
        <f>IFERROR(__xludf.DUMMYFUNCTION("""COMPUTED_VALUE"""),"PL00133DGW")</f>
        <v>PL00133DGW</v>
      </c>
      <c r="B1323" s="164">
        <f>IFERROR(__xludf.DUMMYFUNCTION("""COMPUTED_VALUE"""),1.3424951E7)</f>
        <v>13424951</v>
      </c>
      <c r="C1323" s="164" t="str">
        <f>IFERROR(__xludf.DUMMYFUNCTION("""COMPUTED_VALUE"""),"1342495148")</f>
        <v>1342495148</v>
      </c>
      <c r="D1323" s="133" t="str">
        <f>IFERROR(__xludf.DUMMYFUNCTION("""COMPUTED_VALUE"""),"Платье")</f>
        <v>Платье</v>
      </c>
      <c r="E1323" s="133">
        <f>IFERROR(__xludf.DUMMYFUNCTION("""COMPUTED_VALUE"""),48.0)</f>
        <v>48</v>
      </c>
      <c r="F1323" s="133" t="str">
        <f>IFERROR(__xludf.DUMMYFUNCTION("""COMPUTED_VALUE"""),"PL00133DGW48")</f>
        <v>PL00133DGW48</v>
      </c>
      <c r="G1323" s="165">
        <f>IFERROR(__xludf.DUMMYFUNCTION("""COMPUTED_VALUE"""),895.0)</f>
        <v>895</v>
      </c>
    </row>
    <row r="1324" ht="15.75" customHeight="1">
      <c r="A1324" s="133" t="str">
        <f>IFERROR(__xludf.DUMMYFUNCTION("""COMPUTED_VALUE"""),"PL00134DGW")</f>
        <v>PL00134DGW</v>
      </c>
      <c r="B1324" s="164">
        <f>IFERROR(__xludf.DUMMYFUNCTION("""COMPUTED_VALUE"""),1.3424952E7)</f>
        <v>13424952</v>
      </c>
      <c r="C1324" s="164" t="str">
        <f>IFERROR(__xludf.DUMMYFUNCTION("""COMPUTED_VALUE"""),"1342495246")</f>
        <v>1342495246</v>
      </c>
      <c r="D1324" s="133" t="str">
        <f>IFERROR(__xludf.DUMMYFUNCTION("""COMPUTED_VALUE"""),"Платье")</f>
        <v>Платье</v>
      </c>
      <c r="E1324" s="133">
        <f>IFERROR(__xludf.DUMMYFUNCTION("""COMPUTED_VALUE"""),46.0)</f>
        <v>46</v>
      </c>
      <c r="F1324" s="133" t="str">
        <f>IFERROR(__xludf.DUMMYFUNCTION("""COMPUTED_VALUE"""),"PL00134DGW46")</f>
        <v>PL00134DGW46</v>
      </c>
      <c r="G1324" s="165">
        <f>IFERROR(__xludf.DUMMYFUNCTION("""COMPUTED_VALUE"""),695.0)</f>
        <v>695</v>
      </c>
    </row>
    <row r="1325" ht="15.75" customHeight="1">
      <c r="A1325" s="133" t="str">
        <f>IFERROR(__xludf.DUMMYFUNCTION("""COMPUTED_VALUE"""),"PL00134DGW")</f>
        <v>PL00134DGW</v>
      </c>
      <c r="B1325" s="164">
        <f>IFERROR(__xludf.DUMMYFUNCTION("""COMPUTED_VALUE"""),1.3424952E7)</f>
        <v>13424952</v>
      </c>
      <c r="C1325" s="164" t="str">
        <f>IFERROR(__xludf.DUMMYFUNCTION("""COMPUTED_VALUE"""),"1342495248")</f>
        <v>1342495248</v>
      </c>
      <c r="D1325" s="133" t="str">
        <f>IFERROR(__xludf.DUMMYFUNCTION("""COMPUTED_VALUE"""),"Платье")</f>
        <v>Платье</v>
      </c>
      <c r="E1325" s="133">
        <f>IFERROR(__xludf.DUMMYFUNCTION("""COMPUTED_VALUE"""),48.0)</f>
        <v>48</v>
      </c>
      <c r="F1325" s="133" t="str">
        <f>IFERROR(__xludf.DUMMYFUNCTION("""COMPUTED_VALUE"""),"PL00134DGW48")</f>
        <v>PL00134DGW48</v>
      </c>
      <c r="G1325" s="165">
        <f>IFERROR(__xludf.DUMMYFUNCTION("""COMPUTED_VALUE"""),695.0)</f>
        <v>695</v>
      </c>
    </row>
    <row r="1326" ht="15.75" customHeight="1">
      <c r="A1326" s="133" t="str">
        <f>IFERROR(__xludf.DUMMYFUNCTION("""COMPUTED_VALUE"""),"PL00134DGW")</f>
        <v>PL00134DGW</v>
      </c>
      <c r="B1326" s="164">
        <f>IFERROR(__xludf.DUMMYFUNCTION("""COMPUTED_VALUE"""),1.3424952E7)</f>
        <v>13424952</v>
      </c>
      <c r="C1326" s="164" t="str">
        <f>IFERROR(__xludf.DUMMYFUNCTION("""COMPUTED_VALUE"""),"1342495250")</f>
        <v>1342495250</v>
      </c>
      <c r="D1326" s="133" t="str">
        <f>IFERROR(__xludf.DUMMYFUNCTION("""COMPUTED_VALUE"""),"Платье")</f>
        <v>Платье</v>
      </c>
      <c r="E1326" s="133">
        <f>IFERROR(__xludf.DUMMYFUNCTION("""COMPUTED_VALUE"""),50.0)</f>
        <v>50</v>
      </c>
      <c r="F1326" s="133" t="str">
        <f>IFERROR(__xludf.DUMMYFUNCTION("""COMPUTED_VALUE"""),"PL00134DGW50")</f>
        <v>PL00134DGW50</v>
      </c>
      <c r="G1326" s="165">
        <f>IFERROR(__xludf.DUMMYFUNCTION("""COMPUTED_VALUE"""),695.0)</f>
        <v>695</v>
      </c>
    </row>
    <row r="1327" ht="15.75" customHeight="1">
      <c r="A1327" s="133" t="str">
        <f>IFERROR(__xludf.DUMMYFUNCTION("""COMPUTED_VALUE"""),"PL50139DGW")</f>
        <v>PL50139DGW</v>
      </c>
      <c r="B1327" s="164">
        <f>IFERROR(__xludf.DUMMYFUNCTION("""COMPUTED_VALUE"""),1.545326E7)</f>
        <v>15453260</v>
      </c>
      <c r="C1327" s="164" t="str">
        <f>IFERROR(__xludf.DUMMYFUNCTION("""COMPUTED_VALUE"""),"15453260")</f>
        <v>15453260</v>
      </c>
      <c r="D1327" s="133" t="str">
        <f>IFERROR(__xludf.DUMMYFUNCTION("""COMPUTED_VALUE"""),"Платье")</f>
        <v>Платье</v>
      </c>
      <c r="E1327" s="133"/>
      <c r="F1327" s="133" t="str">
        <f>IFERROR(__xludf.DUMMYFUNCTION("""COMPUTED_VALUE"""),"PL50139DGW")</f>
        <v>PL50139DGW</v>
      </c>
      <c r="G1327" s="165">
        <f>IFERROR(__xludf.DUMMYFUNCTION("""COMPUTED_VALUE"""),464.0)</f>
        <v>464</v>
      </c>
    </row>
    <row r="1328" ht="15.75" customHeight="1">
      <c r="A1328" s="133" t="str">
        <f>IFERROR(__xludf.DUMMYFUNCTION("""COMPUTED_VALUE"""),"DG0022DGW")</f>
        <v>DG0022DGW</v>
      </c>
      <c r="B1328" s="164">
        <f>IFERROR(__xludf.DUMMYFUNCTION("""COMPUTED_VALUE"""),1.3170356E7)</f>
        <v>13170356</v>
      </c>
      <c r="C1328" s="164" t="str">
        <f>IFERROR(__xludf.DUMMYFUNCTION("""COMPUTED_VALUE"""),"13170356M")</f>
        <v>13170356M</v>
      </c>
      <c r="D1328" s="133" t="str">
        <f>IFERROR(__xludf.DUMMYFUNCTION("""COMPUTED_VALUE"""),"Джинсовка")</f>
        <v>Джинсовка</v>
      </c>
      <c r="E1328" s="133" t="str">
        <f>IFERROR(__xludf.DUMMYFUNCTION("""COMPUTED_VALUE"""),"M")</f>
        <v>M</v>
      </c>
      <c r="F1328" s="133" t="str">
        <f>IFERROR(__xludf.DUMMYFUNCTION("""COMPUTED_VALUE"""),"DG0022DGWM")</f>
        <v>DG0022DGWM</v>
      </c>
      <c r="G1328" s="165">
        <f>IFERROR(__xludf.DUMMYFUNCTION("""COMPUTED_VALUE"""),1045.0)</f>
        <v>1045</v>
      </c>
    </row>
    <row r="1329" ht="15.75" customHeight="1">
      <c r="A1329" s="133" t="str">
        <f>IFERROR(__xludf.DUMMYFUNCTION("""COMPUTED_VALUE"""),"DG0022DGW")</f>
        <v>DG0022DGW</v>
      </c>
      <c r="B1329" s="164">
        <f>IFERROR(__xludf.DUMMYFUNCTION("""COMPUTED_VALUE"""),1.3170356E7)</f>
        <v>13170356</v>
      </c>
      <c r="C1329" s="164" t="str">
        <f>IFERROR(__xludf.DUMMYFUNCTION("""COMPUTED_VALUE"""),"13170356L")</f>
        <v>13170356L</v>
      </c>
      <c r="D1329" s="133" t="str">
        <f>IFERROR(__xludf.DUMMYFUNCTION("""COMPUTED_VALUE"""),"Джинсовка")</f>
        <v>Джинсовка</v>
      </c>
      <c r="E1329" s="133" t="str">
        <f>IFERROR(__xludf.DUMMYFUNCTION("""COMPUTED_VALUE"""),"L")</f>
        <v>L</v>
      </c>
      <c r="F1329" s="133" t="str">
        <f>IFERROR(__xludf.DUMMYFUNCTION("""COMPUTED_VALUE"""),"DG0022DGWL")</f>
        <v>DG0022DGWL</v>
      </c>
      <c r="G1329" s="165">
        <f>IFERROR(__xludf.DUMMYFUNCTION("""COMPUTED_VALUE"""),1045.0)</f>
        <v>1045</v>
      </c>
    </row>
    <row r="1330" ht="15.75" customHeight="1">
      <c r="A1330" s="133" t="str">
        <f>IFERROR(__xludf.DUMMYFUNCTION("""COMPUTED_VALUE"""),"DG0022DGW")</f>
        <v>DG0022DGW</v>
      </c>
      <c r="B1330" s="164">
        <f>IFERROR(__xludf.DUMMYFUNCTION("""COMPUTED_VALUE"""),1.3170356E7)</f>
        <v>13170356</v>
      </c>
      <c r="C1330" s="164" t="str">
        <f>IFERROR(__xludf.DUMMYFUNCTION("""COMPUTED_VALUE"""),"13170356XL")</f>
        <v>13170356XL</v>
      </c>
      <c r="D1330" s="133" t="str">
        <f>IFERROR(__xludf.DUMMYFUNCTION("""COMPUTED_VALUE"""),"Джинсовка")</f>
        <v>Джинсовка</v>
      </c>
      <c r="E1330" s="133" t="str">
        <f>IFERROR(__xludf.DUMMYFUNCTION("""COMPUTED_VALUE"""),"XL")</f>
        <v>XL</v>
      </c>
      <c r="F1330" s="133" t="str">
        <f>IFERROR(__xludf.DUMMYFUNCTION("""COMPUTED_VALUE"""),"DG0022DGWXL")</f>
        <v>DG0022DGWXL</v>
      </c>
      <c r="G1330" s="165">
        <f>IFERROR(__xludf.DUMMYFUNCTION("""COMPUTED_VALUE"""),1045.0)</f>
        <v>1045</v>
      </c>
    </row>
    <row r="1331" ht="15.75" customHeight="1">
      <c r="A1331" s="133" t="str">
        <f>IFERROR(__xludf.DUMMYFUNCTION("""COMPUTED_VALUE"""),"DG0023DGW")</f>
        <v>DG0023DGW</v>
      </c>
      <c r="B1331" s="164">
        <f>IFERROR(__xludf.DUMMYFUNCTION("""COMPUTED_VALUE"""),1.3170357E7)</f>
        <v>13170357</v>
      </c>
      <c r="C1331" s="164" t="str">
        <f>IFERROR(__xludf.DUMMYFUNCTION("""COMPUTED_VALUE"""),"13170357M")</f>
        <v>13170357M</v>
      </c>
      <c r="D1331" s="133" t="str">
        <f>IFERROR(__xludf.DUMMYFUNCTION("""COMPUTED_VALUE"""),"Джинсовка")</f>
        <v>Джинсовка</v>
      </c>
      <c r="E1331" s="133" t="str">
        <f>IFERROR(__xludf.DUMMYFUNCTION("""COMPUTED_VALUE"""),"M")</f>
        <v>M</v>
      </c>
      <c r="F1331" s="133" t="str">
        <f>IFERROR(__xludf.DUMMYFUNCTION("""COMPUTED_VALUE"""),"DG0023DGWM")</f>
        <v>DG0023DGWM</v>
      </c>
      <c r="G1331" s="165">
        <f>IFERROR(__xludf.DUMMYFUNCTION("""COMPUTED_VALUE"""),1045.0)</f>
        <v>1045</v>
      </c>
    </row>
    <row r="1332" ht="15.75" customHeight="1">
      <c r="A1332" s="133" t="str">
        <f>IFERROR(__xludf.DUMMYFUNCTION("""COMPUTED_VALUE"""),"DG0023DGW")</f>
        <v>DG0023DGW</v>
      </c>
      <c r="B1332" s="164">
        <f>IFERROR(__xludf.DUMMYFUNCTION("""COMPUTED_VALUE"""),1.3170357E7)</f>
        <v>13170357</v>
      </c>
      <c r="C1332" s="164" t="str">
        <f>IFERROR(__xludf.DUMMYFUNCTION("""COMPUTED_VALUE"""),"13170357L")</f>
        <v>13170357L</v>
      </c>
      <c r="D1332" s="133" t="str">
        <f>IFERROR(__xludf.DUMMYFUNCTION("""COMPUTED_VALUE"""),"Джинсовка")</f>
        <v>Джинсовка</v>
      </c>
      <c r="E1332" s="133" t="str">
        <f>IFERROR(__xludf.DUMMYFUNCTION("""COMPUTED_VALUE"""),"L")</f>
        <v>L</v>
      </c>
      <c r="F1332" s="133" t="str">
        <f>IFERROR(__xludf.DUMMYFUNCTION("""COMPUTED_VALUE"""),"DG0023DGWL")</f>
        <v>DG0023DGWL</v>
      </c>
      <c r="G1332" s="165">
        <f>IFERROR(__xludf.DUMMYFUNCTION("""COMPUTED_VALUE"""),1045.0)</f>
        <v>1045</v>
      </c>
    </row>
    <row r="1333" ht="15.75" customHeight="1">
      <c r="A1333" s="133" t="str">
        <f>IFERROR(__xludf.DUMMYFUNCTION("""COMPUTED_VALUE"""),"DG0023DGW")</f>
        <v>DG0023DGW</v>
      </c>
      <c r="B1333" s="164">
        <f>IFERROR(__xludf.DUMMYFUNCTION("""COMPUTED_VALUE"""),1.3170357E7)</f>
        <v>13170357</v>
      </c>
      <c r="C1333" s="164" t="str">
        <f>IFERROR(__xludf.DUMMYFUNCTION("""COMPUTED_VALUE"""),"13170357XL")</f>
        <v>13170357XL</v>
      </c>
      <c r="D1333" s="133" t="str">
        <f>IFERROR(__xludf.DUMMYFUNCTION("""COMPUTED_VALUE"""),"Джинсовка")</f>
        <v>Джинсовка</v>
      </c>
      <c r="E1333" s="133" t="str">
        <f>IFERROR(__xludf.DUMMYFUNCTION("""COMPUTED_VALUE"""),"XL")</f>
        <v>XL</v>
      </c>
      <c r="F1333" s="133" t="str">
        <f>IFERROR(__xludf.DUMMYFUNCTION("""COMPUTED_VALUE"""),"DG0023DGWXL")</f>
        <v>DG0023DGWXL</v>
      </c>
      <c r="G1333" s="165">
        <f>IFERROR(__xludf.DUMMYFUNCTION("""COMPUTED_VALUE"""),1045.0)</f>
        <v>1045</v>
      </c>
    </row>
    <row r="1334" ht="15.75" customHeight="1">
      <c r="A1334" s="133" t="str">
        <f>IFERROR(__xludf.DUMMYFUNCTION("""COMPUTED_VALUE"""),"DG00139DGW")</f>
        <v>DG00139DGW</v>
      </c>
      <c r="B1334" s="164">
        <f>IFERROR(__xludf.DUMMYFUNCTION("""COMPUTED_VALUE"""),1.3650196E7)</f>
        <v>13650196</v>
      </c>
      <c r="C1334" s="164" t="str">
        <f>IFERROR(__xludf.DUMMYFUNCTION("""COMPUTED_VALUE"""),"13650196")</f>
        <v>13650196</v>
      </c>
      <c r="D1334" s="133" t="str">
        <f>IFERROR(__xludf.DUMMYFUNCTION("""COMPUTED_VALUE"""),"Джинсовка")</f>
        <v>Джинсовка</v>
      </c>
      <c r="E1334" s="133"/>
      <c r="F1334" s="133" t="str">
        <f>IFERROR(__xludf.DUMMYFUNCTION("""COMPUTED_VALUE"""),"DG00139DGW")</f>
        <v>DG00139DGW</v>
      </c>
      <c r="G1334" s="165">
        <f>IFERROR(__xludf.DUMMYFUNCTION("""COMPUTED_VALUE"""),1045.0)</f>
        <v>1045</v>
      </c>
    </row>
    <row r="1335" ht="15.75" customHeight="1">
      <c r="A1335" s="133" t="str">
        <f>IFERROR(__xludf.DUMMYFUNCTION("""COMPUTED_VALUE"""),"SH00125DGW")</f>
        <v>SH00125DGW</v>
      </c>
      <c r="B1335" s="164">
        <f>IFERROR(__xludf.DUMMYFUNCTION("""COMPUTED_VALUE"""),1.3320221E7)</f>
        <v>13320221</v>
      </c>
      <c r="C1335" s="164" t="str">
        <f>IFERROR(__xludf.DUMMYFUNCTION("""COMPUTED_VALUE"""),"13320221")</f>
        <v>13320221</v>
      </c>
      <c r="D1335" s="133" t="str">
        <f>IFERROR(__xludf.DUMMYFUNCTION("""COMPUTED_VALUE"""),"Шорты")</f>
        <v>Шорты</v>
      </c>
      <c r="E1335" s="133"/>
      <c r="F1335" s="133" t="str">
        <f>IFERROR(__xludf.DUMMYFUNCTION("""COMPUTED_VALUE"""),"SH00125DGW")</f>
        <v>SH00125DGW</v>
      </c>
      <c r="G1335" s="165">
        <f>IFERROR(__xludf.DUMMYFUNCTION("""COMPUTED_VALUE"""),475.0)</f>
        <v>475</v>
      </c>
    </row>
    <row r="1336" ht="15.75" customHeight="1">
      <c r="A1336" s="133" t="str">
        <f>IFERROR(__xludf.DUMMYFUNCTION("""COMPUTED_VALUE"""),"VL00140DGW")</f>
        <v>VL00140DGW</v>
      </c>
      <c r="B1336" s="164">
        <f>IFERROR(__xludf.DUMMYFUNCTION("""COMPUTED_VALUE"""),1.3759698E7)</f>
        <v>13759698</v>
      </c>
      <c r="C1336" s="164" t="str">
        <f>IFERROR(__xludf.DUMMYFUNCTION("""COMPUTED_VALUE"""),"13759698")</f>
        <v>13759698</v>
      </c>
      <c r="D1336" s="133" t="str">
        <f>IFERROR(__xludf.DUMMYFUNCTION("""COMPUTED_VALUE"""),"Велосипедки")</f>
        <v>Велосипедки</v>
      </c>
      <c r="E1336" s="133"/>
      <c r="F1336" s="133" t="str">
        <f>IFERROR(__xludf.DUMMYFUNCTION("""COMPUTED_VALUE"""),"VL00140DGW")</f>
        <v>VL00140DGW</v>
      </c>
      <c r="G1336" s="165">
        <f>IFERROR(__xludf.DUMMYFUNCTION("""COMPUTED_VALUE"""),232.0)</f>
        <v>232</v>
      </c>
    </row>
    <row r="1337" ht="15.75" customHeight="1">
      <c r="A1337" s="133" t="str">
        <f>IFERROR(__xludf.DUMMYFUNCTION("""COMPUTED_VALUE"""),"NA20148KE")</f>
        <v>NA20148KE</v>
      </c>
      <c r="B1337" s="164">
        <f>IFERROR(__xludf.DUMMYFUNCTION("""COMPUTED_VALUE"""),1.4192524E7)</f>
        <v>14192524</v>
      </c>
      <c r="C1337" s="164" t="str">
        <f>IFERROR(__xludf.DUMMYFUNCTION("""COMPUTED_VALUE"""),"141925240")</f>
        <v>141925240</v>
      </c>
      <c r="D1337" s="133" t="str">
        <f>IFERROR(__xludf.DUMMYFUNCTION("""COMPUTED_VALUE"""),"Насос электрический")</f>
        <v>Насос электрический</v>
      </c>
      <c r="E1337" s="133">
        <f>IFERROR(__xludf.DUMMYFUNCTION("""COMPUTED_VALUE"""),0.0)</f>
        <v>0</v>
      </c>
      <c r="F1337" s="133" t="str">
        <f>IFERROR(__xludf.DUMMYFUNCTION("""COMPUTED_VALUE"""),"NA20148KE0")</f>
        <v>NA20148KE0</v>
      </c>
      <c r="G1337" s="165">
        <f>IFERROR(__xludf.DUMMYFUNCTION("""COMPUTED_VALUE"""),181.0)</f>
        <v>181</v>
      </c>
    </row>
    <row r="1338" ht="15.75" customHeight="1">
      <c r="A1338" s="133" t="str">
        <f>IFERROR(__xludf.DUMMYFUNCTION("""COMPUTED_VALUE"""),"PX00349SLM")</f>
        <v>PX00349SLM</v>
      </c>
      <c r="B1338" s="164">
        <f>IFERROR(__xludf.DUMMYFUNCTION("""COMPUTED_VALUE"""),1.6123099E7)</f>
        <v>16123099</v>
      </c>
      <c r="C1338" s="164" t="str">
        <f>IFERROR(__xludf.DUMMYFUNCTION("""COMPUTED_VALUE"""),"16123099S")</f>
        <v>16123099S</v>
      </c>
      <c r="D1338" s="133" t="str">
        <f>IFERROR(__xludf.DUMMYFUNCTION("""COMPUTED_VALUE"""),"Пуховик удлиненный")</f>
        <v>Пуховик удлиненный</v>
      </c>
      <c r="E1338" s="133" t="str">
        <f>IFERROR(__xludf.DUMMYFUNCTION("""COMPUTED_VALUE"""),"S")</f>
        <v>S</v>
      </c>
      <c r="F1338" s="133" t="str">
        <f>IFERROR(__xludf.DUMMYFUNCTION("""COMPUTED_VALUE"""),"PX00349SLMS")</f>
        <v>PX00349SLMS</v>
      </c>
      <c r="G1338" s="165">
        <f>IFERROR(__xludf.DUMMYFUNCTION("""COMPUTED_VALUE"""),4146.0)</f>
        <v>4146</v>
      </c>
    </row>
    <row r="1339" ht="15.75" customHeight="1">
      <c r="A1339" s="133" t="str">
        <f>IFERROR(__xludf.DUMMYFUNCTION("""COMPUTED_VALUE"""),"PX00349SLM")</f>
        <v>PX00349SLM</v>
      </c>
      <c r="B1339" s="164">
        <f>IFERROR(__xludf.DUMMYFUNCTION("""COMPUTED_VALUE"""),1.6123099E7)</f>
        <v>16123099</v>
      </c>
      <c r="C1339" s="164" t="str">
        <f>IFERROR(__xludf.DUMMYFUNCTION("""COMPUTED_VALUE"""),"16123099M")</f>
        <v>16123099M</v>
      </c>
      <c r="D1339" s="133" t="str">
        <f>IFERROR(__xludf.DUMMYFUNCTION("""COMPUTED_VALUE"""),"Пуховик удлиненный")</f>
        <v>Пуховик удлиненный</v>
      </c>
      <c r="E1339" s="133" t="str">
        <f>IFERROR(__xludf.DUMMYFUNCTION("""COMPUTED_VALUE"""),"M")</f>
        <v>M</v>
      </c>
      <c r="F1339" s="133" t="str">
        <f>IFERROR(__xludf.DUMMYFUNCTION("""COMPUTED_VALUE"""),"PX00349SLMM")</f>
        <v>PX00349SLMM</v>
      </c>
      <c r="G1339" s="165">
        <f>IFERROR(__xludf.DUMMYFUNCTION("""COMPUTED_VALUE"""),4146.0)</f>
        <v>4146</v>
      </c>
    </row>
    <row r="1340" ht="15.75" customHeight="1">
      <c r="A1340" s="133" t="str">
        <f>IFERROR(__xludf.DUMMYFUNCTION("""COMPUTED_VALUE"""),"PX00349SLM")</f>
        <v>PX00349SLM</v>
      </c>
      <c r="B1340" s="164">
        <f>IFERROR(__xludf.DUMMYFUNCTION("""COMPUTED_VALUE"""),1.6123099E7)</f>
        <v>16123099</v>
      </c>
      <c r="C1340" s="164" t="str">
        <f>IFERROR(__xludf.DUMMYFUNCTION("""COMPUTED_VALUE"""),"16123099L")</f>
        <v>16123099L</v>
      </c>
      <c r="D1340" s="133" t="str">
        <f>IFERROR(__xludf.DUMMYFUNCTION("""COMPUTED_VALUE"""),"Пуховик удлиненный")</f>
        <v>Пуховик удлиненный</v>
      </c>
      <c r="E1340" s="133" t="str">
        <f>IFERROR(__xludf.DUMMYFUNCTION("""COMPUTED_VALUE"""),"L")</f>
        <v>L</v>
      </c>
      <c r="F1340" s="133" t="str">
        <f>IFERROR(__xludf.DUMMYFUNCTION("""COMPUTED_VALUE"""),"PX00349SLML")</f>
        <v>PX00349SLML</v>
      </c>
      <c r="G1340" s="165">
        <f>IFERROR(__xludf.DUMMYFUNCTION("""COMPUTED_VALUE"""),4146.0)</f>
        <v>4146</v>
      </c>
    </row>
    <row r="1341" ht="15.75" customHeight="1">
      <c r="A1341" s="133" t="str">
        <f>IFERROR(__xludf.DUMMYFUNCTION("""COMPUTED_VALUE"""),"PX00349SLM")</f>
        <v>PX00349SLM</v>
      </c>
      <c r="B1341" s="164">
        <f>IFERROR(__xludf.DUMMYFUNCTION("""COMPUTED_VALUE"""),1.6123099E7)</f>
        <v>16123099</v>
      </c>
      <c r="C1341" s="164" t="str">
        <f>IFERROR(__xludf.DUMMYFUNCTION("""COMPUTED_VALUE"""),"16123099XL")</f>
        <v>16123099XL</v>
      </c>
      <c r="D1341" s="133" t="str">
        <f>IFERROR(__xludf.DUMMYFUNCTION("""COMPUTED_VALUE"""),"Пуховик удлиненный")</f>
        <v>Пуховик удлиненный</v>
      </c>
      <c r="E1341" s="133" t="str">
        <f>IFERROR(__xludf.DUMMYFUNCTION("""COMPUTED_VALUE"""),"XL")</f>
        <v>XL</v>
      </c>
      <c r="F1341" s="133" t="str">
        <f>IFERROR(__xludf.DUMMYFUNCTION("""COMPUTED_VALUE"""),"PX00349SLMXL")</f>
        <v>PX00349SLMXL</v>
      </c>
      <c r="G1341" s="165">
        <f>IFERROR(__xludf.DUMMYFUNCTION("""COMPUTED_VALUE"""),4146.0)</f>
        <v>4146</v>
      </c>
    </row>
    <row r="1342" ht="15.75" customHeight="1">
      <c r="A1342" s="133" t="str">
        <f>IFERROR(__xludf.DUMMYFUNCTION("""COMPUTED_VALUE"""),"PX00349SLM")</f>
        <v>PX00349SLM</v>
      </c>
      <c r="B1342" s="164">
        <f>IFERROR(__xludf.DUMMYFUNCTION("""COMPUTED_VALUE"""),1.6123099E7)</f>
        <v>16123099</v>
      </c>
      <c r="C1342" s="164" t="str">
        <f>IFERROR(__xludf.DUMMYFUNCTION("""COMPUTED_VALUE"""),"16123099XXL")</f>
        <v>16123099XXL</v>
      </c>
      <c r="D1342" s="133" t="str">
        <f>IFERROR(__xludf.DUMMYFUNCTION("""COMPUTED_VALUE"""),"Пуховик удлиненный")</f>
        <v>Пуховик удлиненный</v>
      </c>
      <c r="E1342" s="133" t="str">
        <f>IFERROR(__xludf.DUMMYFUNCTION("""COMPUTED_VALUE"""),"XXL")</f>
        <v>XXL</v>
      </c>
      <c r="F1342" s="133" t="str">
        <f>IFERROR(__xludf.DUMMYFUNCTION("""COMPUTED_VALUE"""),"PX00349SLMXXL")</f>
        <v>PX00349SLMXXL</v>
      </c>
      <c r="G1342" s="165">
        <f>IFERROR(__xludf.DUMMYFUNCTION("""COMPUTED_VALUE"""),4146.0)</f>
        <v>4146</v>
      </c>
    </row>
    <row r="1343" ht="15.75" customHeight="1">
      <c r="A1343" s="133" t="str">
        <f>IFERROR(__xludf.DUMMYFUNCTION("""COMPUTED_VALUE"""),"PX00349SLM")</f>
        <v>PX00349SLM</v>
      </c>
      <c r="B1343" s="164">
        <f>IFERROR(__xludf.DUMMYFUNCTION("""COMPUTED_VALUE"""),1.6123099E7)</f>
        <v>16123099</v>
      </c>
      <c r="C1343" s="164" t="str">
        <f>IFERROR(__xludf.DUMMYFUNCTION("""COMPUTED_VALUE"""),"16123099XXXL")</f>
        <v>16123099XXXL</v>
      </c>
      <c r="D1343" s="133" t="str">
        <f>IFERROR(__xludf.DUMMYFUNCTION("""COMPUTED_VALUE"""),"Пуховик удлиненный")</f>
        <v>Пуховик удлиненный</v>
      </c>
      <c r="E1343" s="133" t="str">
        <f>IFERROR(__xludf.DUMMYFUNCTION("""COMPUTED_VALUE"""),"XXXL")</f>
        <v>XXXL</v>
      </c>
      <c r="F1343" s="133" t="str">
        <f>IFERROR(__xludf.DUMMYFUNCTION("""COMPUTED_VALUE"""),"PX00349SLMXXXL")</f>
        <v>PX00349SLMXXXL</v>
      </c>
      <c r="G1343" s="165">
        <f>IFERROR(__xludf.DUMMYFUNCTION("""COMPUTED_VALUE"""),4146.0)</f>
        <v>4146</v>
      </c>
    </row>
    <row r="1344" ht="15.75" customHeight="1">
      <c r="A1344" s="133" t="str">
        <f>IFERROR(__xludf.DUMMYFUNCTION("""COMPUTED_VALUE"""),"PX00347SLM")</f>
        <v>PX00347SLM</v>
      </c>
      <c r="B1344" s="164">
        <f>IFERROR(__xludf.DUMMYFUNCTION("""COMPUTED_VALUE"""),1.6123098E7)</f>
        <v>16123098</v>
      </c>
      <c r="C1344" s="164" t="str">
        <f>IFERROR(__xludf.DUMMYFUNCTION("""COMPUTED_VALUE"""),"16123098S")</f>
        <v>16123098S</v>
      </c>
      <c r="D1344" s="133" t="str">
        <f>IFERROR(__xludf.DUMMYFUNCTION("""COMPUTED_VALUE"""),"Пуховик удлиненный")</f>
        <v>Пуховик удлиненный</v>
      </c>
      <c r="E1344" s="133" t="str">
        <f>IFERROR(__xludf.DUMMYFUNCTION("""COMPUTED_VALUE"""),"S")</f>
        <v>S</v>
      </c>
      <c r="F1344" s="133" t="str">
        <f>IFERROR(__xludf.DUMMYFUNCTION("""COMPUTED_VALUE"""),"PX00347SLMS")</f>
        <v>PX00347SLMS</v>
      </c>
      <c r="G1344" s="165">
        <f>IFERROR(__xludf.DUMMYFUNCTION("""COMPUTED_VALUE"""),4146.0)</f>
        <v>4146</v>
      </c>
    </row>
    <row r="1345" ht="15.75" customHeight="1">
      <c r="A1345" s="133" t="str">
        <f>IFERROR(__xludf.DUMMYFUNCTION("""COMPUTED_VALUE"""),"PX00347SLM")</f>
        <v>PX00347SLM</v>
      </c>
      <c r="B1345" s="164">
        <f>IFERROR(__xludf.DUMMYFUNCTION("""COMPUTED_VALUE"""),1.6123098E7)</f>
        <v>16123098</v>
      </c>
      <c r="C1345" s="164" t="str">
        <f>IFERROR(__xludf.DUMMYFUNCTION("""COMPUTED_VALUE"""),"16123098M")</f>
        <v>16123098M</v>
      </c>
      <c r="D1345" s="133" t="str">
        <f>IFERROR(__xludf.DUMMYFUNCTION("""COMPUTED_VALUE"""),"Пуховик удлиненный")</f>
        <v>Пуховик удлиненный</v>
      </c>
      <c r="E1345" s="133" t="str">
        <f>IFERROR(__xludf.DUMMYFUNCTION("""COMPUTED_VALUE"""),"M")</f>
        <v>M</v>
      </c>
      <c r="F1345" s="133" t="str">
        <f>IFERROR(__xludf.DUMMYFUNCTION("""COMPUTED_VALUE"""),"PX00347SLMM")</f>
        <v>PX00347SLMM</v>
      </c>
      <c r="G1345" s="165">
        <f>IFERROR(__xludf.DUMMYFUNCTION("""COMPUTED_VALUE"""),4146.0)</f>
        <v>4146</v>
      </c>
    </row>
    <row r="1346" ht="15.75" customHeight="1">
      <c r="A1346" s="133" t="str">
        <f>IFERROR(__xludf.DUMMYFUNCTION("""COMPUTED_VALUE"""),"PX00347SLM")</f>
        <v>PX00347SLM</v>
      </c>
      <c r="B1346" s="164">
        <f>IFERROR(__xludf.DUMMYFUNCTION("""COMPUTED_VALUE"""),1.6123098E7)</f>
        <v>16123098</v>
      </c>
      <c r="C1346" s="164" t="str">
        <f>IFERROR(__xludf.DUMMYFUNCTION("""COMPUTED_VALUE"""),"16123098L")</f>
        <v>16123098L</v>
      </c>
      <c r="D1346" s="133" t="str">
        <f>IFERROR(__xludf.DUMMYFUNCTION("""COMPUTED_VALUE"""),"Пуховик удлиненный")</f>
        <v>Пуховик удлиненный</v>
      </c>
      <c r="E1346" s="133" t="str">
        <f>IFERROR(__xludf.DUMMYFUNCTION("""COMPUTED_VALUE"""),"L")</f>
        <v>L</v>
      </c>
      <c r="F1346" s="133" t="str">
        <f>IFERROR(__xludf.DUMMYFUNCTION("""COMPUTED_VALUE"""),"PX00347SLML")</f>
        <v>PX00347SLML</v>
      </c>
      <c r="G1346" s="165">
        <f>IFERROR(__xludf.DUMMYFUNCTION("""COMPUTED_VALUE"""),4146.0)</f>
        <v>4146</v>
      </c>
    </row>
    <row r="1347" ht="15.75" customHeight="1">
      <c r="A1347" s="133" t="str">
        <f>IFERROR(__xludf.DUMMYFUNCTION("""COMPUTED_VALUE"""),"PX00347SLM")</f>
        <v>PX00347SLM</v>
      </c>
      <c r="B1347" s="164">
        <f>IFERROR(__xludf.DUMMYFUNCTION("""COMPUTED_VALUE"""),1.6123098E7)</f>
        <v>16123098</v>
      </c>
      <c r="C1347" s="164" t="str">
        <f>IFERROR(__xludf.DUMMYFUNCTION("""COMPUTED_VALUE"""),"16123098XL")</f>
        <v>16123098XL</v>
      </c>
      <c r="D1347" s="133" t="str">
        <f>IFERROR(__xludf.DUMMYFUNCTION("""COMPUTED_VALUE"""),"Пуховик удлиненный")</f>
        <v>Пуховик удлиненный</v>
      </c>
      <c r="E1347" s="133" t="str">
        <f>IFERROR(__xludf.DUMMYFUNCTION("""COMPUTED_VALUE"""),"XL")</f>
        <v>XL</v>
      </c>
      <c r="F1347" s="133" t="str">
        <f>IFERROR(__xludf.DUMMYFUNCTION("""COMPUTED_VALUE"""),"PX00347SLMXL")</f>
        <v>PX00347SLMXL</v>
      </c>
      <c r="G1347" s="165">
        <f>IFERROR(__xludf.DUMMYFUNCTION("""COMPUTED_VALUE"""),4146.0)</f>
        <v>4146</v>
      </c>
    </row>
    <row r="1348" ht="15.75" customHeight="1">
      <c r="A1348" s="133" t="str">
        <f>IFERROR(__xludf.DUMMYFUNCTION("""COMPUTED_VALUE"""),"PX00347SLM")</f>
        <v>PX00347SLM</v>
      </c>
      <c r="B1348" s="164">
        <f>IFERROR(__xludf.DUMMYFUNCTION("""COMPUTED_VALUE"""),1.6123098E7)</f>
        <v>16123098</v>
      </c>
      <c r="C1348" s="164" t="str">
        <f>IFERROR(__xludf.DUMMYFUNCTION("""COMPUTED_VALUE"""),"16123098XXL")</f>
        <v>16123098XXL</v>
      </c>
      <c r="D1348" s="133" t="str">
        <f>IFERROR(__xludf.DUMMYFUNCTION("""COMPUTED_VALUE"""),"Пуховик удлиненный")</f>
        <v>Пуховик удлиненный</v>
      </c>
      <c r="E1348" s="133" t="str">
        <f>IFERROR(__xludf.DUMMYFUNCTION("""COMPUTED_VALUE"""),"XXL")</f>
        <v>XXL</v>
      </c>
      <c r="F1348" s="133" t="str">
        <f>IFERROR(__xludf.DUMMYFUNCTION("""COMPUTED_VALUE"""),"PX00347SLMXXL")</f>
        <v>PX00347SLMXXL</v>
      </c>
      <c r="G1348" s="165">
        <f>IFERROR(__xludf.DUMMYFUNCTION("""COMPUTED_VALUE"""),4146.0)</f>
        <v>4146</v>
      </c>
    </row>
    <row r="1349" ht="15.75" customHeight="1">
      <c r="A1349" s="133" t="str">
        <f>IFERROR(__xludf.DUMMYFUNCTION("""COMPUTED_VALUE"""),"PX00347SLM")</f>
        <v>PX00347SLM</v>
      </c>
      <c r="B1349" s="164">
        <f>IFERROR(__xludf.DUMMYFUNCTION("""COMPUTED_VALUE"""),1.6123098E7)</f>
        <v>16123098</v>
      </c>
      <c r="C1349" s="164" t="str">
        <f>IFERROR(__xludf.DUMMYFUNCTION("""COMPUTED_VALUE"""),"16123098XXXL")</f>
        <v>16123098XXXL</v>
      </c>
      <c r="D1349" s="133" t="str">
        <f>IFERROR(__xludf.DUMMYFUNCTION("""COMPUTED_VALUE"""),"Пуховик удлиненный")</f>
        <v>Пуховик удлиненный</v>
      </c>
      <c r="E1349" s="133" t="str">
        <f>IFERROR(__xludf.DUMMYFUNCTION("""COMPUTED_VALUE"""),"XXXL")</f>
        <v>XXXL</v>
      </c>
      <c r="F1349" s="133" t="str">
        <f>IFERROR(__xludf.DUMMYFUNCTION("""COMPUTED_VALUE"""),"PX00347SLMXXXL")</f>
        <v>PX00347SLMXXXL</v>
      </c>
      <c r="G1349" s="165">
        <f>IFERROR(__xludf.DUMMYFUNCTION("""COMPUTED_VALUE"""),4146.0)</f>
        <v>4146</v>
      </c>
    </row>
    <row r="1350" ht="15.75" customHeight="1">
      <c r="A1350" s="133" t="str">
        <f>IFERROR(__xludf.DUMMYFUNCTION("""COMPUTED_VALUE"""),"PX00345SLM")</f>
        <v>PX00345SLM</v>
      </c>
      <c r="B1350" s="164">
        <f>IFERROR(__xludf.DUMMYFUNCTION("""COMPUTED_VALUE"""),1.6123096E7)</f>
        <v>16123096</v>
      </c>
      <c r="C1350" s="164" t="str">
        <f>IFERROR(__xludf.DUMMYFUNCTION("""COMPUTED_VALUE"""),"16123096S")</f>
        <v>16123096S</v>
      </c>
      <c r="D1350" s="133" t="str">
        <f>IFERROR(__xludf.DUMMYFUNCTION("""COMPUTED_VALUE"""),"Пуховик")</f>
        <v>Пуховик</v>
      </c>
      <c r="E1350" s="133" t="str">
        <f>IFERROR(__xludf.DUMMYFUNCTION("""COMPUTED_VALUE"""),"S")</f>
        <v>S</v>
      </c>
      <c r="F1350" s="133" t="str">
        <f>IFERROR(__xludf.DUMMYFUNCTION("""COMPUTED_VALUE"""),"PX00345SLMS")</f>
        <v>PX00345SLMS</v>
      </c>
      <c r="G1350" s="165">
        <f>IFERROR(__xludf.DUMMYFUNCTION("""COMPUTED_VALUE"""),2996.0)</f>
        <v>2996</v>
      </c>
    </row>
    <row r="1351" ht="15.75" customHeight="1">
      <c r="A1351" s="133" t="str">
        <f>IFERROR(__xludf.DUMMYFUNCTION("""COMPUTED_VALUE"""),"PX00345SLM")</f>
        <v>PX00345SLM</v>
      </c>
      <c r="B1351" s="164">
        <f>IFERROR(__xludf.DUMMYFUNCTION("""COMPUTED_VALUE"""),1.6123096E7)</f>
        <v>16123096</v>
      </c>
      <c r="C1351" s="164" t="str">
        <f>IFERROR(__xludf.DUMMYFUNCTION("""COMPUTED_VALUE"""),"16123096M")</f>
        <v>16123096M</v>
      </c>
      <c r="D1351" s="133" t="str">
        <f>IFERROR(__xludf.DUMMYFUNCTION("""COMPUTED_VALUE"""),"Пуховик")</f>
        <v>Пуховик</v>
      </c>
      <c r="E1351" s="133" t="str">
        <f>IFERROR(__xludf.DUMMYFUNCTION("""COMPUTED_VALUE"""),"M")</f>
        <v>M</v>
      </c>
      <c r="F1351" s="133" t="str">
        <f>IFERROR(__xludf.DUMMYFUNCTION("""COMPUTED_VALUE"""),"PX00345SLMM")</f>
        <v>PX00345SLMM</v>
      </c>
      <c r="G1351" s="165">
        <f>IFERROR(__xludf.DUMMYFUNCTION("""COMPUTED_VALUE"""),2996.0)</f>
        <v>2996</v>
      </c>
    </row>
    <row r="1352" ht="15.75" customHeight="1">
      <c r="A1352" s="133" t="str">
        <f>IFERROR(__xludf.DUMMYFUNCTION("""COMPUTED_VALUE"""),"PX00345SLM")</f>
        <v>PX00345SLM</v>
      </c>
      <c r="B1352" s="164">
        <f>IFERROR(__xludf.DUMMYFUNCTION("""COMPUTED_VALUE"""),1.6123096E7)</f>
        <v>16123096</v>
      </c>
      <c r="C1352" s="164" t="str">
        <f>IFERROR(__xludf.DUMMYFUNCTION("""COMPUTED_VALUE"""),"16123096L")</f>
        <v>16123096L</v>
      </c>
      <c r="D1352" s="133" t="str">
        <f>IFERROR(__xludf.DUMMYFUNCTION("""COMPUTED_VALUE"""),"Пуховик")</f>
        <v>Пуховик</v>
      </c>
      <c r="E1352" s="133" t="str">
        <f>IFERROR(__xludf.DUMMYFUNCTION("""COMPUTED_VALUE"""),"L")</f>
        <v>L</v>
      </c>
      <c r="F1352" s="133" t="str">
        <f>IFERROR(__xludf.DUMMYFUNCTION("""COMPUTED_VALUE"""),"PX00345SLML")</f>
        <v>PX00345SLML</v>
      </c>
      <c r="G1352" s="165">
        <f>IFERROR(__xludf.DUMMYFUNCTION("""COMPUTED_VALUE"""),2996.0)</f>
        <v>2996</v>
      </c>
    </row>
    <row r="1353" ht="15.75" customHeight="1">
      <c r="A1353" s="133" t="str">
        <f>IFERROR(__xludf.DUMMYFUNCTION("""COMPUTED_VALUE"""),"PX00345SLM")</f>
        <v>PX00345SLM</v>
      </c>
      <c r="B1353" s="164">
        <f>IFERROR(__xludf.DUMMYFUNCTION("""COMPUTED_VALUE"""),1.6123096E7)</f>
        <v>16123096</v>
      </c>
      <c r="C1353" s="164" t="str">
        <f>IFERROR(__xludf.DUMMYFUNCTION("""COMPUTED_VALUE"""),"16123096XL")</f>
        <v>16123096XL</v>
      </c>
      <c r="D1353" s="133" t="str">
        <f>IFERROR(__xludf.DUMMYFUNCTION("""COMPUTED_VALUE"""),"Пуховик")</f>
        <v>Пуховик</v>
      </c>
      <c r="E1353" s="133" t="str">
        <f>IFERROR(__xludf.DUMMYFUNCTION("""COMPUTED_VALUE"""),"XL")</f>
        <v>XL</v>
      </c>
      <c r="F1353" s="133" t="str">
        <f>IFERROR(__xludf.DUMMYFUNCTION("""COMPUTED_VALUE"""),"PX00345SLMXL")</f>
        <v>PX00345SLMXL</v>
      </c>
      <c r="G1353" s="165">
        <f>IFERROR(__xludf.DUMMYFUNCTION("""COMPUTED_VALUE"""),2996.0)</f>
        <v>2996</v>
      </c>
    </row>
    <row r="1354" ht="15.75" customHeight="1">
      <c r="A1354" s="133" t="str">
        <f>IFERROR(__xludf.DUMMYFUNCTION("""COMPUTED_VALUE"""),"PX00345SLM")</f>
        <v>PX00345SLM</v>
      </c>
      <c r="B1354" s="164">
        <f>IFERROR(__xludf.DUMMYFUNCTION("""COMPUTED_VALUE"""),1.6123096E7)</f>
        <v>16123096</v>
      </c>
      <c r="C1354" s="164" t="str">
        <f>IFERROR(__xludf.DUMMYFUNCTION("""COMPUTED_VALUE"""),"16123096XXL")</f>
        <v>16123096XXL</v>
      </c>
      <c r="D1354" s="133" t="str">
        <f>IFERROR(__xludf.DUMMYFUNCTION("""COMPUTED_VALUE"""),"Пуховик")</f>
        <v>Пуховик</v>
      </c>
      <c r="E1354" s="133" t="str">
        <f>IFERROR(__xludf.DUMMYFUNCTION("""COMPUTED_VALUE"""),"XXL")</f>
        <v>XXL</v>
      </c>
      <c r="F1354" s="133" t="str">
        <f>IFERROR(__xludf.DUMMYFUNCTION("""COMPUTED_VALUE"""),"PX00345SLMXXL")</f>
        <v>PX00345SLMXXL</v>
      </c>
      <c r="G1354" s="165">
        <f>IFERROR(__xludf.DUMMYFUNCTION("""COMPUTED_VALUE"""),2996.0)</f>
        <v>2996</v>
      </c>
    </row>
    <row r="1355" ht="15.75" customHeight="1">
      <c r="A1355" s="133" t="str">
        <f>IFERROR(__xludf.DUMMYFUNCTION("""COMPUTED_VALUE"""),"PX00345SLM")</f>
        <v>PX00345SLM</v>
      </c>
      <c r="B1355" s="164">
        <f>IFERROR(__xludf.DUMMYFUNCTION("""COMPUTED_VALUE"""),1.6123096E7)</f>
        <v>16123096</v>
      </c>
      <c r="C1355" s="164" t="str">
        <f>IFERROR(__xludf.DUMMYFUNCTION("""COMPUTED_VALUE"""),"16123096XXXL")</f>
        <v>16123096XXXL</v>
      </c>
      <c r="D1355" s="133" t="str">
        <f>IFERROR(__xludf.DUMMYFUNCTION("""COMPUTED_VALUE"""),"Пуховик")</f>
        <v>Пуховик</v>
      </c>
      <c r="E1355" s="133" t="str">
        <f>IFERROR(__xludf.DUMMYFUNCTION("""COMPUTED_VALUE"""),"XXXL")</f>
        <v>XXXL</v>
      </c>
      <c r="F1355" s="133" t="str">
        <f>IFERROR(__xludf.DUMMYFUNCTION("""COMPUTED_VALUE"""),"PX00345SLMXXXL")</f>
        <v>PX00345SLMXXXL</v>
      </c>
      <c r="G1355" s="165">
        <f>IFERROR(__xludf.DUMMYFUNCTION("""COMPUTED_VALUE"""),2996.0)</f>
        <v>2996</v>
      </c>
    </row>
    <row r="1356" ht="15.75" customHeight="1">
      <c r="A1356" s="133" t="str">
        <f>IFERROR(__xludf.DUMMYFUNCTION("""COMPUTED_VALUE"""),"PX00344SLM")</f>
        <v>PX00344SLM</v>
      </c>
      <c r="B1356" s="164">
        <f>IFERROR(__xludf.DUMMYFUNCTION("""COMPUTED_VALUE"""),1.6123095E7)</f>
        <v>16123095</v>
      </c>
      <c r="C1356" s="164" t="str">
        <f>IFERROR(__xludf.DUMMYFUNCTION("""COMPUTED_VALUE"""),"16123095S")</f>
        <v>16123095S</v>
      </c>
      <c r="D1356" s="133" t="str">
        <f>IFERROR(__xludf.DUMMYFUNCTION("""COMPUTED_VALUE"""),"Пуховик")</f>
        <v>Пуховик</v>
      </c>
      <c r="E1356" s="133" t="str">
        <f>IFERROR(__xludf.DUMMYFUNCTION("""COMPUTED_VALUE"""),"S")</f>
        <v>S</v>
      </c>
      <c r="F1356" s="133" t="str">
        <f>IFERROR(__xludf.DUMMYFUNCTION("""COMPUTED_VALUE"""),"PX00344SLMS")</f>
        <v>PX00344SLMS</v>
      </c>
      <c r="G1356" s="165">
        <f>IFERROR(__xludf.DUMMYFUNCTION("""COMPUTED_VALUE"""),2996.0)</f>
        <v>2996</v>
      </c>
    </row>
    <row r="1357" ht="15.75" customHeight="1">
      <c r="A1357" s="133" t="str">
        <f>IFERROR(__xludf.DUMMYFUNCTION("""COMPUTED_VALUE"""),"PX00344SLM")</f>
        <v>PX00344SLM</v>
      </c>
      <c r="B1357" s="164">
        <f>IFERROR(__xludf.DUMMYFUNCTION("""COMPUTED_VALUE"""),1.6123095E7)</f>
        <v>16123095</v>
      </c>
      <c r="C1357" s="164" t="str">
        <f>IFERROR(__xludf.DUMMYFUNCTION("""COMPUTED_VALUE"""),"16123095M")</f>
        <v>16123095M</v>
      </c>
      <c r="D1357" s="133" t="str">
        <f>IFERROR(__xludf.DUMMYFUNCTION("""COMPUTED_VALUE"""),"Пуховик")</f>
        <v>Пуховик</v>
      </c>
      <c r="E1357" s="133" t="str">
        <f>IFERROR(__xludf.DUMMYFUNCTION("""COMPUTED_VALUE"""),"M")</f>
        <v>M</v>
      </c>
      <c r="F1357" s="133" t="str">
        <f>IFERROR(__xludf.DUMMYFUNCTION("""COMPUTED_VALUE"""),"PX00344SLMM")</f>
        <v>PX00344SLMM</v>
      </c>
      <c r="G1357" s="165">
        <f>IFERROR(__xludf.DUMMYFUNCTION("""COMPUTED_VALUE"""),2996.0)</f>
        <v>2996</v>
      </c>
    </row>
    <row r="1358" ht="15.75" customHeight="1">
      <c r="A1358" s="133" t="str">
        <f>IFERROR(__xludf.DUMMYFUNCTION("""COMPUTED_VALUE"""),"PX00344SLM")</f>
        <v>PX00344SLM</v>
      </c>
      <c r="B1358" s="164">
        <f>IFERROR(__xludf.DUMMYFUNCTION("""COMPUTED_VALUE"""),1.6123095E7)</f>
        <v>16123095</v>
      </c>
      <c r="C1358" s="164" t="str">
        <f>IFERROR(__xludf.DUMMYFUNCTION("""COMPUTED_VALUE"""),"16123095L")</f>
        <v>16123095L</v>
      </c>
      <c r="D1358" s="133" t="str">
        <f>IFERROR(__xludf.DUMMYFUNCTION("""COMPUTED_VALUE"""),"Пуховик")</f>
        <v>Пуховик</v>
      </c>
      <c r="E1358" s="133" t="str">
        <f>IFERROR(__xludf.DUMMYFUNCTION("""COMPUTED_VALUE"""),"L")</f>
        <v>L</v>
      </c>
      <c r="F1358" s="133" t="str">
        <f>IFERROR(__xludf.DUMMYFUNCTION("""COMPUTED_VALUE"""),"PX00344SLML")</f>
        <v>PX00344SLML</v>
      </c>
      <c r="G1358" s="165">
        <f>IFERROR(__xludf.DUMMYFUNCTION("""COMPUTED_VALUE"""),2996.0)</f>
        <v>2996</v>
      </c>
    </row>
    <row r="1359" ht="15.75" customHeight="1">
      <c r="A1359" s="133" t="str">
        <f>IFERROR(__xludf.DUMMYFUNCTION("""COMPUTED_VALUE"""),"PX00344SLM")</f>
        <v>PX00344SLM</v>
      </c>
      <c r="B1359" s="164">
        <f>IFERROR(__xludf.DUMMYFUNCTION("""COMPUTED_VALUE"""),1.6123095E7)</f>
        <v>16123095</v>
      </c>
      <c r="C1359" s="164" t="str">
        <f>IFERROR(__xludf.DUMMYFUNCTION("""COMPUTED_VALUE"""),"16123095XL")</f>
        <v>16123095XL</v>
      </c>
      <c r="D1359" s="133" t="str">
        <f>IFERROR(__xludf.DUMMYFUNCTION("""COMPUTED_VALUE"""),"Пуховик")</f>
        <v>Пуховик</v>
      </c>
      <c r="E1359" s="133" t="str">
        <f>IFERROR(__xludf.DUMMYFUNCTION("""COMPUTED_VALUE"""),"XL")</f>
        <v>XL</v>
      </c>
      <c r="F1359" s="133" t="str">
        <f>IFERROR(__xludf.DUMMYFUNCTION("""COMPUTED_VALUE"""),"PX00344SLMXL")</f>
        <v>PX00344SLMXL</v>
      </c>
      <c r="G1359" s="165">
        <f>IFERROR(__xludf.DUMMYFUNCTION("""COMPUTED_VALUE"""),2996.0)</f>
        <v>2996</v>
      </c>
    </row>
    <row r="1360" ht="15.75" customHeight="1">
      <c r="A1360" s="133" t="str">
        <f>IFERROR(__xludf.DUMMYFUNCTION("""COMPUTED_VALUE"""),"PX00344SLM")</f>
        <v>PX00344SLM</v>
      </c>
      <c r="B1360" s="164">
        <f>IFERROR(__xludf.DUMMYFUNCTION("""COMPUTED_VALUE"""),1.6123095E7)</f>
        <v>16123095</v>
      </c>
      <c r="C1360" s="164" t="str">
        <f>IFERROR(__xludf.DUMMYFUNCTION("""COMPUTED_VALUE"""),"16123095XXL")</f>
        <v>16123095XXL</v>
      </c>
      <c r="D1360" s="133" t="str">
        <f>IFERROR(__xludf.DUMMYFUNCTION("""COMPUTED_VALUE"""),"Пуховик")</f>
        <v>Пуховик</v>
      </c>
      <c r="E1360" s="133" t="str">
        <f>IFERROR(__xludf.DUMMYFUNCTION("""COMPUTED_VALUE"""),"XXL")</f>
        <v>XXL</v>
      </c>
      <c r="F1360" s="133" t="str">
        <f>IFERROR(__xludf.DUMMYFUNCTION("""COMPUTED_VALUE"""),"PX00344SLMXXL")</f>
        <v>PX00344SLMXXL</v>
      </c>
      <c r="G1360" s="165">
        <f>IFERROR(__xludf.DUMMYFUNCTION("""COMPUTED_VALUE"""),2996.0)</f>
        <v>2996</v>
      </c>
    </row>
    <row r="1361" ht="15.75" customHeight="1">
      <c r="A1361" s="133" t="str">
        <f>IFERROR(__xludf.DUMMYFUNCTION("""COMPUTED_VALUE"""),"PX00344SLM")</f>
        <v>PX00344SLM</v>
      </c>
      <c r="B1361" s="164">
        <f>IFERROR(__xludf.DUMMYFUNCTION("""COMPUTED_VALUE"""),1.6123095E7)</f>
        <v>16123095</v>
      </c>
      <c r="C1361" s="164" t="str">
        <f>IFERROR(__xludf.DUMMYFUNCTION("""COMPUTED_VALUE"""),"16123095XXXL")</f>
        <v>16123095XXXL</v>
      </c>
      <c r="D1361" s="133" t="str">
        <f>IFERROR(__xludf.DUMMYFUNCTION("""COMPUTED_VALUE"""),"Пуховик")</f>
        <v>Пуховик</v>
      </c>
      <c r="E1361" s="133" t="str">
        <f>IFERROR(__xludf.DUMMYFUNCTION("""COMPUTED_VALUE"""),"XXXL")</f>
        <v>XXXL</v>
      </c>
      <c r="F1361" s="133" t="str">
        <f>IFERROR(__xludf.DUMMYFUNCTION("""COMPUTED_VALUE"""),"PX00344SLMXXXL")</f>
        <v>PX00344SLMXXXL</v>
      </c>
      <c r="G1361" s="165">
        <f>IFERROR(__xludf.DUMMYFUNCTION("""COMPUTED_VALUE"""),2996.0)</f>
        <v>2996</v>
      </c>
    </row>
    <row r="1362" ht="15.75" customHeight="1">
      <c r="A1362" s="133" t="str">
        <f>IFERROR(__xludf.DUMMYFUNCTION("""COMPUTED_VALUE"""),"PX00343SLM")</f>
        <v>PX00343SLM</v>
      </c>
      <c r="B1362" s="164">
        <f>IFERROR(__xludf.DUMMYFUNCTION("""COMPUTED_VALUE"""),1.6123094E7)</f>
        <v>16123094</v>
      </c>
      <c r="C1362" s="164" t="str">
        <f>IFERROR(__xludf.DUMMYFUNCTION("""COMPUTED_VALUE"""),"16123094S")</f>
        <v>16123094S</v>
      </c>
      <c r="D1362" s="133" t="str">
        <f>IFERROR(__xludf.DUMMYFUNCTION("""COMPUTED_VALUE"""),"Пуховик")</f>
        <v>Пуховик</v>
      </c>
      <c r="E1362" s="133" t="str">
        <f>IFERROR(__xludf.DUMMYFUNCTION("""COMPUTED_VALUE"""),"S")</f>
        <v>S</v>
      </c>
      <c r="F1362" s="133" t="str">
        <f>IFERROR(__xludf.DUMMYFUNCTION("""COMPUTED_VALUE"""),"PX00343SLMS")</f>
        <v>PX00343SLMS</v>
      </c>
      <c r="G1362" s="165">
        <f>IFERROR(__xludf.DUMMYFUNCTION("""COMPUTED_VALUE"""),2996.0)</f>
        <v>2996</v>
      </c>
    </row>
    <row r="1363" ht="15.75" customHeight="1">
      <c r="A1363" s="133" t="str">
        <f>IFERROR(__xludf.DUMMYFUNCTION("""COMPUTED_VALUE"""),"PX00343SLM")</f>
        <v>PX00343SLM</v>
      </c>
      <c r="B1363" s="164">
        <f>IFERROR(__xludf.DUMMYFUNCTION("""COMPUTED_VALUE"""),1.6123094E7)</f>
        <v>16123094</v>
      </c>
      <c r="C1363" s="164" t="str">
        <f>IFERROR(__xludf.DUMMYFUNCTION("""COMPUTED_VALUE"""),"16123094M")</f>
        <v>16123094M</v>
      </c>
      <c r="D1363" s="133" t="str">
        <f>IFERROR(__xludf.DUMMYFUNCTION("""COMPUTED_VALUE"""),"Пуховик")</f>
        <v>Пуховик</v>
      </c>
      <c r="E1363" s="133" t="str">
        <f>IFERROR(__xludf.DUMMYFUNCTION("""COMPUTED_VALUE"""),"M")</f>
        <v>M</v>
      </c>
      <c r="F1363" s="133" t="str">
        <f>IFERROR(__xludf.DUMMYFUNCTION("""COMPUTED_VALUE"""),"PX00343SLMM")</f>
        <v>PX00343SLMM</v>
      </c>
      <c r="G1363" s="165">
        <f>IFERROR(__xludf.DUMMYFUNCTION("""COMPUTED_VALUE"""),2996.0)</f>
        <v>2996</v>
      </c>
    </row>
    <row r="1364" ht="15.75" customHeight="1">
      <c r="A1364" s="133" t="str">
        <f>IFERROR(__xludf.DUMMYFUNCTION("""COMPUTED_VALUE"""),"PX00343SLM")</f>
        <v>PX00343SLM</v>
      </c>
      <c r="B1364" s="164">
        <f>IFERROR(__xludf.DUMMYFUNCTION("""COMPUTED_VALUE"""),1.6123094E7)</f>
        <v>16123094</v>
      </c>
      <c r="C1364" s="164" t="str">
        <f>IFERROR(__xludf.DUMMYFUNCTION("""COMPUTED_VALUE"""),"16123094L")</f>
        <v>16123094L</v>
      </c>
      <c r="D1364" s="133" t="str">
        <f>IFERROR(__xludf.DUMMYFUNCTION("""COMPUTED_VALUE"""),"Пуховик")</f>
        <v>Пуховик</v>
      </c>
      <c r="E1364" s="133" t="str">
        <f>IFERROR(__xludf.DUMMYFUNCTION("""COMPUTED_VALUE"""),"L")</f>
        <v>L</v>
      </c>
      <c r="F1364" s="133" t="str">
        <f>IFERROR(__xludf.DUMMYFUNCTION("""COMPUTED_VALUE"""),"PX00343SLML")</f>
        <v>PX00343SLML</v>
      </c>
      <c r="G1364" s="165">
        <f>IFERROR(__xludf.DUMMYFUNCTION("""COMPUTED_VALUE"""),2996.0)</f>
        <v>2996</v>
      </c>
    </row>
    <row r="1365" ht="15.75" customHeight="1">
      <c r="A1365" s="133" t="str">
        <f>IFERROR(__xludf.DUMMYFUNCTION("""COMPUTED_VALUE"""),"PX00343SLM")</f>
        <v>PX00343SLM</v>
      </c>
      <c r="B1365" s="164">
        <f>IFERROR(__xludf.DUMMYFUNCTION("""COMPUTED_VALUE"""),1.6123094E7)</f>
        <v>16123094</v>
      </c>
      <c r="C1365" s="164" t="str">
        <f>IFERROR(__xludf.DUMMYFUNCTION("""COMPUTED_VALUE"""),"16123094XL")</f>
        <v>16123094XL</v>
      </c>
      <c r="D1365" s="133" t="str">
        <f>IFERROR(__xludf.DUMMYFUNCTION("""COMPUTED_VALUE"""),"Пуховик")</f>
        <v>Пуховик</v>
      </c>
      <c r="E1365" s="133" t="str">
        <f>IFERROR(__xludf.DUMMYFUNCTION("""COMPUTED_VALUE"""),"XL")</f>
        <v>XL</v>
      </c>
      <c r="F1365" s="133" t="str">
        <f>IFERROR(__xludf.DUMMYFUNCTION("""COMPUTED_VALUE"""),"PX00343SLMXL")</f>
        <v>PX00343SLMXL</v>
      </c>
      <c r="G1365" s="165">
        <f>IFERROR(__xludf.DUMMYFUNCTION("""COMPUTED_VALUE"""),2996.0)</f>
        <v>2996</v>
      </c>
    </row>
    <row r="1366" ht="15.75" customHeight="1">
      <c r="A1366" s="133" t="str">
        <f>IFERROR(__xludf.DUMMYFUNCTION("""COMPUTED_VALUE"""),"PX00343SLM")</f>
        <v>PX00343SLM</v>
      </c>
      <c r="B1366" s="164">
        <f>IFERROR(__xludf.DUMMYFUNCTION("""COMPUTED_VALUE"""),1.6123094E7)</f>
        <v>16123094</v>
      </c>
      <c r="C1366" s="164" t="str">
        <f>IFERROR(__xludf.DUMMYFUNCTION("""COMPUTED_VALUE"""),"16123094XXL")</f>
        <v>16123094XXL</v>
      </c>
      <c r="D1366" s="133" t="str">
        <f>IFERROR(__xludf.DUMMYFUNCTION("""COMPUTED_VALUE"""),"Пуховик")</f>
        <v>Пуховик</v>
      </c>
      <c r="E1366" s="133" t="str">
        <f>IFERROR(__xludf.DUMMYFUNCTION("""COMPUTED_VALUE"""),"XXL")</f>
        <v>XXL</v>
      </c>
      <c r="F1366" s="133" t="str">
        <f>IFERROR(__xludf.DUMMYFUNCTION("""COMPUTED_VALUE"""),"PX00343SLMXXL")</f>
        <v>PX00343SLMXXL</v>
      </c>
      <c r="G1366" s="165">
        <f>IFERROR(__xludf.DUMMYFUNCTION("""COMPUTED_VALUE"""),2996.0)</f>
        <v>2996</v>
      </c>
    </row>
    <row r="1367" ht="15.75" customHeight="1">
      <c r="A1367" s="133" t="str">
        <f>IFERROR(__xludf.DUMMYFUNCTION("""COMPUTED_VALUE"""),"PX00343SLM")</f>
        <v>PX00343SLM</v>
      </c>
      <c r="B1367" s="164">
        <f>IFERROR(__xludf.DUMMYFUNCTION("""COMPUTED_VALUE"""),1.6123094E7)</f>
        <v>16123094</v>
      </c>
      <c r="C1367" s="164" t="str">
        <f>IFERROR(__xludf.DUMMYFUNCTION("""COMPUTED_VALUE"""),"16123094XXXL")</f>
        <v>16123094XXXL</v>
      </c>
      <c r="D1367" s="133" t="str">
        <f>IFERROR(__xludf.DUMMYFUNCTION("""COMPUTED_VALUE"""),"Пуховик")</f>
        <v>Пуховик</v>
      </c>
      <c r="E1367" s="133" t="str">
        <f>IFERROR(__xludf.DUMMYFUNCTION("""COMPUTED_VALUE"""),"XXXL")</f>
        <v>XXXL</v>
      </c>
      <c r="F1367" s="133" t="str">
        <f>IFERROR(__xludf.DUMMYFUNCTION("""COMPUTED_VALUE"""),"PX00343SLMXXXL")</f>
        <v>PX00343SLMXXXL</v>
      </c>
      <c r="G1367" s="165">
        <f>IFERROR(__xludf.DUMMYFUNCTION("""COMPUTED_VALUE"""),2996.0)</f>
        <v>2996</v>
      </c>
    </row>
    <row r="1368" ht="15.75" customHeight="1">
      <c r="A1368" s="133" t="str">
        <f>IFERROR(__xludf.DUMMYFUNCTION("""COMPUTED_VALUE"""),"H40372SLW")</f>
        <v>H40372SLW</v>
      </c>
      <c r="B1368" s="164">
        <f>IFERROR(__xludf.DUMMYFUNCTION("""COMPUTED_VALUE"""),1.6458318E7)</f>
        <v>16458318</v>
      </c>
      <c r="C1368" s="164" t="str">
        <f>IFERROR(__xludf.DUMMYFUNCTION("""COMPUTED_VALUE"""),"1645831840-54")</f>
        <v>1645831840-54</v>
      </c>
      <c r="D1368" s="133" t="str">
        <f>IFERROR(__xludf.DUMMYFUNCTION("""COMPUTED_VALUE"""),"Худи")</f>
        <v>Худи</v>
      </c>
      <c r="E1368" s="133" t="str">
        <f>IFERROR(__xludf.DUMMYFUNCTION("""COMPUTED_VALUE"""),"40-54")</f>
        <v>40-54</v>
      </c>
      <c r="F1368" s="133" t="str">
        <f>IFERROR(__xludf.DUMMYFUNCTION("""COMPUTED_VALUE"""),"H40372SLW40-54")</f>
        <v>H40372SLW40-54</v>
      </c>
      <c r="G1368" s="165">
        <f>IFERROR(__xludf.DUMMYFUNCTION("""COMPUTED_VALUE"""),868.0)</f>
        <v>868</v>
      </c>
    </row>
    <row r="1369" ht="15.75" customHeight="1">
      <c r="A1369" s="133" t="str">
        <f>IFERROR(__xludf.DUMMYFUNCTION("""COMPUTED_VALUE"""),"H40373SLW")</f>
        <v>H40373SLW</v>
      </c>
      <c r="B1369" s="164">
        <f>IFERROR(__xludf.DUMMYFUNCTION("""COMPUTED_VALUE"""),1.6458319E7)</f>
        <v>16458319</v>
      </c>
      <c r="C1369" s="164" t="str">
        <f>IFERROR(__xludf.DUMMYFUNCTION("""COMPUTED_VALUE"""),"1645831940-54")</f>
        <v>1645831940-54</v>
      </c>
      <c r="D1369" s="133" t="str">
        <f>IFERROR(__xludf.DUMMYFUNCTION("""COMPUTED_VALUE"""),"Худи")</f>
        <v>Худи</v>
      </c>
      <c r="E1369" s="133" t="str">
        <f>IFERROR(__xludf.DUMMYFUNCTION("""COMPUTED_VALUE"""),"40-54")</f>
        <v>40-54</v>
      </c>
      <c r="F1369" s="133" t="str">
        <f>IFERROR(__xludf.DUMMYFUNCTION("""COMPUTED_VALUE"""),"H40373SLW40-54")</f>
        <v>H40373SLW40-54</v>
      </c>
      <c r="G1369" s="165">
        <f>IFERROR(__xludf.DUMMYFUNCTION("""COMPUTED_VALUE"""),885.0)</f>
        <v>885</v>
      </c>
    </row>
    <row r="1370" ht="15.75" customHeight="1">
      <c r="A1370" s="133" t="str">
        <f>IFERROR(__xludf.DUMMYFUNCTION("""COMPUTED_VALUE"""),"H40374SLW")</f>
        <v>H40374SLW</v>
      </c>
      <c r="B1370" s="164">
        <f>IFERROR(__xludf.DUMMYFUNCTION("""COMPUTED_VALUE"""),1.645832E7)</f>
        <v>16458320</v>
      </c>
      <c r="C1370" s="164" t="str">
        <f>IFERROR(__xludf.DUMMYFUNCTION("""COMPUTED_VALUE"""),"1645832040-54")</f>
        <v>1645832040-54</v>
      </c>
      <c r="D1370" s="133" t="str">
        <f>IFERROR(__xludf.DUMMYFUNCTION("""COMPUTED_VALUE"""),"Худи")</f>
        <v>Худи</v>
      </c>
      <c r="E1370" s="133" t="str">
        <f>IFERROR(__xludf.DUMMYFUNCTION("""COMPUTED_VALUE"""),"40-54")</f>
        <v>40-54</v>
      </c>
      <c r="F1370" s="133" t="str">
        <f>IFERROR(__xludf.DUMMYFUNCTION("""COMPUTED_VALUE"""),"H40374SLW40-54")</f>
        <v>H40374SLW40-54</v>
      </c>
      <c r="G1370" s="165">
        <f>IFERROR(__xludf.DUMMYFUNCTION("""COMPUTED_VALUE"""),847.0)</f>
        <v>847</v>
      </c>
    </row>
    <row r="1371" ht="15.75" customHeight="1">
      <c r="A1371" s="133" t="str">
        <f>IFERROR(__xludf.DUMMYFUNCTION("""COMPUTED_VALUE"""),"H40375SLM")</f>
        <v>H40375SLM</v>
      </c>
      <c r="B1371" s="164">
        <f>IFERROR(__xludf.DUMMYFUNCTION("""COMPUTED_VALUE"""),1.6458321E7)</f>
        <v>16458321</v>
      </c>
      <c r="C1371" s="164" t="str">
        <f>IFERROR(__xludf.DUMMYFUNCTION("""COMPUTED_VALUE"""),"1645832146-52")</f>
        <v>1645832146-52</v>
      </c>
      <c r="D1371" s="133" t="str">
        <f>IFERROR(__xludf.DUMMYFUNCTION("""COMPUTED_VALUE"""),"Худи")</f>
        <v>Худи</v>
      </c>
      <c r="E1371" s="133" t="str">
        <f>IFERROR(__xludf.DUMMYFUNCTION("""COMPUTED_VALUE"""),"46-52")</f>
        <v>46-52</v>
      </c>
      <c r="F1371" s="133" t="str">
        <f>IFERROR(__xludf.DUMMYFUNCTION("""COMPUTED_VALUE"""),"H40375SLM46-52")</f>
        <v>H40375SLM46-52</v>
      </c>
      <c r="G1371" s="165">
        <f>IFERROR(__xludf.DUMMYFUNCTION("""COMPUTED_VALUE"""),856.0)</f>
        <v>856</v>
      </c>
    </row>
    <row r="1372" ht="15.75" customHeight="1">
      <c r="A1372" s="133" t="str">
        <f>IFERROR(__xludf.DUMMYFUNCTION("""COMPUTED_VALUE"""),"H40376SLW")</f>
        <v>H40376SLW</v>
      </c>
      <c r="B1372" s="164">
        <f>IFERROR(__xludf.DUMMYFUNCTION("""COMPUTED_VALUE"""),1.6458322E7)</f>
        <v>16458322</v>
      </c>
      <c r="C1372" s="164" t="str">
        <f>IFERROR(__xludf.DUMMYFUNCTION("""COMPUTED_VALUE"""),"1645832240-54")</f>
        <v>1645832240-54</v>
      </c>
      <c r="D1372" s="133" t="str">
        <f>IFERROR(__xludf.DUMMYFUNCTION("""COMPUTED_VALUE"""),"Худи")</f>
        <v>Худи</v>
      </c>
      <c r="E1372" s="133" t="str">
        <f>IFERROR(__xludf.DUMMYFUNCTION("""COMPUTED_VALUE"""),"40-54")</f>
        <v>40-54</v>
      </c>
      <c r="F1372" s="133" t="str">
        <f>IFERROR(__xludf.DUMMYFUNCTION("""COMPUTED_VALUE"""),"H40376SLW40-54")</f>
        <v>H40376SLW40-54</v>
      </c>
      <c r="G1372" s="165">
        <f>IFERROR(__xludf.DUMMYFUNCTION("""COMPUTED_VALUE"""),873.0)</f>
        <v>873</v>
      </c>
    </row>
    <row r="1373" ht="15.75" customHeight="1">
      <c r="A1373" s="133" t="str">
        <f>IFERROR(__xludf.DUMMYFUNCTION("""COMPUTED_VALUE"""),"H40377SLM")</f>
        <v>H40377SLM</v>
      </c>
      <c r="B1373" s="164">
        <f>IFERROR(__xludf.DUMMYFUNCTION("""COMPUTED_VALUE"""),1.6458323E7)</f>
        <v>16458323</v>
      </c>
      <c r="C1373" s="164" t="str">
        <f>IFERROR(__xludf.DUMMYFUNCTION("""COMPUTED_VALUE"""),"1645832346-52")</f>
        <v>1645832346-52</v>
      </c>
      <c r="D1373" s="133" t="str">
        <f>IFERROR(__xludf.DUMMYFUNCTION("""COMPUTED_VALUE"""),"Худи")</f>
        <v>Худи</v>
      </c>
      <c r="E1373" s="133" t="str">
        <f>IFERROR(__xludf.DUMMYFUNCTION("""COMPUTED_VALUE"""),"46-52")</f>
        <v>46-52</v>
      </c>
      <c r="F1373" s="133" t="str">
        <f>IFERROR(__xludf.DUMMYFUNCTION("""COMPUTED_VALUE"""),"H40377SLM46-52")</f>
        <v>H40377SLM46-52</v>
      </c>
      <c r="G1373" s="165">
        <f>IFERROR(__xludf.DUMMYFUNCTION("""COMPUTED_VALUE"""),886.0)</f>
        <v>886</v>
      </c>
    </row>
    <row r="1374" ht="15.75" customHeight="1">
      <c r="A1374" s="133" t="str">
        <f>IFERROR(__xludf.DUMMYFUNCTION("""COMPUTED_VALUE"""),"H40378SLM")</f>
        <v>H40378SLM</v>
      </c>
      <c r="B1374" s="164">
        <f>IFERROR(__xludf.DUMMYFUNCTION("""COMPUTED_VALUE"""),1.6630653E7)</f>
        <v>16630653</v>
      </c>
      <c r="C1374" s="164" t="str">
        <f>IFERROR(__xludf.DUMMYFUNCTION("""COMPUTED_VALUE"""),"1663065346-52")</f>
        <v>1663065346-52</v>
      </c>
      <c r="D1374" s="133" t="str">
        <f>IFERROR(__xludf.DUMMYFUNCTION("""COMPUTED_VALUE"""),"Худи")</f>
        <v>Худи</v>
      </c>
      <c r="E1374" s="133" t="str">
        <f>IFERROR(__xludf.DUMMYFUNCTION("""COMPUTED_VALUE"""),"46-52")</f>
        <v>46-52</v>
      </c>
      <c r="F1374" s="133" t="str">
        <f>IFERROR(__xludf.DUMMYFUNCTION("""COMPUTED_VALUE"""),"H40378SLM46-52")</f>
        <v>H40378SLM46-52</v>
      </c>
      <c r="G1374" s="165">
        <f>IFERROR(__xludf.DUMMYFUNCTION("""COMPUTED_VALUE"""),881.0)</f>
        <v>881</v>
      </c>
    </row>
    <row r="1375" ht="15.75" customHeight="1">
      <c r="A1375" s="133" t="str">
        <f>IFERROR(__xludf.DUMMYFUNCTION("""COMPUTED_VALUE"""),"SH00124DGW")</f>
        <v>SH00124DGW</v>
      </c>
      <c r="B1375" s="164">
        <f>IFERROR(__xludf.DUMMYFUNCTION("""COMPUTED_VALUE"""),1.332022E7)</f>
        <v>13320220</v>
      </c>
      <c r="C1375" s="164" t="str">
        <f>IFERROR(__xludf.DUMMYFUNCTION("""COMPUTED_VALUE"""),"1332022044")</f>
        <v>1332022044</v>
      </c>
      <c r="D1375" s="133" t="str">
        <f>IFERROR(__xludf.DUMMYFUNCTION("""COMPUTED_VALUE"""),"Шорты")</f>
        <v>Шорты</v>
      </c>
      <c r="E1375" s="133">
        <f>IFERROR(__xludf.DUMMYFUNCTION("""COMPUTED_VALUE"""),44.0)</f>
        <v>44</v>
      </c>
      <c r="F1375" s="133" t="str">
        <f>IFERROR(__xludf.DUMMYFUNCTION("""COMPUTED_VALUE"""),"SH00124DGW44")</f>
        <v>SH00124DGW44</v>
      </c>
      <c r="G1375" s="165">
        <f>IFERROR(__xludf.DUMMYFUNCTION("""COMPUTED_VALUE"""),475.0)</f>
        <v>475</v>
      </c>
    </row>
    <row r="1376" ht="15.75" customHeight="1">
      <c r="A1376" s="133" t="str">
        <f>IFERROR(__xludf.DUMMYFUNCTION("""COMPUTED_VALUE"""),"SH00124DGW")</f>
        <v>SH00124DGW</v>
      </c>
      <c r="B1376" s="164">
        <f>IFERROR(__xludf.DUMMYFUNCTION("""COMPUTED_VALUE"""),1.332022E7)</f>
        <v>13320220</v>
      </c>
      <c r="C1376" s="164" t="str">
        <f>IFERROR(__xludf.DUMMYFUNCTION("""COMPUTED_VALUE"""),"1332022046")</f>
        <v>1332022046</v>
      </c>
      <c r="D1376" s="133" t="str">
        <f>IFERROR(__xludf.DUMMYFUNCTION("""COMPUTED_VALUE"""),"Шорты")</f>
        <v>Шорты</v>
      </c>
      <c r="E1376" s="133">
        <f>IFERROR(__xludf.DUMMYFUNCTION("""COMPUTED_VALUE"""),46.0)</f>
        <v>46</v>
      </c>
      <c r="F1376" s="133" t="str">
        <f>IFERROR(__xludf.DUMMYFUNCTION("""COMPUTED_VALUE"""),"SH00124DGW46")</f>
        <v>SH00124DGW46</v>
      </c>
      <c r="G1376" s="165">
        <f>IFERROR(__xludf.DUMMYFUNCTION("""COMPUTED_VALUE"""),475.0)</f>
        <v>475</v>
      </c>
    </row>
    <row r="1377" ht="15.75" customHeight="1">
      <c r="A1377" s="133" t="str">
        <f>IFERROR(__xludf.DUMMYFUNCTION("""COMPUTED_VALUE"""),"VL00135DGW")</f>
        <v>VL00135DGW</v>
      </c>
      <c r="B1377" s="164">
        <f>IFERROR(__xludf.DUMMYFUNCTION("""COMPUTED_VALUE"""),1.3467294E7)</f>
        <v>13467294</v>
      </c>
      <c r="C1377" s="164" t="str">
        <f>IFERROR(__xludf.DUMMYFUNCTION("""COMPUTED_VALUE"""),"1346729442")</f>
        <v>1346729442</v>
      </c>
      <c r="D1377" s="133" t="str">
        <f>IFERROR(__xludf.DUMMYFUNCTION("""COMPUTED_VALUE"""),"Велосипедки")</f>
        <v>Велосипедки</v>
      </c>
      <c r="E1377" s="133">
        <f>IFERROR(__xludf.DUMMYFUNCTION("""COMPUTED_VALUE"""),42.0)</f>
        <v>42</v>
      </c>
      <c r="F1377" s="133" t="str">
        <f>IFERROR(__xludf.DUMMYFUNCTION("""COMPUTED_VALUE"""),"VL00135DGW42")</f>
        <v>VL00135DGW42</v>
      </c>
      <c r="G1377" s="165">
        <f>IFERROR(__xludf.DUMMYFUNCTION("""COMPUTED_VALUE"""),460.0)</f>
        <v>460</v>
      </c>
    </row>
    <row r="1378" ht="15.75" customHeight="1">
      <c r="A1378" s="133" t="str">
        <f>IFERROR(__xludf.DUMMYFUNCTION("""COMPUTED_VALUE"""),"VL00135DGW")</f>
        <v>VL00135DGW</v>
      </c>
      <c r="B1378" s="164">
        <f>IFERROR(__xludf.DUMMYFUNCTION("""COMPUTED_VALUE"""),1.3467294E7)</f>
        <v>13467294</v>
      </c>
      <c r="C1378" s="164" t="str">
        <f>IFERROR(__xludf.DUMMYFUNCTION("""COMPUTED_VALUE"""),"1346729444")</f>
        <v>1346729444</v>
      </c>
      <c r="D1378" s="133" t="str">
        <f>IFERROR(__xludf.DUMMYFUNCTION("""COMPUTED_VALUE"""),"Велосипедки")</f>
        <v>Велосипедки</v>
      </c>
      <c r="E1378" s="133">
        <f>IFERROR(__xludf.DUMMYFUNCTION("""COMPUTED_VALUE"""),44.0)</f>
        <v>44</v>
      </c>
      <c r="F1378" s="133" t="str">
        <f>IFERROR(__xludf.DUMMYFUNCTION("""COMPUTED_VALUE"""),"VL00135DGW44")</f>
        <v>VL00135DGW44</v>
      </c>
      <c r="G1378" s="165">
        <f>IFERROR(__xludf.DUMMYFUNCTION("""COMPUTED_VALUE"""),460.0)</f>
        <v>460</v>
      </c>
    </row>
    <row r="1379" ht="15.75" customHeight="1">
      <c r="A1379" s="133" t="str">
        <f>IFERROR(__xludf.DUMMYFUNCTION("""COMPUTED_VALUE"""),"H40379SLM")</f>
        <v>H40379SLM</v>
      </c>
      <c r="B1379" s="164">
        <f>IFERROR(__xludf.DUMMYFUNCTION("""COMPUTED_VALUE"""),1.6307225E7)</f>
        <v>16307225</v>
      </c>
      <c r="C1379" s="164" t="str">
        <f>IFERROR(__xludf.DUMMYFUNCTION("""COMPUTED_VALUE"""),"1630722546-52")</f>
        <v>1630722546-52</v>
      </c>
      <c r="D1379" s="133" t="str">
        <f>IFERROR(__xludf.DUMMYFUNCTION("""COMPUTED_VALUE"""),"Худи")</f>
        <v>Худи</v>
      </c>
      <c r="E1379" s="133" t="str">
        <f>IFERROR(__xludf.DUMMYFUNCTION("""COMPUTED_VALUE"""),"46-52")</f>
        <v>46-52</v>
      </c>
      <c r="F1379" s="133" t="str">
        <f>IFERROR(__xludf.DUMMYFUNCTION("""COMPUTED_VALUE"""),"H40379SLM46-52")</f>
        <v>H40379SLM46-52</v>
      </c>
      <c r="G1379" s="165">
        <f>IFERROR(__xludf.DUMMYFUNCTION("""COMPUTED_VALUE"""),897.0)</f>
        <v>897</v>
      </c>
    </row>
    <row r="1380" ht="15.75" customHeight="1">
      <c r="A1380" s="133" t="str">
        <f>IFERROR(__xludf.DUMMYFUNCTION("""COMPUTED_VALUE"""),"19SV0065")</f>
        <v>19SV0065</v>
      </c>
      <c r="B1380" s="164">
        <f>IFERROR(__xludf.DUMMYFUNCTION("""COMPUTED_VALUE"""),9577786.0)</f>
        <v>9577786</v>
      </c>
      <c r="C1380" s="164" t="str">
        <f>IFERROR(__xludf.DUMMYFUNCTION("""COMPUTED_VALUE"""),"957778642-44")</f>
        <v>957778642-44</v>
      </c>
      <c r="D1380" s="133" t="str">
        <f>IFERROR(__xludf.DUMMYFUNCTION("""COMPUTED_VALUE"""),"Свитер Тоскана")</f>
        <v>Свитер Тоскана</v>
      </c>
      <c r="E1380" s="133" t="str">
        <f>IFERROR(__xludf.DUMMYFUNCTION("""COMPUTED_VALUE"""),"42-44")</f>
        <v>42-44</v>
      </c>
      <c r="F1380" s="133" t="str">
        <f>IFERROR(__xludf.DUMMYFUNCTION("""COMPUTED_VALUE"""),"19SV006542-44")</f>
        <v>19SV006542-44</v>
      </c>
      <c r="G1380" s="165">
        <f>IFERROR(__xludf.DUMMYFUNCTION("""COMPUTED_VALUE"""),1820.0)</f>
        <v>1820</v>
      </c>
    </row>
    <row r="1381" ht="15.75" customHeight="1">
      <c r="A1381" s="133" t="str">
        <f>IFERROR(__xludf.DUMMYFUNCTION("""COMPUTED_VALUE"""),"19SV0620")</f>
        <v>19SV0620</v>
      </c>
      <c r="B1381" s="164">
        <f>IFERROR(__xludf.DUMMYFUNCTION("""COMPUTED_VALUE"""),9577787.0)</f>
        <v>9577787</v>
      </c>
      <c r="C1381" s="164" t="str">
        <f>IFERROR(__xludf.DUMMYFUNCTION("""COMPUTED_VALUE"""),"9577787one size")</f>
        <v>9577787one size</v>
      </c>
      <c r="D1381" s="133" t="str">
        <f>IFERROR(__xludf.DUMMYFUNCTION("""COMPUTED_VALUE"""),"Свитер Тоскана")</f>
        <v>Свитер Тоскана</v>
      </c>
      <c r="E1381" s="133" t="str">
        <f>IFERROR(__xludf.DUMMYFUNCTION("""COMPUTED_VALUE"""),"one size")</f>
        <v>one size</v>
      </c>
      <c r="F1381" s="133" t="str">
        <f>IFERROR(__xludf.DUMMYFUNCTION("""COMPUTED_VALUE"""),"19SV0620one size")</f>
        <v>19SV0620one size</v>
      </c>
      <c r="G1381" s="165">
        <f>IFERROR(__xludf.DUMMYFUNCTION("""COMPUTED_VALUE"""),1820.0)</f>
        <v>1820</v>
      </c>
    </row>
    <row r="1382" ht="15.75" customHeight="1">
      <c r="A1382" s="133" t="str">
        <f>IFERROR(__xludf.DUMMYFUNCTION("""COMPUTED_VALUE"""),"19BA0235")</f>
        <v>19BA0235</v>
      </c>
      <c r="B1382" s="164">
        <f>IFERROR(__xludf.DUMMYFUNCTION("""COMPUTED_VALUE"""),9790468.0)</f>
        <v>9790468</v>
      </c>
      <c r="C1382" s="164" t="str">
        <f>IFERROR(__xludf.DUMMYFUNCTION("""COMPUTED_VALUE"""),"979046844-46")</f>
        <v>979046844-46</v>
      </c>
      <c r="D1382" s="133" t="str">
        <f>IFERROR(__xludf.DUMMYFUNCTION("""COMPUTED_VALUE"""),"Свитер Бахрейн")</f>
        <v>Свитер Бахрейн</v>
      </c>
      <c r="E1382" s="133" t="str">
        <f>IFERROR(__xludf.DUMMYFUNCTION("""COMPUTED_VALUE"""),"44-46")</f>
        <v>44-46</v>
      </c>
      <c r="F1382" s="133" t="str">
        <f>IFERROR(__xludf.DUMMYFUNCTION("""COMPUTED_VALUE"""),"19BA023544-46")</f>
        <v>19BA023544-46</v>
      </c>
      <c r="G1382" s="165">
        <f>IFERROR(__xludf.DUMMYFUNCTION("""COMPUTED_VALUE"""),2826.0)</f>
        <v>2826</v>
      </c>
    </row>
    <row r="1383" ht="15.75" customHeight="1">
      <c r="A1383" s="133" t="str">
        <f>IFERROR(__xludf.DUMMYFUNCTION("""COMPUTED_VALUE"""),"19BA0016")</f>
        <v>19BA0016</v>
      </c>
      <c r="B1383" s="164">
        <f>IFERROR(__xludf.DUMMYFUNCTION("""COMPUTED_VALUE"""),9790467.0)</f>
        <v>9790467</v>
      </c>
      <c r="C1383" s="164" t="str">
        <f>IFERROR(__xludf.DUMMYFUNCTION("""COMPUTED_VALUE"""),"979046744-46")</f>
        <v>979046744-46</v>
      </c>
      <c r="D1383" s="133" t="str">
        <f>IFERROR(__xludf.DUMMYFUNCTION("""COMPUTED_VALUE"""),"Свитер Бахрейн")</f>
        <v>Свитер Бахрейн</v>
      </c>
      <c r="E1383" s="133" t="str">
        <f>IFERROR(__xludf.DUMMYFUNCTION("""COMPUTED_VALUE"""),"44-46")</f>
        <v>44-46</v>
      </c>
      <c r="F1383" s="133" t="str">
        <f>IFERROR(__xludf.DUMMYFUNCTION("""COMPUTED_VALUE"""),"19BA001644-46")</f>
        <v>19BA001644-46</v>
      </c>
      <c r="G1383" s="165">
        <f>IFERROR(__xludf.DUMMYFUNCTION("""COMPUTED_VALUE"""),2826.0)</f>
        <v>2826</v>
      </c>
    </row>
    <row r="1384" ht="15.75" customHeight="1">
      <c r="A1384" s="133" t="str">
        <f>IFERROR(__xludf.DUMMYFUNCTION("""COMPUTED_VALUE"""),"19JM0016")</f>
        <v>19JM0016</v>
      </c>
      <c r="B1384" s="164">
        <f>IFERROR(__xludf.DUMMYFUNCTION("""COMPUTED_VALUE"""),9790469.0)</f>
        <v>9790469</v>
      </c>
      <c r="C1384" s="164" t="str">
        <f>IFERROR(__xludf.DUMMYFUNCTION("""COMPUTED_VALUE"""),"979046944-46")</f>
        <v>979046944-46</v>
      </c>
      <c r="D1384" s="133" t="str">
        <f>IFERROR(__xludf.DUMMYFUNCTION("""COMPUTED_VALUE"""),"Джемпер CANYON02")</f>
        <v>Джемпер CANYON02</v>
      </c>
      <c r="E1384" s="133" t="str">
        <f>IFERROR(__xludf.DUMMYFUNCTION("""COMPUTED_VALUE"""),"44-46")</f>
        <v>44-46</v>
      </c>
      <c r="F1384" s="133" t="str">
        <f>IFERROR(__xludf.DUMMYFUNCTION("""COMPUTED_VALUE"""),"19JM001644-46")</f>
        <v>19JM001644-46</v>
      </c>
      <c r="G1384" s="165">
        <f>IFERROR(__xludf.DUMMYFUNCTION("""COMPUTED_VALUE"""),1510.0)</f>
        <v>1510</v>
      </c>
    </row>
    <row r="1385" ht="15.75" customHeight="1">
      <c r="A1385" s="133" t="str">
        <f>IFERROR(__xludf.DUMMYFUNCTION("""COMPUTED_VALUE"""),"19JM5236")</f>
        <v>19JM5236</v>
      </c>
      <c r="B1385" s="164">
        <f>IFERROR(__xludf.DUMMYFUNCTION("""COMPUTED_VALUE"""),9790473.0)</f>
        <v>9790473</v>
      </c>
      <c r="C1385" s="164" t="str">
        <f>IFERROR(__xludf.DUMMYFUNCTION("""COMPUTED_VALUE"""),"979047344-46")</f>
        <v>979047344-46</v>
      </c>
      <c r="D1385" s="133" t="str">
        <f>IFERROR(__xludf.DUMMYFUNCTION("""COMPUTED_VALUE"""),"Джемпер CANYON02")</f>
        <v>Джемпер CANYON02</v>
      </c>
      <c r="E1385" s="133" t="str">
        <f>IFERROR(__xludf.DUMMYFUNCTION("""COMPUTED_VALUE"""),"44-46")</f>
        <v>44-46</v>
      </c>
      <c r="F1385" s="133" t="str">
        <f>IFERROR(__xludf.DUMMYFUNCTION("""COMPUTED_VALUE"""),"19JM523644-46")</f>
        <v>19JM523644-46</v>
      </c>
      <c r="G1385" s="165">
        <f>IFERROR(__xludf.DUMMYFUNCTION("""COMPUTED_VALUE"""),1510.0)</f>
        <v>1510</v>
      </c>
    </row>
    <row r="1386" ht="15.75" customHeight="1">
      <c r="A1386" s="133" t="str">
        <f>IFERROR(__xludf.DUMMYFUNCTION("""COMPUTED_VALUE"""),"19JM0245")</f>
        <v>19JM0245</v>
      </c>
      <c r="B1386" s="164">
        <f>IFERROR(__xludf.DUMMYFUNCTION("""COMPUTED_VALUE"""),9790472.0)</f>
        <v>9790472</v>
      </c>
      <c r="C1386" s="164" t="str">
        <f>IFERROR(__xludf.DUMMYFUNCTION("""COMPUTED_VALUE"""),"979047244-46")</f>
        <v>979047244-46</v>
      </c>
      <c r="D1386" s="133" t="str">
        <f>IFERROR(__xludf.DUMMYFUNCTION("""COMPUTED_VALUE"""),"Джемпер CANYON02")</f>
        <v>Джемпер CANYON02</v>
      </c>
      <c r="E1386" s="133" t="str">
        <f>IFERROR(__xludf.DUMMYFUNCTION("""COMPUTED_VALUE"""),"44-46")</f>
        <v>44-46</v>
      </c>
      <c r="F1386" s="133" t="str">
        <f>IFERROR(__xludf.DUMMYFUNCTION("""COMPUTED_VALUE"""),"19JM024544-46")</f>
        <v>19JM024544-46</v>
      </c>
      <c r="G1386" s="165">
        <f>IFERROR(__xludf.DUMMYFUNCTION("""COMPUTED_VALUE"""),1510.0)</f>
        <v>1510</v>
      </c>
    </row>
    <row r="1387" ht="15.75" customHeight="1">
      <c r="A1387" s="133" t="str">
        <f>IFERROR(__xludf.DUMMYFUNCTION("""COMPUTED_VALUE"""),"19JM0062")</f>
        <v>19JM0062</v>
      </c>
      <c r="B1387" s="164">
        <f>IFERROR(__xludf.DUMMYFUNCTION("""COMPUTED_VALUE"""),9790470.0)</f>
        <v>9790470</v>
      </c>
      <c r="C1387" s="164" t="str">
        <f>IFERROR(__xludf.DUMMYFUNCTION("""COMPUTED_VALUE"""),"979047044-46")</f>
        <v>979047044-46</v>
      </c>
      <c r="D1387" s="133" t="str">
        <f>IFERROR(__xludf.DUMMYFUNCTION("""COMPUTED_VALUE"""),"Джемпер CANYON02")</f>
        <v>Джемпер CANYON02</v>
      </c>
      <c r="E1387" s="133" t="str">
        <f>IFERROR(__xludf.DUMMYFUNCTION("""COMPUTED_VALUE"""),"44-46")</f>
        <v>44-46</v>
      </c>
      <c r="F1387" s="133" t="str">
        <f>IFERROR(__xludf.DUMMYFUNCTION("""COMPUTED_VALUE"""),"19JM006244-46")</f>
        <v>19JM006244-46</v>
      </c>
      <c r="G1387" s="165">
        <f>IFERROR(__xludf.DUMMYFUNCTION("""COMPUTED_VALUE"""),1510.0)</f>
        <v>1510</v>
      </c>
    </row>
    <row r="1388" ht="15.75" customHeight="1">
      <c r="A1388" s="133" t="str">
        <f>IFERROR(__xludf.DUMMYFUNCTION("""COMPUTED_VALUE"""),"19JM0215")</f>
        <v>19JM0215</v>
      </c>
      <c r="B1388" s="164">
        <f>IFERROR(__xludf.DUMMYFUNCTION("""COMPUTED_VALUE"""),9790471.0)</f>
        <v>9790471</v>
      </c>
      <c r="C1388" s="164" t="str">
        <f>IFERROR(__xludf.DUMMYFUNCTION("""COMPUTED_VALUE"""),"979047144-46")</f>
        <v>979047144-46</v>
      </c>
      <c r="D1388" s="133" t="str">
        <f>IFERROR(__xludf.DUMMYFUNCTION("""COMPUTED_VALUE"""),"Джемпер CANYON02")</f>
        <v>Джемпер CANYON02</v>
      </c>
      <c r="E1388" s="133" t="str">
        <f>IFERROR(__xludf.DUMMYFUNCTION("""COMPUTED_VALUE"""),"44-46")</f>
        <v>44-46</v>
      </c>
      <c r="F1388" s="133" t="str">
        <f>IFERROR(__xludf.DUMMYFUNCTION("""COMPUTED_VALUE"""),"19JM021544-46")</f>
        <v>19JM021544-46</v>
      </c>
      <c r="G1388" s="165">
        <f>IFERROR(__xludf.DUMMYFUNCTION("""COMPUTED_VALUE"""),1510.0)</f>
        <v>1510</v>
      </c>
    </row>
    <row r="1389" ht="15.75" customHeight="1">
      <c r="A1389" s="133" t="str">
        <f>IFERROR(__xludf.DUMMYFUNCTION("""COMPUTED_VALUE"""),"19JM0211")</f>
        <v>19JM0211</v>
      </c>
      <c r="B1389" s="164">
        <f>IFERROR(__xludf.DUMMYFUNCTION("""COMPUTED_VALUE"""),1.0589699E7)</f>
        <v>10589699</v>
      </c>
      <c r="C1389" s="164" t="str">
        <f>IFERROR(__xludf.DUMMYFUNCTION("""COMPUTED_VALUE"""),"1058969944-46")</f>
        <v>1058969944-46</v>
      </c>
      <c r="D1389" s="133" t="str">
        <f>IFERROR(__xludf.DUMMYFUNCTION("""COMPUTED_VALUE"""),"Джемпер CANYON02")</f>
        <v>Джемпер CANYON02</v>
      </c>
      <c r="E1389" s="133" t="str">
        <f>IFERROR(__xludf.DUMMYFUNCTION("""COMPUTED_VALUE"""),"44-46")</f>
        <v>44-46</v>
      </c>
      <c r="F1389" s="133" t="str">
        <f>IFERROR(__xludf.DUMMYFUNCTION("""COMPUTED_VALUE"""),"19JM021144-46")</f>
        <v>19JM021144-46</v>
      </c>
      <c r="G1389" s="165">
        <f>IFERROR(__xludf.DUMMYFUNCTION("""COMPUTED_VALUE"""),1510.0)</f>
        <v>1510</v>
      </c>
    </row>
    <row r="1390" ht="15.75" customHeight="1">
      <c r="A1390" s="133" t="str">
        <f>IFERROR(__xludf.DUMMYFUNCTION("""COMPUTED_VALUE"""),"19JM0212")</f>
        <v>19JM0212</v>
      </c>
      <c r="B1390" s="164">
        <f>IFERROR(__xludf.DUMMYFUNCTION("""COMPUTED_VALUE"""),1.05897E7)</f>
        <v>10589700</v>
      </c>
      <c r="C1390" s="164" t="str">
        <f>IFERROR(__xludf.DUMMYFUNCTION("""COMPUTED_VALUE"""),"1058970044-46")</f>
        <v>1058970044-46</v>
      </c>
      <c r="D1390" s="133" t="str">
        <f>IFERROR(__xludf.DUMMYFUNCTION("""COMPUTED_VALUE"""),"Джемпер CANYON02")</f>
        <v>Джемпер CANYON02</v>
      </c>
      <c r="E1390" s="133" t="str">
        <f>IFERROR(__xludf.DUMMYFUNCTION("""COMPUTED_VALUE"""),"44-46")</f>
        <v>44-46</v>
      </c>
      <c r="F1390" s="133" t="str">
        <f>IFERROR(__xludf.DUMMYFUNCTION("""COMPUTED_VALUE"""),"19JM021244-46")</f>
        <v>19JM021244-46</v>
      </c>
      <c r="G1390" s="165">
        <f>IFERROR(__xludf.DUMMYFUNCTION("""COMPUTED_VALUE"""),1510.0)</f>
        <v>1510</v>
      </c>
    </row>
    <row r="1391" ht="15.75" customHeight="1">
      <c r="A1391" s="133" t="str">
        <f>IFERROR(__xludf.DUMMYFUNCTION("""COMPUTED_VALUE"""),"19JM0230")</f>
        <v>19JM0230</v>
      </c>
      <c r="B1391" s="164">
        <f>IFERROR(__xludf.DUMMYFUNCTION("""COMPUTED_VALUE"""),1.1087084E7)</f>
        <v>11087084</v>
      </c>
      <c r="C1391" s="164" t="str">
        <f>IFERROR(__xludf.DUMMYFUNCTION("""COMPUTED_VALUE"""),"1108708444-46")</f>
        <v>1108708444-46</v>
      </c>
      <c r="D1391" s="133" t="str">
        <f>IFERROR(__xludf.DUMMYFUNCTION("""COMPUTED_VALUE"""),"Джемпер CANYON02")</f>
        <v>Джемпер CANYON02</v>
      </c>
      <c r="E1391" s="133" t="str">
        <f>IFERROR(__xludf.DUMMYFUNCTION("""COMPUTED_VALUE"""),"44-46")</f>
        <v>44-46</v>
      </c>
      <c r="F1391" s="133" t="str">
        <f>IFERROR(__xludf.DUMMYFUNCTION("""COMPUTED_VALUE"""),"19JM023044-46")</f>
        <v>19JM023044-46</v>
      </c>
      <c r="G1391" s="165">
        <f>IFERROR(__xludf.DUMMYFUNCTION("""COMPUTED_VALUE"""),1510.0)</f>
        <v>1510</v>
      </c>
    </row>
    <row r="1392" ht="15.75" customHeight="1">
      <c r="A1392" s="133" t="str">
        <f>IFERROR(__xludf.DUMMYFUNCTION("""COMPUTED_VALUE"""),"19JM0100")</f>
        <v>19JM0100</v>
      </c>
      <c r="B1392" s="164">
        <f>IFERROR(__xludf.DUMMYFUNCTION("""COMPUTED_VALUE"""),1.0589694E7)</f>
        <v>10589694</v>
      </c>
      <c r="C1392" s="164" t="str">
        <f>IFERROR(__xludf.DUMMYFUNCTION("""COMPUTED_VALUE"""),"1058969444-46")</f>
        <v>1058969444-46</v>
      </c>
      <c r="D1392" s="133" t="str">
        <f>IFERROR(__xludf.DUMMYFUNCTION("""COMPUTED_VALUE"""),"Джемпер Canyon 1")</f>
        <v>Джемпер Canyon 1</v>
      </c>
      <c r="E1392" s="133" t="str">
        <f>IFERROR(__xludf.DUMMYFUNCTION("""COMPUTED_VALUE"""),"44-46")</f>
        <v>44-46</v>
      </c>
      <c r="F1392" s="133" t="str">
        <f>IFERROR(__xludf.DUMMYFUNCTION("""COMPUTED_VALUE"""),"19JM010044-46")</f>
        <v>19JM010044-46</v>
      </c>
      <c r="G1392" s="165">
        <f>IFERROR(__xludf.DUMMYFUNCTION("""COMPUTED_VALUE"""),1153.0)</f>
        <v>1153</v>
      </c>
    </row>
    <row r="1393" ht="15.75" customHeight="1">
      <c r="A1393" s="133" t="str">
        <f>IFERROR(__xludf.DUMMYFUNCTION("""COMPUTED_VALUE"""),"19JM0110")</f>
        <v>19JM0110</v>
      </c>
      <c r="B1393" s="164">
        <f>IFERROR(__xludf.DUMMYFUNCTION("""COMPUTED_VALUE"""),1.0589695E7)</f>
        <v>10589695</v>
      </c>
      <c r="C1393" s="164" t="str">
        <f>IFERROR(__xludf.DUMMYFUNCTION("""COMPUTED_VALUE"""),"1058969544-46")</f>
        <v>1058969544-46</v>
      </c>
      <c r="D1393" s="133" t="str">
        <f>IFERROR(__xludf.DUMMYFUNCTION("""COMPUTED_VALUE"""),"Джемпер Canyon 1")</f>
        <v>Джемпер Canyon 1</v>
      </c>
      <c r="E1393" s="133" t="str">
        <f>IFERROR(__xludf.DUMMYFUNCTION("""COMPUTED_VALUE"""),"44-46")</f>
        <v>44-46</v>
      </c>
      <c r="F1393" s="133" t="str">
        <f>IFERROR(__xludf.DUMMYFUNCTION("""COMPUTED_VALUE"""),"19JM011044-46")</f>
        <v>19JM011044-46</v>
      </c>
      <c r="G1393" s="165">
        <f>IFERROR(__xludf.DUMMYFUNCTION("""COMPUTED_VALUE"""),1153.0)</f>
        <v>1153</v>
      </c>
    </row>
    <row r="1394" ht="15.75" customHeight="1">
      <c r="A1394" s="133" t="str">
        <f>IFERROR(__xludf.DUMMYFUNCTION("""COMPUTED_VALUE"""),"19JM0122")</f>
        <v>19JM0122</v>
      </c>
      <c r="B1394" s="164">
        <f>IFERROR(__xludf.DUMMYFUNCTION("""COMPUTED_VALUE"""),1.0589696E7)</f>
        <v>10589696</v>
      </c>
      <c r="C1394" s="164" t="str">
        <f>IFERROR(__xludf.DUMMYFUNCTION("""COMPUTED_VALUE"""),"1058969644-46")</f>
        <v>1058969644-46</v>
      </c>
      <c r="D1394" s="133" t="str">
        <f>IFERROR(__xludf.DUMMYFUNCTION("""COMPUTED_VALUE"""),"Джемпер Canyon 1")</f>
        <v>Джемпер Canyon 1</v>
      </c>
      <c r="E1394" s="133" t="str">
        <f>IFERROR(__xludf.DUMMYFUNCTION("""COMPUTED_VALUE"""),"44-46")</f>
        <v>44-46</v>
      </c>
      <c r="F1394" s="133" t="str">
        <f>IFERROR(__xludf.DUMMYFUNCTION("""COMPUTED_VALUE"""),"19JM012244-46")</f>
        <v>19JM012244-46</v>
      </c>
      <c r="G1394" s="165">
        <f>IFERROR(__xludf.DUMMYFUNCTION("""COMPUTED_VALUE"""),1153.0)</f>
        <v>1153</v>
      </c>
    </row>
    <row r="1395" ht="15.75" customHeight="1">
      <c r="A1395" s="133" t="str">
        <f>IFERROR(__xludf.DUMMYFUNCTION("""COMPUTED_VALUE"""),"19JM0130")</f>
        <v>19JM0130</v>
      </c>
      <c r="B1395" s="164">
        <f>IFERROR(__xludf.DUMMYFUNCTION("""COMPUTED_VALUE"""),1.0589697E7)</f>
        <v>10589697</v>
      </c>
      <c r="C1395" s="164" t="str">
        <f>IFERROR(__xludf.DUMMYFUNCTION("""COMPUTED_VALUE"""),"1058969744-46")</f>
        <v>1058969744-46</v>
      </c>
      <c r="D1395" s="133" t="str">
        <f>IFERROR(__xludf.DUMMYFUNCTION("""COMPUTED_VALUE"""),"Джемпер Canyon 1")</f>
        <v>Джемпер Canyon 1</v>
      </c>
      <c r="E1395" s="133" t="str">
        <f>IFERROR(__xludf.DUMMYFUNCTION("""COMPUTED_VALUE"""),"44-46")</f>
        <v>44-46</v>
      </c>
      <c r="F1395" s="133" t="str">
        <f>IFERROR(__xludf.DUMMYFUNCTION("""COMPUTED_VALUE"""),"19JM013044-46")</f>
        <v>19JM013044-46</v>
      </c>
      <c r="G1395" s="165">
        <f>IFERROR(__xludf.DUMMYFUNCTION("""COMPUTED_VALUE"""),1153.0)</f>
        <v>1153</v>
      </c>
    </row>
    <row r="1396" ht="15.75" customHeight="1">
      <c r="A1396" s="133" t="str">
        <f>IFERROR(__xludf.DUMMYFUNCTION("""COMPUTED_VALUE"""),"19JM0140")</f>
        <v>19JM0140</v>
      </c>
      <c r="B1396" s="164">
        <f>IFERROR(__xludf.DUMMYFUNCTION("""COMPUTED_VALUE"""),1.0589698E7)</f>
        <v>10589698</v>
      </c>
      <c r="C1396" s="164" t="str">
        <f>IFERROR(__xludf.DUMMYFUNCTION("""COMPUTED_VALUE"""),"1058969844-46")</f>
        <v>1058969844-46</v>
      </c>
      <c r="D1396" s="133" t="str">
        <f>IFERROR(__xludf.DUMMYFUNCTION("""COMPUTED_VALUE"""),"Джемпер Canyon 1")</f>
        <v>Джемпер Canyon 1</v>
      </c>
      <c r="E1396" s="133" t="str">
        <f>IFERROR(__xludf.DUMMYFUNCTION("""COMPUTED_VALUE"""),"44-46")</f>
        <v>44-46</v>
      </c>
      <c r="F1396" s="133" t="str">
        <f>IFERROR(__xludf.DUMMYFUNCTION("""COMPUTED_VALUE"""),"19JM014044-46")</f>
        <v>19JM014044-46</v>
      </c>
      <c r="G1396" s="165">
        <f>IFERROR(__xludf.DUMMYFUNCTION("""COMPUTED_VALUE"""),1153.0)</f>
        <v>1153</v>
      </c>
    </row>
    <row r="1397" ht="15.75" customHeight="1">
      <c r="A1397" s="133" t="str">
        <f>IFERROR(__xludf.DUMMYFUNCTION("""COMPUTED_VALUE"""),"19JM0250")</f>
        <v>19JM0250</v>
      </c>
      <c r="B1397" s="164">
        <f>IFERROR(__xludf.DUMMYFUNCTION("""COMPUTED_VALUE"""),1.2309259E7)</f>
        <v>12309259</v>
      </c>
      <c r="C1397" s="164" t="str">
        <f>IFERROR(__xludf.DUMMYFUNCTION("""COMPUTED_VALUE"""),"1230925944-46")</f>
        <v>1230925944-46</v>
      </c>
      <c r="D1397" s="133" t="str">
        <f>IFERROR(__xludf.DUMMYFUNCTION("""COMPUTED_VALUE"""),"Джемпер CANYON02")</f>
        <v>Джемпер CANYON02</v>
      </c>
      <c r="E1397" s="133" t="str">
        <f>IFERROR(__xludf.DUMMYFUNCTION("""COMPUTED_VALUE"""),"44-46")</f>
        <v>44-46</v>
      </c>
      <c r="F1397" s="133" t="str">
        <f>IFERROR(__xludf.DUMMYFUNCTION("""COMPUTED_VALUE"""),"19JM025044-46")</f>
        <v>19JM025044-46</v>
      </c>
      <c r="G1397" s="165">
        <f>IFERROR(__xludf.DUMMYFUNCTION("""COMPUTED_VALUE"""),1510.0)</f>
        <v>1510</v>
      </c>
    </row>
    <row r="1398" ht="15.75" customHeight="1">
      <c r="A1398" s="133" t="str">
        <f>IFERROR(__xludf.DUMMYFUNCTION("""COMPUTED_VALUE"""),"19CR0744")</f>
        <v>19CR0744</v>
      </c>
      <c r="B1398" s="164">
        <f>IFERROR(__xludf.DUMMYFUNCTION("""COMPUTED_VALUE"""),9577785.0)</f>
        <v>9577785</v>
      </c>
      <c r="C1398" s="164" t="str">
        <f>IFERROR(__xludf.DUMMYFUNCTION("""COMPUTED_VALUE"""),"957778542-44")</f>
        <v>957778542-44</v>
      </c>
      <c r="D1398" s="133" t="str">
        <f>IFERROR(__xludf.DUMMYFUNCTION("""COMPUTED_VALUE"""),"Кардиган CASCAD")</f>
        <v>Кардиган CASCAD</v>
      </c>
      <c r="E1398" s="133" t="str">
        <f>IFERROR(__xludf.DUMMYFUNCTION("""COMPUTED_VALUE"""),"42-44")</f>
        <v>42-44</v>
      </c>
      <c r="F1398" s="133" t="str">
        <f>IFERROR(__xludf.DUMMYFUNCTION("""COMPUTED_VALUE"""),"19CR074442-44")</f>
        <v>19CR074442-44</v>
      </c>
      <c r="G1398" s="165">
        <f>IFERROR(__xludf.DUMMYFUNCTION("""COMPUTED_VALUE"""),2003.0)</f>
        <v>2003</v>
      </c>
    </row>
    <row r="1399" ht="15.75" customHeight="1">
      <c r="A1399" s="133" t="str">
        <f>IFERROR(__xludf.DUMMYFUNCTION("""COMPUTED_VALUE"""),"19CR0028")</f>
        <v>19CR0028</v>
      </c>
      <c r="B1399" s="164">
        <f>IFERROR(__xludf.DUMMYFUNCTION("""COMPUTED_VALUE"""),9577784.0)</f>
        <v>9577784</v>
      </c>
      <c r="C1399" s="164" t="str">
        <f>IFERROR(__xludf.DUMMYFUNCTION("""COMPUTED_VALUE"""),"957778442-44")</f>
        <v>957778442-44</v>
      </c>
      <c r="D1399" s="133" t="str">
        <f>IFERROR(__xludf.DUMMYFUNCTION("""COMPUTED_VALUE"""),"Кардиган CASCAD")</f>
        <v>Кардиган CASCAD</v>
      </c>
      <c r="E1399" s="133" t="str">
        <f>IFERROR(__xludf.DUMMYFUNCTION("""COMPUTED_VALUE"""),"42-44")</f>
        <v>42-44</v>
      </c>
      <c r="F1399" s="133" t="str">
        <f>IFERROR(__xludf.DUMMYFUNCTION("""COMPUTED_VALUE"""),"19CR002842-44")</f>
        <v>19CR002842-44</v>
      </c>
      <c r="G1399" s="165">
        <f>IFERROR(__xludf.DUMMYFUNCTION("""COMPUTED_VALUE"""),2003.0)</f>
        <v>2003</v>
      </c>
    </row>
    <row r="1400" ht="15.75" customHeight="1">
      <c r="A1400" s="133" t="str">
        <f>IFERROR(__xludf.DUMMYFUNCTION("""COMPUTED_VALUE"""),"19CR0399")</f>
        <v>19CR0399</v>
      </c>
      <c r="B1400" s="164">
        <f>IFERROR(__xludf.DUMMYFUNCTION("""COMPUTED_VALUE"""),1.1087083E7)</f>
        <v>11087083</v>
      </c>
      <c r="C1400" s="164" t="str">
        <f>IFERROR(__xludf.DUMMYFUNCTION("""COMPUTED_VALUE"""),"1108708342-44")</f>
        <v>1108708342-44</v>
      </c>
      <c r="D1400" s="133" t="str">
        <f>IFERROR(__xludf.DUMMYFUNCTION("""COMPUTED_VALUE"""),"Кардиган CASCAD")</f>
        <v>Кардиган CASCAD</v>
      </c>
      <c r="E1400" s="133" t="str">
        <f>IFERROR(__xludf.DUMMYFUNCTION("""COMPUTED_VALUE"""),"42-44")</f>
        <v>42-44</v>
      </c>
      <c r="F1400" s="133" t="str">
        <f>IFERROR(__xludf.DUMMYFUNCTION("""COMPUTED_VALUE"""),"19CR039942-44")</f>
        <v>19CR039942-44</v>
      </c>
      <c r="G1400" s="165">
        <f>IFERROR(__xludf.DUMMYFUNCTION("""COMPUTED_VALUE"""),2003.0)</f>
        <v>2003</v>
      </c>
    </row>
    <row r="1401" ht="15.75" customHeight="1">
      <c r="A1401" s="133" t="str">
        <f>IFERROR(__xludf.DUMMYFUNCTION("""COMPUTED_VALUE"""),"19CR0301")</f>
        <v>19CR0301</v>
      </c>
      <c r="B1401" s="164">
        <f>IFERROR(__xludf.DUMMYFUNCTION("""COMPUTED_VALUE"""),1.1559352E7)</f>
        <v>11559352</v>
      </c>
      <c r="C1401" s="164" t="str">
        <f>IFERROR(__xludf.DUMMYFUNCTION("""COMPUTED_VALUE"""),"1155935242-44")</f>
        <v>1155935242-44</v>
      </c>
      <c r="D1401" s="133" t="str">
        <f>IFERROR(__xludf.DUMMYFUNCTION("""COMPUTED_VALUE"""),"Кардиган CASCAD")</f>
        <v>Кардиган CASCAD</v>
      </c>
      <c r="E1401" s="133" t="str">
        <f>IFERROR(__xludf.DUMMYFUNCTION("""COMPUTED_VALUE"""),"42-44")</f>
        <v>42-44</v>
      </c>
      <c r="F1401" s="133" t="str">
        <f>IFERROR(__xludf.DUMMYFUNCTION("""COMPUTED_VALUE"""),"19CR030142-44")</f>
        <v>19CR030142-44</v>
      </c>
      <c r="G1401" s="165">
        <f>IFERROR(__xludf.DUMMYFUNCTION("""COMPUTED_VALUE"""),2003.0)</f>
        <v>2003</v>
      </c>
    </row>
    <row r="1402" ht="15.75" customHeight="1">
      <c r="A1402" s="133" t="str">
        <f>IFERROR(__xludf.DUMMYFUNCTION("""COMPUTED_VALUE"""),"19KS0697")</f>
        <v>19KS0697</v>
      </c>
      <c r="B1402" s="164">
        <f>IFERROR(__xludf.DUMMYFUNCTION("""COMPUTED_VALUE"""),9790276.0)</f>
        <v>9790276</v>
      </c>
      <c r="C1402" s="164" t="str">
        <f>IFERROR(__xludf.DUMMYFUNCTION("""COMPUTED_VALUE"""),"9790276S/M")</f>
        <v>9790276S/M</v>
      </c>
      <c r="D1402" s="133" t="str">
        <f>IFERROR(__xludf.DUMMYFUNCTION("""COMPUTED_VALUE"""),"Костюм Монмартр")</f>
        <v>Костюм Монмартр</v>
      </c>
      <c r="E1402" s="133" t="str">
        <f>IFERROR(__xludf.DUMMYFUNCTION("""COMPUTED_VALUE"""),"S/M")</f>
        <v>S/M</v>
      </c>
      <c r="F1402" s="133" t="str">
        <f>IFERROR(__xludf.DUMMYFUNCTION("""COMPUTED_VALUE"""),"19KS0697S/M")</f>
        <v>19KS0697S/M</v>
      </c>
      <c r="G1402" s="165">
        <f>IFERROR(__xludf.DUMMYFUNCTION("""COMPUTED_VALUE"""),3082.0)</f>
        <v>3082</v>
      </c>
    </row>
    <row r="1403" ht="15.75" customHeight="1">
      <c r="A1403" s="133" t="str">
        <f>IFERROR(__xludf.DUMMYFUNCTION("""COMPUTED_VALUE"""),"19KS0509")</f>
        <v>19KS0509</v>
      </c>
      <c r="B1403" s="164">
        <f>IFERROR(__xludf.DUMMYFUNCTION("""COMPUTED_VALUE"""),9790275.0)</f>
        <v>9790275</v>
      </c>
      <c r="C1403" s="164" t="str">
        <f>IFERROR(__xludf.DUMMYFUNCTION("""COMPUTED_VALUE"""),"9790275S/M")</f>
        <v>9790275S/M</v>
      </c>
      <c r="D1403" s="133" t="str">
        <f>IFERROR(__xludf.DUMMYFUNCTION("""COMPUTED_VALUE"""),"Костюм Монмартр")</f>
        <v>Костюм Монмартр</v>
      </c>
      <c r="E1403" s="133" t="str">
        <f>IFERROR(__xludf.DUMMYFUNCTION("""COMPUTED_VALUE"""),"S/M")</f>
        <v>S/M</v>
      </c>
      <c r="F1403" s="133" t="str">
        <f>IFERROR(__xludf.DUMMYFUNCTION("""COMPUTED_VALUE"""),"19KS0509S/M")</f>
        <v>19KS0509S/M</v>
      </c>
      <c r="G1403" s="165">
        <f>IFERROR(__xludf.DUMMYFUNCTION("""COMPUTED_VALUE"""),3082.0)</f>
        <v>3082</v>
      </c>
    </row>
    <row r="1404" ht="15.75" customHeight="1">
      <c r="A1404" s="133" t="str">
        <f>IFERROR(__xludf.DUMMYFUNCTION("""COMPUTED_VALUE"""),"20KS0498")</f>
        <v>20KS0498</v>
      </c>
      <c r="B1404" s="164">
        <f>IFERROR(__xludf.DUMMYFUNCTION("""COMPUTED_VALUE"""),1.1559353E7)</f>
        <v>11559353</v>
      </c>
      <c r="C1404" s="164" t="str">
        <f>IFERROR(__xludf.DUMMYFUNCTION("""COMPUTED_VALUE"""),"11559353S/M")</f>
        <v>11559353S/M</v>
      </c>
      <c r="D1404" s="133" t="str">
        <f>IFERROR(__xludf.DUMMYFUNCTION("""COMPUTED_VALUE"""),"Костюм Монмартр")</f>
        <v>Костюм Монмартр</v>
      </c>
      <c r="E1404" s="133" t="str">
        <f>IFERROR(__xludf.DUMMYFUNCTION("""COMPUTED_VALUE"""),"S/M")</f>
        <v>S/M</v>
      </c>
      <c r="F1404" s="133" t="str">
        <f>IFERROR(__xludf.DUMMYFUNCTION("""COMPUTED_VALUE"""),"20KS0498S/M")</f>
        <v>20KS0498S/M</v>
      </c>
      <c r="G1404" s="165">
        <f>IFERROR(__xludf.DUMMYFUNCTION("""COMPUTED_VALUE"""),3082.0)</f>
        <v>3082</v>
      </c>
    </row>
    <row r="1405" ht="15.75" customHeight="1">
      <c r="A1405" s="133" t="str">
        <f>IFERROR(__xludf.DUMMYFUNCTION("""COMPUTED_VALUE"""),"20KS0811")</f>
        <v>20KS0811</v>
      </c>
      <c r="B1405" s="164">
        <f>IFERROR(__xludf.DUMMYFUNCTION("""COMPUTED_VALUE"""),1.1559354E7)</f>
        <v>11559354</v>
      </c>
      <c r="C1405" s="164" t="str">
        <f>IFERROR(__xludf.DUMMYFUNCTION("""COMPUTED_VALUE"""),"11559354S/M")</f>
        <v>11559354S/M</v>
      </c>
      <c r="D1405" s="133" t="str">
        <f>IFERROR(__xludf.DUMMYFUNCTION("""COMPUTED_VALUE"""),"Костюм Монмартр")</f>
        <v>Костюм Монмартр</v>
      </c>
      <c r="E1405" s="133" t="str">
        <f>IFERROR(__xludf.DUMMYFUNCTION("""COMPUTED_VALUE"""),"S/M")</f>
        <v>S/M</v>
      </c>
      <c r="F1405" s="133" t="str">
        <f>IFERROR(__xludf.DUMMYFUNCTION("""COMPUTED_VALUE"""),"20KS0811S/M")</f>
        <v>20KS0811S/M</v>
      </c>
      <c r="G1405" s="165">
        <f>IFERROR(__xludf.DUMMYFUNCTION("""COMPUTED_VALUE"""),3082.0)</f>
        <v>3082</v>
      </c>
    </row>
    <row r="1406" ht="15.75" customHeight="1">
      <c r="A1406" s="133" t="str">
        <f>IFERROR(__xludf.DUMMYFUNCTION("""COMPUTED_VALUE"""),"KS10720-1")</f>
        <v>KS10720-1</v>
      </c>
      <c r="B1406" s="164">
        <f>IFERROR(__xludf.DUMMYFUNCTION("""COMPUTED_VALUE"""),1.181854E7)</f>
        <v>11818540</v>
      </c>
      <c r="C1406" s="164" t="str">
        <f>IFERROR(__xludf.DUMMYFUNCTION("""COMPUTED_VALUE"""),"11818540S")</f>
        <v>11818540S</v>
      </c>
      <c r="D1406" s="133" t="str">
        <f>IFERROR(__xludf.DUMMYFUNCTION("""COMPUTED_VALUE"""),"Костюм Bern")</f>
        <v>Костюм Bern</v>
      </c>
      <c r="E1406" s="133" t="str">
        <f>IFERROR(__xludf.DUMMYFUNCTION("""COMPUTED_VALUE"""),"S")</f>
        <v>S</v>
      </c>
      <c r="F1406" s="133" t="str">
        <f>IFERROR(__xludf.DUMMYFUNCTION("""COMPUTED_VALUE"""),"KS10720-1S")</f>
        <v>KS10720-1S</v>
      </c>
      <c r="G1406" s="165">
        <f>IFERROR(__xludf.DUMMYFUNCTION("""COMPUTED_VALUE"""),1252.0)</f>
        <v>1252</v>
      </c>
    </row>
    <row r="1407" ht="15.75" customHeight="1">
      <c r="A1407" s="133" t="str">
        <f>IFERROR(__xludf.DUMMYFUNCTION("""COMPUTED_VALUE"""),"19СН0386")</f>
        <v>19СН0386</v>
      </c>
      <c r="B1407" s="164">
        <f>IFERROR(__xludf.DUMMYFUNCTION("""COMPUTED_VALUE"""),9790474.0)</f>
        <v>9790474</v>
      </c>
      <c r="C1407" s="164" t="str">
        <f>IFERROR(__xludf.DUMMYFUNCTION("""COMPUTED_VALUE"""),"979047444-46")</f>
        <v>979047444-46</v>
      </c>
      <c r="D1407" s="133" t="str">
        <f>IFERROR(__xludf.DUMMYFUNCTION("""COMPUTED_VALUE"""),"Платье Чикаго")</f>
        <v>Платье Чикаго</v>
      </c>
      <c r="E1407" s="133" t="str">
        <f>IFERROR(__xludf.DUMMYFUNCTION("""COMPUTED_VALUE"""),"44-46")</f>
        <v>44-46</v>
      </c>
      <c r="F1407" s="133" t="str">
        <f>IFERROR(__xludf.DUMMYFUNCTION("""COMPUTED_VALUE"""),"19СН038644-46")</f>
        <v>19СН038644-46</v>
      </c>
      <c r="G1407" s="165">
        <f>IFERROR(__xludf.DUMMYFUNCTION("""COMPUTED_VALUE"""),1677.0)</f>
        <v>1677</v>
      </c>
    </row>
    <row r="1408" ht="15.75" customHeight="1">
      <c r="A1408" s="133" t="str">
        <f>IFERROR(__xludf.DUMMYFUNCTION("""COMPUTED_VALUE"""),"19СН0475")</f>
        <v>19СН0475</v>
      </c>
      <c r="B1408" s="164">
        <f>IFERROR(__xludf.DUMMYFUNCTION("""COMPUTED_VALUE"""),9790475.0)</f>
        <v>9790475</v>
      </c>
      <c r="C1408" s="164" t="str">
        <f>IFERROR(__xludf.DUMMYFUNCTION("""COMPUTED_VALUE"""),"979047544-46")</f>
        <v>979047544-46</v>
      </c>
      <c r="D1408" s="133" t="str">
        <f>IFERROR(__xludf.DUMMYFUNCTION("""COMPUTED_VALUE"""),"Платье Чикаго")</f>
        <v>Платье Чикаго</v>
      </c>
      <c r="E1408" s="133" t="str">
        <f>IFERROR(__xludf.DUMMYFUNCTION("""COMPUTED_VALUE"""),"44-46")</f>
        <v>44-46</v>
      </c>
      <c r="F1408" s="133" t="str">
        <f>IFERROR(__xludf.DUMMYFUNCTION("""COMPUTED_VALUE"""),"19СН047544-46")</f>
        <v>19СН047544-46</v>
      </c>
      <c r="G1408" s="165">
        <f>IFERROR(__xludf.DUMMYFUNCTION("""COMPUTED_VALUE"""),1677.0)</f>
        <v>1677</v>
      </c>
    </row>
    <row r="1409" ht="15.75" customHeight="1">
      <c r="A1409" s="133" t="str">
        <f>IFERROR(__xludf.DUMMYFUNCTION("""COMPUTED_VALUE"""),"DR10320-5")</f>
        <v>DR10320-5</v>
      </c>
      <c r="B1409" s="164">
        <f>IFERROR(__xludf.DUMMYFUNCTION("""COMPUTED_VALUE"""),1.1960311E7)</f>
        <v>11960311</v>
      </c>
      <c r="C1409" s="164" t="str">
        <f>IFERROR(__xludf.DUMMYFUNCTION("""COMPUTED_VALUE"""),"1196031142")</f>
        <v>1196031142</v>
      </c>
      <c r="D1409" s="133" t="str">
        <f>IFERROR(__xludf.DUMMYFUNCTION("""COMPUTED_VALUE"""),"Платье Siena")</f>
        <v>Платье Siena</v>
      </c>
      <c r="E1409" s="133">
        <f>IFERROR(__xludf.DUMMYFUNCTION("""COMPUTED_VALUE"""),42.0)</f>
        <v>42</v>
      </c>
      <c r="F1409" s="133" t="str">
        <f>IFERROR(__xludf.DUMMYFUNCTION("""COMPUTED_VALUE"""),"DR10320-542")</f>
        <v>DR10320-542</v>
      </c>
      <c r="G1409" s="165">
        <f>IFERROR(__xludf.DUMMYFUNCTION("""COMPUTED_VALUE"""),1999.0)</f>
        <v>1999</v>
      </c>
    </row>
    <row r="1410" ht="15.75" customHeight="1">
      <c r="A1410" s="133" t="str">
        <f>IFERROR(__xludf.DUMMYFUNCTION("""COMPUTED_VALUE"""),"DR10520-6")</f>
        <v>DR10520-6</v>
      </c>
      <c r="B1410" s="164">
        <f>IFERROR(__xludf.DUMMYFUNCTION("""COMPUTED_VALUE"""),1.1960312E7)</f>
        <v>11960312</v>
      </c>
      <c r="C1410" s="164" t="str">
        <f>IFERROR(__xludf.DUMMYFUNCTION("""COMPUTED_VALUE"""),"11960312S")</f>
        <v>11960312S</v>
      </c>
      <c r="D1410" s="133" t="str">
        <f>IFERROR(__xludf.DUMMYFUNCTION("""COMPUTED_VALUE"""),"Платье Marseille")</f>
        <v>Платье Marseille</v>
      </c>
      <c r="E1410" s="133" t="str">
        <f>IFERROR(__xludf.DUMMYFUNCTION("""COMPUTED_VALUE"""),"S")</f>
        <v>S</v>
      </c>
      <c r="F1410" s="133" t="str">
        <f>IFERROR(__xludf.DUMMYFUNCTION("""COMPUTED_VALUE"""),"DR10520-6S")</f>
        <v>DR10520-6S</v>
      </c>
      <c r="G1410" s="165">
        <f>IFERROR(__xludf.DUMMYFUNCTION("""COMPUTED_VALUE"""),1394.0)</f>
        <v>1394</v>
      </c>
    </row>
    <row r="1411" ht="15.75" customHeight="1">
      <c r="A1411" s="133" t="str">
        <f>IFERROR(__xludf.DUMMYFUNCTION("""COMPUTED_VALUE"""),"SHL10020-7")</f>
        <v>SHL10020-7</v>
      </c>
      <c r="B1411" s="164">
        <f>IFERROR(__xludf.DUMMYFUNCTION("""COMPUTED_VALUE"""),1.1721238E7)</f>
        <v>11721238</v>
      </c>
      <c r="C1411" s="164" t="str">
        <f>IFERROR(__xludf.DUMMYFUNCTION("""COMPUTED_VALUE"""),"11721238S")</f>
        <v>11721238S</v>
      </c>
      <c r="D1411" s="133" t="str">
        <f>IFERROR(__xludf.DUMMYFUNCTION("""COMPUTED_VALUE"""),"Лонгслив")</f>
        <v>Лонгслив</v>
      </c>
      <c r="E1411" s="133" t="str">
        <f>IFERROR(__xludf.DUMMYFUNCTION("""COMPUTED_VALUE"""),"S")</f>
        <v>S</v>
      </c>
      <c r="F1411" s="133" t="str">
        <f>IFERROR(__xludf.DUMMYFUNCTION("""COMPUTED_VALUE"""),"SHL10020-7S")</f>
        <v>SHL10020-7S</v>
      </c>
      <c r="G1411" s="165">
        <f>IFERROR(__xludf.DUMMYFUNCTION("""COMPUTED_VALUE"""),492.0)</f>
        <v>492</v>
      </c>
    </row>
    <row r="1412" ht="15.75" customHeight="1">
      <c r="A1412" s="133" t="str">
        <f>IFERROR(__xludf.DUMMYFUNCTION("""COMPUTED_VALUE"""),"SHL10020-2")</f>
        <v>SHL10020-2</v>
      </c>
      <c r="B1412" s="164">
        <f>IFERROR(__xludf.DUMMYFUNCTION("""COMPUTED_VALUE"""),1.1721239E7)</f>
        <v>11721239</v>
      </c>
      <c r="C1412" s="164" t="str">
        <f>IFERROR(__xludf.DUMMYFUNCTION("""COMPUTED_VALUE"""),"11721239S")</f>
        <v>11721239S</v>
      </c>
      <c r="D1412" s="133" t="str">
        <f>IFERROR(__xludf.DUMMYFUNCTION("""COMPUTED_VALUE"""),"Лонгслив")</f>
        <v>Лонгслив</v>
      </c>
      <c r="E1412" s="133" t="str">
        <f>IFERROR(__xludf.DUMMYFUNCTION("""COMPUTED_VALUE"""),"S")</f>
        <v>S</v>
      </c>
      <c r="F1412" s="133" t="str">
        <f>IFERROR(__xludf.DUMMYFUNCTION("""COMPUTED_VALUE"""),"SHL10020-2S")</f>
        <v>SHL10020-2S</v>
      </c>
      <c r="G1412" s="165">
        <f>IFERROR(__xludf.DUMMYFUNCTION("""COMPUTED_VALUE"""),492.0)</f>
        <v>492</v>
      </c>
    </row>
    <row r="1413" ht="15.75" customHeight="1">
      <c r="A1413" s="133" t="str">
        <f>IFERROR(__xludf.DUMMYFUNCTION("""COMPUTED_VALUE"""),"SH10220-2")</f>
        <v>SH10220-2</v>
      </c>
      <c r="B1413" s="164">
        <f>IFERROR(__xludf.DUMMYFUNCTION("""COMPUTED_VALUE"""),1.1960313E7)</f>
        <v>11960313</v>
      </c>
      <c r="C1413" s="164" t="str">
        <f>IFERROR(__xludf.DUMMYFUNCTION("""COMPUTED_VALUE"""),"11960313S/M")</f>
        <v>11960313S/M</v>
      </c>
      <c r="D1413" s="133" t="str">
        <f>IFERROR(__xludf.DUMMYFUNCTION("""COMPUTED_VALUE"""),"Рубашка")</f>
        <v>Рубашка</v>
      </c>
      <c r="E1413" s="133" t="str">
        <f>IFERROR(__xludf.DUMMYFUNCTION("""COMPUTED_VALUE"""),"S/M")</f>
        <v>S/M</v>
      </c>
      <c r="F1413" s="133" t="str">
        <f>IFERROR(__xludf.DUMMYFUNCTION("""COMPUTED_VALUE"""),"SH10220-2S/M")</f>
        <v>SH10220-2S/M</v>
      </c>
      <c r="G1413" s="165">
        <f>IFERROR(__xludf.DUMMYFUNCTION("""COMPUTED_VALUE"""),1004.0)</f>
        <v>1004</v>
      </c>
    </row>
    <row r="1414" ht="15.75" customHeight="1">
      <c r="A1414" s="133">
        <f>IFERROR(__xludf.DUMMYFUNCTION("""COMPUTED_VALUE"""),10002.0)</f>
        <v>10002</v>
      </c>
      <c r="B1414" s="164">
        <f>IFERROR(__xludf.DUMMYFUNCTION("""COMPUTED_VALUE"""),5286902.0)</f>
        <v>5286902</v>
      </c>
      <c r="C1414" s="164" t="str">
        <f>IFERROR(__xludf.DUMMYFUNCTION("""COMPUTED_VALUE"""),"5286902XXS")</f>
        <v>5286902XXS</v>
      </c>
      <c r="D1414" s="133" t="str">
        <f>IFERROR(__xludf.DUMMYFUNCTION("""COMPUTED_VALUE"""),"Женский свитер с белкой")</f>
        <v>Женский свитер с белкой</v>
      </c>
      <c r="E1414" s="133" t="str">
        <f>IFERROR(__xludf.DUMMYFUNCTION("""COMPUTED_VALUE"""),"XXS")</f>
        <v>XXS</v>
      </c>
      <c r="F1414" s="133" t="str">
        <f>IFERROR(__xludf.DUMMYFUNCTION("""COMPUTED_VALUE"""),"10002XXS")</f>
        <v>10002XXS</v>
      </c>
      <c r="G1414" s="165">
        <f>IFERROR(__xludf.DUMMYFUNCTION("""COMPUTED_VALUE"""),1167.0)</f>
        <v>1167</v>
      </c>
    </row>
    <row r="1415" ht="15.75" customHeight="1">
      <c r="A1415" s="133">
        <f>IFERROR(__xludf.DUMMYFUNCTION("""COMPUTED_VALUE"""),10002.0)</f>
        <v>10002</v>
      </c>
      <c r="B1415" s="164">
        <f>IFERROR(__xludf.DUMMYFUNCTION("""COMPUTED_VALUE"""),5286902.0)</f>
        <v>5286902</v>
      </c>
      <c r="C1415" s="164" t="str">
        <f>IFERROR(__xludf.DUMMYFUNCTION("""COMPUTED_VALUE"""),"5286902XS")</f>
        <v>5286902XS</v>
      </c>
      <c r="D1415" s="133" t="str">
        <f>IFERROR(__xludf.DUMMYFUNCTION("""COMPUTED_VALUE"""),"Женский свитер с белкой")</f>
        <v>Женский свитер с белкой</v>
      </c>
      <c r="E1415" s="133" t="str">
        <f>IFERROR(__xludf.DUMMYFUNCTION("""COMPUTED_VALUE"""),"XS")</f>
        <v>XS</v>
      </c>
      <c r="F1415" s="133" t="str">
        <f>IFERROR(__xludf.DUMMYFUNCTION("""COMPUTED_VALUE"""),"10002XS")</f>
        <v>10002XS</v>
      </c>
      <c r="G1415" s="165">
        <f>IFERROR(__xludf.DUMMYFUNCTION("""COMPUTED_VALUE"""),1167.0)</f>
        <v>1167</v>
      </c>
    </row>
    <row r="1416" ht="15.75" customHeight="1">
      <c r="A1416" s="133">
        <f>IFERROR(__xludf.DUMMYFUNCTION("""COMPUTED_VALUE"""),10002.0)</f>
        <v>10002</v>
      </c>
      <c r="B1416" s="164">
        <f>IFERROR(__xludf.DUMMYFUNCTION("""COMPUTED_VALUE"""),5286902.0)</f>
        <v>5286902</v>
      </c>
      <c r="C1416" s="164" t="str">
        <f>IFERROR(__xludf.DUMMYFUNCTION("""COMPUTED_VALUE"""),"5286902S")</f>
        <v>5286902S</v>
      </c>
      <c r="D1416" s="133" t="str">
        <f>IFERROR(__xludf.DUMMYFUNCTION("""COMPUTED_VALUE"""),"Женский свитер с белкой")</f>
        <v>Женский свитер с белкой</v>
      </c>
      <c r="E1416" s="133" t="str">
        <f>IFERROR(__xludf.DUMMYFUNCTION("""COMPUTED_VALUE"""),"S")</f>
        <v>S</v>
      </c>
      <c r="F1416" s="133" t="str">
        <f>IFERROR(__xludf.DUMMYFUNCTION("""COMPUTED_VALUE"""),"10002S")</f>
        <v>10002S</v>
      </c>
      <c r="G1416" s="165">
        <f>IFERROR(__xludf.DUMMYFUNCTION("""COMPUTED_VALUE"""),1167.0)</f>
        <v>1167</v>
      </c>
    </row>
    <row r="1417" ht="15.75" customHeight="1">
      <c r="A1417" s="133">
        <f>IFERROR(__xludf.DUMMYFUNCTION("""COMPUTED_VALUE"""),10002.0)</f>
        <v>10002</v>
      </c>
      <c r="B1417" s="164">
        <f>IFERROR(__xludf.DUMMYFUNCTION("""COMPUTED_VALUE"""),5286902.0)</f>
        <v>5286902</v>
      </c>
      <c r="C1417" s="164" t="str">
        <f>IFERROR(__xludf.DUMMYFUNCTION("""COMPUTED_VALUE"""),"5286902M")</f>
        <v>5286902M</v>
      </c>
      <c r="D1417" s="133" t="str">
        <f>IFERROR(__xludf.DUMMYFUNCTION("""COMPUTED_VALUE"""),"Женский свитер с белкой")</f>
        <v>Женский свитер с белкой</v>
      </c>
      <c r="E1417" s="133" t="str">
        <f>IFERROR(__xludf.DUMMYFUNCTION("""COMPUTED_VALUE"""),"M")</f>
        <v>M</v>
      </c>
      <c r="F1417" s="133" t="str">
        <f>IFERROR(__xludf.DUMMYFUNCTION("""COMPUTED_VALUE"""),"10002M")</f>
        <v>10002M</v>
      </c>
      <c r="G1417" s="165">
        <f>IFERROR(__xludf.DUMMYFUNCTION("""COMPUTED_VALUE"""),1167.0)</f>
        <v>1167</v>
      </c>
    </row>
    <row r="1418" ht="15.75" customHeight="1">
      <c r="A1418" s="133">
        <f>IFERROR(__xludf.DUMMYFUNCTION("""COMPUTED_VALUE"""),10002.0)</f>
        <v>10002</v>
      </c>
      <c r="B1418" s="164">
        <f>IFERROR(__xludf.DUMMYFUNCTION("""COMPUTED_VALUE"""),5286902.0)</f>
        <v>5286902</v>
      </c>
      <c r="C1418" s="164" t="str">
        <f>IFERROR(__xludf.DUMMYFUNCTION("""COMPUTED_VALUE"""),"5286902L")</f>
        <v>5286902L</v>
      </c>
      <c r="D1418" s="133" t="str">
        <f>IFERROR(__xludf.DUMMYFUNCTION("""COMPUTED_VALUE"""),"Женский свитер с белкой")</f>
        <v>Женский свитер с белкой</v>
      </c>
      <c r="E1418" s="133" t="str">
        <f>IFERROR(__xludf.DUMMYFUNCTION("""COMPUTED_VALUE"""),"L")</f>
        <v>L</v>
      </c>
      <c r="F1418" s="133" t="str">
        <f>IFERROR(__xludf.DUMMYFUNCTION("""COMPUTED_VALUE"""),"10002L")</f>
        <v>10002L</v>
      </c>
      <c r="G1418" s="165">
        <f>IFERROR(__xludf.DUMMYFUNCTION("""COMPUTED_VALUE"""),1167.0)</f>
        <v>1167</v>
      </c>
    </row>
    <row r="1419" ht="15.75" customHeight="1">
      <c r="A1419" s="133">
        <f>IFERROR(__xludf.DUMMYFUNCTION("""COMPUTED_VALUE"""),10002.0)</f>
        <v>10002</v>
      </c>
      <c r="B1419" s="164">
        <f>IFERROR(__xludf.DUMMYFUNCTION("""COMPUTED_VALUE"""),5286902.0)</f>
        <v>5286902</v>
      </c>
      <c r="C1419" s="164" t="str">
        <f>IFERROR(__xludf.DUMMYFUNCTION("""COMPUTED_VALUE"""),"5286902XL")</f>
        <v>5286902XL</v>
      </c>
      <c r="D1419" s="133" t="str">
        <f>IFERROR(__xludf.DUMMYFUNCTION("""COMPUTED_VALUE"""),"Женский свитер с белкой")</f>
        <v>Женский свитер с белкой</v>
      </c>
      <c r="E1419" s="133" t="str">
        <f>IFERROR(__xludf.DUMMYFUNCTION("""COMPUTED_VALUE"""),"XL")</f>
        <v>XL</v>
      </c>
      <c r="F1419" s="133" t="str">
        <f>IFERROR(__xludf.DUMMYFUNCTION("""COMPUTED_VALUE"""),"10002XL")</f>
        <v>10002XL</v>
      </c>
      <c r="G1419" s="165">
        <f>IFERROR(__xludf.DUMMYFUNCTION("""COMPUTED_VALUE"""),1167.0)</f>
        <v>1167</v>
      </c>
    </row>
    <row r="1420" ht="15.75" customHeight="1">
      <c r="A1420" s="133">
        <f>IFERROR(__xludf.DUMMYFUNCTION("""COMPUTED_VALUE"""),10007.0)</f>
        <v>10007</v>
      </c>
      <c r="B1420" s="164">
        <f>IFERROR(__xludf.DUMMYFUNCTION("""COMPUTED_VALUE"""),5286905.0)</f>
        <v>5286905</v>
      </c>
      <c r="C1420" s="164" t="str">
        <f>IFERROR(__xludf.DUMMYFUNCTION("""COMPUTED_VALUE"""),"5286905XXS")</f>
        <v>5286905XXS</v>
      </c>
      <c r="D1420" s="133" t="str">
        <f>IFERROR(__xludf.DUMMYFUNCTION("""COMPUTED_VALUE"""),"Женский свитер с оленями")</f>
        <v>Женский свитер с оленями</v>
      </c>
      <c r="E1420" s="133" t="str">
        <f>IFERROR(__xludf.DUMMYFUNCTION("""COMPUTED_VALUE"""),"XXS")</f>
        <v>XXS</v>
      </c>
      <c r="F1420" s="133" t="str">
        <f>IFERROR(__xludf.DUMMYFUNCTION("""COMPUTED_VALUE"""),"10007XXS")</f>
        <v>10007XXS</v>
      </c>
      <c r="G1420" s="165">
        <f>IFERROR(__xludf.DUMMYFUNCTION("""COMPUTED_VALUE"""),1167.0)</f>
        <v>1167</v>
      </c>
    </row>
    <row r="1421" ht="15.75" customHeight="1">
      <c r="A1421" s="133">
        <f>IFERROR(__xludf.DUMMYFUNCTION("""COMPUTED_VALUE"""),10007.0)</f>
        <v>10007</v>
      </c>
      <c r="B1421" s="164">
        <f>IFERROR(__xludf.DUMMYFUNCTION("""COMPUTED_VALUE"""),5286905.0)</f>
        <v>5286905</v>
      </c>
      <c r="C1421" s="164" t="str">
        <f>IFERROR(__xludf.DUMMYFUNCTION("""COMPUTED_VALUE"""),"5286905XS")</f>
        <v>5286905XS</v>
      </c>
      <c r="D1421" s="133" t="str">
        <f>IFERROR(__xludf.DUMMYFUNCTION("""COMPUTED_VALUE"""),"Женский свитер с оленями")</f>
        <v>Женский свитер с оленями</v>
      </c>
      <c r="E1421" s="133" t="str">
        <f>IFERROR(__xludf.DUMMYFUNCTION("""COMPUTED_VALUE"""),"XS")</f>
        <v>XS</v>
      </c>
      <c r="F1421" s="133" t="str">
        <f>IFERROR(__xludf.DUMMYFUNCTION("""COMPUTED_VALUE"""),"10007XS")</f>
        <v>10007XS</v>
      </c>
      <c r="G1421" s="165">
        <f>IFERROR(__xludf.DUMMYFUNCTION("""COMPUTED_VALUE"""),1167.0)</f>
        <v>1167</v>
      </c>
    </row>
    <row r="1422" ht="15.75" customHeight="1">
      <c r="A1422" s="133">
        <f>IFERROR(__xludf.DUMMYFUNCTION("""COMPUTED_VALUE"""),10007.0)</f>
        <v>10007</v>
      </c>
      <c r="B1422" s="164">
        <f>IFERROR(__xludf.DUMMYFUNCTION("""COMPUTED_VALUE"""),5286905.0)</f>
        <v>5286905</v>
      </c>
      <c r="C1422" s="164" t="str">
        <f>IFERROR(__xludf.DUMMYFUNCTION("""COMPUTED_VALUE"""),"5286905S")</f>
        <v>5286905S</v>
      </c>
      <c r="D1422" s="133" t="str">
        <f>IFERROR(__xludf.DUMMYFUNCTION("""COMPUTED_VALUE"""),"Женский свитер с оленями")</f>
        <v>Женский свитер с оленями</v>
      </c>
      <c r="E1422" s="133" t="str">
        <f>IFERROR(__xludf.DUMMYFUNCTION("""COMPUTED_VALUE"""),"S")</f>
        <v>S</v>
      </c>
      <c r="F1422" s="133" t="str">
        <f>IFERROR(__xludf.DUMMYFUNCTION("""COMPUTED_VALUE"""),"10007S")</f>
        <v>10007S</v>
      </c>
      <c r="G1422" s="165">
        <f>IFERROR(__xludf.DUMMYFUNCTION("""COMPUTED_VALUE"""),1167.0)</f>
        <v>1167</v>
      </c>
    </row>
    <row r="1423" ht="15.75" customHeight="1">
      <c r="A1423" s="133">
        <f>IFERROR(__xludf.DUMMYFUNCTION("""COMPUTED_VALUE"""),10007.0)</f>
        <v>10007</v>
      </c>
      <c r="B1423" s="164">
        <f>IFERROR(__xludf.DUMMYFUNCTION("""COMPUTED_VALUE"""),5286905.0)</f>
        <v>5286905</v>
      </c>
      <c r="C1423" s="164" t="str">
        <f>IFERROR(__xludf.DUMMYFUNCTION("""COMPUTED_VALUE"""),"5286905M")</f>
        <v>5286905M</v>
      </c>
      <c r="D1423" s="133" t="str">
        <f>IFERROR(__xludf.DUMMYFUNCTION("""COMPUTED_VALUE"""),"Женский свитер с оленями")</f>
        <v>Женский свитер с оленями</v>
      </c>
      <c r="E1423" s="133" t="str">
        <f>IFERROR(__xludf.DUMMYFUNCTION("""COMPUTED_VALUE"""),"M")</f>
        <v>M</v>
      </c>
      <c r="F1423" s="133" t="str">
        <f>IFERROR(__xludf.DUMMYFUNCTION("""COMPUTED_VALUE"""),"10007M")</f>
        <v>10007M</v>
      </c>
      <c r="G1423" s="165">
        <f>IFERROR(__xludf.DUMMYFUNCTION("""COMPUTED_VALUE"""),1167.0)</f>
        <v>1167</v>
      </c>
    </row>
    <row r="1424" ht="15.75" customHeight="1">
      <c r="A1424" s="133">
        <f>IFERROR(__xludf.DUMMYFUNCTION("""COMPUTED_VALUE"""),10007.0)</f>
        <v>10007</v>
      </c>
      <c r="B1424" s="164">
        <f>IFERROR(__xludf.DUMMYFUNCTION("""COMPUTED_VALUE"""),5286905.0)</f>
        <v>5286905</v>
      </c>
      <c r="C1424" s="164" t="str">
        <f>IFERROR(__xludf.DUMMYFUNCTION("""COMPUTED_VALUE"""),"5286905L")</f>
        <v>5286905L</v>
      </c>
      <c r="D1424" s="133" t="str">
        <f>IFERROR(__xludf.DUMMYFUNCTION("""COMPUTED_VALUE"""),"Женский свитер с оленями")</f>
        <v>Женский свитер с оленями</v>
      </c>
      <c r="E1424" s="133" t="str">
        <f>IFERROR(__xludf.DUMMYFUNCTION("""COMPUTED_VALUE"""),"L")</f>
        <v>L</v>
      </c>
      <c r="F1424" s="133" t="str">
        <f>IFERROR(__xludf.DUMMYFUNCTION("""COMPUTED_VALUE"""),"10007L")</f>
        <v>10007L</v>
      </c>
      <c r="G1424" s="165">
        <f>IFERROR(__xludf.DUMMYFUNCTION("""COMPUTED_VALUE"""),1167.0)</f>
        <v>1167</v>
      </c>
    </row>
    <row r="1425" ht="15.75" customHeight="1">
      <c r="A1425" s="133">
        <f>IFERROR(__xludf.DUMMYFUNCTION("""COMPUTED_VALUE"""),10007.0)</f>
        <v>10007</v>
      </c>
      <c r="B1425" s="164">
        <f>IFERROR(__xludf.DUMMYFUNCTION("""COMPUTED_VALUE"""),5286905.0)</f>
        <v>5286905</v>
      </c>
      <c r="C1425" s="164" t="str">
        <f>IFERROR(__xludf.DUMMYFUNCTION("""COMPUTED_VALUE"""),"5286905XL")</f>
        <v>5286905XL</v>
      </c>
      <c r="D1425" s="133" t="str">
        <f>IFERROR(__xludf.DUMMYFUNCTION("""COMPUTED_VALUE"""),"Женский свитер с оленями")</f>
        <v>Женский свитер с оленями</v>
      </c>
      <c r="E1425" s="133" t="str">
        <f>IFERROR(__xludf.DUMMYFUNCTION("""COMPUTED_VALUE"""),"XL")</f>
        <v>XL</v>
      </c>
      <c r="F1425" s="133" t="str">
        <f>IFERROR(__xludf.DUMMYFUNCTION("""COMPUTED_VALUE"""),"10007XL")</f>
        <v>10007XL</v>
      </c>
      <c r="G1425" s="165">
        <f>IFERROR(__xludf.DUMMYFUNCTION("""COMPUTED_VALUE"""),1167.0)</f>
        <v>1167</v>
      </c>
    </row>
    <row r="1426" ht="15.75" customHeight="1">
      <c r="A1426" s="133">
        <f>IFERROR(__xludf.DUMMYFUNCTION("""COMPUTED_VALUE"""),10008.0)</f>
        <v>10008</v>
      </c>
      <c r="B1426" s="164">
        <f>IFERROR(__xludf.DUMMYFUNCTION("""COMPUTED_VALUE"""),5286906.0)</f>
        <v>5286906</v>
      </c>
      <c r="C1426" s="164" t="str">
        <f>IFERROR(__xludf.DUMMYFUNCTION("""COMPUTED_VALUE"""),"5286906XXS")</f>
        <v>5286906XXS</v>
      </c>
      <c r="D1426" s="133" t="str">
        <f>IFERROR(__xludf.DUMMYFUNCTION("""COMPUTED_VALUE"""),"Женский свитер с оленями")</f>
        <v>Женский свитер с оленями</v>
      </c>
      <c r="E1426" s="133" t="str">
        <f>IFERROR(__xludf.DUMMYFUNCTION("""COMPUTED_VALUE"""),"XXS")</f>
        <v>XXS</v>
      </c>
      <c r="F1426" s="133" t="str">
        <f>IFERROR(__xludf.DUMMYFUNCTION("""COMPUTED_VALUE"""),"10008XXS")</f>
        <v>10008XXS</v>
      </c>
      <c r="G1426" s="165">
        <f>IFERROR(__xludf.DUMMYFUNCTION("""COMPUTED_VALUE"""),1167.0)</f>
        <v>1167</v>
      </c>
    </row>
    <row r="1427" ht="15.75" customHeight="1">
      <c r="A1427" s="133">
        <f>IFERROR(__xludf.DUMMYFUNCTION("""COMPUTED_VALUE"""),10008.0)</f>
        <v>10008</v>
      </c>
      <c r="B1427" s="164">
        <f>IFERROR(__xludf.DUMMYFUNCTION("""COMPUTED_VALUE"""),5286906.0)</f>
        <v>5286906</v>
      </c>
      <c r="C1427" s="164" t="str">
        <f>IFERROR(__xludf.DUMMYFUNCTION("""COMPUTED_VALUE"""),"5286906XS")</f>
        <v>5286906XS</v>
      </c>
      <c r="D1427" s="133" t="str">
        <f>IFERROR(__xludf.DUMMYFUNCTION("""COMPUTED_VALUE"""),"Женский свитер с оленями")</f>
        <v>Женский свитер с оленями</v>
      </c>
      <c r="E1427" s="133" t="str">
        <f>IFERROR(__xludf.DUMMYFUNCTION("""COMPUTED_VALUE"""),"XS")</f>
        <v>XS</v>
      </c>
      <c r="F1427" s="133" t="str">
        <f>IFERROR(__xludf.DUMMYFUNCTION("""COMPUTED_VALUE"""),"10008XS")</f>
        <v>10008XS</v>
      </c>
      <c r="G1427" s="165">
        <f>IFERROR(__xludf.DUMMYFUNCTION("""COMPUTED_VALUE"""),1167.0)</f>
        <v>1167</v>
      </c>
    </row>
    <row r="1428" ht="15.75" customHeight="1">
      <c r="A1428" s="133">
        <f>IFERROR(__xludf.DUMMYFUNCTION("""COMPUTED_VALUE"""),10008.0)</f>
        <v>10008</v>
      </c>
      <c r="B1428" s="164">
        <f>IFERROR(__xludf.DUMMYFUNCTION("""COMPUTED_VALUE"""),5286906.0)</f>
        <v>5286906</v>
      </c>
      <c r="C1428" s="164" t="str">
        <f>IFERROR(__xludf.DUMMYFUNCTION("""COMPUTED_VALUE"""),"5286906S")</f>
        <v>5286906S</v>
      </c>
      <c r="D1428" s="133" t="str">
        <f>IFERROR(__xludf.DUMMYFUNCTION("""COMPUTED_VALUE"""),"Женский свитер с оленями")</f>
        <v>Женский свитер с оленями</v>
      </c>
      <c r="E1428" s="133" t="str">
        <f>IFERROR(__xludf.DUMMYFUNCTION("""COMPUTED_VALUE"""),"S")</f>
        <v>S</v>
      </c>
      <c r="F1428" s="133" t="str">
        <f>IFERROR(__xludf.DUMMYFUNCTION("""COMPUTED_VALUE"""),"10008S")</f>
        <v>10008S</v>
      </c>
      <c r="G1428" s="165">
        <f>IFERROR(__xludf.DUMMYFUNCTION("""COMPUTED_VALUE"""),1167.0)</f>
        <v>1167</v>
      </c>
    </row>
    <row r="1429" ht="15.75" customHeight="1">
      <c r="A1429" s="133">
        <f>IFERROR(__xludf.DUMMYFUNCTION("""COMPUTED_VALUE"""),10008.0)</f>
        <v>10008</v>
      </c>
      <c r="B1429" s="164">
        <f>IFERROR(__xludf.DUMMYFUNCTION("""COMPUTED_VALUE"""),5286906.0)</f>
        <v>5286906</v>
      </c>
      <c r="C1429" s="164" t="str">
        <f>IFERROR(__xludf.DUMMYFUNCTION("""COMPUTED_VALUE"""),"5286906M")</f>
        <v>5286906M</v>
      </c>
      <c r="D1429" s="133" t="str">
        <f>IFERROR(__xludf.DUMMYFUNCTION("""COMPUTED_VALUE"""),"Женский свитер с оленями")</f>
        <v>Женский свитер с оленями</v>
      </c>
      <c r="E1429" s="133" t="str">
        <f>IFERROR(__xludf.DUMMYFUNCTION("""COMPUTED_VALUE"""),"M")</f>
        <v>M</v>
      </c>
      <c r="F1429" s="133" t="str">
        <f>IFERROR(__xludf.DUMMYFUNCTION("""COMPUTED_VALUE"""),"10008M")</f>
        <v>10008M</v>
      </c>
      <c r="G1429" s="165">
        <f>IFERROR(__xludf.DUMMYFUNCTION("""COMPUTED_VALUE"""),1167.0)</f>
        <v>1167</v>
      </c>
    </row>
    <row r="1430" ht="15.75" customHeight="1">
      <c r="A1430" s="133">
        <f>IFERROR(__xludf.DUMMYFUNCTION("""COMPUTED_VALUE"""),10008.0)</f>
        <v>10008</v>
      </c>
      <c r="B1430" s="164">
        <f>IFERROR(__xludf.DUMMYFUNCTION("""COMPUTED_VALUE"""),5286906.0)</f>
        <v>5286906</v>
      </c>
      <c r="C1430" s="164" t="str">
        <f>IFERROR(__xludf.DUMMYFUNCTION("""COMPUTED_VALUE"""),"5286906L")</f>
        <v>5286906L</v>
      </c>
      <c r="D1430" s="133" t="str">
        <f>IFERROR(__xludf.DUMMYFUNCTION("""COMPUTED_VALUE"""),"Женский свитер с оленями")</f>
        <v>Женский свитер с оленями</v>
      </c>
      <c r="E1430" s="133" t="str">
        <f>IFERROR(__xludf.DUMMYFUNCTION("""COMPUTED_VALUE"""),"L")</f>
        <v>L</v>
      </c>
      <c r="F1430" s="133" t="str">
        <f>IFERROR(__xludf.DUMMYFUNCTION("""COMPUTED_VALUE"""),"10008L")</f>
        <v>10008L</v>
      </c>
      <c r="G1430" s="165">
        <f>IFERROR(__xludf.DUMMYFUNCTION("""COMPUTED_VALUE"""),1167.0)</f>
        <v>1167</v>
      </c>
    </row>
    <row r="1431" ht="15.75" customHeight="1">
      <c r="A1431" s="133">
        <f>IFERROR(__xludf.DUMMYFUNCTION("""COMPUTED_VALUE"""),10008.0)</f>
        <v>10008</v>
      </c>
      <c r="B1431" s="164">
        <f>IFERROR(__xludf.DUMMYFUNCTION("""COMPUTED_VALUE"""),5286906.0)</f>
        <v>5286906</v>
      </c>
      <c r="C1431" s="164" t="str">
        <f>IFERROR(__xludf.DUMMYFUNCTION("""COMPUTED_VALUE"""),"5286906XL")</f>
        <v>5286906XL</v>
      </c>
      <c r="D1431" s="133" t="str">
        <f>IFERROR(__xludf.DUMMYFUNCTION("""COMPUTED_VALUE"""),"Женский свитер с оленями")</f>
        <v>Женский свитер с оленями</v>
      </c>
      <c r="E1431" s="133" t="str">
        <f>IFERROR(__xludf.DUMMYFUNCTION("""COMPUTED_VALUE"""),"XL")</f>
        <v>XL</v>
      </c>
      <c r="F1431" s="133" t="str">
        <f>IFERROR(__xludf.DUMMYFUNCTION("""COMPUTED_VALUE"""),"10008XL")</f>
        <v>10008XL</v>
      </c>
      <c r="G1431" s="165">
        <f>IFERROR(__xludf.DUMMYFUNCTION("""COMPUTED_VALUE"""),1167.0)</f>
        <v>1167</v>
      </c>
    </row>
    <row r="1432" ht="15.75" customHeight="1">
      <c r="A1432" s="133">
        <f>IFERROR(__xludf.DUMMYFUNCTION("""COMPUTED_VALUE"""),10009.0)</f>
        <v>10009</v>
      </c>
      <c r="B1432" s="164">
        <f>IFERROR(__xludf.DUMMYFUNCTION("""COMPUTED_VALUE"""),5286907.0)</f>
        <v>5286907</v>
      </c>
      <c r="C1432" s="164" t="str">
        <f>IFERROR(__xludf.DUMMYFUNCTION("""COMPUTED_VALUE"""),"5286907XXS")</f>
        <v>5286907XXS</v>
      </c>
      <c r="D1432" s="133" t="str">
        <f>IFERROR(__xludf.DUMMYFUNCTION("""COMPUTED_VALUE"""),"Женский свитер с оленями")</f>
        <v>Женский свитер с оленями</v>
      </c>
      <c r="E1432" s="133" t="str">
        <f>IFERROR(__xludf.DUMMYFUNCTION("""COMPUTED_VALUE"""),"XXS")</f>
        <v>XXS</v>
      </c>
      <c r="F1432" s="133" t="str">
        <f>IFERROR(__xludf.DUMMYFUNCTION("""COMPUTED_VALUE"""),"10009XXS")</f>
        <v>10009XXS</v>
      </c>
      <c r="G1432" s="165">
        <f>IFERROR(__xludf.DUMMYFUNCTION("""COMPUTED_VALUE"""),1167.0)</f>
        <v>1167</v>
      </c>
    </row>
    <row r="1433" ht="15.75" customHeight="1">
      <c r="A1433" s="133">
        <f>IFERROR(__xludf.DUMMYFUNCTION("""COMPUTED_VALUE"""),10009.0)</f>
        <v>10009</v>
      </c>
      <c r="B1433" s="164">
        <f>IFERROR(__xludf.DUMMYFUNCTION("""COMPUTED_VALUE"""),5286907.0)</f>
        <v>5286907</v>
      </c>
      <c r="C1433" s="164" t="str">
        <f>IFERROR(__xludf.DUMMYFUNCTION("""COMPUTED_VALUE"""),"5286907XS")</f>
        <v>5286907XS</v>
      </c>
      <c r="D1433" s="133" t="str">
        <f>IFERROR(__xludf.DUMMYFUNCTION("""COMPUTED_VALUE"""),"Женский свитер с оленями")</f>
        <v>Женский свитер с оленями</v>
      </c>
      <c r="E1433" s="133" t="str">
        <f>IFERROR(__xludf.DUMMYFUNCTION("""COMPUTED_VALUE"""),"XS")</f>
        <v>XS</v>
      </c>
      <c r="F1433" s="133" t="str">
        <f>IFERROR(__xludf.DUMMYFUNCTION("""COMPUTED_VALUE"""),"10009XS")</f>
        <v>10009XS</v>
      </c>
      <c r="G1433" s="165">
        <f>IFERROR(__xludf.DUMMYFUNCTION("""COMPUTED_VALUE"""),1167.0)</f>
        <v>1167</v>
      </c>
    </row>
    <row r="1434" ht="15.75" customHeight="1">
      <c r="A1434" s="133">
        <f>IFERROR(__xludf.DUMMYFUNCTION("""COMPUTED_VALUE"""),10009.0)</f>
        <v>10009</v>
      </c>
      <c r="B1434" s="164">
        <f>IFERROR(__xludf.DUMMYFUNCTION("""COMPUTED_VALUE"""),5286907.0)</f>
        <v>5286907</v>
      </c>
      <c r="C1434" s="164" t="str">
        <f>IFERROR(__xludf.DUMMYFUNCTION("""COMPUTED_VALUE"""),"5286907S")</f>
        <v>5286907S</v>
      </c>
      <c r="D1434" s="133" t="str">
        <f>IFERROR(__xludf.DUMMYFUNCTION("""COMPUTED_VALUE"""),"Женский свитер с оленями")</f>
        <v>Женский свитер с оленями</v>
      </c>
      <c r="E1434" s="133" t="str">
        <f>IFERROR(__xludf.DUMMYFUNCTION("""COMPUTED_VALUE"""),"S")</f>
        <v>S</v>
      </c>
      <c r="F1434" s="133" t="str">
        <f>IFERROR(__xludf.DUMMYFUNCTION("""COMPUTED_VALUE"""),"10009S")</f>
        <v>10009S</v>
      </c>
      <c r="G1434" s="165">
        <f>IFERROR(__xludf.DUMMYFUNCTION("""COMPUTED_VALUE"""),1167.0)</f>
        <v>1167</v>
      </c>
    </row>
    <row r="1435" ht="15.75" customHeight="1">
      <c r="A1435" s="133">
        <f>IFERROR(__xludf.DUMMYFUNCTION("""COMPUTED_VALUE"""),10009.0)</f>
        <v>10009</v>
      </c>
      <c r="B1435" s="164">
        <f>IFERROR(__xludf.DUMMYFUNCTION("""COMPUTED_VALUE"""),5286907.0)</f>
        <v>5286907</v>
      </c>
      <c r="C1435" s="164" t="str">
        <f>IFERROR(__xludf.DUMMYFUNCTION("""COMPUTED_VALUE"""),"5286907M")</f>
        <v>5286907M</v>
      </c>
      <c r="D1435" s="133" t="str">
        <f>IFERROR(__xludf.DUMMYFUNCTION("""COMPUTED_VALUE"""),"Женский свитер с оленями")</f>
        <v>Женский свитер с оленями</v>
      </c>
      <c r="E1435" s="133" t="str">
        <f>IFERROR(__xludf.DUMMYFUNCTION("""COMPUTED_VALUE"""),"M")</f>
        <v>M</v>
      </c>
      <c r="F1435" s="133" t="str">
        <f>IFERROR(__xludf.DUMMYFUNCTION("""COMPUTED_VALUE"""),"10009M")</f>
        <v>10009M</v>
      </c>
      <c r="G1435" s="165">
        <f>IFERROR(__xludf.DUMMYFUNCTION("""COMPUTED_VALUE"""),1167.0)</f>
        <v>1167</v>
      </c>
    </row>
    <row r="1436" ht="15.75" customHeight="1">
      <c r="A1436" s="133">
        <f>IFERROR(__xludf.DUMMYFUNCTION("""COMPUTED_VALUE"""),10009.0)</f>
        <v>10009</v>
      </c>
      <c r="B1436" s="164">
        <f>IFERROR(__xludf.DUMMYFUNCTION("""COMPUTED_VALUE"""),5286907.0)</f>
        <v>5286907</v>
      </c>
      <c r="C1436" s="164" t="str">
        <f>IFERROR(__xludf.DUMMYFUNCTION("""COMPUTED_VALUE"""),"5286907L")</f>
        <v>5286907L</v>
      </c>
      <c r="D1436" s="133" t="str">
        <f>IFERROR(__xludf.DUMMYFUNCTION("""COMPUTED_VALUE"""),"Женский свитер с оленями")</f>
        <v>Женский свитер с оленями</v>
      </c>
      <c r="E1436" s="133" t="str">
        <f>IFERROR(__xludf.DUMMYFUNCTION("""COMPUTED_VALUE"""),"L")</f>
        <v>L</v>
      </c>
      <c r="F1436" s="133" t="str">
        <f>IFERROR(__xludf.DUMMYFUNCTION("""COMPUTED_VALUE"""),"10009L")</f>
        <v>10009L</v>
      </c>
      <c r="G1436" s="165">
        <f>IFERROR(__xludf.DUMMYFUNCTION("""COMPUTED_VALUE"""),1167.0)</f>
        <v>1167</v>
      </c>
    </row>
    <row r="1437" ht="15.75" customHeight="1">
      <c r="A1437" s="133">
        <f>IFERROR(__xludf.DUMMYFUNCTION("""COMPUTED_VALUE"""),10009.0)</f>
        <v>10009</v>
      </c>
      <c r="B1437" s="164">
        <f>IFERROR(__xludf.DUMMYFUNCTION("""COMPUTED_VALUE"""),5286907.0)</f>
        <v>5286907</v>
      </c>
      <c r="C1437" s="164" t="str">
        <f>IFERROR(__xludf.DUMMYFUNCTION("""COMPUTED_VALUE"""),"5286907XL")</f>
        <v>5286907XL</v>
      </c>
      <c r="D1437" s="133" t="str">
        <f>IFERROR(__xludf.DUMMYFUNCTION("""COMPUTED_VALUE"""),"Женский свитер с оленями")</f>
        <v>Женский свитер с оленями</v>
      </c>
      <c r="E1437" s="133" t="str">
        <f>IFERROR(__xludf.DUMMYFUNCTION("""COMPUTED_VALUE"""),"XL")</f>
        <v>XL</v>
      </c>
      <c r="F1437" s="133" t="str">
        <f>IFERROR(__xludf.DUMMYFUNCTION("""COMPUTED_VALUE"""),"10009XL")</f>
        <v>10009XL</v>
      </c>
      <c r="G1437" s="165">
        <f>IFERROR(__xludf.DUMMYFUNCTION("""COMPUTED_VALUE"""),1167.0)</f>
        <v>1167</v>
      </c>
    </row>
    <row r="1438" ht="15.75" customHeight="1">
      <c r="A1438" s="133">
        <f>IFERROR(__xludf.DUMMYFUNCTION("""COMPUTED_VALUE"""),10010.0)</f>
        <v>10010</v>
      </c>
      <c r="B1438" s="164">
        <f>IFERROR(__xludf.DUMMYFUNCTION("""COMPUTED_VALUE"""),5286908.0)</f>
        <v>5286908</v>
      </c>
      <c r="C1438" s="164" t="str">
        <f>IFERROR(__xludf.DUMMYFUNCTION("""COMPUTED_VALUE"""),"5286908XXS")</f>
        <v>5286908XXS</v>
      </c>
      <c r="D1438" s="133" t="str">
        <f>IFERROR(__xludf.DUMMYFUNCTION("""COMPUTED_VALUE"""),"Женский свитер с совой")</f>
        <v>Женский свитер с совой</v>
      </c>
      <c r="E1438" s="133" t="str">
        <f>IFERROR(__xludf.DUMMYFUNCTION("""COMPUTED_VALUE"""),"XXS")</f>
        <v>XXS</v>
      </c>
      <c r="F1438" s="133" t="str">
        <f>IFERROR(__xludf.DUMMYFUNCTION("""COMPUTED_VALUE"""),"10010XXS")</f>
        <v>10010XXS</v>
      </c>
      <c r="G1438" s="165">
        <f>IFERROR(__xludf.DUMMYFUNCTION("""COMPUTED_VALUE"""),1167.0)</f>
        <v>1167</v>
      </c>
    </row>
    <row r="1439" ht="15.75" customHeight="1">
      <c r="A1439" s="133">
        <f>IFERROR(__xludf.DUMMYFUNCTION("""COMPUTED_VALUE"""),10010.0)</f>
        <v>10010</v>
      </c>
      <c r="B1439" s="164">
        <f>IFERROR(__xludf.DUMMYFUNCTION("""COMPUTED_VALUE"""),5286908.0)</f>
        <v>5286908</v>
      </c>
      <c r="C1439" s="164" t="str">
        <f>IFERROR(__xludf.DUMMYFUNCTION("""COMPUTED_VALUE"""),"5286908XS")</f>
        <v>5286908XS</v>
      </c>
      <c r="D1439" s="133" t="str">
        <f>IFERROR(__xludf.DUMMYFUNCTION("""COMPUTED_VALUE"""),"Женский свитер с совой")</f>
        <v>Женский свитер с совой</v>
      </c>
      <c r="E1439" s="133" t="str">
        <f>IFERROR(__xludf.DUMMYFUNCTION("""COMPUTED_VALUE"""),"XS")</f>
        <v>XS</v>
      </c>
      <c r="F1439" s="133" t="str">
        <f>IFERROR(__xludf.DUMMYFUNCTION("""COMPUTED_VALUE"""),"10010XS")</f>
        <v>10010XS</v>
      </c>
      <c r="G1439" s="165">
        <f>IFERROR(__xludf.DUMMYFUNCTION("""COMPUTED_VALUE"""),1167.0)</f>
        <v>1167</v>
      </c>
    </row>
    <row r="1440" ht="15.75" customHeight="1">
      <c r="A1440" s="133">
        <f>IFERROR(__xludf.DUMMYFUNCTION("""COMPUTED_VALUE"""),10010.0)</f>
        <v>10010</v>
      </c>
      <c r="B1440" s="164">
        <f>IFERROR(__xludf.DUMMYFUNCTION("""COMPUTED_VALUE"""),5286908.0)</f>
        <v>5286908</v>
      </c>
      <c r="C1440" s="164" t="str">
        <f>IFERROR(__xludf.DUMMYFUNCTION("""COMPUTED_VALUE"""),"5286908S")</f>
        <v>5286908S</v>
      </c>
      <c r="D1440" s="133" t="str">
        <f>IFERROR(__xludf.DUMMYFUNCTION("""COMPUTED_VALUE"""),"Женский свитер с совой")</f>
        <v>Женский свитер с совой</v>
      </c>
      <c r="E1440" s="133" t="str">
        <f>IFERROR(__xludf.DUMMYFUNCTION("""COMPUTED_VALUE"""),"S")</f>
        <v>S</v>
      </c>
      <c r="F1440" s="133" t="str">
        <f>IFERROR(__xludf.DUMMYFUNCTION("""COMPUTED_VALUE"""),"10010S")</f>
        <v>10010S</v>
      </c>
      <c r="G1440" s="165">
        <f>IFERROR(__xludf.DUMMYFUNCTION("""COMPUTED_VALUE"""),1167.0)</f>
        <v>1167</v>
      </c>
    </row>
    <row r="1441" ht="15.75" customHeight="1">
      <c r="A1441" s="133">
        <f>IFERROR(__xludf.DUMMYFUNCTION("""COMPUTED_VALUE"""),10010.0)</f>
        <v>10010</v>
      </c>
      <c r="B1441" s="164">
        <f>IFERROR(__xludf.DUMMYFUNCTION("""COMPUTED_VALUE"""),5286908.0)</f>
        <v>5286908</v>
      </c>
      <c r="C1441" s="164" t="str">
        <f>IFERROR(__xludf.DUMMYFUNCTION("""COMPUTED_VALUE"""),"5286908M")</f>
        <v>5286908M</v>
      </c>
      <c r="D1441" s="133" t="str">
        <f>IFERROR(__xludf.DUMMYFUNCTION("""COMPUTED_VALUE"""),"Женский свитер с совой")</f>
        <v>Женский свитер с совой</v>
      </c>
      <c r="E1441" s="133" t="str">
        <f>IFERROR(__xludf.DUMMYFUNCTION("""COMPUTED_VALUE"""),"M")</f>
        <v>M</v>
      </c>
      <c r="F1441" s="133" t="str">
        <f>IFERROR(__xludf.DUMMYFUNCTION("""COMPUTED_VALUE"""),"10010M")</f>
        <v>10010M</v>
      </c>
      <c r="G1441" s="165">
        <f>IFERROR(__xludf.DUMMYFUNCTION("""COMPUTED_VALUE"""),1167.0)</f>
        <v>1167</v>
      </c>
    </row>
    <row r="1442" ht="15.75" customHeight="1">
      <c r="A1442" s="133">
        <f>IFERROR(__xludf.DUMMYFUNCTION("""COMPUTED_VALUE"""),10010.0)</f>
        <v>10010</v>
      </c>
      <c r="B1442" s="164">
        <f>IFERROR(__xludf.DUMMYFUNCTION("""COMPUTED_VALUE"""),5286908.0)</f>
        <v>5286908</v>
      </c>
      <c r="C1442" s="164" t="str">
        <f>IFERROR(__xludf.DUMMYFUNCTION("""COMPUTED_VALUE"""),"5286908L")</f>
        <v>5286908L</v>
      </c>
      <c r="D1442" s="133" t="str">
        <f>IFERROR(__xludf.DUMMYFUNCTION("""COMPUTED_VALUE"""),"Женский свитер с совой")</f>
        <v>Женский свитер с совой</v>
      </c>
      <c r="E1442" s="133" t="str">
        <f>IFERROR(__xludf.DUMMYFUNCTION("""COMPUTED_VALUE"""),"L")</f>
        <v>L</v>
      </c>
      <c r="F1442" s="133" t="str">
        <f>IFERROR(__xludf.DUMMYFUNCTION("""COMPUTED_VALUE"""),"10010L")</f>
        <v>10010L</v>
      </c>
      <c r="G1442" s="165">
        <f>IFERROR(__xludf.DUMMYFUNCTION("""COMPUTED_VALUE"""),1167.0)</f>
        <v>1167</v>
      </c>
    </row>
    <row r="1443" ht="15.75" customHeight="1">
      <c r="A1443" s="133">
        <f>IFERROR(__xludf.DUMMYFUNCTION("""COMPUTED_VALUE"""),10010.0)</f>
        <v>10010</v>
      </c>
      <c r="B1443" s="164">
        <f>IFERROR(__xludf.DUMMYFUNCTION("""COMPUTED_VALUE"""),5286908.0)</f>
        <v>5286908</v>
      </c>
      <c r="C1443" s="164" t="str">
        <f>IFERROR(__xludf.DUMMYFUNCTION("""COMPUTED_VALUE"""),"5286908XL")</f>
        <v>5286908XL</v>
      </c>
      <c r="D1443" s="133" t="str">
        <f>IFERROR(__xludf.DUMMYFUNCTION("""COMPUTED_VALUE"""),"Женский свитер с совой")</f>
        <v>Женский свитер с совой</v>
      </c>
      <c r="E1443" s="133" t="str">
        <f>IFERROR(__xludf.DUMMYFUNCTION("""COMPUTED_VALUE"""),"XL")</f>
        <v>XL</v>
      </c>
      <c r="F1443" s="133" t="str">
        <f>IFERROR(__xludf.DUMMYFUNCTION("""COMPUTED_VALUE"""),"10010XL")</f>
        <v>10010XL</v>
      </c>
      <c r="G1443" s="165">
        <f>IFERROR(__xludf.DUMMYFUNCTION("""COMPUTED_VALUE"""),1167.0)</f>
        <v>1167</v>
      </c>
    </row>
    <row r="1444" ht="15.75" customHeight="1">
      <c r="A1444" s="133">
        <f>IFERROR(__xludf.DUMMYFUNCTION("""COMPUTED_VALUE"""),10010.0)</f>
        <v>10010</v>
      </c>
      <c r="B1444" s="164">
        <f>IFERROR(__xludf.DUMMYFUNCTION("""COMPUTED_VALUE"""),5286908.0)</f>
        <v>5286908</v>
      </c>
      <c r="C1444" s="164" t="str">
        <f>IFERROR(__xludf.DUMMYFUNCTION("""COMPUTED_VALUE"""),"5286908XXL")</f>
        <v>5286908XXL</v>
      </c>
      <c r="D1444" s="133" t="str">
        <f>IFERROR(__xludf.DUMMYFUNCTION("""COMPUTED_VALUE"""),"Женский свитер с совой")</f>
        <v>Женский свитер с совой</v>
      </c>
      <c r="E1444" s="133" t="str">
        <f>IFERROR(__xludf.DUMMYFUNCTION("""COMPUTED_VALUE"""),"XXL")</f>
        <v>XXL</v>
      </c>
      <c r="F1444" s="133" t="str">
        <f>IFERROR(__xludf.DUMMYFUNCTION("""COMPUTED_VALUE"""),"10010XXL")</f>
        <v>10010XXL</v>
      </c>
      <c r="G1444" s="165">
        <f>IFERROR(__xludf.DUMMYFUNCTION("""COMPUTED_VALUE"""),1167.0)</f>
        <v>1167</v>
      </c>
    </row>
    <row r="1445" ht="15.75" customHeight="1">
      <c r="A1445" s="133">
        <f>IFERROR(__xludf.DUMMYFUNCTION("""COMPUTED_VALUE"""),10011.0)</f>
        <v>10011</v>
      </c>
      <c r="B1445" s="164">
        <f>IFERROR(__xludf.DUMMYFUNCTION("""COMPUTED_VALUE"""),5286909.0)</f>
        <v>5286909</v>
      </c>
      <c r="C1445" s="164" t="str">
        <f>IFERROR(__xludf.DUMMYFUNCTION("""COMPUTED_VALUE"""),"5286909XXS")</f>
        <v>5286909XXS</v>
      </c>
      <c r="D1445" s="133" t="str">
        <f>IFERROR(__xludf.DUMMYFUNCTION("""COMPUTED_VALUE"""),"Женский свитер с совой")</f>
        <v>Женский свитер с совой</v>
      </c>
      <c r="E1445" s="133" t="str">
        <f>IFERROR(__xludf.DUMMYFUNCTION("""COMPUTED_VALUE"""),"XXS")</f>
        <v>XXS</v>
      </c>
      <c r="F1445" s="133" t="str">
        <f>IFERROR(__xludf.DUMMYFUNCTION("""COMPUTED_VALUE"""),"10011XXS")</f>
        <v>10011XXS</v>
      </c>
      <c r="G1445" s="165">
        <f>IFERROR(__xludf.DUMMYFUNCTION("""COMPUTED_VALUE"""),1167.0)</f>
        <v>1167</v>
      </c>
    </row>
    <row r="1446" ht="15.75" customHeight="1">
      <c r="A1446" s="133">
        <f>IFERROR(__xludf.DUMMYFUNCTION("""COMPUTED_VALUE"""),10011.0)</f>
        <v>10011</v>
      </c>
      <c r="B1446" s="164">
        <f>IFERROR(__xludf.DUMMYFUNCTION("""COMPUTED_VALUE"""),5286909.0)</f>
        <v>5286909</v>
      </c>
      <c r="C1446" s="164" t="str">
        <f>IFERROR(__xludf.DUMMYFUNCTION("""COMPUTED_VALUE"""),"5286909XS")</f>
        <v>5286909XS</v>
      </c>
      <c r="D1446" s="133" t="str">
        <f>IFERROR(__xludf.DUMMYFUNCTION("""COMPUTED_VALUE"""),"Женский свитер с совой")</f>
        <v>Женский свитер с совой</v>
      </c>
      <c r="E1446" s="133" t="str">
        <f>IFERROR(__xludf.DUMMYFUNCTION("""COMPUTED_VALUE"""),"XS")</f>
        <v>XS</v>
      </c>
      <c r="F1446" s="133" t="str">
        <f>IFERROR(__xludf.DUMMYFUNCTION("""COMPUTED_VALUE"""),"10011XS")</f>
        <v>10011XS</v>
      </c>
      <c r="G1446" s="165">
        <f>IFERROR(__xludf.DUMMYFUNCTION("""COMPUTED_VALUE"""),1167.0)</f>
        <v>1167</v>
      </c>
    </row>
    <row r="1447" ht="15.75" customHeight="1">
      <c r="A1447" s="133">
        <f>IFERROR(__xludf.DUMMYFUNCTION("""COMPUTED_VALUE"""),10011.0)</f>
        <v>10011</v>
      </c>
      <c r="B1447" s="164">
        <f>IFERROR(__xludf.DUMMYFUNCTION("""COMPUTED_VALUE"""),5286909.0)</f>
        <v>5286909</v>
      </c>
      <c r="C1447" s="164" t="str">
        <f>IFERROR(__xludf.DUMMYFUNCTION("""COMPUTED_VALUE"""),"5286909S")</f>
        <v>5286909S</v>
      </c>
      <c r="D1447" s="133" t="str">
        <f>IFERROR(__xludf.DUMMYFUNCTION("""COMPUTED_VALUE"""),"Женский свитер с совой")</f>
        <v>Женский свитер с совой</v>
      </c>
      <c r="E1447" s="133" t="str">
        <f>IFERROR(__xludf.DUMMYFUNCTION("""COMPUTED_VALUE"""),"S")</f>
        <v>S</v>
      </c>
      <c r="F1447" s="133" t="str">
        <f>IFERROR(__xludf.DUMMYFUNCTION("""COMPUTED_VALUE"""),"10011S")</f>
        <v>10011S</v>
      </c>
      <c r="G1447" s="165">
        <f>IFERROR(__xludf.DUMMYFUNCTION("""COMPUTED_VALUE"""),1167.0)</f>
        <v>1167</v>
      </c>
    </row>
    <row r="1448" ht="15.75" customHeight="1">
      <c r="A1448" s="133">
        <f>IFERROR(__xludf.DUMMYFUNCTION("""COMPUTED_VALUE"""),10011.0)</f>
        <v>10011</v>
      </c>
      <c r="B1448" s="164">
        <f>IFERROR(__xludf.DUMMYFUNCTION("""COMPUTED_VALUE"""),5286909.0)</f>
        <v>5286909</v>
      </c>
      <c r="C1448" s="164" t="str">
        <f>IFERROR(__xludf.DUMMYFUNCTION("""COMPUTED_VALUE"""),"5286909M")</f>
        <v>5286909M</v>
      </c>
      <c r="D1448" s="133" t="str">
        <f>IFERROR(__xludf.DUMMYFUNCTION("""COMPUTED_VALUE"""),"Женский свитер с совой")</f>
        <v>Женский свитер с совой</v>
      </c>
      <c r="E1448" s="133" t="str">
        <f>IFERROR(__xludf.DUMMYFUNCTION("""COMPUTED_VALUE"""),"M")</f>
        <v>M</v>
      </c>
      <c r="F1448" s="133" t="str">
        <f>IFERROR(__xludf.DUMMYFUNCTION("""COMPUTED_VALUE"""),"10011M")</f>
        <v>10011M</v>
      </c>
      <c r="G1448" s="165">
        <f>IFERROR(__xludf.DUMMYFUNCTION("""COMPUTED_VALUE"""),1167.0)</f>
        <v>1167</v>
      </c>
    </row>
    <row r="1449" ht="15.75" customHeight="1">
      <c r="A1449" s="133">
        <f>IFERROR(__xludf.DUMMYFUNCTION("""COMPUTED_VALUE"""),10011.0)</f>
        <v>10011</v>
      </c>
      <c r="B1449" s="164">
        <f>IFERROR(__xludf.DUMMYFUNCTION("""COMPUTED_VALUE"""),5286909.0)</f>
        <v>5286909</v>
      </c>
      <c r="C1449" s="164" t="str">
        <f>IFERROR(__xludf.DUMMYFUNCTION("""COMPUTED_VALUE"""),"5286909L")</f>
        <v>5286909L</v>
      </c>
      <c r="D1449" s="133" t="str">
        <f>IFERROR(__xludf.DUMMYFUNCTION("""COMPUTED_VALUE"""),"Женский свитер с совой")</f>
        <v>Женский свитер с совой</v>
      </c>
      <c r="E1449" s="133" t="str">
        <f>IFERROR(__xludf.DUMMYFUNCTION("""COMPUTED_VALUE"""),"L")</f>
        <v>L</v>
      </c>
      <c r="F1449" s="133" t="str">
        <f>IFERROR(__xludf.DUMMYFUNCTION("""COMPUTED_VALUE"""),"10011L")</f>
        <v>10011L</v>
      </c>
      <c r="G1449" s="165">
        <f>IFERROR(__xludf.DUMMYFUNCTION("""COMPUTED_VALUE"""),1167.0)</f>
        <v>1167</v>
      </c>
    </row>
    <row r="1450" ht="15.75" customHeight="1">
      <c r="A1450" s="133">
        <f>IFERROR(__xludf.DUMMYFUNCTION("""COMPUTED_VALUE"""),10011.0)</f>
        <v>10011</v>
      </c>
      <c r="B1450" s="164">
        <f>IFERROR(__xludf.DUMMYFUNCTION("""COMPUTED_VALUE"""),5286909.0)</f>
        <v>5286909</v>
      </c>
      <c r="C1450" s="164" t="str">
        <f>IFERROR(__xludf.DUMMYFUNCTION("""COMPUTED_VALUE"""),"5286909XL")</f>
        <v>5286909XL</v>
      </c>
      <c r="D1450" s="133" t="str">
        <f>IFERROR(__xludf.DUMMYFUNCTION("""COMPUTED_VALUE"""),"Женский свитер с совой")</f>
        <v>Женский свитер с совой</v>
      </c>
      <c r="E1450" s="133" t="str">
        <f>IFERROR(__xludf.DUMMYFUNCTION("""COMPUTED_VALUE"""),"XL")</f>
        <v>XL</v>
      </c>
      <c r="F1450" s="133" t="str">
        <f>IFERROR(__xludf.DUMMYFUNCTION("""COMPUTED_VALUE"""),"10011XL")</f>
        <v>10011XL</v>
      </c>
      <c r="G1450" s="165">
        <f>IFERROR(__xludf.DUMMYFUNCTION("""COMPUTED_VALUE"""),1167.0)</f>
        <v>1167</v>
      </c>
    </row>
    <row r="1451" ht="15.75" customHeight="1">
      <c r="A1451" s="133">
        <f>IFERROR(__xludf.DUMMYFUNCTION("""COMPUTED_VALUE"""),10012.0)</f>
        <v>10012</v>
      </c>
      <c r="B1451" s="164">
        <f>IFERROR(__xludf.DUMMYFUNCTION("""COMPUTED_VALUE"""),5286910.0)</f>
        <v>5286910</v>
      </c>
      <c r="C1451" s="164" t="str">
        <f>IFERROR(__xludf.DUMMYFUNCTION("""COMPUTED_VALUE"""),"5286910XXS")</f>
        <v>5286910XXS</v>
      </c>
      <c r="D1451" s="133" t="str">
        <f>IFERROR(__xludf.DUMMYFUNCTION("""COMPUTED_VALUE"""),"Женский свитер с совой")</f>
        <v>Женский свитер с совой</v>
      </c>
      <c r="E1451" s="133" t="str">
        <f>IFERROR(__xludf.DUMMYFUNCTION("""COMPUTED_VALUE"""),"XXS")</f>
        <v>XXS</v>
      </c>
      <c r="F1451" s="133" t="str">
        <f>IFERROR(__xludf.DUMMYFUNCTION("""COMPUTED_VALUE"""),"10012XXS")</f>
        <v>10012XXS</v>
      </c>
      <c r="G1451" s="165">
        <f>IFERROR(__xludf.DUMMYFUNCTION("""COMPUTED_VALUE"""),1167.0)</f>
        <v>1167</v>
      </c>
    </row>
    <row r="1452" ht="15.75" customHeight="1">
      <c r="A1452" s="133">
        <f>IFERROR(__xludf.DUMMYFUNCTION("""COMPUTED_VALUE"""),10012.0)</f>
        <v>10012</v>
      </c>
      <c r="B1452" s="164">
        <f>IFERROR(__xludf.DUMMYFUNCTION("""COMPUTED_VALUE"""),5286910.0)</f>
        <v>5286910</v>
      </c>
      <c r="C1452" s="164" t="str">
        <f>IFERROR(__xludf.DUMMYFUNCTION("""COMPUTED_VALUE"""),"5286910XS")</f>
        <v>5286910XS</v>
      </c>
      <c r="D1452" s="133" t="str">
        <f>IFERROR(__xludf.DUMMYFUNCTION("""COMPUTED_VALUE"""),"Женский свитер с совой")</f>
        <v>Женский свитер с совой</v>
      </c>
      <c r="E1452" s="133" t="str">
        <f>IFERROR(__xludf.DUMMYFUNCTION("""COMPUTED_VALUE"""),"XS")</f>
        <v>XS</v>
      </c>
      <c r="F1452" s="133" t="str">
        <f>IFERROR(__xludf.DUMMYFUNCTION("""COMPUTED_VALUE"""),"10012XS")</f>
        <v>10012XS</v>
      </c>
      <c r="G1452" s="165">
        <f>IFERROR(__xludf.DUMMYFUNCTION("""COMPUTED_VALUE"""),1167.0)</f>
        <v>1167</v>
      </c>
    </row>
    <row r="1453" ht="15.75" customHeight="1">
      <c r="A1453" s="133">
        <f>IFERROR(__xludf.DUMMYFUNCTION("""COMPUTED_VALUE"""),10012.0)</f>
        <v>10012</v>
      </c>
      <c r="B1453" s="164">
        <f>IFERROR(__xludf.DUMMYFUNCTION("""COMPUTED_VALUE"""),5286910.0)</f>
        <v>5286910</v>
      </c>
      <c r="C1453" s="164" t="str">
        <f>IFERROR(__xludf.DUMMYFUNCTION("""COMPUTED_VALUE"""),"5286910S")</f>
        <v>5286910S</v>
      </c>
      <c r="D1453" s="133" t="str">
        <f>IFERROR(__xludf.DUMMYFUNCTION("""COMPUTED_VALUE"""),"Женский свитер с совой")</f>
        <v>Женский свитер с совой</v>
      </c>
      <c r="E1453" s="133" t="str">
        <f>IFERROR(__xludf.DUMMYFUNCTION("""COMPUTED_VALUE"""),"S")</f>
        <v>S</v>
      </c>
      <c r="F1453" s="133" t="str">
        <f>IFERROR(__xludf.DUMMYFUNCTION("""COMPUTED_VALUE"""),"10012S")</f>
        <v>10012S</v>
      </c>
      <c r="G1453" s="165">
        <f>IFERROR(__xludf.DUMMYFUNCTION("""COMPUTED_VALUE"""),1167.0)</f>
        <v>1167</v>
      </c>
    </row>
    <row r="1454" ht="15.75" customHeight="1">
      <c r="A1454" s="133">
        <f>IFERROR(__xludf.DUMMYFUNCTION("""COMPUTED_VALUE"""),10012.0)</f>
        <v>10012</v>
      </c>
      <c r="B1454" s="164">
        <f>IFERROR(__xludf.DUMMYFUNCTION("""COMPUTED_VALUE"""),5286910.0)</f>
        <v>5286910</v>
      </c>
      <c r="C1454" s="164" t="str">
        <f>IFERROR(__xludf.DUMMYFUNCTION("""COMPUTED_VALUE"""),"5286910M")</f>
        <v>5286910M</v>
      </c>
      <c r="D1454" s="133" t="str">
        <f>IFERROR(__xludf.DUMMYFUNCTION("""COMPUTED_VALUE"""),"Женский свитер с совой")</f>
        <v>Женский свитер с совой</v>
      </c>
      <c r="E1454" s="133" t="str">
        <f>IFERROR(__xludf.DUMMYFUNCTION("""COMPUTED_VALUE"""),"M")</f>
        <v>M</v>
      </c>
      <c r="F1454" s="133" t="str">
        <f>IFERROR(__xludf.DUMMYFUNCTION("""COMPUTED_VALUE"""),"10012M")</f>
        <v>10012M</v>
      </c>
      <c r="G1454" s="165">
        <f>IFERROR(__xludf.DUMMYFUNCTION("""COMPUTED_VALUE"""),1167.0)</f>
        <v>1167</v>
      </c>
    </row>
    <row r="1455" ht="15.75" customHeight="1">
      <c r="A1455" s="133">
        <f>IFERROR(__xludf.DUMMYFUNCTION("""COMPUTED_VALUE"""),10012.0)</f>
        <v>10012</v>
      </c>
      <c r="B1455" s="164">
        <f>IFERROR(__xludf.DUMMYFUNCTION("""COMPUTED_VALUE"""),5286910.0)</f>
        <v>5286910</v>
      </c>
      <c r="C1455" s="164" t="str">
        <f>IFERROR(__xludf.DUMMYFUNCTION("""COMPUTED_VALUE"""),"5286910L")</f>
        <v>5286910L</v>
      </c>
      <c r="D1455" s="133" t="str">
        <f>IFERROR(__xludf.DUMMYFUNCTION("""COMPUTED_VALUE"""),"Женский свитер с совой")</f>
        <v>Женский свитер с совой</v>
      </c>
      <c r="E1455" s="133" t="str">
        <f>IFERROR(__xludf.DUMMYFUNCTION("""COMPUTED_VALUE"""),"L")</f>
        <v>L</v>
      </c>
      <c r="F1455" s="133" t="str">
        <f>IFERROR(__xludf.DUMMYFUNCTION("""COMPUTED_VALUE"""),"10012L")</f>
        <v>10012L</v>
      </c>
      <c r="G1455" s="165">
        <f>IFERROR(__xludf.DUMMYFUNCTION("""COMPUTED_VALUE"""),1167.0)</f>
        <v>1167</v>
      </c>
    </row>
    <row r="1456" ht="15.75" customHeight="1">
      <c r="A1456" s="133">
        <f>IFERROR(__xludf.DUMMYFUNCTION("""COMPUTED_VALUE"""),10012.0)</f>
        <v>10012</v>
      </c>
      <c r="B1456" s="164">
        <f>IFERROR(__xludf.DUMMYFUNCTION("""COMPUTED_VALUE"""),5286910.0)</f>
        <v>5286910</v>
      </c>
      <c r="C1456" s="164" t="str">
        <f>IFERROR(__xludf.DUMMYFUNCTION("""COMPUTED_VALUE"""),"5286910XL")</f>
        <v>5286910XL</v>
      </c>
      <c r="D1456" s="133" t="str">
        <f>IFERROR(__xludf.DUMMYFUNCTION("""COMPUTED_VALUE"""),"Женский свитер с совой")</f>
        <v>Женский свитер с совой</v>
      </c>
      <c r="E1456" s="133" t="str">
        <f>IFERROR(__xludf.DUMMYFUNCTION("""COMPUTED_VALUE"""),"XL")</f>
        <v>XL</v>
      </c>
      <c r="F1456" s="133" t="str">
        <f>IFERROR(__xludf.DUMMYFUNCTION("""COMPUTED_VALUE"""),"10012XL")</f>
        <v>10012XL</v>
      </c>
      <c r="G1456" s="165">
        <f>IFERROR(__xludf.DUMMYFUNCTION("""COMPUTED_VALUE"""),1167.0)</f>
        <v>1167</v>
      </c>
    </row>
    <row r="1457" ht="15.75" customHeight="1">
      <c r="A1457" s="133">
        <f>IFERROR(__xludf.DUMMYFUNCTION("""COMPUTED_VALUE"""),10013.0)</f>
        <v>10013</v>
      </c>
      <c r="B1457" s="164">
        <f>IFERROR(__xludf.DUMMYFUNCTION("""COMPUTED_VALUE"""),5286911.0)</f>
        <v>5286911</v>
      </c>
      <c r="C1457" s="164" t="str">
        <f>IFERROR(__xludf.DUMMYFUNCTION("""COMPUTED_VALUE"""),"5286911XXS")</f>
        <v>5286911XXS</v>
      </c>
      <c r="D1457" s="133" t="str">
        <f>IFERROR(__xludf.DUMMYFUNCTION("""COMPUTED_VALUE"""),"Женский свитер с лисой")</f>
        <v>Женский свитер с лисой</v>
      </c>
      <c r="E1457" s="133" t="str">
        <f>IFERROR(__xludf.DUMMYFUNCTION("""COMPUTED_VALUE"""),"XXS")</f>
        <v>XXS</v>
      </c>
      <c r="F1457" s="133" t="str">
        <f>IFERROR(__xludf.DUMMYFUNCTION("""COMPUTED_VALUE"""),"10013XXS")</f>
        <v>10013XXS</v>
      </c>
      <c r="G1457" s="165">
        <f>IFERROR(__xludf.DUMMYFUNCTION("""COMPUTED_VALUE"""),1167.0)</f>
        <v>1167</v>
      </c>
    </row>
    <row r="1458" ht="15.75" customHeight="1">
      <c r="A1458" s="133">
        <f>IFERROR(__xludf.DUMMYFUNCTION("""COMPUTED_VALUE"""),10013.0)</f>
        <v>10013</v>
      </c>
      <c r="B1458" s="164">
        <f>IFERROR(__xludf.DUMMYFUNCTION("""COMPUTED_VALUE"""),5286911.0)</f>
        <v>5286911</v>
      </c>
      <c r="C1458" s="164" t="str">
        <f>IFERROR(__xludf.DUMMYFUNCTION("""COMPUTED_VALUE"""),"5286911XS")</f>
        <v>5286911XS</v>
      </c>
      <c r="D1458" s="133" t="str">
        <f>IFERROR(__xludf.DUMMYFUNCTION("""COMPUTED_VALUE"""),"Женский свитер с лисой")</f>
        <v>Женский свитер с лисой</v>
      </c>
      <c r="E1458" s="133" t="str">
        <f>IFERROR(__xludf.DUMMYFUNCTION("""COMPUTED_VALUE"""),"XS")</f>
        <v>XS</v>
      </c>
      <c r="F1458" s="133" t="str">
        <f>IFERROR(__xludf.DUMMYFUNCTION("""COMPUTED_VALUE"""),"10013XS")</f>
        <v>10013XS</v>
      </c>
      <c r="G1458" s="165">
        <f>IFERROR(__xludf.DUMMYFUNCTION("""COMPUTED_VALUE"""),1167.0)</f>
        <v>1167</v>
      </c>
    </row>
    <row r="1459" ht="15.75" customHeight="1">
      <c r="A1459" s="133">
        <f>IFERROR(__xludf.DUMMYFUNCTION("""COMPUTED_VALUE"""),10013.0)</f>
        <v>10013</v>
      </c>
      <c r="B1459" s="164">
        <f>IFERROR(__xludf.DUMMYFUNCTION("""COMPUTED_VALUE"""),5286911.0)</f>
        <v>5286911</v>
      </c>
      <c r="C1459" s="164" t="str">
        <f>IFERROR(__xludf.DUMMYFUNCTION("""COMPUTED_VALUE"""),"5286911S")</f>
        <v>5286911S</v>
      </c>
      <c r="D1459" s="133" t="str">
        <f>IFERROR(__xludf.DUMMYFUNCTION("""COMPUTED_VALUE"""),"Женский свитер с лисой")</f>
        <v>Женский свитер с лисой</v>
      </c>
      <c r="E1459" s="133" t="str">
        <f>IFERROR(__xludf.DUMMYFUNCTION("""COMPUTED_VALUE"""),"S")</f>
        <v>S</v>
      </c>
      <c r="F1459" s="133" t="str">
        <f>IFERROR(__xludf.DUMMYFUNCTION("""COMPUTED_VALUE"""),"10013S")</f>
        <v>10013S</v>
      </c>
      <c r="G1459" s="165">
        <f>IFERROR(__xludf.DUMMYFUNCTION("""COMPUTED_VALUE"""),1167.0)</f>
        <v>1167</v>
      </c>
    </row>
    <row r="1460" ht="15.75" customHeight="1">
      <c r="A1460" s="133">
        <f>IFERROR(__xludf.DUMMYFUNCTION("""COMPUTED_VALUE"""),10013.0)</f>
        <v>10013</v>
      </c>
      <c r="B1460" s="164">
        <f>IFERROR(__xludf.DUMMYFUNCTION("""COMPUTED_VALUE"""),5286911.0)</f>
        <v>5286911</v>
      </c>
      <c r="C1460" s="164" t="str">
        <f>IFERROR(__xludf.DUMMYFUNCTION("""COMPUTED_VALUE"""),"5286911M")</f>
        <v>5286911M</v>
      </c>
      <c r="D1460" s="133" t="str">
        <f>IFERROR(__xludf.DUMMYFUNCTION("""COMPUTED_VALUE"""),"Женский свитер с лисой")</f>
        <v>Женский свитер с лисой</v>
      </c>
      <c r="E1460" s="133" t="str">
        <f>IFERROR(__xludf.DUMMYFUNCTION("""COMPUTED_VALUE"""),"M")</f>
        <v>M</v>
      </c>
      <c r="F1460" s="133" t="str">
        <f>IFERROR(__xludf.DUMMYFUNCTION("""COMPUTED_VALUE"""),"10013M")</f>
        <v>10013M</v>
      </c>
      <c r="G1460" s="165">
        <f>IFERROR(__xludf.DUMMYFUNCTION("""COMPUTED_VALUE"""),1167.0)</f>
        <v>1167</v>
      </c>
    </row>
    <row r="1461" ht="15.75" customHeight="1">
      <c r="A1461" s="133">
        <f>IFERROR(__xludf.DUMMYFUNCTION("""COMPUTED_VALUE"""),10013.0)</f>
        <v>10013</v>
      </c>
      <c r="B1461" s="164">
        <f>IFERROR(__xludf.DUMMYFUNCTION("""COMPUTED_VALUE"""),5286911.0)</f>
        <v>5286911</v>
      </c>
      <c r="C1461" s="164" t="str">
        <f>IFERROR(__xludf.DUMMYFUNCTION("""COMPUTED_VALUE"""),"5286911L")</f>
        <v>5286911L</v>
      </c>
      <c r="D1461" s="133" t="str">
        <f>IFERROR(__xludf.DUMMYFUNCTION("""COMPUTED_VALUE"""),"Женский свитер с лисой")</f>
        <v>Женский свитер с лисой</v>
      </c>
      <c r="E1461" s="133" t="str">
        <f>IFERROR(__xludf.DUMMYFUNCTION("""COMPUTED_VALUE"""),"L")</f>
        <v>L</v>
      </c>
      <c r="F1461" s="133" t="str">
        <f>IFERROR(__xludf.DUMMYFUNCTION("""COMPUTED_VALUE"""),"10013L")</f>
        <v>10013L</v>
      </c>
      <c r="G1461" s="165">
        <f>IFERROR(__xludf.DUMMYFUNCTION("""COMPUTED_VALUE"""),1167.0)</f>
        <v>1167</v>
      </c>
    </row>
    <row r="1462" ht="15.75" customHeight="1">
      <c r="A1462" s="133">
        <f>IFERROR(__xludf.DUMMYFUNCTION("""COMPUTED_VALUE"""),10013.0)</f>
        <v>10013</v>
      </c>
      <c r="B1462" s="164">
        <f>IFERROR(__xludf.DUMMYFUNCTION("""COMPUTED_VALUE"""),5286911.0)</f>
        <v>5286911</v>
      </c>
      <c r="C1462" s="164" t="str">
        <f>IFERROR(__xludf.DUMMYFUNCTION("""COMPUTED_VALUE"""),"5286911XL")</f>
        <v>5286911XL</v>
      </c>
      <c r="D1462" s="133" t="str">
        <f>IFERROR(__xludf.DUMMYFUNCTION("""COMPUTED_VALUE"""),"Женский свитер с лисой")</f>
        <v>Женский свитер с лисой</v>
      </c>
      <c r="E1462" s="133" t="str">
        <f>IFERROR(__xludf.DUMMYFUNCTION("""COMPUTED_VALUE"""),"XL")</f>
        <v>XL</v>
      </c>
      <c r="F1462" s="133" t="str">
        <f>IFERROR(__xludf.DUMMYFUNCTION("""COMPUTED_VALUE"""),"10013XL")</f>
        <v>10013XL</v>
      </c>
      <c r="G1462" s="165">
        <f>IFERROR(__xludf.DUMMYFUNCTION("""COMPUTED_VALUE"""),1167.0)</f>
        <v>1167</v>
      </c>
    </row>
    <row r="1463" ht="15.75" customHeight="1">
      <c r="A1463" s="133">
        <f>IFERROR(__xludf.DUMMYFUNCTION("""COMPUTED_VALUE"""),10016.0)</f>
        <v>10016</v>
      </c>
      <c r="B1463" s="164">
        <f>IFERROR(__xludf.DUMMYFUNCTION("""COMPUTED_VALUE"""),5286914.0)</f>
        <v>5286914</v>
      </c>
      <c r="C1463" s="164" t="str">
        <f>IFERROR(__xludf.DUMMYFUNCTION("""COMPUTED_VALUE"""),"5286914XXS")</f>
        <v>5286914XXS</v>
      </c>
      <c r="D1463" s="133" t="str">
        <f>IFERROR(__xludf.DUMMYFUNCTION("""COMPUTED_VALUE"""),"Женский свитер с оленями")</f>
        <v>Женский свитер с оленями</v>
      </c>
      <c r="E1463" s="133" t="str">
        <f>IFERROR(__xludf.DUMMYFUNCTION("""COMPUTED_VALUE"""),"XXS")</f>
        <v>XXS</v>
      </c>
      <c r="F1463" s="133" t="str">
        <f>IFERROR(__xludf.DUMMYFUNCTION("""COMPUTED_VALUE"""),"10016XXS")</f>
        <v>10016XXS</v>
      </c>
      <c r="G1463" s="165">
        <f>IFERROR(__xludf.DUMMYFUNCTION("""COMPUTED_VALUE"""),1167.0)</f>
        <v>1167</v>
      </c>
    </row>
    <row r="1464" ht="15.75" customHeight="1">
      <c r="A1464" s="133">
        <f>IFERROR(__xludf.DUMMYFUNCTION("""COMPUTED_VALUE"""),10016.0)</f>
        <v>10016</v>
      </c>
      <c r="B1464" s="164">
        <f>IFERROR(__xludf.DUMMYFUNCTION("""COMPUTED_VALUE"""),5286914.0)</f>
        <v>5286914</v>
      </c>
      <c r="C1464" s="164" t="str">
        <f>IFERROR(__xludf.DUMMYFUNCTION("""COMPUTED_VALUE"""),"5286914XS")</f>
        <v>5286914XS</v>
      </c>
      <c r="D1464" s="133" t="str">
        <f>IFERROR(__xludf.DUMMYFUNCTION("""COMPUTED_VALUE"""),"Женский свитер с оленями")</f>
        <v>Женский свитер с оленями</v>
      </c>
      <c r="E1464" s="133" t="str">
        <f>IFERROR(__xludf.DUMMYFUNCTION("""COMPUTED_VALUE"""),"XS")</f>
        <v>XS</v>
      </c>
      <c r="F1464" s="133" t="str">
        <f>IFERROR(__xludf.DUMMYFUNCTION("""COMPUTED_VALUE"""),"10016XS")</f>
        <v>10016XS</v>
      </c>
      <c r="G1464" s="165">
        <f>IFERROR(__xludf.DUMMYFUNCTION("""COMPUTED_VALUE"""),1167.0)</f>
        <v>1167</v>
      </c>
    </row>
    <row r="1465" ht="15.75" customHeight="1">
      <c r="A1465" s="133">
        <f>IFERROR(__xludf.DUMMYFUNCTION("""COMPUTED_VALUE"""),10016.0)</f>
        <v>10016</v>
      </c>
      <c r="B1465" s="164">
        <f>IFERROR(__xludf.DUMMYFUNCTION("""COMPUTED_VALUE"""),5286914.0)</f>
        <v>5286914</v>
      </c>
      <c r="C1465" s="164" t="str">
        <f>IFERROR(__xludf.DUMMYFUNCTION("""COMPUTED_VALUE"""),"5286914S")</f>
        <v>5286914S</v>
      </c>
      <c r="D1465" s="133" t="str">
        <f>IFERROR(__xludf.DUMMYFUNCTION("""COMPUTED_VALUE"""),"Женский свитер с оленями")</f>
        <v>Женский свитер с оленями</v>
      </c>
      <c r="E1465" s="133" t="str">
        <f>IFERROR(__xludf.DUMMYFUNCTION("""COMPUTED_VALUE"""),"S")</f>
        <v>S</v>
      </c>
      <c r="F1465" s="133" t="str">
        <f>IFERROR(__xludf.DUMMYFUNCTION("""COMPUTED_VALUE"""),"10016S")</f>
        <v>10016S</v>
      </c>
      <c r="G1465" s="165">
        <f>IFERROR(__xludf.DUMMYFUNCTION("""COMPUTED_VALUE"""),1167.0)</f>
        <v>1167</v>
      </c>
    </row>
    <row r="1466" ht="15.75" customHeight="1">
      <c r="A1466" s="133">
        <f>IFERROR(__xludf.DUMMYFUNCTION("""COMPUTED_VALUE"""),10016.0)</f>
        <v>10016</v>
      </c>
      <c r="B1466" s="164">
        <f>IFERROR(__xludf.DUMMYFUNCTION("""COMPUTED_VALUE"""),5286914.0)</f>
        <v>5286914</v>
      </c>
      <c r="C1466" s="164" t="str">
        <f>IFERROR(__xludf.DUMMYFUNCTION("""COMPUTED_VALUE"""),"5286914M")</f>
        <v>5286914M</v>
      </c>
      <c r="D1466" s="133" t="str">
        <f>IFERROR(__xludf.DUMMYFUNCTION("""COMPUTED_VALUE"""),"Женский свитер с оленями")</f>
        <v>Женский свитер с оленями</v>
      </c>
      <c r="E1466" s="133" t="str">
        <f>IFERROR(__xludf.DUMMYFUNCTION("""COMPUTED_VALUE"""),"M")</f>
        <v>M</v>
      </c>
      <c r="F1466" s="133" t="str">
        <f>IFERROR(__xludf.DUMMYFUNCTION("""COMPUTED_VALUE"""),"10016M")</f>
        <v>10016M</v>
      </c>
      <c r="G1466" s="165">
        <f>IFERROR(__xludf.DUMMYFUNCTION("""COMPUTED_VALUE"""),1167.0)</f>
        <v>1167</v>
      </c>
    </row>
    <row r="1467" ht="15.75" customHeight="1">
      <c r="A1467" s="133">
        <f>IFERROR(__xludf.DUMMYFUNCTION("""COMPUTED_VALUE"""),10016.0)</f>
        <v>10016</v>
      </c>
      <c r="B1467" s="164">
        <f>IFERROR(__xludf.DUMMYFUNCTION("""COMPUTED_VALUE"""),5286914.0)</f>
        <v>5286914</v>
      </c>
      <c r="C1467" s="164" t="str">
        <f>IFERROR(__xludf.DUMMYFUNCTION("""COMPUTED_VALUE"""),"5286914L")</f>
        <v>5286914L</v>
      </c>
      <c r="D1467" s="133" t="str">
        <f>IFERROR(__xludf.DUMMYFUNCTION("""COMPUTED_VALUE"""),"Женский свитер с оленями")</f>
        <v>Женский свитер с оленями</v>
      </c>
      <c r="E1467" s="133" t="str">
        <f>IFERROR(__xludf.DUMMYFUNCTION("""COMPUTED_VALUE"""),"L")</f>
        <v>L</v>
      </c>
      <c r="F1467" s="133" t="str">
        <f>IFERROR(__xludf.DUMMYFUNCTION("""COMPUTED_VALUE"""),"10016L")</f>
        <v>10016L</v>
      </c>
      <c r="G1467" s="165">
        <f>IFERROR(__xludf.DUMMYFUNCTION("""COMPUTED_VALUE"""),1167.0)</f>
        <v>1167</v>
      </c>
    </row>
    <row r="1468" ht="15.75" customHeight="1">
      <c r="A1468" s="133">
        <f>IFERROR(__xludf.DUMMYFUNCTION("""COMPUTED_VALUE"""),10016.0)</f>
        <v>10016</v>
      </c>
      <c r="B1468" s="164">
        <f>IFERROR(__xludf.DUMMYFUNCTION("""COMPUTED_VALUE"""),5286914.0)</f>
        <v>5286914</v>
      </c>
      <c r="C1468" s="164" t="str">
        <f>IFERROR(__xludf.DUMMYFUNCTION("""COMPUTED_VALUE"""),"5286914XL")</f>
        <v>5286914XL</v>
      </c>
      <c r="D1468" s="133" t="str">
        <f>IFERROR(__xludf.DUMMYFUNCTION("""COMPUTED_VALUE"""),"Женский свитер с оленями")</f>
        <v>Женский свитер с оленями</v>
      </c>
      <c r="E1468" s="133" t="str">
        <f>IFERROR(__xludf.DUMMYFUNCTION("""COMPUTED_VALUE"""),"XL")</f>
        <v>XL</v>
      </c>
      <c r="F1468" s="133" t="str">
        <f>IFERROR(__xludf.DUMMYFUNCTION("""COMPUTED_VALUE"""),"10016XL")</f>
        <v>10016XL</v>
      </c>
      <c r="G1468" s="165">
        <f>IFERROR(__xludf.DUMMYFUNCTION("""COMPUTED_VALUE"""),1167.0)</f>
        <v>1167</v>
      </c>
    </row>
    <row r="1469" ht="15.75" customHeight="1">
      <c r="A1469" s="133">
        <f>IFERROR(__xludf.DUMMYFUNCTION("""COMPUTED_VALUE"""),10020.0)</f>
        <v>10020</v>
      </c>
      <c r="B1469" s="164">
        <f>IFERROR(__xludf.DUMMYFUNCTION("""COMPUTED_VALUE"""),5286918.0)</f>
        <v>5286918</v>
      </c>
      <c r="C1469" s="164" t="str">
        <f>IFERROR(__xludf.DUMMYFUNCTION("""COMPUTED_VALUE"""),"5286918XXS")</f>
        <v>5286918XXS</v>
      </c>
      <c r="D1469" s="133" t="str">
        <f>IFERROR(__xludf.DUMMYFUNCTION("""COMPUTED_VALUE"""),"Женский свитер со снегирем")</f>
        <v>Женский свитер со снегирем</v>
      </c>
      <c r="E1469" s="133" t="str">
        <f>IFERROR(__xludf.DUMMYFUNCTION("""COMPUTED_VALUE"""),"XXS")</f>
        <v>XXS</v>
      </c>
      <c r="F1469" s="133" t="str">
        <f>IFERROR(__xludf.DUMMYFUNCTION("""COMPUTED_VALUE"""),"10020XXS")</f>
        <v>10020XXS</v>
      </c>
      <c r="G1469" s="165">
        <f>IFERROR(__xludf.DUMMYFUNCTION("""COMPUTED_VALUE"""),1167.0)</f>
        <v>1167</v>
      </c>
    </row>
    <row r="1470" ht="15.75" customHeight="1">
      <c r="A1470" s="133">
        <f>IFERROR(__xludf.DUMMYFUNCTION("""COMPUTED_VALUE"""),10020.0)</f>
        <v>10020</v>
      </c>
      <c r="B1470" s="164">
        <f>IFERROR(__xludf.DUMMYFUNCTION("""COMPUTED_VALUE"""),5286918.0)</f>
        <v>5286918</v>
      </c>
      <c r="C1470" s="164" t="str">
        <f>IFERROR(__xludf.DUMMYFUNCTION("""COMPUTED_VALUE"""),"5286918XS")</f>
        <v>5286918XS</v>
      </c>
      <c r="D1470" s="133" t="str">
        <f>IFERROR(__xludf.DUMMYFUNCTION("""COMPUTED_VALUE"""),"Женский свитер со снегирем")</f>
        <v>Женский свитер со снегирем</v>
      </c>
      <c r="E1470" s="133" t="str">
        <f>IFERROR(__xludf.DUMMYFUNCTION("""COMPUTED_VALUE"""),"XS")</f>
        <v>XS</v>
      </c>
      <c r="F1470" s="133" t="str">
        <f>IFERROR(__xludf.DUMMYFUNCTION("""COMPUTED_VALUE"""),"10020XS")</f>
        <v>10020XS</v>
      </c>
      <c r="G1470" s="165">
        <f>IFERROR(__xludf.DUMMYFUNCTION("""COMPUTED_VALUE"""),1167.0)</f>
        <v>1167</v>
      </c>
    </row>
    <row r="1471" ht="15.75" customHeight="1">
      <c r="A1471" s="133">
        <f>IFERROR(__xludf.DUMMYFUNCTION("""COMPUTED_VALUE"""),10020.0)</f>
        <v>10020</v>
      </c>
      <c r="B1471" s="164">
        <f>IFERROR(__xludf.DUMMYFUNCTION("""COMPUTED_VALUE"""),5286918.0)</f>
        <v>5286918</v>
      </c>
      <c r="C1471" s="164" t="str">
        <f>IFERROR(__xludf.DUMMYFUNCTION("""COMPUTED_VALUE"""),"5286918S")</f>
        <v>5286918S</v>
      </c>
      <c r="D1471" s="133" t="str">
        <f>IFERROR(__xludf.DUMMYFUNCTION("""COMPUTED_VALUE"""),"Женский свитер со снегирем")</f>
        <v>Женский свитер со снегирем</v>
      </c>
      <c r="E1471" s="133" t="str">
        <f>IFERROR(__xludf.DUMMYFUNCTION("""COMPUTED_VALUE"""),"S")</f>
        <v>S</v>
      </c>
      <c r="F1471" s="133" t="str">
        <f>IFERROR(__xludf.DUMMYFUNCTION("""COMPUTED_VALUE"""),"10020S")</f>
        <v>10020S</v>
      </c>
      <c r="G1471" s="165">
        <f>IFERROR(__xludf.DUMMYFUNCTION("""COMPUTED_VALUE"""),1167.0)</f>
        <v>1167</v>
      </c>
    </row>
    <row r="1472" ht="15.75" customHeight="1">
      <c r="A1472" s="133">
        <f>IFERROR(__xludf.DUMMYFUNCTION("""COMPUTED_VALUE"""),10020.0)</f>
        <v>10020</v>
      </c>
      <c r="B1472" s="164">
        <f>IFERROR(__xludf.DUMMYFUNCTION("""COMPUTED_VALUE"""),5286918.0)</f>
        <v>5286918</v>
      </c>
      <c r="C1472" s="164" t="str">
        <f>IFERROR(__xludf.DUMMYFUNCTION("""COMPUTED_VALUE"""),"5286918M")</f>
        <v>5286918M</v>
      </c>
      <c r="D1472" s="133" t="str">
        <f>IFERROR(__xludf.DUMMYFUNCTION("""COMPUTED_VALUE"""),"Женский свитер со снегирем")</f>
        <v>Женский свитер со снегирем</v>
      </c>
      <c r="E1472" s="133" t="str">
        <f>IFERROR(__xludf.DUMMYFUNCTION("""COMPUTED_VALUE"""),"M")</f>
        <v>M</v>
      </c>
      <c r="F1472" s="133" t="str">
        <f>IFERROR(__xludf.DUMMYFUNCTION("""COMPUTED_VALUE"""),"10020M")</f>
        <v>10020M</v>
      </c>
      <c r="G1472" s="165">
        <f>IFERROR(__xludf.DUMMYFUNCTION("""COMPUTED_VALUE"""),1167.0)</f>
        <v>1167</v>
      </c>
    </row>
    <row r="1473" ht="15.75" customHeight="1">
      <c r="A1473" s="133">
        <f>IFERROR(__xludf.DUMMYFUNCTION("""COMPUTED_VALUE"""),10020.0)</f>
        <v>10020</v>
      </c>
      <c r="B1473" s="164">
        <f>IFERROR(__xludf.DUMMYFUNCTION("""COMPUTED_VALUE"""),5286918.0)</f>
        <v>5286918</v>
      </c>
      <c r="C1473" s="164" t="str">
        <f>IFERROR(__xludf.DUMMYFUNCTION("""COMPUTED_VALUE"""),"5286918L")</f>
        <v>5286918L</v>
      </c>
      <c r="D1473" s="133" t="str">
        <f>IFERROR(__xludf.DUMMYFUNCTION("""COMPUTED_VALUE"""),"Женский свитер со снегирем")</f>
        <v>Женский свитер со снегирем</v>
      </c>
      <c r="E1473" s="133" t="str">
        <f>IFERROR(__xludf.DUMMYFUNCTION("""COMPUTED_VALUE"""),"L")</f>
        <v>L</v>
      </c>
      <c r="F1473" s="133" t="str">
        <f>IFERROR(__xludf.DUMMYFUNCTION("""COMPUTED_VALUE"""),"10020L")</f>
        <v>10020L</v>
      </c>
      <c r="G1473" s="165">
        <f>IFERROR(__xludf.DUMMYFUNCTION("""COMPUTED_VALUE"""),1167.0)</f>
        <v>1167</v>
      </c>
    </row>
    <row r="1474" ht="15.75" customHeight="1">
      <c r="A1474" s="133">
        <f>IFERROR(__xludf.DUMMYFUNCTION("""COMPUTED_VALUE"""),10020.0)</f>
        <v>10020</v>
      </c>
      <c r="B1474" s="164">
        <f>IFERROR(__xludf.DUMMYFUNCTION("""COMPUTED_VALUE"""),5286918.0)</f>
        <v>5286918</v>
      </c>
      <c r="C1474" s="164" t="str">
        <f>IFERROR(__xludf.DUMMYFUNCTION("""COMPUTED_VALUE"""),"5286918XL")</f>
        <v>5286918XL</v>
      </c>
      <c r="D1474" s="133" t="str">
        <f>IFERROR(__xludf.DUMMYFUNCTION("""COMPUTED_VALUE"""),"Женский свитер со снегирем")</f>
        <v>Женский свитер со снегирем</v>
      </c>
      <c r="E1474" s="133" t="str">
        <f>IFERROR(__xludf.DUMMYFUNCTION("""COMPUTED_VALUE"""),"XL")</f>
        <v>XL</v>
      </c>
      <c r="F1474" s="133" t="str">
        <f>IFERROR(__xludf.DUMMYFUNCTION("""COMPUTED_VALUE"""),"10020XL")</f>
        <v>10020XL</v>
      </c>
      <c r="G1474" s="165">
        <f>IFERROR(__xludf.DUMMYFUNCTION("""COMPUTED_VALUE"""),1167.0)</f>
        <v>1167</v>
      </c>
    </row>
    <row r="1475" ht="15.75" customHeight="1">
      <c r="A1475" s="133">
        <f>IFERROR(__xludf.DUMMYFUNCTION("""COMPUTED_VALUE"""),10021.0)</f>
        <v>10021</v>
      </c>
      <c r="B1475" s="164">
        <f>IFERROR(__xludf.DUMMYFUNCTION("""COMPUTED_VALUE"""),5286919.0)</f>
        <v>5286919</v>
      </c>
      <c r="C1475" s="164" t="str">
        <f>IFERROR(__xludf.DUMMYFUNCTION("""COMPUTED_VALUE"""),"5286919XXS")</f>
        <v>5286919XXS</v>
      </c>
      <c r="D1475" s="133" t="str">
        <f>IFERROR(__xludf.DUMMYFUNCTION("""COMPUTED_VALUE"""),"Женский свитер со снегирем")</f>
        <v>Женский свитер со снегирем</v>
      </c>
      <c r="E1475" s="133" t="str">
        <f>IFERROR(__xludf.DUMMYFUNCTION("""COMPUTED_VALUE"""),"XXS")</f>
        <v>XXS</v>
      </c>
      <c r="F1475" s="133" t="str">
        <f>IFERROR(__xludf.DUMMYFUNCTION("""COMPUTED_VALUE"""),"10021XXS")</f>
        <v>10021XXS</v>
      </c>
      <c r="G1475" s="165">
        <f>IFERROR(__xludf.DUMMYFUNCTION("""COMPUTED_VALUE"""),1167.0)</f>
        <v>1167</v>
      </c>
    </row>
    <row r="1476" ht="15.75" customHeight="1">
      <c r="A1476" s="133">
        <f>IFERROR(__xludf.DUMMYFUNCTION("""COMPUTED_VALUE"""),10021.0)</f>
        <v>10021</v>
      </c>
      <c r="B1476" s="164">
        <f>IFERROR(__xludf.DUMMYFUNCTION("""COMPUTED_VALUE"""),5286919.0)</f>
        <v>5286919</v>
      </c>
      <c r="C1476" s="164" t="str">
        <f>IFERROR(__xludf.DUMMYFUNCTION("""COMPUTED_VALUE"""),"5286919XS")</f>
        <v>5286919XS</v>
      </c>
      <c r="D1476" s="133" t="str">
        <f>IFERROR(__xludf.DUMMYFUNCTION("""COMPUTED_VALUE"""),"Женский свитер со снегирем")</f>
        <v>Женский свитер со снегирем</v>
      </c>
      <c r="E1476" s="133" t="str">
        <f>IFERROR(__xludf.DUMMYFUNCTION("""COMPUTED_VALUE"""),"XS")</f>
        <v>XS</v>
      </c>
      <c r="F1476" s="133" t="str">
        <f>IFERROR(__xludf.DUMMYFUNCTION("""COMPUTED_VALUE"""),"10021XS")</f>
        <v>10021XS</v>
      </c>
      <c r="G1476" s="165">
        <f>IFERROR(__xludf.DUMMYFUNCTION("""COMPUTED_VALUE"""),1167.0)</f>
        <v>1167</v>
      </c>
    </row>
    <row r="1477" ht="15.75" customHeight="1">
      <c r="A1477" s="133">
        <f>IFERROR(__xludf.DUMMYFUNCTION("""COMPUTED_VALUE"""),10021.0)</f>
        <v>10021</v>
      </c>
      <c r="B1477" s="164">
        <f>IFERROR(__xludf.DUMMYFUNCTION("""COMPUTED_VALUE"""),5286919.0)</f>
        <v>5286919</v>
      </c>
      <c r="C1477" s="164" t="str">
        <f>IFERROR(__xludf.DUMMYFUNCTION("""COMPUTED_VALUE"""),"5286919S")</f>
        <v>5286919S</v>
      </c>
      <c r="D1477" s="133" t="str">
        <f>IFERROR(__xludf.DUMMYFUNCTION("""COMPUTED_VALUE"""),"Женский свитер со снегирем")</f>
        <v>Женский свитер со снегирем</v>
      </c>
      <c r="E1477" s="133" t="str">
        <f>IFERROR(__xludf.DUMMYFUNCTION("""COMPUTED_VALUE"""),"S")</f>
        <v>S</v>
      </c>
      <c r="F1477" s="133" t="str">
        <f>IFERROR(__xludf.DUMMYFUNCTION("""COMPUTED_VALUE"""),"10021S")</f>
        <v>10021S</v>
      </c>
      <c r="G1477" s="165">
        <f>IFERROR(__xludf.DUMMYFUNCTION("""COMPUTED_VALUE"""),1167.0)</f>
        <v>1167</v>
      </c>
    </row>
    <row r="1478" ht="15.75" customHeight="1">
      <c r="A1478" s="133">
        <f>IFERROR(__xludf.DUMMYFUNCTION("""COMPUTED_VALUE"""),10021.0)</f>
        <v>10021</v>
      </c>
      <c r="B1478" s="164">
        <f>IFERROR(__xludf.DUMMYFUNCTION("""COMPUTED_VALUE"""),5286919.0)</f>
        <v>5286919</v>
      </c>
      <c r="C1478" s="164" t="str">
        <f>IFERROR(__xludf.DUMMYFUNCTION("""COMPUTED_VALUE"""),"5286919M")</f>
        <v>5286919M</v>
      </c>
      <c r="D1478" s="133" t="str">
        <f>IFERROR(__xludf.DUMMYFUNCTION("""COMPUTED_VALUE"""),"Женский свитер со снегирем")</f>
        <v>Женский свитер со снегирем</v>
      </c>
      <c r="E1478" s="133" t="str">
        <f>IFERROR(__xludf.DUMMYFUNCTION("""COMPUTED_VALUE"""),"M")</f>
        <v>M</v>
      </c>
      <c r="F1478" s="133" t="str">
        <f>IFERROR(__xludf.DUMMYFUNCTION("""COMPUTED_VALUE"""),"10021M")</f>
        <v>10021M</v>
      </c>
      <c r="G1478" s="165">
        <f>IFERROR(__xludf.DUMMYFUNCTION("""COMPUTED_VALUE"""),1167.0)</f>
        <v>1167</v>
      </c>
    </row>
    <row r="1479" ht="15.75" customHeight="1">
      <c r="A1479" s="133">
        <f>IFERROR(__xludf.DUMMYFUNCTION("""COMPUTED_VALUE"""),10021.0)</f>
        <v>10021</v>
      </c>
      <c r="B1479" s="164">
        <f>IFERROR(__xludf.DUMMYFUNCTION("""COMPUTED_VALUE"""),5286919.0)</f>
        <v>5286919</v>
      </c>
      <c r="C1479" s="164" t="str">
        <f>IFERROR(__xludf.DUMMYFUNCTION("""COMPUTED_VALUE"""),"5286919L")</f>
        <v>5286919L</v>
      </c>
      <c r="D1479" s="133" t="str">
        <f>IFERROR(__xludf.DUMMYFUNCTION("""COMPUTED_VALUE"""),"Женский свитер со снегирем")</f>
        <v>Женский свитер со снегирем</v>
      </c>
      <c r="E1479" s="133" t="str">
        <f>IFERROR(__xludf.DUMMYFUNCTION("""COMPUTED_VALUE"""),"L")</f>
        <v>L</v>
      </c>
      <c r="F1479" s="133" t="str">
        <f>IFERROR(__xludf.DUMMYFUNCTION("""COMPUTED_VALUE"""),"10021L")</f>
        <v>10021L</v>
      </c>
      <c r="G1479" s="165">
        <f>IFERROR(__xludf.DUMMYFUNCTION("""COMPUTED_VALUE"""),1167.0)</f>
        <v>1167</v>
      </c>
    </row>
    <row r="1480" ht="15.75" customHeight="1">
      <c r="A1480" s="133">
        <f>IFERROR(__xludf.DUMMYFUNCTION("""COMPUTED_VALUE"""),10021.0)</f>
        <v>10021</v>
      </c>
      <c r="B1480" s="164">
        <f>IFERROR(__xludf.DUMMYFUNCTION("""COMPUTED_VALUE"""),5286919.0)</f>
        <v>5286919</v>
      </c>
      <c r="C1480" s="164" t="str">
        <f>IFERROR(__xludf.DUMMYFUNCTION("""COMPUTED_VALUE"""),"5286919XL")</f>
        <v>5286919XL</v>
      </c>
      <c r="D1480" s="133" t="str">
        <f>IFERROR(__xludf.DUMMYFUNCTION("""COMPUTED_VALUE"""),"Женский свитер со снегирем")</f>
        <v>Женский свитер со снегирем</v>
      </c>
      <c r="E1480" s="133" t="str">
        <f>IFERROR(__xludf.DUMMYFUNCTION("""COMPUTED_VALUE"""),"XL")</f>
        <v>XL</v>
      </c>
      <c r="F1480" s="133" t="str">
        <f>IFERROR(__xludf.DUMMYFUNCTION("""COMPUTED_VALUE"""),"10021XL")</f>
        <v>10021XL</v>
      </c>
      <c r="G1480" s="165">
        <f>IFERROR(__xludf.DUMMYFUNCTION("""COMPUTED_VALUE"""),1167.0)</f>
        <v>1167</v>
      </c>
    </row>
    <row r="1481" ht="15.75" customHeight="1">
      <c r="A1481" s="133">
        <f>IFERROR(__xludf.DUMMYFUNCTION("""COMPUTED_VALUE"""),10022.0)</f>
        <v>10022</v>
      </c>
      <c r="B1481" s="164">
        <f>IFERROR(__xludf.DUMMYFUNCTION("""COMPUTED_VALUE"""),5286920.0)</f>
        <v>5286920</v>
      </c>
      <c r="C1481" s="164" t="str">
        <f>IFERROR(__xludf.DUMMYFUNCTION("""COMPUTED_VALUE"""),"5286920XXS")</f>
        <v>5286920XXS</v>
      </c>
      <c r="D1481" s="133" t="str">
        <f>IFERROR(__xludf.DUMMYFUNCTION("""COMPUTED_VALUE"""),"Женский свитер с ежом")</f>
        <v>Женский свитер с ежом</v>
      </c>
      <c r="E1481" s="133" t="str">
        <f>IFERROR(__xludf.DUMMYFUNCTION("""COMPUTED_VALUE"""),"XXS")</f>
        <v>XXS</v>
      </c>
      <c r="F1481" s="133" t="str">
        <f>IFERROR(__xludf.DUMMYFUNCTION("""COMPUTED_VALUE"""),"10022XXS")</f>
        <v>10022XXS</v>
      </c>
      <c r="G1481" s="165">
        <f>IFERROR(__xludf.DUMMYFUNCTION("""COMPUTED_VALUE"""),1167.0)</f>
        <v>1167</v>
      </c>
    </row>
    <row r="1482" ht="15.75" customHeight="1">
      <c r="A1482" s="133">
        <f>IFERROR(__xludf.DUMMYFUNCTION("""COMPUTED_VALUE"""),10022.0)</f>
        <v>10022</v>
      </c>
      <c r="B1482" s="164">
        <f>IFERROR(__xludf.DUMMYFUNCTION("""COMPUTED_VALUE"""),5286920.0)</f>
        <v>5286920</v>
      </c>
      <c r="C1482" s="164" t="str">
        <f>IFERROR(__xludf.DUMMYFUNCTION("""COMPUTED_VALUE"""),"5286920XS")</f>
        <v>5286920XS</v>
      </c>
      <c r="D1482" s="133" t="str">
        <f>IFERROR(__xludf.DUMMYFUNCTION("""COMPUTED_VALUE"""),"Женский свитер с ежом")</f>
        <v>Женский свитер с ежом</v>
      </c>
      <c r="E1482" s="133" t="str">
        <f>IFERROR(__xludf.DUMMYFUNCTION("""COMPUTED_VALUE"""),"XS")</f>
        <v>XS</v>
      </c>
      <c r="F1482" s="133" t="str">
        <f>IFERROR(__xludf.DUMMYFUNCTION("""COMPUTED_VALUE"""),"10022XS")</f>
        <v>10022XS</v>
      </c>
      <c r="G1482" s="165">
        <f>IFERROR(__xludf.DUMMYFUNCTION("""COMPUTED_VALUE"""),1167.0)</f>
        <v>1167</v>
      </c>
    </row>
    <row r="1483" ht="15.75" customHeight="1">
      <c r="A1483" s="133">
        <f>IFERROR(__xludf.DUMMYFUNCTION("""COMPUTED_VALUE"""),10022.0)</f>
        <v>10022</v>
      </c>
      <c r="B1483" s="164">
        <f>IFERROR(__xludf.DUMMYFUNCTION("""COMPUTED_VALUE"""),5286920.0)</f>
        <v>5286920</v>
      </c>
      <c r="C1483" s="164" t="str">
        <f>IFERROR(__xludf.DUMMYFUNCTION("""COMPUTED_VALUE"""),"5286920S")</f>
        <v>5286920S</v>
      </c>
      <c r="D1483" s="133" t="str">
        <f>IFERROR(__xludf.DUMMYFUNCTION("""COMPUTED_VALUE"""),"Женский свитер с ежом")</f>
        <v>Женский свитер с ежом</v>
      </c>
      <c r="E1483" s="133" t="str">
        <f>IFERROR(__xludf.DUMMYFUNCTION("""COMPUTED_VALUE"""),"S")</f>
        <v>S</v>
      </c>
      <c r="F1483" s="133" t="str">
        <f>IFERROR(__xludf.DUMMYFUNCTION("""COMPUTED_VALUE"""),"10022S")</f>
        <v>10022S</v>
      </c>
      <c r="G1483" s="165">
        <f>IFERROR(__xludf.DUMMYFUNCTION("""COMPUTED_VALUE"""),1167.0)</f>
        <v>1167</v>
      </c>
    </row>
    <row r="1484" ht="15.75" customHeight="1">
      <c r="A1484" s="133">
        <f>IFERROR(__xludf.DUMMYFUNCTION("""COMPUTED_VALUE"""),10022.0)</f>
        <v>10022</v>
      </c>
      <c r="B1484" s="164">
        <f>IFERROR(__xludf.DUMMYFUNCTION("""COMPUTED_VALUE"""),5286920.0)</f>
        <v>5286920</v>
      </c>
      <c r="C1484" s="164" t="str">
        <f>IFERROR(__xludf.DUMMYFUNCTION("""COMPUTED_VALUE"""),"5286920M")</f>
        <v>5286920M</v>
      </c>
      <c r="D1484" s="133" t="str">
        <f>IFERROR(__xludf.DUMMYFUNCTION("""COMPUTED_VALUE"""),"Женский свитер с ежом")</f>
        <v>Женский свитер с ежом</v>
      </c>
      <c r="E1484" s="133" t="str">
        <f>IFERROR(__xludf.DUMMYFUNCTION("""COMPUTED_VALUE"""),"M")</f>
        <v>M</v>
      </c>
      <c r="F1484" s="133" t="str">
        <f>IFERROR(__xludf.DUMMYFUNCTION("""COMPUTED_VALUE"""),"10022M")</f>
        <v>10022M</v>
      </c>
      <c r="G1484" s="165">
        <f>IFERROR(__xludf.DUMMYFUNCTION("""COMPUTED_VALUE"""),1167.0)</f>
        <v>1167</v>
      </c>
    </row>
    <row r="1485" ht="15.75" customHeight="1">
      <c r="A1485" s="133">
        <f>IFERROR(__xludf.DUMMYFUNCTION("""COMPUTED_VALUE"""),10022.0)</f>
        <v>10022</v>
      </c>
      <c r="B1485" s="164">
        <f>IFERROR(__xludf.DUMMYFUNCTION("""COMPUTED_VALUE"""),5286920.0)</f>
        <v>5286920</v>
      </c>
      <c r="C1485" s="164" t="str">
        <f>IFERROR(__xludf.DUMMYFUNCTION("""COMPUTED_VALUE"""),"5286920L")</f>
        <v>5286920L</v>
      </c>
      <c r="D1485" s="133" t="str">
        <f>IFERROR(__xludf.DUMMYFUNCTION("""COMPUTED_VALUE"""),"Женский свитер с ежом")</f>
        <v>Женский свитер с ежом</v>
      </c>
      <c r="E1485" s="133" t="str">
        <f>IFERROR(__xludf.DUMMYFUNCTION("""COMPUTED_VALUE"""),"L")</f>
        <v>L</v>
      </c>
      <c r="F1485" s="133" t="str">
        <f>IFERROR(__xludf.DUMMYFUNCTION("""COMPUTED_VALUE"""),"10022L")</f>
        <v>10022L</v>
      </c>
      <c r="G1485" s="165">
        <f>IFERROR(__xludf.DUMMYFUNCTION("""COMPUTED_VALUE"""),1167.0)</f>
        <v>1167</v>
      </c>
    </row>
    <row r="1486" ht="15.75" customHeight="1">
      <c r="A1486" s="133">
        <f>IFERROR(__xludf.DUMMYFUNCTION("""COMPUTED_VALUE"""),10022.0)</f>
        <v>10022</v>
      </c>
      <c r="B1486" s="164">
        <f>IFERROR(__xludf.DUMMYFUNCTION("""COMPUTED_VALUE"""),5286920.0)</f>
        <v>5286920</v>
      </c>
      <c r="C1486" s="164" t="str">
        <f>IFERROR(__xludf.DUMMYFUNCTION("""COMPUTED_VALUE"""),"5286920XL")</f>
        <v>5286920XL</v>
      </c>
      <c r="D1486" s="133" t="str">
        <f>IFERROR(__xludf.DUMMYFUNCTION("""COMPUTED_VALUE"""),"Женский свитер с ежом")</f>
        <v>Женский свитер с ежом</v>
      </c>
      <c r="E1486" s="133" t="str">
        <f>IFERROR(__xludf.DUMMYFUNCTION("""COMPUTED_VALUE"""),"XL")</f>
        <v>XL</v>
      </c>
      <c r="F1486" s="133" t="str">
        <f>IFERROR(__xludf.DUMMYFUNCTION("""COMPUTED_VALUE"""),"10022XL")</f>
        <v>10022XL</v>
      </c>
      <c r="G1486" s="165">
        <f>IFERROR(__xludf.DUMMYFUNCTION("""COMPUTED_VALUE"""),1167.0)</f>
        <v>1167</v>
      </c>
    </row>
    <row r="1487" ht="15.75" customHeight="1">
      <c r="A1487" s="133">
        <f>IFERROR(__xludf.DUMMYFUNCTION("""COMPUTED_VALUE"""),10023.0)</f>
        <v>10023</v>
      </c>
      <c r="B1487" s="164">
        <f>IFERROR(__xludf.DUMMYFUNCTION("""COMPUTED_VALUE"""),5286921.0)</f>
        <v>5286921</v>
      </c>
      <c r="C1487" s="164" t="str">
        <f>IFERROR(__xludf.DUMMYFUNCTION("""COMPUTED_VALUE"""),"5286921XXS")</f>
        <v>5286921XXS</v>
      </c>
      <c r="D1487" s="133" t="str">
        <f>IFERROR(__xludf.DUMMYFUNCTION("""COMPUTED_VALUE"""),"Женский свитер с ежом")</f>
        <v>Женский свитер с ежом</v>
      </c>
      <c r="E1487" s="133" t="str">
        <f>IFERROR(__xludf.DUMMYFUNCTION("""COMPUTED_VALUE"""),"XXS")</f>
        <v>XXS</v>
      </c>
      <c r="F1487" s="133" t="str">
        <f>IFERROR(__xludf.DUMMYFUNCTION("""COMPUTED_VALUE"""),"10023XXS")</f>
        <v>10023XXS</v>
      </c>
      <c r="G1487" s="165">
        <f>IFERROR(__xludf.DUMMYFUNCTION("""COMPUTED_VALUE"""),1167.0)</f>
        <v>1167</v>
      </c>
    </row>
    <row r="1488" ht="15.75" customHeight="1">
      <c r="A1488" s="133">
        <f>IFERROR(__xludf.DUMMYFUNCTION("""COMPUTED_VALUE"""),10023.0)</f>
        <v>10023</v>
      </c>
      <c r="B1488" s="164">
        <f>IFERROR(__xludf.DUMMYFUNCTION("""COMPUTED_VALUE"""),5286921.0)</f>
        <v>5286921</v>
      </c>
      <c r="C1488" s="164" t="str">
        <f>IFERROR(__xludf.DUMMYFUNCTION("""COMPUTED_VALUE"""),"5286921XS")</f>
        <v>5286921XS</v>
      </c>
      <c r="D1488" s="133" t="str">
        <f>IFERROR(__xludf.DUMMYFUNCTION("""COMPUTED_VALUE"""),"Женский свитер с ежом")</f>
        <v>Женский свитер с ежом</v>
      </c>
      <c r="E1488" s="133" t="str">
        <f>IFERROR(__xludf.DUMMYFUNCTION("""COMPUTED_VALUE"""),"XS")</f>
        <v>XS</v>
      </c>
      <c r="F1488" s="133" t="str">
        <f>IFERROR(__xludf.DUMMYFUNCTION("""COMPUTED_VALUE"""),"10023XS")</f>
        <v>10023XS</v>
      </c>
      <c r="G1488" s="165">
        <f>IFERROR(__xludf.DUMMYFUNCTION("""COMPUTED_VALUE"""),1167.0)</f>
        <v>1167</v>
      </c>
    </row>
    <row r="1489" ht="15.75" customHeight="1">
      <c r="A1489" s="133">
        <f>IFERROR(__xludf.DUMMYFUNCTION("""COMPUTED_VALUE"""),10023.0)</f>
        <v>10023</v>
      </c>
      <c r="B1489" s="164">
        <f>IFERROR(__xludf.DUMMYFUNCTION("""COMPUTED_VALUE"""),5286921.0)</f>
        <v>5286921</v>
      </c>
      <c r="C1489" s="164" t="str">
        <f>IFERROR(__xludf.DUMMYFUNCTION("""COMPUTED_VALUE"""),"5286921S")</f>
        <v>5286921S</v>
      </c>
      <c r="D1489" s="133" t="str">
        <f>IFERROR(__xludf.DUMMYFUNCTION("""COMPUTED_VALUE"""),"Женский свитер с ежом")</f>
        <v>Женский свитер с ежом</v>
      </c>
      <c r="E1489" s="133" t="str">
        <f>IFERROR(__xludf.DUMMYFUNCTION("""COMPUTED_VALUE"""),"S")</f>
        <v>S</v>
      </c>
      <c r="F1489" s="133" t="str">
        <f>IFERROR(__xludf.DUMMYFUNCTION("""COMPUTED_VALUE"""),"10023S")</f>
        <v>10023S</v>
      </c>
      <c r="G1489" s="165">
        <f>IFERROR(__xludf.DUMMYFUNCTION("""COMPUTED_VALUE"""),1167.0)</f>
        <v>1167</v>
      </c>
    </row>
    <row r="1490" ht="15.75" customHeight="1">
      <c r="A1490" s="133">
        <f>IFERROR(__xludf.DUMMYFUNCTION("""COMPUTED_VALUE"""),10023.0)</f>
        <v>10023</v>
      </c>
      <c r="B1490" s="164">
        <f>IFERROR(__xludf.DUMMYFUNCTION("""COMPUTED_VALUE"""),5286921.0)</f>
        <v>5286921</v>
      </c>
      <c r="C1490" s="164" t="str">
        <f>IFERROR(__xludf.DUMMYFUNCTION("""COMPUTED_VALUE"""),"5286921M")</f>
        <v>5286921M</v>
      </c>
      <c r="D1490" s="133" t="str">
        <f>IFERROR(__xludf.DUMMYFUNCTION("""COMPUTED_VALUE"""),"Женский свитер с ежом")</f>
        <v>Женский свитер с ежом</v>
      </c>
      <c r="E1490" s="133" t="str">
        <f>IFERROR(__xludf.DUMMYFUNCTION("""COMPUTED_VALUE"""),"M")</f>
        <v>M</v>
      </c>
      <c r="F1490" s="133" t="str">
        <f>IFERROR(__xludf.DUMMYFUNCTION("""COMPUTED_VALUE"""),"10023M")</f>
        <v>10023M</v>
      </c>
      <c r="G1490" s="165">
        <f>IFERROR(__xludf.DUMMYFUNCTION("""COMPUTED_VALUE"""),1167.0)</f>
        <v>1167</v>
      </c>
    </row>
    <row r="1491" ht="15.75" customHeight="1">
      <c r="A1491" s="133">
        <f>IFERROR(__xludf.DUMMYFUNCTION("""COMPUTED_VALUE"""),10023.0)</f>
        <v>10023</v>
      </c>
      <c r="B1491" s="164">
        <f>IFERROR(__xludf.DUMMYFUNCTION("""COMPUTED_VALUE"""),5286921.0)</f>
        <v>5286921</v>
      </c>
      <c r="C1491" s="164" t="str">
        <f>IFERROR(__xludf.DUMMYFUNCTION("""COMPUTED_VALUE"""),"5286921L")</f>
        <v>5286921L</v>
      </c>
      <c r="D1491" s="133" t="str">
        <f>IFERROR(__xludf.DUMMYFUNCTION("""COMPUTED_VALUE"""),"Женский свитер с ежом")</f>
        <v>Женский свитер с ежом</v>
      </c>
      <c r="E1491" s="133" t="str">
        <f>IFERROR(__xludf.DUMMYFUNCTION("""COMPUTED_VALUE"""),"L")</f>
        <v>L</v>
      </c>
      <c r="F1491" s="133" t="str">
        <f>IFERROR(__xludf.DUMMYFUNCTION("""COMPUTED_VALUE"""),"10023L")</f>
        <v>10023L</v>
      </c>
      <c r="G1491" s="165">
        <f>IFERROR(__xludf.DUMMYFUNCTION("""COMPUTED_VALUE"""),1167.0)</f>
        <v>1167</v>
      </c>
    </row>
    <row r="1492" ht="15.75" customHeight="1">
      <c r="A1492" s="133">
        <f>IFERROR(__xludf.DUMMYFUNCTION("""COMPUTED_VALUE"""),10023.0)</f>
        <v>10023</v>
      </c>
      <c r="B1492" s="164">
        <f>IFERROR(__xludf.DUMMYFUNCTION("""COMPUTED_VALUE"""),5286921.0)</f>
        <v>5286921</v>
      </c>
      <c r="C1492" s="164" t="str">
        <f>IFERROR(__xludf.DUMMYFUNCTION("""COMPUTED_VALUE"""),"5286921XL")</f>
        <v>5286921XL</v>
      </c>
      <c r="D1492" s="133" t="str">
        <f>IFERROR(__xludf.DUMMYFUNCTION("""COMPUTED_VALUE"""),"Женский свитер с ежом")</f>
        <v>Женский свитер с ежом</v>
      </c>
      <c r="E1492" s="133" t="str">
        <f>IFERROR(__xludf.DUMMYFUNCTION("""COMPUTED_VALUE"""),"XL")</f>
        <v>XL</v>
      </c>
      <c r="F1492" s="133" t="str">
        <f>IFERROR(__xludf.DUMMYFUNCTION("""COMPUTED_VALUE"""),"10023XL")</f>
        <v>10023XL</v>
      </c>
      <c r="G1492" s="165">
        <f>IFERROR(__xludf.DUMMYFUNCTION("""COMPUTED_VALUE"""),1167.0)</f>
        <v>1167</v>
      </c>
    </row>
    <row r="1493" ht="15.75" customHeight="1">
      <c r="A1493" s="133">
        <f>IFERROR(__xludf.DUMMYFUNCTION("""COMPUTED_VALUE"""),10024.0)</f>
        <v>10024</v>
      </c>
      <c r="B1493" s="164">
        <f>IFERROR(__xludf.DUMMYFUNCTION("""COMPUTED_VALUE"""),5286922.0)</f>
        <v>5286922</v>
      </c>
      <c r="C1493" s="164" t="str">
        <f>IFERROR(__xludf.DUMMYFUNCTION("""COMPUTED_VALUE"""),"5286922XXS")</f>
        <v>5286922XXS</v>
      </c>
      <c r="D1493" s="133" t="str">
        <f>IFERROR(__xludf.DUMMYFUNCTION("""COMPUTED_VALUE"""),"Женский свитер с ежом")</f>
        <v>Женский свитер с ежом</v>
      </c>
      <c r="E1493" s="133" t="str">
        <f>IFERROR(__xludf.DUMMYFUNCTION("""COMPUTED_VALUE"""),"XXS")</f>
        <v>XXS</v>
      </c>
      <c r="F1493" s="133" t="str">
        <f>IFERROR(__xludf.DUMMYFUNCTION("""COMPUTED_VALUE"""),"10024XXS")</f>
        <v>10024XXS</v>
      </c>
      <c r="G1493" s="165">
        <f>IFERROR(__xludf.DUMMYFUNCTION("""COMPUTED_VALUE"""),1167.0)</f>
        <v>1167</v>
      </c>
    </row>
    <row r="1494" ht="15.75" customHeight="1">
      <c r="A1494" s="133">
        <f>IFERROR(__xludf.DUMMYFUNCTION("""COMPUTED_VALUE"""),10024.0)</f>
        <v>10024</v>
      </c>
      <c r="B1494" s="164">
        <f>IFERROR(__xludf.DUMMYFUNCTION("""COMPUTED_VALUE"""),5286922.0)</f>
        <v>5286922</v>
      </c>
      <c r="C1494" s="164" t="str">
        <f>IFERROR(__xludf.DUMMYFUNCTION("""COMPUTED_VALUE"""),"5286922XS")</f>
        <v>5286922XS</v>
      </c>
      <c r="D1494" s="133" t="str">
        <f>IFERROR(__xludf.DUMMYFUNCTION("""COMPUTED_VALUE"""),"Женский свитер с ежом")</f>
        <v>Женский свитер с ежом</v>
      </c>
      <c r="E1494" s="133" t="str">
        <f>IFERROR(__xludf.DUMMYFUNCTION("""COMPUTED_VALUE"""),"XS")</f>
        <v>XS</v>
      </c>
      <c r="F1494" s="133" t="str">
        <f>IFERROR(__xludf.DUMMYFUNCTION("""COMPUTED_VALUE"""),"10024XS")</f>
        <v>10024XS</v>
      </c>
      <c r="G1494" s="165">
        <f>IFERROR(__xludf.DUMMYFUNCTION("""COMPUTED_VALUE"""),1167.0)</f>
        <v>1167</v>
      </c>
    </row>
    <row r="1495" ht="15.75" customHeight="1">
      <c r="A1495" s="133">
        <f>IFERROR(__xludf.DUMMYFUNCTION("""COMPUTED_VALUE"""),10024.0)</f>
        <v>10024</v>
      </c>
      <c r="B1495" s="164">
        <f>IFERROR(__xludf.DUMMYFUNCTION("""COMPUTED_VALUE"""),5286922.0)</f>
        <v>5286922</v>
      </c>
      <c r="C1495" s="164" t="str">
        <f>IFERROR(__xludf.DUMMYFUNCTION("""COMPUTED_VALUE"""),"5286922S")</f>
        <v>5286922S</v>
      </c>
      <c r="D1495" s="133" t="str">
        <f>IFERROR(__xludf.DUMMYFUNCTION("""COMPUTED_VALUE"""),"Женский свитер с ежом")</f>
        <v>Женский свитер с ежом</v>
      </c>
      <c r="E1495" s="133" t="str">
        <f>IFERROR(__xludf.DUMMYFUNCTION("""COMPUTED_VALUE"""),"S")</f>
        <v>S</v>
      </c>
      <c r="F1495" s="133" t="str">
        <f>IFERROR(__xludf.DUMMYFUNCTION("""COMPUTED_VALUE"""),"10024S")</f>
        <v>10024S</v>
      </c>
      <c r="G1495" s="165">
        <f>IFERROR(__xludf.DUMMYFUNCTION("""COMPUTED_VALUE"""),1167.0)</f>
        <v>1167</v>
      </c>
    </row>
    <row r="1496" ht="15.75" customHeight="1">
      <c r="A1496" s="133">
        <f>IFERROR(__xludf.DUMMYFUNCTION("""COMPUTED_VALUE"""),10024.0)</f>
        <v>10024</v>
      </c>
      <c r="B1496" s="164">
        <f>IFERROR(__xludf.DUMMYFUNCTION("""COMPUTED_VALUE"""),5286922.0)</f>
        <v>5286922</v>
      </c>
      <c r="C1496" s="164" t="str">
        <f>IFERROR(__xludf.DUMMYFUNCTION("""COMPUTED_VALUE"""),"5286922M")</f>
        <v>5286922M</v>
      </c>
      <c r="D1496" s="133" t="str">
        <f>IFERROR(__xludf.DUMMYFUNCTION("""COMPUTED_VALUE"""),"Женский свитер с ежом")</f>
        <v>Женский свитер с ежом</v>
      </c>
      <c r="E1496" s="133" t="str">
        <f>IFERROR(__xludf.DUMMYFUNCTION("""COMPUTED_VALUE"""),"M")</f>
        <v>M</v>
      </c>
      <c r="F1496" s="133" t="str">
        <f>IFERROR(__xludf.DUMMYFUNCTION("""COMPUTED_VALUE"""),"10024M")</f>
        <v>10024M</v>
      </c>
      <c r="G1496" s="165">
        <f>IFERROR(__xludf.DUMMYFUNCTION("""COMPUTED_VALUE"""),1167.0)</f>
        <v>1167</v>
      </c>
    </row>
    <row r="1497" ht="15.75" customHeight="1">
      <c r="A1497" s="133">
        <f>IFERROR(__xludf.DUMMYFUNCTION("""COMPUTED_VALUE"""),10024.0)</f>
        <v>10024</v>
      </c>
      <c r="B1497" s="164">
        <f>IFERROR(__xludf.DUMMYFUNCTION("""COMPUTED_VALUE"""),5286922.0)</f>
        <v>5286922</v>
      </c>
      <c r="C1497" s="164" t="str">
        <f>IFERROR(__xludf.DUMMYFUNCTION("""COMPUTED_VALUE"""),"5286922L")</f>
        <v>5286922L</v>
      </c>
      <c r="D1497" s="133" t="str">
        <f>IFERROR(__xludf.DUMMYFUNCTION("""COMPUTED_VALUE"""),"Женский свитер с ежом")</f>
        <v>Женский свитер с ежом</v>
      </c>
      <c r="E1497" s="133" t="str">
        <f>IFERROR(__xludf.DUMMYFUNCTION("""COMPUTED_VALUE"""),"L")</f>
        <v>L</v>
      </c>
      <c r="F1497" s="133" t="str">
        <f>IFERROR(__xludf.DUMMYFUNCTION("""COMPUTED_VALUE"""),"10024L")</f>
        <v>10024L</v>
      </c>
      <c r="G1497" s="165">
        <f>IFERROR(__xludf.DUMMYFUNCTION("""COMPUTED_VALUE"""),1167.0)</f>
        <v>1167</v>
      </c>
    </row>
    <row r="1498" ht="15.75" customHeight="1">
      <c r="A1498" s="133">
        <f>IFERROR(__xludf.DUMMYFUNCTION("""COMPUTED_VALUE"""),10024.0)</f>
        <v>10024</v>
      </c>
      <c r="B1498" s="164">
        <f>IFERROR(__xludf.DUMMYFUNCTION("""COMPUTED_VALUE"""),5286922.0)</f>
        <v>5286922</v>
      </c>
      <c r="C1498" s="164" t="str">
        <f>IFERROR(__xludf.DUMMYFUNCTION("""COMPUTED_VALUE"""),"5286922XL")</f>
        <v>5286922XL</v>
      </c>
      <c r="D1498" s="133" t="str">
        <f>IFERROR(__xludf.DUMMYFUNCTION("""COMPUTED_VALUE"""),"Женский свитер с ежом")</f>
        <v>Женский свитер с ежом</v>
      </c>
      <c r="E1498" s="133" t="str">
        <f>IFERROR(__xludf.DUMMYFUNCTION("""COMPUTED_VALUE"""),"XL")</f>
        <v>XL</v>
      </c>
      <c r="F1498" s="133" t="str">
        <f>IFERROR(__xludf.DUMMYFUNCTION("""COMPUTED_VALUE"""),"10024XL")</f>
        <v>10024XL</v>
      </c>
      <c r="G1498" s="165">
        <f>IFERROR(__xludf.DUMMYFUNCTION("""COMPUTED_VALUE"""),1167.0)</f>
        <v>1167</v>
      </c>
    </row>
    <row r="1499" ht="15.75" customHeight="1">
      <c r="A1499" s="133">
        <f>IFERROR(__xludf.DUMMYFUNCTION("""COMPUTED_VALUE"""),10026.0)</f>
        <v>10026</v>
      </c>
      <c r="B1499" s="164">
        <f>IFERROR(__xludf.DUMMYFUNCTION("""COMPUTED_VALUE"""),5286924.0)</f>
        <v>5286924</v>
      </c>
      <c r="C1499" s="164" t="str">
        <f>IFERROR(__xludf.DUMMYFUNCTION("""COMPUTED_VALUE"""),"5286924XXS")</f>
        <v>5286924XXS</v>
      </c>
      <c r="D1499" s="133" t="str">
        <f>IFERROR(__xludf.DUMMYFUNCTION("""COMPUTED_VALUE"""),"Женский свитер с зайцами")</f>
        <v>Женский свитер с зайцами</v>
      </c>
      <c r="E1499" s="133" t="str">
        <f>IFERROR(__xludf.DUMMYFUNCTION("""COMPUTED_VALUE"""),"XXS")</f>
        <v>XXS</v>
      </c>
      <c r="F1499" s="133" t="str">
        <f>IFERROR(__xludf.DUMMYFUNCTION("""COMPUTED_VALUE"""),"10026XXS")</f>
        <v>10026XXS</v>
      </c>
      <c r="G1499" s="165">
        <f>IFERROR(__xludf.DUMMYFUNCTION("""COMPUTED_VALUE"""),1167.0)</f>
        <v>1167</v>
      </c>
    </row>
    <row r="1500" ht="15.75" customHeight="1">
      <c r="A1500" s="133">
        <f>IFERROR(__xludf.DUMMYFUNCTION("""COMPUTED_VALUE"""),10026.0)</f>
        <v>10026</v>
      </c>
      <c r="B1500" s="164">
        <f>IFERROR(__xludf.DUMMYFUNCTION("""COMPUTED_VALUE"""),5286924.0)</f>
        <v>5286924</v>
      </c>
      <c r="C1500" s="164" t="str">
        <f>IFERROR(__xludf.DUMMYFUNCTION("""COMPUTED_VALUE"""),"5286924XS")</f>
        <v>5286924XS</v>
      </c>
      <c r="D1500" s="133" t="str">
        <f>IFERROR(__xludf.DUMMYFUNCTION("""COMPUTED_VALUE"""),"Женский свитер с зайцами")</f>
        <v>Женский свитер с зайцами</v>
      </c>
      <c r="E1500" s="133" t="str">
        <f>IFERROR(__xludf.DUMMYFUNCTION("""COMPUTED_VALUE"""),"XS")</f>
        <v>XS</v>
      </c>
      <c r="F1500" s="133" t="str">
        <f>IFERROR(__xludf.DUMMYFUNCTION("""COMPUTED_VALUE"""),"10026XS")</f>
        <v>10026XS</v>
      </c>
      <c r="G1500" s="165">
        <f>IFERROR(__xludf.DUMMYFUNCTION("""COMPUTED_VALUE"""),1167.0)</f>
        <v>1167</v>
      </c>
    </row>
    <row r="1501" ht="15.75" customHeight="1">
      <c r="A1501" s="133">
        <f>IFERROR(__xludf.DUMMYFUNCTION("""COMPUTED_VALUE"""),10026.0)</f>
        <v>10026</v>
      </c>
      <c r="B1501" s="164">
        <f>IFERROR(__xludf.DUMMYFUNCTION("""COMPUTED_VALUE"""),5286924.0)</f>
        <v>5286924</v>
      </c>
      <c r="C1501" s="164" t="str">
        <f>IFERROR(__xludf.DUMMYFUNCTION("""COMPUTED_VALUE"""),"5286924S")</f>
        <v>5286924S</v>
      </c>
      <c r="D1501" s="133" t="str">
        <f>IFERROR(__xludf.DUMMYFUNCTION("""COMPUTED_VALUE"""),"Женский свитер с зайцами")</f>
        <v>Женский свитер с зайцами</v>
      </c>
      <c r="E1501" s="133" t="str">
        <f>IFERROR(__xludf.DUMMYFUNCTION("""COMPUTED_VALUE"""),"S")</f>
        <v>S</v>
      </c>
      <c r="F1501" s="133" t="str">
        <f>IFERROR(__xludf.DUMMYFUNCTION("""COMPUTED_VALUE"""),"10026S")</f>
        <v>10026S</v>
      </c>
      <c r="G1501" s="165">
        <f>IFERROR(__xludf.DUMMYFUNCTION("""COMPUTED_VALUE"""),1167.0)</f>
        <v>1167</v>
      </c>
    </row>
    <row r="1502" ht="15.75" customHeight="1">
      <c r="A1502" s="133">
        <f>IFERROR(__xludf.DUMMYFUNCTION("""COMPUTED_VALUE"""),10026.0)</f>
        <v>10026</v>
      </c>
      <c r="B1502" s="164">
        <f>IFERROR(__xludf.DUMMYFUNCTION("""COMPUTED_VALUE"""),5286924.0)</f>
        <v>5286924</v>
      </c>
      <c r="C1502" s="164" t="str">
        <f>IFERROR(__xludf.DUMMYFUNCTION("""COMPUTED_VALUE"""),"5286924M")</f>
        <v>5286924M</v>
      </c>
      <c r="D1502" s="133" t="str">
        <f>IFERROR(__xludf.DUMMYFUNCTION("""COMPUTED_VALUE"""),"Женский свитер с зайцами")</f>
        <v>Женский свитер с зайцами</v>
      </c>
      <c r="E1502" s="133" t="str">
        <f>IFERROR(__xludf.DUMMYFUNCTION("""COMPUTED_VALUE"""),"M")</f>
        <v>M</v>
      </c>
      <c r="F1502" s="133" t="str">
        <f>IFERROR(__xludf.DUMMYFUNCTION("""COMPUTED_VALUE"""),"10026M")</f>
        <v>10026M</v>
      </c>
      <c r="G1502" s="165">
        <f>IFERROR(__xludf.DUMMYFUNCTION("""COMPUTED_VALUE"""),1167.0)</f>
        <v>1167</v>
      </c>
    </row>
    <row r="1503" ht="15.75" customHeight="1">
      <c r="A1503" s="133">
        <f>IFERROR(__xludf.DUMMYFUNCTION("""COMPUTED_VALUE"""),10026.0)</f>
        <v>10026</v>
      </c>
      <c r="B1503" s="164">
        <f>IFERROR(__xludf.DUMMYFUNCTION("""COMPUTED_VALUE"""),5286924.0)</f>
        <v>5286924</v>
      </c>
      <c r="C1503" s="164" t="str">
        <f>IFERROR(__xludf.DUMMYFUNCTION("""COMPUTED_VALUE"""),"5286924L")</f>
        <v>5286924L</v>
      </c>
      <c r="D1503" s="133" t="str">
        <f>IFERROR(__xludf.DUMMYFUNCTION("""COMPUTED_VALUE"""),"Женский свитер с зайцами")</f>
        <v>Женский свитер с зайцами</v>
      </c>
      <c r="E1503" s="133" t="str">
        <f>IFERROR(__xludf.DUMMYFUNCTION("""COMPUTED_VALUE"""),"L")</f>
        <v>L</v>
      </c>
      <c r="F1503" s="133" t="str">
        <f>IFERROR(__xludf.DUMMYFUNCTION("""COMPUTED_VALUE"""),"10026L")</f>
        <v>10026L</v>
      </c>
      <c r="G1503" s="165">
        <f>IFERROR(__xludf.DUMMYFUNCTION("""COMPUTED_VALUE"""),1167.0)</f>
        <v>1167</v>
      </c>
    </row>
    <row r="1504" ht="15.75" customHeight="1">
      <c r="A1504" s="133">
        <f>IFERROR(__xludf.DUMMYFUNCTION("""COMPUTED_VALUE"""),10026.0)</f>
        <v>10026</v>
      </c>
      <c r="B1504" s="164">
        <f>IFERROR(__xludf.DUMMYFUNCTION("""COMPUTED_VALUE"""),5286924.0)</f>
        <v>5286924</v>
      </c>
      <c r="C1504" s="164" t="str">
        <f>IFERROR(__xludf.DUMMYFUNCTION("""COMPUTED_VALUE"""),"5286924XL")</f>
        <v>5286924XL</v>
      </c>
      <c r="D1504" s="133" t="str">
        <f>IFERROR(__xludf.DUMMYFUNCTION("""COMPUTED_VALUE"""),"Женский свитер с зайцами")</f>
        <v>Женский свитер с зайцами</v>
      </c>
      <c r="E1504" s="133" t="str">
        <f>IFERROR(__xludf.DUMMYFUNCTION("""COMPUTED_VALUE"""),"XL")</f>
        <v>XL</v>
      </c>
      <c r="F1504" s="133" t="str">
        <f>IFERROR(__xludf.DUMMYFUNCTION("""COMPUTED_VALUE"""),"10026XL")</f>
        <v>10026XL</v>
      </c>
      <c r="G1504" s="165">
        <f>IFERROR(__xludf.DUMMYFUNCTION("""COMPUTED_VALUE"""),1167.0)</f>
        <v>1167</v>
      </c>
    </row>
    <row r="1505" ht="15.75" customHeight="1">
      <c r="A1505" s="133">
        <f>IFERROR(__xludf.DUMMYFUNCTION("""COMPUTED_VALUE"""),10027.0)</f>
        <v>10027</v>
      </c>
      <c r="B1505" s="164">
        <f>IFERROR(__xludf.DUMMYFUNCTION("""COMPUTED_VALUE"""),5286925.0)</f>
        <v>5286925</v>
      </c>
      <c r="C1505" s="164" t="str">
        <f>IFERROR(__xludf.DUMMYFUNCTION("""COMPUTED_VALUE"""),"5286925XXS")</f>
        <v>5286925XXS</v>
      </c>
      <c r="D1505" s="133" t="str">
        <f>IFERROR(__xludf.DUMMYFUNCTION("""COMPUTED_VALUE"""),"Женский свитер с зайцами")</f>
        <v>Женский свитер с зайцами</v>
      </c>
      <c r="E1505" s="133" t="str">
        <f>IFERROR(__xludf.DUMMYFUNCTION("""COMPUTED_VALUE"""),"XXS")</f>
        <v>XXS</v>
      </c>
      <c r="F1505" s="133" t="str">
        <f>IFERROR(__xludf.DUMMYFUNCTION("""COMPUTED_VALUE"""),"10027XXS")</f>
        <v>10027XXS</v>
      </c>
      <c r="G1505" s="165">
        <f>IFERROR(__xludf.DUMMYFUNCTION("""COMPUTED_VALUE"""),1167.0)</f>
        <v>1167</v>
      </c>
    </row>
    <row r="1506" ht="15.75" customHeight="1">
      <c r="A1506" s="133">
        <f>IFERROR(__xludf.DUMMYFUNCTION("""COMPUTED_VALUE"""),10027.0)</f>
        <v>10027</v>
      </c>
      <c r="B1506" s="164">
        <f>IFERROR(__xludf.DUMMYFUNCTION("""COMPUTED_VALUE"""),5286925.0)</f>
        <v>5286925</v>
      </c>
      <c r="C1506" s="164" t="str">
        <f>IFERROR(__xludf.DUMMYFUNCTION("""COMPUTED_VALUE"""),"5286925XS")</f>
        <v>5286925XS</v>
      </c>
      <c r="D1506" s="133" t="str">
        <f>IFERROR(__xludf.DUMMYFUNCTION("""COMPUTED_VALUE"""),"Женский свитер с зайцами")</f>
        <v>Женский свитер с зайцами</v>
      </c>
      <c r="E1506" s="133" t="str">
        <f>IFERROR(__xludf.DUMMYFUNCTION("""COMPUTED_VALUE"""),"XS")</f>
        <v>XS</v>
      </c>
      <c r="F1506" s="133" t="str">
        <f>IFERROR(__xludf.DUMMYFUNCTION("""COMPUTED_VALUE"""),"10027XS")</f>
        <v>10027XS</v>
      </c>
      <c r="G1506" s="165">
        <f>IFERROR(__xludf.DUMMYFUNCTION("""COMPUTED_VALUE"""),1167.0)</f>
        <v>1167</v>
      </c>
    </row>
    <row r="1507" ht="15.75" customHeight="1">
      <c r="A1507" s="133">
        <f>IFERROR(__xludf.DUMMYFUNCTION("""COMPUTED_VALUE"""),10027.0)</f>
        <v>10027</v>
      </c>
      <c r="B1507" s="164">
        <f>IFERROR(__xludf.DUMMYFUNCTION("""COMPUTED_VALUE"""),5286925.0)</f>
        <v>5286925</v>
      </c>
      <c r="C1507" s="164" t="str">
        <f>IFERROR(__xludf.DUMMYFUNCTION("""COMPUTED_VALUE"""),"5286925S")</f>
        <v>5286925S</v>
      </c>
      <c r="D1507" s="133" t="str">
        <f>IFERROR(__xludf.DUMMYFUNCTION("""COMPUTED_VALUE"""),"Женский свитер с зайцами")</f>
        <v>Женский свитер с зайцами</v>
      </c>
      <c r="E1507" s="133" t="str">
        <f>IFERROR(__xludf.DUMMYFUNCTION("""COMPUTED_VALUE"""),"S")</f>
        <v>S</v>
      </c>
      <c r="F1507" s="133" t="str">
        <f>IFERROR(__xludf.DUMMYFUNCTION("""COMPUTED_VALUE"""),"10027S")</f>
        <v>10027S</v>
      </c>
      <c r="G1507" s="165">
        <f>IFERROR(__xludf.DUMMYFUNCTION("""COMPUTED_VALUE"""),1167.0)</f>
        <v>1167</v>
      </c>
    </row>
    <row r="1508" ht="15.75" customHeight="1">
      <c r="A1508" s="133">
        <f>IFERROR(__xludf.DUMMYFUNCTION("""COMPUTED_VALUE"""),10027.0)</f>
        <v>10027</v>
      </c>
      <c r="B1508" s="164">
        <f>IFERROR(__xludf.DUMMYFUNCTION("""COMPUTED_VALUE"""),5286925.0)</f>
        <v>5286925</v>
      </c>
      <c r="C1508" s="164" t="str">
        <f>IFERROR(__xludf.DUMMYFUNCTION("""COMPUTED_VALUE"""),"5286925M")</f>
        <v>5286925M</v>
      </c>
      <c r="D1508" s="133" t="str">
        <f>IFERROR(__xludf.DUMMYFUNCTION("""COMPUTED_VALUE"""),"Женский свитер с зайцами")</f>
        <v>Женский свитер с зайцами</v>
      </c>
      <c r="E1508" s="133" t="str">
        <f>IFERROR(__xludf.DUMMYFUNCTION("""COMPUTED_VALUE"""),"M")</f>
        <v>M</v>
      </c>
      <c r="F1508" s="133" t="str">
        <f>IFERROR(__xludf.DUMMYFUNCTION("""COMPUTED_VALUE"""),"10027M")</f>
        <v>10027M</v>
      </c>
      <c r="G1508" s="165">
        <f>IFERROR(__xludf.DUMMYFUNCTION("""COMPUTED_VALUE"""),1167.0)</f>
        <v>1167</v>
      </c>
    </row>
    <row r="1509" ht="15.75" customHeight="1">
      <c r="A1509" s="133">
        <f>IFERROR(__xludf.DUMMYFUNCTION("""COMPUTED_VALUE"""),10027.0)</f>
        <v>10027</v>
      </c>
      <c r="B1509" s="164">
        <f>IFERROR(__xludf.DUMMYFUNCTION("""COMPUTED_VALUE"""),5286925.0)</f>
        <v>5286925</v>
      </c>
      <c r="C1509" s="164" t="str">
        <f>IFERROR(__xludf.DUMMYFUNCTION("""COMPUTED_VALUE"""),"5286925L")</f>
        <v>5286925L</v>
      </c>
      <c r="D1509" s="133" t="str">
        <f>IFERROR(__xludf.DUMMYFUNCTION("""COMPUTED_VALUE"""),"Женский свитер с зайцами")</f>
        <v>Женский свитер с зайцами</v>
      </c>
      <c r="E1509" s="133" t="str">
        <f>IFERROR(__xludf.DUMMYFUNCTION("""COMPUTED_VALUE"""),"L")</f>
        <v>L</v>
      </c>
      <c r="F1509" s="133" t="str">
        <f>IFERROR(__xludf.DUMMYFUNCTION("""COMPUTED_VALUE"""),"10027L")</f>
        <v>10027L</v>
      </c>
      <c r="G1509" s="165">
        <f>IFERROR(__xludf.DUMMYFUNCTION("""COMPUTED_VALUE"""),1167.0)</f>
        <v>1167</v>
      </c>
    </row>
    <row r="1510" ht="15.75" customHeight="1">
      <c r="A1510" s="133">
        <f>IFERROR(__xludf.DUMMYFUNCTION("""COMPUTED_VALUE"""),10027.0)</f>
        <v>10027</v>
      </c>
      <c r="B1510" s="164">
        <f>IFERROR(__xludf.DUMMYFUNCTION("""COMPUTED_VALUE"""),5286925.0)</f>
        <v>5286925</v>
      </c>
      <c r="C1510" s="164" t="str">
        <f>IFERROR(__xludf.DUMMYFUNCTION("""COMPUTED_VALUE"""),"5286925XL")</f>
        <v>5286925XL</v>
      </c>
      <c r="D1510" s="133" t="str">
        <f>IFERROR(__xludf.DUMMYFUNCTION("""COMPUTED_VALUE"""),"Женский свитер с зайцами")</f>
        <v>Женский свитер с зайцами</v>
      </c>
      <c r="E1510" s="133" t="str">
        <f>IFERROR(__xludf.DUMMYFUNCTION("""COMPUTED_VALUE"""),"XL")</f>
        <v>XL</v>
      </c>
      <c r="F1510" s="133" t="str">
        <f>IFERROR(__xludf.DUMMYFUNCTION("""COMPUTED_VALUE"""),"10027XL")</f>
        <v>10027XL</v>
      </c>
      <c r="G1510" s="165">
        <f>IFERROR(__xludf.DUMMYFUNCTION("""COMPUTED_VALUE"""),1167.0)</f>
        <v>1167</v>
      </c>
    </row>
    <row r="1511" ht="15.75" customHeight="1">
      <c r="A1511" s="133">
        <f>IFERROR(__xludf.DUMMYFUNCTION("""COMPUTED_VALUE"""),10028.0)</f>
        <v>10028</v>
      </c>
      <c r="B1511" s="164">
        <f>IFERROR(__xludf.DUMMYFUNCTION("""COMPUTED_VALUE"""),5286926.0)</f>
        <v>5286926</v>
      </c>
      <c r="C1511" s="164" t="str">
        <f>IFERROR(__xludf.DUMMYFUNCTION("""COMPUTED_VALUE"""),"5286926XXS")</f>
        <v>5286926XXS</v>
      </c>
      <c r="D1511" s="133" t="str">
        <f>IFERROR(__xludf.DUMMYFUNCTION("""COMPUTED_VALUE"""),"Женский свитер с зайцами")</f>
        <v>Женский свитер с зайцами</v>
      </c>
      <c r="E1511" s="133" t="str">
        <f>IFERROR(__xludf.DUMMYFUNCTION("""COMPUTED_VALUE"""),"XXS")</f>
        <v>XXS</v>
      </c>
      <c r="F1511" s="133" t="str">
        <f>IFERROR(__xludf.DUMMYFUNCTION("""COMPUTED_VALUE"""),"10028XXS")</f>
        <v>10028XXS</v>
      </c>
      <c r="G1511" s="165">
        <f>IFERROR(__xludf.DUMMYFUNCTION("""COMPUTED_VALUE"""),1167.0)</f>
        <v>1167</v>
      </c>
    </row>
    <row r="1512" ht="15.75" customHeight="1">
      <c r="A1512" s="133">
        <f>IFERROR(__xludf.DUMMYFUNCTION("""COMPUTED_VALUE"""),10028.0)</f>
        <v>10028</v>
      </c>
      <c r="B1512" s="164">
        <f>IFERROR(__xludf.DUMMYFUNCTION("""COMPUTED_VALUE"""),5286926.0)</f>
        <v>5286926</v>
      </c>
      <c r="C1512" s="164" t="str">
        <f>IFERROR(__xludf.DUMMYFUNCTION("""COMPUTED_VALUE"""),"5286926XS")</f>
        <v>5286926XS</v>
      </c>
      <c r="D1512" s="133" t="str">
        <f>IFERROR(__xludf.DUMMYFUNCTION("""COMPUTED_VALUE"""),"Женский свитер с зайцами")</f>
        <v>Женский свитер с зайцами</v>
      </c>
      <c r="E1512" s="133" t="str">
        <f>IFERROR(__xludf.DUMMYFUNCTION("""COMPUTED_VALUE"""),"XS")</f>
        <v>XS</v>
      </c>
      <c r="F1512" s="133" t="str">
        <f>IFERROR(__xludf.DUMMYFUNCTION("""COMPUTED_VALUE"""),"10028XS")</f>
        <v>10028XS</v>
      </c>
      <c r="G1512" s="165">
        <f>IFERROR(__xludf.DUMMYFUNCTION("""COMPUTED_VALUE"""),1167.0)</f>
        <v>1167</v>
      </c>
    </row>
    <row r="1513" ht="15.75" customHeight="1">
      <c r="A1513" s="133">
        <f>IFERROR(__xludf.DUMMYFUNCTION("""COMPUTED_VALUE"""),10028.0)</f>
        <v>10028</v>
      </c>
      <c r="B1513" s="164">
        <f>IFERROR(__xludf.DUMMYFUNCTION("""COMPUTED_VALUE"""),5286926.0)</f>
        <v>5286926</v>
      </c>
      <c r="C1513" s="164" t="str">
        <f>IFERROR(__xludf.DUMMYFUNCTION("""COMPUTED_VALUE"""),"5286926S")</f>
        <v>5286926S</v>
      </c>
      <c r="D1513" s="133" t="str">
        <f>IFERROR(__xludf.DUMMYFUNCTION("""COMPUTED_VALUE"""),"Женский свитер с зайцами")</f>
        <v>Женский свитер с зайцами</v>
      </c>
      <c r="E1513" s="133" t="str">
        <f>IFERROR(__xludf.DUMMYFUNCTION("""COMPUTED_VALUE"""),"S")</f>
        <v>S</v>
      </c>
      <c r="F1513" s="133" t="str">
        <f>IFERROR(__xludf.DUMMYFUNCTION("""COMPUTED_VALUE"""),"10028S")</f>
        <v>10028S</v>
      </c>
      <c r="G1513" s="165">
        <f>IFERROR(__xludf.DUMMYFUNCTION("""COMPUTED_VALUE"""),1167.0)</f>
        <v>1167</v>
      </c>
    </row>
    <row r="1514" ht="15.75" customHeight="1">
      <c r="A1514" s="133">
        <f>IFERROR(__xludf.DUMMYFUNCTION("""COMPUTED_VALUE"""),10028.0)</f>
        <v>10028</v>
      </c>
      <c r="B1514" s="164">
        <f>IFERROR(__xludf.DUMMYFUNCTION("""COMPUTED_VALUE"""),5286926.0)</f>
        <v>5286926</v>
      </c>
      <c r="C1514" s="164" t="str">
        <f>IFERROR(__xludf.DUMMYFUNCTION("""COMPUTED_VALUE"""),"5286926M")</f>
        <v>5286926M</v>
      </c>
      <c r="D1514" s="133" t="str">
        <f>IFERROR(__xludf.DUMMYFUNCTION("""COMPUTED_VALUE"""),"Женский свитер с зайцами")</f>
        <v>Женский свитер с зайцами</v>
      </c>
      <c r="E1514" s="133" t="str">
        <f>IFERROR(__xludf.DUMMYFUNCTION("""COMPUTED_VALUE"""),"M")</f>
        <v>M</v>
      </c>
      <c r="F1514" s="133" t="str">
        <f>IFERROR(__xludf.DUMMYFUNCTION("""COMPUTED_VALUE"""),"10028M")</f>
        <v>10028M</v>
      </c>
      <c r="G1514" s="165">
        <f>IFERROR(__xludf.DUMMYFUNCTION("""COMPUTED_VALUE"""),1167.0)</f>
        <v>1167</v>
      </c>
    </row>
    <row r="1515" ht="15.75" customHeight="1">
      <c r="A1515" s="133">
        <f>IFERROR(__xludf.DUMMYFUNCTION("""COMPUTED_VALUE"""),10028.0)</f>
        <v>10028</v>
      </c>
      <c r="B1515" s="164">
        <f>IFERROR(__xludf.DUMMYFUNCTION("""COMPUTED_VALUE"""),5286926.0)</f>
        <v>5286926</v>
      </c>
      <c r="C1515" s="164" t="str">
        <f>IFERROR(__xludf.DUMMYFUNCTION("""COMPUTED_VALUE"""),"5286926L")</f>
        <v>5286926L</v>
      </c>
      <c r="D1515" s="133" t="str">
        <f>IFERROR(__xludf.DUMMYFUNCTION("""COMPUTED_VALUE"""),"Женский свитер с зайцами")</f>
        <v>Женский свитер с зайцами</v>
      </c>
      <c r="E1515" s="133" t="str">
        <f>IFERROR(__xludf.DUMMYFUNCTION("""COMPUTED_VALUE"""),"L")</f>
        <v>L</v>
      </c>
      <c r="F1515" s="133" t="str">
        <f>IFERROR(__xludf.DUMMYFUNCTION("""COMPUTED_VALUE"""),"10028L")</f>
        <v>10028L</v>
      </c>
      <c r="G1515" s="165">
        <f>IFERROR(__xludf.DUMMYFUNCTION("""COMPUTED_VALUE"""),1167.0)</f>
        <v>1167</v>
      </c>
    </row>
    <row r="1516" ht="15.75" customHeight="1">
      <c r="A1516" s="133">
        <f>IFERROR(__xludf.DUMMYFUNCTION("""COMPUTED_VALUE"""),10028.0)</f>
        <v>10028</v>
      </c>
      <c r="B1516" s="164">
        <f>IFERROR(__xludf.DUMMYFUNCTION("""COMPUTED_VALUE"""),5286926.0)</f>
        <v>5286926</v>
      </c>
      <c r="C1516" s="164" t="str">
        <f>IFERROR(__xludf.DUMMYFUNCTION("""COMPUTED_VALUE"""),"5286926XL")</f>
        <v>5286926XL</v>
      </c>
      <c r="D1516" s="133" t="str">
        <f>IFERROR(__xludf.DUMMYFUNCTION("""COMPUTED_VALUE"""),"Женский свитер с зайцами")</f>
        <v>Женский свитер с зайцами</v>
      </c>
      <c r="E1516" s="133" t="str">
        <f>IFERROR(__xludf.DUMMYFUNCTION("""COMPUTED_VALUE"""),"XL")</f>
        <v>XL</v>
      </c>
      <c r="F1516" s="133" t="str">
        <f>IFERROR(__xludf.DUMMYFUNCTION("""COMPUTED_VALUE"""),"10028XL")</f>
        <v>10028XL</v>
      </c>
      <c r="G1516" s="165">
        <f>IFERROR(__xludf.DUMMYFUNCTION("""COMPUTED_VALUE"""),1167.0)</f>
        <v>1167</v>
      </c>
    </row>
    <row r="1517" ht="15.75" customHeight="1">
      <c r="A1517" s="133">
        <f>IFERROR(__xludf.DUMMYFUNCTION("""COMPUTED_VALUE"""),10029.0)</f>
        <v>10029</v>
      </c>
      <c r="B1517" s="164">
        <f>IFERROR(__xludf.DUMMYFUNCTION("""COMPUTED_VALUE"""),5286927.0)</f>
        <v>5286927</v>
      </c>
      <c r="C1517" s="164" t="str">
        <f>IFERROR(__xludf.DUMMYFUNCTION("""COMPUTED_VALUE"""),"5286927XXS")</f>
        <v>5286927XXS</v>
      </c>
      <c r="D1517" s="133" t="str">
        <f>IFERROR(__xludf.DUMMYFUNCTION("""COMPUTED_VALUE"""),"Женский свитер с оленями")</f>
        <v>Женский свитер с оленями</v>
      </c>
      <c r="E1517" s="133" t="str">
        <f>IFERROR(__xludf.DUMMYFUNCTION("""COMPUTED_VALUE"""),"XXS")</f>
        <v>XXS</v>
      </c>
      <c r="F1517" s="133" t="str">
        <f>IFERROR(__xludf.DUMMYFUNCTION("""COMPUTED_VALUE"""),"10029XXS")</f>
        <v>10029XXS</v>
      </c>
      <c r="G1517" s="165">
        <f>IFERROR(__xludf.DUMMYFUNCTION("""COMPUTED_VALUE"""),1167.0)</f>
        <v>1167</v>
      </c>
    </row>
    <row r="1518" ht="15.75" customHeight="1">
      <c r="A1518" s="133">
        <f>IFERROR(__xludf.DUMMYFUNCTION("""COMPUTED_VALUE"""),10029.0)</f>
        <v>10029</v>
      </c>
      <c r="B1518" s="164">
        <f>IFERROR(__xludf.DUMMYFUNCTION("""COMPUTED_VALUE"""),5286927.0)</f>
        <v>5286927</v>
      </c>
      <c r="C1518" s="164" t="str">
        <f>IFERROR(__xludf.DUMMYFUNCTION("""COMPUTED_VALUE"""),"5286927XS")</f>
        <v>5286927XS</v>
      </c>
      <c r="D1518" s="133" t="str">
        <f>IFERROR(__xludf.DUMMYFUNCTION("""COMPUTED_VALUE"""),"Женский свитер с оленями")</f>
        <v>Женский свитер с оленями</v>
      </c>
      <c r="E1518" s="133" t="str">
        <f>IFERROR(__xludf.DUMMYFUNCTION("""COMPUTED_VALUE"""),"XS")</f>
        <v>XS</v>
      </c>
      <c r="F1518" s="133" t="str">
        <f>IFERROR(__xludf.DUMMYFUNCTION("""COMPUTED_VALUE"""),"10029XS")</f>
        <v>10029XS</v>
      </c>
      <c r="G1518" s="165">
        <f>IFERROR(__xludf.DUMMYFUNCTION("""COMPUTED_VALUE"""),1167.0)</f>
        <v>1167</v>
      </c>
    </row>
    <row r="1519" ht="15.75" customHeight="1">
      <c r="A1519" s="133">
        <f>IFERROR(__xludf.DUMMYFUNCTION("""COMPUTED_VALUE"""),10029.0)</f>
        <v>10029</v>
      </c>
      <c r="B1519" s="164">
        <f>IFERROR(__xludf.DUMMYFUNCTION("""COMPUTED_VALUE"""),5286927.0)</f>
        <v>5286927</v>
      </c>
      <c r="C1519" s="164" t="str">
        <f>IFERROR(__xludf.DUMMYFUNCTION("""COMPUTED_VALUE"""),"5286927S")</f>
        <v>5286927S</v>
      </c>
      <c r="D1519" s="133" t="str">
        <f>IFERROR(__xludf.DUMMYFUNCTION("""COMPUTED_VALUE"""),"Женский свитер с оленями")</f>
        <v>Женский свитер с оленями</v>
      </c>
      <c r="E1519" s="133" t="str">
        <f>IFERROR(__xludf.DUMMYFUNCTION("""COMPUTED_VALUE"""),"S")</f>
        <v>S</v>
      </c>
      <c r="F1519" s="133" t="str">
        <f>IFERROR(__xludf.DUMMYFUNCTION("""COMPUTED_VALUE"""),"10029S")</f>
        <v>10029S</v>
      </c>
      <c r="G1519" s="165">
        <f>IFERROR(__xludf.DUMMYFUNCTION("""COMPUTED_VALUE"""),1167.0)</f>
        <v>1167</v>
      </c>
    </row>
    <row r="1520" ht="15.75" customHeight="1">
      <c r="A1520" s="133">
        <f>IFERROR(__xludf.DUMMYFUNCTION("""COMPUTED_VALUE"""),10029.0)</f>
        <v>10029</v>
      </c>
      <c r="B1520" s="164">
        <f>IFERROR(__xludf.DUMMYFUNCTION("""COMPUTED_VALUE"""),5286927.0)</f>
        <v>5286927</v>
      </c>
      <c r="C1520" s="164" t="str">
        <f>IFERROR(__xludf.DUMMYFUNCTION("""COMPUTED_VALUE"""),"5286927M")</f>
        <v>5286927M</v>
      </c>
      <c r="D1520" s="133" t="str">
        <f>IFERROR(__xludf.DUMMYFUNCTION("""COMPUTED_VALUE"""),"Женский свитер с оленями")</f>
        <v>Женский свитер с оленями</v>
      </c>
      <c r="E1520" s="133" t="str">
        <f>IFERROR(__xludf.DUMMYFUNCTION("""COMPUTED_VALUE"""),"M")</f>
        <v>M</v>
      </c>
      <c r="F1520" s="133" t="str">
        <f>IFERROR(__xludf.DUMMYFUNCTION("""COMPUTED_VALUE"""),"10029M")</f>
        <v>10029M</v>
      </c>
      <c r="G1520" s="165">
        <f>IFERROR(__xludf.DUMMYFUNCTION("""COMPUTED_VALUE"""),1167.0)</f>
        <v>1167</v>
      </c>
    </row>
    <row r="1521" ht="15.75" customHeight="1">
      <c r="A1521" s="133">
        <f>IFERROR(__xludf.DUMMYFUNCTION("""COMPUTED_VALUE"""),10029.0)</f>
        <v>10029</v>
      </c>
      <c r="B1521" s="164">
        <f>IFERROR(__xludf.DUMMYFUNCTION("""COMPUTED_VALUE"""),5286927.0)</f>
        <v>5286927</v>
      </c>
      <c r="C1521" s="164" t="str">
        <f>IFERROR(__xludf.DUMMYFUNCTION("""COMPUTED_VALUE"""),"5286927L")</f>
        <v>5286927L</v>
      </c>
      <c r="D1521" s="133" t="str">
        <f>IFERROR(__xludf.DUMMYFUNCTION("""COMPUTED_VALUE"""),"Женский свитер с оленями")</f>
        <v>Женский свитер с оленями</v>
      </c>
      <c r="E1521" s="133" t="str">
        <f>IFERROR(__xludf.DUMMYFUNCTION("""COMPUTED_VALUE"""),"L")</f>
        <v>L</v>
      </c>
      <c r="F1521" s="133" t="str">
        <f>IFERROR(__xludf.DUMMYFUNCTION("""COMPUTED_VALUE"""),"10029L")</f>
        <v>10029L</v>
      </c>
      <c r="G1521" s="165">
        <f>IFERROR(__xludf.DUMMYFUNCTION("""COMPUTED_VALUE"""),1167.0)</f>
        <v>1167</v>
      </c>
    </row>
    <row r="1522" ht="15.75" customHeight="1">
      <c r="A1522" s="133">
        <f>IFERROR(__xludf.DUMMYFUNCTION("""COMPUTED_VALUE"""),10029.0)</f>
        <v>10029</v>
      </c>
      <c r="B1522" s="164">
        <f>IFERROR(__xludf.DUMMYFUNCTION("""COMPUTED_VALUE"""),5286927.0)</f>
        <v>5286927</v>
      </c>
      <c r="C1522" s="164" t="str">
        <f>IFERROR(__xludf.DUMMYFUNCTION("""COMPUTED_VALUE"""),"5286927XL")</f>
        <v>5286927XL</v>
      </c>
      <c r="D1522" s="133" t="str">
        <f>IFERROR(__xludf.DUMMYFUNCTION("""COMPUTED_VALUE"""),"Женский свитер с оленями")</f>
        <v>Женский свитер с оленями</v>
      </c>
      <c r="E1522" s="133" t="str">
        <f>IFERROR(__xludf.DUMMYFUNCTION("""COMPUTED_VALUE"""),"XL")</f>
        <v>XL</v>
      </c>
      <c r="F1522" s="133" t="str">
        <f>IFERROR(__xludf.DUMMYFUNCTION("""COMPUTED_VALUE"""),"10029XL")</f>
        <v>10029XL</v>
      </c>
      <c r="G1522" s="165">
        <f>IFERROR(__xludf.DUMMYFUNCTION("""COMPUTED_VALUE"""),1167.0)</f>
        <v>1167</v>
      </c>
    </row>
    <row r="1523" ht="15.75" customHeight="1">
      <c r="A1523" s="133">
        <f>IFERROR(__xludf.DUMMYFUNCTION("""COMPUTED_VALUE"""),110030.0)</f>
        <v>110030</v>
      </c>
      <c r="B1523" s="164">
        <f>IFERROR(__xludf.DUMMYFUNCTION("""COMPUTED_VALUE"""),5286928.0)</f>
        <v>5286928</v>
      </c>
      <c r="C1523" s="164" t="str">
        <f>IFERROR(__xludf.DUMMYFUNCTION("""COMPUTED_VALUE"""),"5286928XXS")</f>
        <v>5286928XXS</v>
      </c>
      <c r="D1523" s="133" t="str">
        <f>IFERROR(__xludf.DUMMYFUNCTION("""COMPUTED_VALUE"""),"Женский свитер с оленями")</f>
        <v>Женский свитер с оленями</v>
      </c>
      <c r="E1523" s="133" t="str">
        <f>IFERROR(__xludf.DUMMYFUNCTION("""COMPUTED_VALUE"""),"XXS")</f>
        <v>XXS</v>
      </c>
      <c r="F1523" s="133" t="str">
        <f>IFERROR(__xludf.DUMMYFUNCTION("""COMPUTED_VALUE"""),"10030XXS")</f>
        <v>10030XXS</v>
      </c>
      <c r="G1523" s="165">
        <f>IFERROR(__xludf.DUMMYFUNCTION("""COMPUTED_VALUE"""),1167.0)</f>
        <v>1167</v>
      </c>
    </row>
    <row r="1524" ht="15.75" customHeight="1">
      <c r="A1524" s="133">
        <f>IFERROR(__xludf.DUMMYFUNCTION("""COMPUTED_VALUE"""),110030.0)</f>
        <v>110030</v>
      </c>
      <c r="B1524" s="164">
        <f>IFERROR(__xludf.DUMMYFUNCTION("""COMPUTED_VALUE"""),5286928.0)</f>
        <v>5286928</v>
      </c>
      <c r="C1524" s="164" t="str">
        <f>IFERROR(__xludf.DUMMYFUNCTION("""COMPUTED_VALUE"""),"5286928XS")</f>
        <v>5286928XS</v>
      </c>
      <c r="D1524" s="133" t="str">
        <f>IFERROR(__xludf.DUMMYFUNCTION("""COMPUTED_VALUE"""),"Женский свитер с оленями")</f>
        <v>Женский свитер с оленями</v>
      </c>
      <c r="E1524" s="133" t="str">
        <f>IFERROR(__xludf.DUMMYFUNCTION("""COMPUTED_VALUE"""),"XS")</f>
        <v>XS</v>
      </c>
      <c r="F1524" s="133" t="str">
        <f>IFERROR(__xludf.DUMMYFUNCTION("""COMPUTED_VALUE"""),"10030XS")</f>
        <v>10030XS</v>
      </c>
      <c r="G1524" s="165">
        <f>IFERROR(__xludf.DUMMYFUNCTION("""COMPUTED_VALUE"""),1167.0)</f>
        <v>1167</v>
      </c>
    </row>
    <row r="1525" ht="15.75" customHeight="1">
      <c r="A1525" s="133">
        <f>IFERROR(__xludf.DUMMYFUNCTION("""COMPUTED_VALUE"""),110030.0)</f>
        <v>110030</v>
      </c>
      <c r="B1525" s="164">
        <f>IFERROR(__xludf.DUMMYFUNCTION("""COMPUTED_VALUE"""),5286928.0)</f>
        <v>5286928</v>
      </c>
      <c r="C1525" s="164" t="str">
        <f>IFERROR(__xludf.DUMMYFUNCTION("""COMPUTED_VALUE"""),"5286928S")</f>
        <v>5286928S</v>
      </c>
      <c r="D1525" s="133" t="str">
        <f>IFERROR(__xludf.DUMMYFUNCTION("""COMPUTED_VALUE"""),"Женский свитер с оленями")</f>
        <v>Женский свитер с оленями</v>
      </c>
      <c r="E1525" s="133" t="str">
        <f>IFERROR(__xludf.DUMMYFUNCTION("""COMPUTED_VALUE"""),"S")</f>
        <v>S</v>
      </c>
      <c r="F1525" s="133" t="str">
        <f>IFERROR(__xludf.DUMMYFUNCTION("""COMPUTED_VALUE"""),"10030S")</f>
        <v>10030S</v>
      </c>
      <c r="G1525" s="165">
        <f>IFERROR(__xludf.DUMMYFUNCTION("""COMPUTED_VALUE"""),1167.0)</f>
        <v>1167</v>
      </c>
    </row>
    <row r="1526" ht="15.75" customHeight="1">
      <c r="A1526" s="133">
        <f>IFERROR(__xludf.DUMMYFUNCTION("""COMPUTED_VALUE"""),110030.0)</f>
        <v>110030</v>
      </c>
      <c r="B1526" s="164">
        <f>IFERROR(__xludf.DUMMYFUNCTION("""COMPUTED_VALUE"""),5286928.0)</f>
        <v>5286928</v>
      </c>
      <c r="C1526" s="164" t="str">
        <f>IFERROR(__xludf.DUMMYFUNCTION("""COMPUTED_VALUE"""),"5286928M")</f>
        <v>5286928M</v>
      </c>
      <c r="D1526" s="133" t="str">
        <f>IFERROR(__xludf.DUMMYFUNCTION("""COMPUTED_VALUE"""),"Женский свитер с оленями")</f>
        <v>Женский свитер с оленями</v>
      </c>
      <c r="E1526" s="133" t="str">
        <f>IFERROR(__xludf.DUMMYFUNCTION("""COMPUTED_VALUE"""),"M")</f>
        <v>M</v>
      </c>
      <c r="F1526" s="133" t="str">
        <f>IFERROR(__xludf.DUMMYFUNCTION("""COMPUTED_VALUE"""),"10030M")</f>
        <v>10030M</v>
      </c>
      <c r="G1526" s="165">
        <f>IFERROR(__xludf.DUMMYFUNCTION("""COMPUTED_VALUE"""),1167.0)</f>
        <v>1167</v>
      </c>
    </row>
    <row r="1527" ht="15.75" customHeight="1">
      <c r="A1527" s="133">
        <f>IFERROR(__xludf.DUMMYFUNCTION("""COMPUTED_VALUE"""),110030.0)</f>
        <v>110030</v>
      </c>
      <c r="B1527" s="164">
        <f>IFERROR(__xludf.DUMMYFUNCTION("""COMPUTED_VALUE"""),5286928.0)</f>
        <v>5286928</v>
      </c>
      <c r="C1527" s="164" t="str">
        <f>IFERROR(__xludf.DUMMYFUNCTION("""COMPUTED_VALUE"""),"5286928L")</f>
        <v>5286928L</v>
      </c>
      <c r="D1527" s="133" t="str">
        <f>IFERROR(__xludf.DUMMYFUNCTION("""COMPUTED_VALUE"""),"Женский свитер с оленями")</f>
        <v>Женский свитер с оленями</v>
      </c>
      <c r="E1527" s="133" t="str">
        <f>IFERROR(__xludf.DUMMYFUNCTION("""COMPUTED_VALUE"""),"L")</f>
        <v>L</v>
      </c>
      <c r="F1527" s="133" t="str">
        <f>IFERROR(__xludf.DUMMYFUNCTION("""COMPUTED_VALUE"""),"10030L")</f>
        <v>10030L</v>
      </c>
      <c r="G1527" s="165">
        <f>IFERROR(__xludf.DUMMYFUNCTION("""COMPUTED_VALUE"""),1167.0)</f>
        <v>1167</v>
      </c>
    </row>
    <row r="1528" ht="15.75" customHeight="1">
      <c r="A1528" s="133">
        <f>IFERROR(__xludf.DUMMYFUNCTION("""COMPUTED_VALUE"""),110030.0)</f>
        <v>110030</v>
      </c>
      <c r="B1528" s="164">
        <f>IFERROR(__xludf.DUMMYFUNCTION("""COMPUTED_VALUE"""),5286928.0)</f>
        <v>5286928</v>
      </c>
      <c r="C1528" s="164" t="str">
        <f>IFERROR(__xludf.DUMMYFUNCTION("""COMPUTED_VALUE"""),"5286928XL")</f>
        <v>5286928XL</v>
      </c>
      <c r="D1528" s="133" t="str">
        <f>IFERROR(__xludf.DUMMYFUNCTION("""COMPUTED_VALUE"""),"Женский свитер с оленями")</f>
        <v>Женский свитер с оленями</v>
      </c>
      <c r="E1528" s="133" t="str">
        <f>IFERROR(__xludf.DUMMYFUNCTION("""COMPUTED_VALUE"""),"XL")</f>
        <v>XL</v>
      </c>
      <c r="F1528" s="133" t="str">
        <f>IFERROR(__xludf.DUMMYFUNCTION("""COMPUTED_VALUE"""),"10030XL")</f>
        <v>10030XL</v>
      </c>
      <c r="G1528" s="165">
        <f>IFERROR(__xludf.DUMMYFUNCTION("""COMPUTED_VALUE"""),1167.0)</f>
        <v>1167</v>
      </c>
    </row>
    <row r="1529" ht="15.75" customHeight="1">
      <c r="A1529" s="133">
        <f>IFERROR(__xludf.DUMMYFUNCTION("""COMPUTED_VALUE"""),10032.0)</f>
        <v>10032</v>
      </c>
      <c r="B1529" s="164">
        <f>IFERROR(__xludf.DUMMYFUNCTION("""COMPUTED_VALUE"""),5286930.0)</f>
        <v>5286930</v>
      </c>
      <c r="C1529" s="164" t="str">
        <f>IFERROR(__xludf.DUMMYFUNCTION("""COMPUTED_VALUE"""),"5286930XXS")</f>
        <v>5286930XXS</v>
      </c>
      <c r="D1529" s="133" t="str">
        <f>IFERROR(__xludf.DUMMYFUNCTION("""COMPUTED_VALUE"""),"Женский свитер с белкой")</f>
        <v>Женский свитер с белкой</v>
      </c>
      <c r="E1529" s="133" t="str">
        <f>IFERROR(__xludf.DUMMYFUNCTION("""COMPUTED_VALUE"""),"XXS")</f>
        <v>XXS</v>
      </c>
      <c r="F1529" s="133" t="str">
        <f>IFERROR(__xludf.DUMMYFUNCTION("""COMPUTED_VALUE"""),"10032XXS")</f>
        <v>10032XXS</v>
      </c>
      <c r="G1529" s="165">
        <f>IFERROR(__xludf.DUMMYFUNCTION("""COMPUTED_VALUE"""),1167.0)</f>
        <v>1167</v>
      </c>
    </row>
    <row r="1530" ht="15.75" customHeight="1">
      <c r="A1530" s="133">
        <f>IFERROR(__xludf.DUMMYFUNCTION("""COMPUTED_VALUE"""),10032.0)</f>
        <v>10032</v>
      </c>
      <c r="B1530" s="164">
        <f>IFERROR(__xludf.DUMMYFUNCTION("""COMPUTED_VALUE"""),5286930.0)</f>
        <v>5286930</v>
      </c>
      <c r="C1530" s="164" t="str">
        <f>IFERROR(__xludf.DUMMYFUNCTION("""COMPUTED_VALUE"""),"5286930XS")</f>
        <v>5286930XS</v>
      </c>
      <c r="D1530" s="133" t="str">
        <f>IFERROR(__xludf.DUMMYFUNCTION("""COMPUTED_VALUE"""),"Женский свитер с белкой")</f>
        <v>Женский свитер с белкой</v>
      </c>
      <c r="E1530" s="133" t="str">
        <f>IFERROR(__xludf.DUMMYFUNCTION("""COMPUTED_VALUE"""),"XS")</f>
        <v>XS</v>
      </c>
      <c r="F1530" s="133" t="str">
        <f>IFERROR(__xludf.DUMMYFUNCTION("""COMPUTED_VALUE"""),"10032XS")</f>
        <v>10032XS</v>
      </c>
      <c r="G1530" s="165">
        <f>IFERROR(__xludf.DUMMYFUNCTION("""COMPUTED_VALUE"""),1167.0)</f>
        <v>1167</v>
      </c>
    </row>
    <row r="1531" ht="15.75" customHeight="1">
      <c r="A1531" s="133">
        <f>IFERROR(__xludf.DUMMYFUNCTION("""COMPUTED_VALUE"""),10032.0)</f>
        <v>10032</v>
      </c>
      <c r="B1531" s="164">
        <f>IFERROR(__xludf.DUMMYFUNCTION("""COMPUTED_VALUE"""),5286930.0)</f>
        <v>5286930</v>
      </c>
      <c r="C1531" s="164" t="str">
        <f>IFERROR(__xludf.DUMMYFUNCTION("""COMPUTED_VALUE"""),"5286930S")</f>
        <v>5286930S</v>
      </c>
      <c r="D1531" s="133" t="str">
        <f>IFERROR(__xludf.DUMMYFUNCTION("""COMPUTED_VALUE"""),"Женский свитер с белкой")</f>
        <v>Женский свитер с белкой</v>
      </c>
      <c r="E1531" s="133" t="str">
        <f>IFERROR(__xludf.DUMMYFUNCTION("""COMPUTED_VALUE"""),"S")</f>
        <v>S</v>
      </c>
      <c r="F1531" s="133" t="str">
        <f>IFERROR(__xludf.DUMMYFUNCTION("""COMPUTED_VALUE"""),"10032S")</f>
        <v>10032S</v>
      </c>
      <c r="G1531" s="165">
        <f>IFERROR(__xludf.DUMMYFUNCTION("""COMPUTED_VALUE"""),1167.0)</f>
        <v>1167</v>
      </c>
    </row>
    <row r="1532" ht="15.75" customHeight="1">
      <c r="A1532" s="133">
        <f>IFERROR(__xludf.DUMMYFUNCTION("""COMPUTED_VALUE"""),10032.0)</f>
        <v>10032</v>
      </c>
      <c r="B1532" s="164">
        <f>IFERROR(__xludf.DUMMYFUNCTION("""COMPUTED_VALUE"""),5286930.0)</f>
        <v>5286930</v>
      </c>
      <c r="C1532" s="164" t="str">
        <f>IFERROR(__xludf.DUMMYFUNCTION("""COMPUTED_VALUE"""),"5286930M")</f>
        <v>5286930M</v>
      </c>
      <c r="D1532" s="133" t="str">
        <f>IFERROR(__xludf.DUMMYFUNCTION("""COMPUTED_VALUE"""),"Женский свитер с белкой")</f>
        <v>Женский свитер с белкой</v>
      </c>
      <c r="E1532" s="133" t="str">
        <f>IFERROR(__xludf.DUMMYFUNCTION("""COMPUTED_VALUE"""),"M")</f>
        <v>M</v>
      </c>
      <c r="F1532" s="133" t="str">
        <f>IFERROR(__xludf.DUMMYFUNCTION("""COMPUTED_VALUE"""),"10032M")</f>
        <v>10032M</v>
      </c>
      <c r="G1532" s="165">
        <f>IFERROR(__xludf.DUMMYFUNCTION("""COMPUTED_VALUE"""),1167.0)</f>
        <v>1167</v>
      </c>
    </row>
    <row r="1533" ht="15.75" customHeight="1">
      <c r="A1533" s="133">
        <f>IFERROR(__xludf.DUMMYFUNCTION("""COMPUTED_VALUE"""),10032.0)</f>
        <v>10032</v>
      </c>
      <c r="B1533" s="164">
        <f>IFERROR(__xludf.DUMMYFUNCTION("""COMPUTED_VALUE"""),5286930.0)</f>
        <v>5286930</v>
      </c>
      <c r="C1533" s="164" t="str">
        <f>IFERROR(__xludf.DUMMYFUNCTION("""COMPUTED_VALUE"""),"5286930L")</f>
        <v>5286930L</v>
      </c>
      <c r="D1533" s="133" t="str">
        <f>IFERROR(__xludf.DUMMYFUNCTION("""COMPUTED_VALUE"""),"Женский свитер с белкой")</f>
        <v>Женский свитер с белкой</v>
      </c>
      <c r="E1533" s="133" t="str">
        <f>IFERROR(__xludf.DUMMYFUNCTION("""COMPUTED_VALUE"""),"L")</f>
        <v>L</v>
      </c>
      <c r="F1533" s="133" t="str">
        <f>IFERROR(__xludf.DUMMYFUNCTION("""COMPUTED_VALUE"""),"10032L")</f>
        <v>10032L</v>
      </c>
      <c r="G1533" s="165">
        <f>IFERROR(__xludf.DUMMYFUNCTION("""COMPUTED_VALUE"""),1167.0)</f>
        <v>1167</v>
      </c>
    </row>
    <row r="1534" ht="15.75" customHeight="1">
      <c r="A1534" s="133">
        <f>IFERROR(__xludf.DUMMYFUNCTION("""COMPUTED_VALUE"""),10032.0)</f>
        <v>10032</v>
      </c>
      <c r="B1534" s="164">
        <f>IFERROR(__xludf.DUMMYFUNCTION("""COMPUTED_VALUE"""),5286930.0)</f>
        <v>5286930</v>
      </c>
      <c r="C1534" s="164" t="str">
        <f>IFERROR(__xludf.DUMMYFUNCTION("""COMPUTED_VALUE"""),"5286930XL")</f>
        <v>5286930XL</v>
      </c>
      <c r="D1534" s="133" t="str">
        <f>IFERROR(__xludf.DUMMYFUNCTION("""COMPUTED_VALUE"""),"Женский свитер с белкой")</f>
        <v>Женский свитер с белкой</v>
      </c>
      <c r="E1534" s="133" t="str">
        <f>IFERROR(__xludf.DUMMYFUNCTION("""COMPUTED_VALUE"""),"XL")</f>
        <v>XL</v>
      </c>
      <c r="F1534" s="133" t="str">
        <f>IFERROR(__xludf.DUMMYFUNCTION("""COMPUTED_VALUE"""),"10032XL")</f>
        <v>10032XL</v>
      </c>
      <c r="G1534" s="165">
        <f>IFERROR(__xludf.DUMMYFUNCTION("""COMPUTED_VALUE"""),1167.0)</f>
        <v>1167</v>
      </c>
    </row>
    <row r="1535" ht="15.75" customHeight="1">
      <c r="A1535" s="133">
        <f>IFERROR(__xludf.DUMMYFUNCTION("""COMPUTED_VALUE"""),10034.0)</f>
        <v>10034</v>
      </c>
      <c r="B1535" s="164">
        <f>IFERROR(__xludf.DUMMYFUNCTION("""COMPUTED_VALUE"""),6313115.0)</f>
        <v>6313115</v>
      </c>
      <c r="C1535" s="164" t="str">
        <f>IFERROR(__xludf.DUMMYFUNCTION("""COMPUTED_VALUE"""),"6313115XXS")</f>
        <v>6313115XXS</v>
      </c>
      <c r="D1535" s="133" t="str">
        <f>IFERROR(__xludf.DUMMYFUNCTION("""COMPUTED_VALUE"""),"женский свитер с оленями")</f>
        <v>женский свитер с оленями</v>
      </c>
      <c r="E1535" s="133" t="str">
        <f>IFERROR(__xludf.DUMMYFUNCTION("""COMPUTED_VALUE"""),"XXS")</f>
        <v>XXS</v>
      </c>
      <c r="F1535" s="133" t="str">
        <f>IFERROR(__xludf.DUMMYFUNCTION("""COMPUTED_VALUE"""),"10034XXS")</f>
        <v>10034XXS</v>
      </c>
      <c r="G1535" s="165">
        <f>IFERROR(__xludf.DUMMYFUNCTION("""COMPUTED_VALUE"""),1167.0)</f>
        <v>1167</v>
      </c>
    </row>
    <row r="1536" ht="15.75" customHeight="1">
      <c r="A1536" s="133">
        <f>IFERROR(__xludf.DUMMYFUNCTION("""COMPUTED_VALUE"""),10034.0)</f>
        <v>10034</v>
      </c>
      <c r="B1536" s="164">
        <f>IFERROR(__xludf.DUMMYFUNCTION("""COMPUTED_VALUE"""),6313115.0)</f>
        <v>6313115</v>
      </c>
      <c r="C1536" s="164" t="str">
        <f>IFERROR(__xludf.DUMMYFUNCTION("""COMPUTED_VALUE"""),"6313115XS")</f>
        <v>6313115XS</v>
      </c>
      <c r="D1536" s="133" t="str">
        <f>IFERROR(__xludf.DUMMYFUNCTION("""COMPUTED_VALUE"""),"женский свитер с оленями")</f>
        <v>женский свитер с оленями</v>
      </c>
      <c r="E1536" s="133" t="str">
        <f>IFERROR(__xludf.DUMMYFUNCTION("""COMPUTED_VALUE"""),"XS")</f>
        <v>XS</v>
      </c>
      <c r="F1536" s="133" t="str">
        <f>IFERROR(__xludf.DUMMYFUNCTION("""COMPUTED_VALUE"""),"10034XS")</f>
        <v>10034XS</v>
      </c>
      <c r="G1536" s="165">
        <f>IFERROR(__xludf.DUMMYFUNCTION("""COMPUTED_VALUE"""),1167.0)</f>
        <v>1167</v>
      </c>
    </row>
    <row r="1537" ht="15.75" customHeight="1">
      <c r="A1537" s="133">
        <f>IFERROR(__xludf.DUMMYFUNCTION("""COMPUTED_VALUE"""),10034.0)</f>
        <v>10034</v>
      </c>
      <c r="B1537" s="164">
        <f>IFERROR(__xludf.DUMMYFUNCTION("""COMPUTED_VALUE"""),6313115.0)</f>
        <v>6313115</v>
      </c>
      <c r="C1537" s="164" t="str">
        <f>IFERROR(__xludf.DUMMYFUNCTION("""COMPUTED_VALUE"""),"6313115S")</f>
        <v>6313115S</v>
      </c>
      <c r="D1537" s="133" t="str">
        <f>IFERROR(__xludf.DUMMYFUNCTION("""COMPUTED_VALUE"""),"женский свитер с оленями")</f>
        <v>женский свитер с оленями</v>
      </c>
      <c r="E1537" s="133" t="str">
        <f>IFERROR(__xludf.DUMMYFUNCTION("""COMPUTED_VALUE"""),"S")</f>
        <v>S</v>
      </c>
      <c r="F1537" s="133" t="str">
        <f>IFERROR(__xludf.DUMMYFUNCTION("""COMPUTED_VALUE"""),"10034S")</f>
        <v>10034S</v>
      </c>
      <c r="G1537" s="165">
        <f>IFERROR(__xludf.DUMMYFUNCTION("""COMPUTED_VALUE"""),1167.0)</f>
        <v>1167</v>
      </c>
    </row>
    <row r="1538" ht="15.75" customHeight="1">
      <c r="A1538" s="133">
        <f>IFERROR(__xludf.DUMMYFUNCTION("""COMPUTED_VALUE"""),10034.0)</f>
        <v>10034</v>
      </c>
      <c r="B1538" s="164">
        <f>IFERROR(__xludf.DUMMYFUNCTION("""COMPUTED_VALUE"""),6313115.0)</f>
        <v>6313115</v>
      </c>
      <c r="C1538" s="164" t="str">
        <f>IFERROR(__xludf.DUMMYFUNCTION("""COMPUTED_VALUE"""),"6313115M")</f>
        <v>6313115M</v>
      </c>
      <c r="D1538" s="133" t="str">
        <f>IFERROR(__xludf.DUMMYFUNCTION("""COMPUTED_VALUE"""),"женский свитер с оленями")</f>
        <v>женский свитер с оленями</v>
      </c>
      <c r="E1538" s="133" t="str">
        <f>IFERROR(__xludf.DUMMYFUNCTION("""COMPUTED_VALUE"""),"M")</f>
        <v>M</v>
      </c>
      <c r="F1538" s="133" t="str">
        <f>IFERROR(__xludf.DUMMYFUNCTION("""COMPUTED_VALUE"""),"10034M")</f>
        <v>10034M</v>
      </c>
      <c r="G1538" s="165">
        <f>IFERROR(__xludf.DUMMYFUNCTION("""COMPUTED_VALUE"""),1167.0)</f>
        <v>1167</v>
      </c>
    </row>
    <row r="1539" ht="15.75" customHeight="1">
      <c r="A1539" s="133">
        <f>IFERROR(__xludf.DUMMYFUNCTION("""COMPUTED_VALUE"""),10034.0)</f>
        <v>10034</v>
      </c>
      <c r="B1539" s="164">
        <f>IFERROR(__xludf.DUMMYFUNCTION("""COMPUTED_VALUE"""),6313115.0)</f>
        <v>6313115</v>
      </c>
      <c r="C1539" s="164" t="str">
        <f>IFERROR(__xludf.DUMMYFUNCTION("""COMPUTED_VALUE"""),"6313115L")</f>
        <v>6313115L</v>
      </c>
      <c r="D1539" s="133" t="str">
        <f>IFERROR(__xludf.DUMMYFUNCTION("""COMPUTED_VALUE"""),"женский свитер с оленями")</f>
        <v>женский свитер с оленями</v>
      </c>
      <c r="E1539" s="133" t="str">
        <f>IFERROR(__xludf.DUMMYFUNCTION("""COMPUTED_VALUE"""),"L")</f>
        <v>L</v>
      </c>
      <c r="F1539" s="133" t="str">
        <f>IFERROR(__xludf.DUMMYFUNCTION("""COMPUTED_VALUE"""),"10034L")</f>
        <v>10034L</v>
      </c>
      <c r="G1539" s="165">
        <f>IFERROR(__xludf.DUMMYFUNCTION("""COMPUTED_VALUE"""),1167.0)</f>
        <v>1167</v>
      </c>
    </row>
    <row r="1540" ht="15.75" customHeight="1">
      <c r="A1540" s="133">
        <f>IFERROR(__xludf.DUMMYFUNCTION("""COMPUTED_VALUE"""),10034.0)</f>
        <v>10034</v>
      </c>
      <c r="B1540" s="164">
        <f>IFERROR(__xludf.DUMMYFUNCTION("""COMPUTED_VALUE"""),6313115.0)</f>
        <v>6313115</v>
      </c>
      <c r="C1540" s="164" t="str">
        <f>IFERROR(__xludf.DUMMYFUNCTION("""COMPUTED_VALUE"""),"6313115XL")</f>
        <v>6313115XL</v>
      </c>
      <c r="D1540" s="133" t="str">
        <f>IFERROR(__xludf.DUMMYFUNCTION("""COMPUTED_VALUE"""),"женский свитер с оленями")</f>
        <v>женский свитер с оленями</v>
      </c>
      <c r="E1540" s="133" t="str">
        <f>IFERROR(__xludf.DUMMYFUNCTION("""COMPUTED_VALUE"""),"XL")</f>
        <v>XL</v>
      </c>
      <c r="F1540" s="133" t="str">
        <f>IFERROR(__xludf.DUMMYFUNCTION("""COMPUTED_VALUE"""),"10034XL")</f>
        <v>10034XL</v>
      </c>
      <c r="G1540" s="165">
        <f>IFERROR(__xludf.DUMMYFUNCTION("""COMPUTED_VALUE"""),1167.0)</f>
        <v>1167</v>
      </c>
    </row>
    <row r="1541" ht="15.75" customHeight="1">
      <c r="A1541" s="133">
        <f>IFERROR(__xludf.DUMMYFUNCTION("""COMPUTED_VALUE"""),10034.0)</f>
        <v>10034</v>
      </c>
      <c r="B1541" s="164">
        <f>IFERROR(__xludf.DUMMYFUNCTION("""COMPUTED_VALUE"""),6313115.0)</f>
        <v>6313115</v>
      </c>
      <c r="C1541" s="164" t="str">
        <f>IFERROR(__xludf.DUMMYFUNCTION("""COMPUTED_VALUE"""),"6313115XXL")</f>
        <v>6313115XXL</v>
      </c>
      <c r="D1541" s="133" t="str">
        <f>IFERROR(__xludf.DUMMYFUNCTION("""COMPUTED_VALUE"""),"женский свитер с оленями")</f>
        <v>женский свитер с оленями</v>
      </c>
      <c r="E1541" s="133" t="str">
        <f>IFERROR(__xludf.DUMMYFUNCTION("""COMPUTED_VALUE"""),"XXL")</f>
        <v>XXL</v>
      </c>
      <c r="F1541" s="133" t="str">
        <f>IFERROR(__xludf.DUMMYFUNCTION("""COMPUTED_VALUE"""),"10034XXL")</f>
        <v>10034XXL</v>
      </c>
      <c r="G1541" s="165">
        <f>IFERROR(__xludf.DUMMYFUNCTION("""COMPUTED_VALUE"""),1167.0)</f>
        <v>1167</v>
      </c>
    </row>
    <row r="1542" ht="15.75" customHeight="1">
      <c r="A1542" s="133">
        <f>IFERROR(__xludf.DUMMYFUNCTION("""COMPUTED_VALUE"""),10035.0)</f>
        <v>10035</v>
      </c>
      <c r="B1542" s="164">
        <f>IFERROR(__xludf.DUMMYFUNCTION("""COMPUTED_VALUE"""),6313116.0)</f>
        <v>6313116</v>
      </c>
      <c r="C1542" s="164" t="str">
        <f>IFERROR(__xludf.DUMMYFUNCTION("""COMPUTED_VALUE"""),"6313116XXS")</f>
        <v>6313116XXS</v>
      </c>
      <c r="D1542" s="133" t="str">
        <f>IFERROR(__xludf.DUMMYFUNCTION("""COMPUTED_VALUE"""),"женский свитер с оленями в ряд")</f>
        <v>женский свитер с оленями в ряд</v>
      </c>
      <c r="E1542" s="133" t="str">
        <f>IFERROR(__xludf.DUMMYFUNCTION("""COMPUTED_VALUE"""),"XXS")</f>
        <v>XXS</v>
      </c>
      <c r="F1542" s="133" t="str">
        <f>IFERROR(__xludf.DUMMYFUNCTION("""COMPUTED_VALUE"""),"10035XXS")</f>
        <v>10035XXS</v>
      </c>
      <c r="G1542" s="165">
        <f>IFERROR(__xludf.DUMMYFUNCTION("""COMPUTED_VALUE"""),1167.0)</f>
        <v>1167</v>
      </c>
    </row>
    <row r="1543" ht="15.75" customHeight="1">
      <c r="A1543" s="133">
        <f>IFERROR(__xludf.DUMMYFUNCTION("""COMPUTED_VALUE"""),10035.0)</f>
        <v>10035</v>
      </c>
      <c r="B1543" s="164">
        <f>IFERROR(__xludf.DUMMYFUNCTION("""COMPUTED_VALUE"""),6313116.0)</f>
        <v>6313116</v>
      </c>
      <c r="C1543" s="164" t="str">
        <f>IFERROR(__xludf.DUMMYFUNCTION("""COMPUTED_VALUE"""),"6313116XS")</f>
        <v>6313116XS</v>
      </c>
      <c r="D1543" s="133" t="str">
        <f>IFERROR(__xludf.DUMMYFUNCTION("""COMPUTED_VALUE"""),"женский свитер с оленями в ряд")</f>
        <v>женский свитер с оленями в ряд</v>
      </c>
      <c r="E1543" s="133" t="str">
        <f>IFERROR(__xludf.DUMMYFUNCTION("""COMPUTED_VALUE"""),"XS")</f>
        <v>XS</v>
      </c>
      <c r="F1543" s="133" t="str">
        <f>IFERROR(__xludf.DUMMYFUNCTION("""COMPUTED_VALUE"""),"10035XS")</f>
        <v>10035XS</v>
      </c>
      <c r="G1543" s="165">
        <f>IFERROR(__xludf.DUMMYFUNCTION("""COMPUTED_VALUE"""),1167.0)</f>
        <v>1167</v>
      </c>
    </row>
    <row r="1544" ht="15.75" customHeight="1">
      <c r="A1544" s="133">
        <f>IFERROR(__xludf.DUMMYFUNCTION("""COMPUTED_VALUE"""),10035.0)</f>
        <v>10035</v>
      </c>
      <c r="B1544" s="164">
        <f>IFERROR(__xludf.DUMMYFUNCTION("""COMPUTED_VALUE"""),6313116.0)</f>
        <v>6313116</v>
      </c>
      <c r="C1544" s="164" t="str">
        <f>IFERROR(__xludf.DUMMYFUNCTION("""COMPUTED_VALUE"""),"6313116S")</f>
        <v>6313116S</v>
      </c>
      <c r="D1544" s="133" t="str">
        <f>IFERROR(__xludf.DUMMYFUNCTION("""COMPUTED_VALUE"""),"женский свитер с оленями в ряд")</f>
        <v>женский свитер с оленями в ряд</v>
      </c>
      <c r="E1544" s="133" t="str">
        <f>IFERROR(__xludf.DUMMYFUNCTION("""COMPUTED_VALUE"""),"S")</f>
        <v>S</v>
      </c>
      <c r="F1544" s="133" t="str">
        <f>IFERROR(__xludf.DUMMYFUNCTION("""COMPUTED_VALUE"""),"10035S")</f>
        <v>10035S</v>
      </c>
      <c r="G1544" s="165">
        <f>IFERROR(__xludf.DUMMYFUNCTION("""COMPUTED_VALUE"""),1167.0)</f>
        <v>1167</v>
      </c>
    </row>
    <row r="1545" ht="15.75" customHeight="1">
      <c r="A1545" s="133">
        <f>IFERROR(__xludf.DUMMYFUNCTION("""COMPUTED_VALUE"""),10035.0)</f>
        <v>10035</v>
      </c>
      <c r="B1545" s="164">
        <f>IFERROR(__xludf.DUMMYFUNCTION("""COMPUTED_VALUE"""),6313116.0)</f>
        <v>6313116</v>
      </c>
      <c r="C1545" s="164" t="str">
        <f>IFERROR(__xludf.DUMMYFUNCTION("""COMPUTED_VALUE"""),"6313116M")</f>
        <v>6313116M</v>
      </c>
      <c r="D1545" s="133" t="str">
        <f>IFERROR(__xludf.DUMMYFUNCTION("""COMPUTED_VALUE"""),"женский свитер с оленями в ряд")</f>
        <v>женский свитер с оленями в ряд</v>
      </c>
      <c r="E1545" s="133" t="str">
        <f>IFERROR(__xludf.DUMMYFUNCTION("""COMPUTED_VALUE"""),"M")</f>
        <v>M</v>
      </c>
      <c r="F1545" s="133" t="str">
        <f>IFERROR(__xludf.DUMMYFUNCTION("""COMPUTED_VALUE"""),"10035M")</f>
        <v>10035M</v>
      </c>
      <c r="G1545" s="165">
        <f>IFERROR(__xludf.DUMMYFUNCTION("""COMPUTED_VALUE"""),1167.0)</f>
        <v>1167</v>
      </c>
    </row>
    <row r="1546" ht="15.75" customHeight="1">
      <c r="A1546" s="133">
        <f>IFERROR(__xludf.DUMMYFUNCTION("""COMPUTED_VALUE"""),10035.0)</f>
        <v>10035</v>
      </c>
      <c r="B1546" s="164">
        <f>IFERROR(__xludf.DUMMYFUNCTION("""COMPUTED_VALUE"""),6313116.0)</f>
        <v>6313116</v>
      </c>
      <c r="C1546" s="164" t="str">
        <f>IFERROR(__xludf.DUMMYFUNCTION("""COMPUTED_VALUE"""),"6313116L")</f>
        <v>6313116L</v>
      </c>
      <c r="D1546" s="133" t="str">
        <f>IFERROR(__xludf.DUMMYFUNCTION("""COMPUTED_VALUE"""),"женский свитер с оленями в ряд")</f>
        <v>женский свитер с оленями в ряд</v>
      </c>
      <c r="E1546" s="133" t="str">
        <f>IFERROR(__xludf.DUMMYFUNCTION("""COMPUTED_VALUE"""),"L")</f>
        <v>L</v>
      </c>
      <c r="F1546" s="133" t="str">
        <f>IFERROR(__xludf.DUMMYFUNCTION("""COMPUTED_VALUE"""),"10035L")</f>
        <v>10035L</v>
      </c>
      <c r="G1546" s="165">
        <f>IFERROR(__xludf.DUMMYFUNCTION("""COMPUTED_VALUE"""),1167.0)</f>
        <v>1167</v>
      </c>
    </row>
    <row r="1547" ht="15.75" customHeight="1">
      <c r="A1547" s="133">
        <f>IFERROR(__xludf.DUMMYFUNCTION("""COMPUTED_VALUE"""),10035.0)</f>
        <v>10035</v>
      </c>
      <c r="B1547" s="164">
        <f>IFERROR(__xludf.DUMMYFUNCTION("""COMPUTED_VALUE"""),6313116.0)</f>
        <v>6313116</v>
      </c>
      <c r="C1547" s="164" t="str">
        <f>IFERROR(__xludf.DUMMYFUNCTION("""COMPUTED_VALUE"""),"6313116XL")</f>
        <v>6313116XL</v>
      </c>
      <c r="D1547" s="133" t="str">
        <f>IFERROR(__xludf.DUMMYFUNCTION("""COMPUTED_VALUE"""),"женский свитер с оленями в ряд")</f>
        <v>женский свитер с оленями в ряд</v>
      </c>
      <c r="E1547" s="133" t="str">
        <f>IFERROR(__xludf.DUMMYFUNCTION("""COMPUTED_VALUE"""),"XL")</f>
        <v>XL</v>
      </c>
      <c r="F1547" s="133" t="str">
        <f>IFERROR(__xludf.DUMMYFUNCTION("""COMPUTED_VALUE"""),"10035XL")</f>
        <v>10035XL</v>
      </c>
      <c r="G1547" s="165">
        <f>IFERROR(__xludf.DUMMYFUNCTION("""COMPUTED_VALUE"""),1167.0)</f>
        <v>1167</v>
      </c>
    </row>
    <row r="1548" ht="15.75" customHeight="1">
      <c r="A1548" s="133">
        <f>IFERROR(__xludf.DUMMYFUNCTION("""COMPUTED_VALUE"""),10035.0)</f>
        <v>10035</v>
      </c>
      <c r="B1548" s="164">
        <f>IFERROR(__xludf.DUMMYFUNCTION("""COMPUTED_VALUE"""),6313116.0)</f>
        <v>6313116</v>
      </c>
      <c r="C1548" s="164" t="str">
        <f>IFERROR(__xludf.DUMMYFUNCTION("""COMPUTED_VALUE"""),"6313116XXL")</f>
        <v>6313116XXL</v>
      </c>
      <c r="D1548" s="133" t="str">
        <f>IFERROR(__xludf.DUMMYFUNCTION("""COMPUTED_VALUE"""),"женский свитер с оленями в ряд")</f>
        <v>женский свитер с оленями в ряд</v>
      </c>
      <c r="E1548" s="133" t="str">
        <f>IFERROR(__xludf.DUMMYFUNCTION("""COMPUTED_VALUE"""),"XXL")</f>
        <v>XXL</v>
      </c>
      <c r="F1548" s="133" t="str">
        <f>IFERROR(__xludf.DUMMYFUNCTION("""COMPUTED_VALUE"""),"10035XXL")</f>
        <v>10035XXL</v>
      </c>
      <c r="G1548" s="165">
        <f>IFERROR(__xludf.DUMMYFUNCTION("""COMPUTED_VALUE"""),1167.0)</f>
        <v>1167</v>
      </c>
    </row>
    <row r="1549" ht="15.75" customHeight="1">
      <c r="A1549" s="133">
        <f>IFERROR(__xludf.DUMMYFUNCTION("""COMPUTED_VALUE"""),10037.0)</f>
        <v>10037</v>
      </c>
      <c r="B1549" s="164">
        <f>IFERROR(__xludf.DUMMYFUNCTION("""COMPUTED_VALUE"""),6313118.0)</f>
        <v>6313118</v>
      </c>
      <c r="C1549" s="164" t="str">
        <f>IFERROR(__xludf.DUMMYFUNCTION("""COMPUTED_VALUE"""),"6313118XXS")</f>
        <v>6313118XXS</v>
      </c>
      <c r="D1549" s="133" t="str">
        <f>IFERROR(__xludf.DUMMYFUNCTION("""COMPUTED_VALUE"""),"женский свитер с оленями в ряд")</f>
        <v>женский свитер с оленями в ряд</v>
      </c>
      <c r="E1549" s="133" t="str">
        <f>IFERROR(__xludf.DUMMYFUNCTION("""COMPUTED_VALUE"""),"XXS")</f>
        <v>XXS</v>
      </c>
      <c r="F1549" s="133" t="str">
        <f>IFERROR(__xludf.DUMMYFUNCTION("""COMPUTED_VALUE"""),"10037XXS")</f>
        <v>10037XXS</v>
      </c>
      <c r="G1549" s="165">
        <f>IFERROR(__xludf.DUMMYFUNCTION("""COMPUTED_VALUE"""),1167.0)</f>
        <v>1167</v>
      </c>
    </row>
    <row r="1550" ht="15.75" customHeight="1">
      <c r="A1550" s="133">
        <f>IFERROR(__xludf.DUMMYFUNCTION("""COMPUTED_VALUE"""),10037.0)</f>
        <v>10037</v>
      </c>
      <c r="B1550" s="164">
        <f>IFERROR(__xludf.DUMMYFUNCTION("""COMPUTED_VALUE"""),6313118.0)</f>
        <v>6313118</v>
      </c>
      <c r="C1550" s="164" t="str">
        <f>IFERROR(__xludf.DUMMYFUNCTION("""COMPUTED_VALUE"""),"6313118XS")</f>
        <v>6313118XS</v>
      </c>
      <c r="D1550" s="133" t="str">
        <f>IFERROR(__xludf.DUMMYFUNCTION("""COMPUTED_VALUE"""),"женский свитер с оленями в ряд")</f>
        <v>женский свитер с оленями в ряд</v>
      </c>
      <c r="E1550" s="133" t="str">
        <f>IFERROR(__xludf.DUMMYFUNCTION("""COMPUTED_VALUE"""),"XS")</f>
        <v>XS</v>
      </c>
      <c r="F1550" s="133" t="str">
        <f>IFERROR(__xludf.DUMMYFUNCTION("""COMPUTED_VALUE"""),"10037XS")</f>
        <v>10037XS</v>
      </c>
      <c r="G1550" s="165">
        <f>IFERROR(__xludf.DUMMYFUNCTION("""COMPUTED_VALUE"""),1167.0)</f>
        <v>1167</v>
      </c>
    </row>
    <row r="1551" ht="15.75" customHeight="1">
      <c r="A1551" s="133">
        <f>IFERROR(__xludf.DUMMYFUNCTION("""COMPUTED_VALUE"""),10037.0)</f>
        <v>10037</v>
      </c>
      <c r="B1551" s="164">
        <f>IFERROR(__xludf.DUMMYFUNCTION("""COMPUTED_VALUE"""),6313118.0)</f>
        <v>6313118</v>
      </c>
      <c r="C1551" s="164" t="str">
        <f>IFERROR(__xludf.DUMMYFUNCTION("""COMPUTED_VALUE"""),"6313118S")</f>
        <v>6313118S</v>
      </c>
      <c r="D1551" s="133" t="str">
        <f>IFERROR(__xludf.DUMMYFUNCTION("""COMPUTED_VALUE"""),"женский свитер с оленями в ряд")</f>
        <v>женский свитер с оленями в ряд</v>
      </c>
      <c r="E1551" s="133" t="str">
        <f>IFERROR(__xludf.DUMMYFUNCTION("""COMPUTED_VALUE"""),"S")</f>
        <v>S</v>
      </c>
      <c r="F1551" s="133" t="str">
        <f>IFERROR(__xludf.DUMMYFUNCTION("""COMPUTED_VALUE"""),"10037S")</f>
        <v>10037S</v>
      </c>
      <c r="G1551" s="165">
        <f>IFERROR(__xludf.DUMMYFUNCTION("""COMPUTED_VALUE"""),1167.0)</f>
        <v>1167</v>
      </c>
    </row>
    <row r="1552" ht="15.75" customHeight="1">
      <c r="A1552" s="133">
        <f>IFERROR(__xludf.DUMMYFUNCTION("""COMPUTED_VALUE"""),10037.0)</f>
        <v>10037</v>
      </c>
      <c r="B1552" s="164">
        <f>IFERROR(__xludf.DUMMYFUNCTION("""COMPUTED_VALUE"""),6313118.0)</f>
        <v>6313118</v>
      </c>
      <c r="C1552" s="164" t="str">
        <f>IFERROR(__xludf.DUMMYFUNCTION("""COMPUTED_VALUE"""),"6313118M")</f>
        <v>6313118M</v>
      </c>
      <c r="D1552" s="133" t="str">
        <f>IFERROR(__xludf.DUMMYFUNCTION("""COMPUTED_VALUE"""),"женский свитер с оленями в ряд")</f>
        <v>женский свитер с оленями в ряд</v>
      </c>
      <c r="E1552" s="133" t="str">
        <f>IFERROR(__xludf.DUMMYFUNCTION("""COMPUTED_VALUE"""),"M")</f>
        <v>M</v>
      </c>
      <c r="F1552" s="133" t="str">
        <f>IFERROR(__xludf.DUMMYFUNCTION("""COMPUTED_VALUE"""),"10037M")</f>
        <v>10037M</v>
      </c>
      <c r="G1552" s="165">
        <f>IFERROR(__xludf.DUMMYFUNCTION("""COMPUTED_VALUE"""),1167.0)</f>
        <v>1167</v>
      </c>
    </row>
    <row r="1553" ht="15.75" customHeight="1">
      <c r="A1553" s="133">
        <f>IFERROR(__xludf.DUMMYFUNCTION("""COMPUTED_VALUE"""),10037.0)</f>
        <v>10037</v>
      </c>
      <c r="B1553" s="164">
        <f>IFERROR(__xludf.DUMMYFUNCTION("""COMPUTED_VALUE"""),6313118.0)</f>
        <v>6313118</v>
      </c>
      <c r="C1553" s="164" t="str">
        <f>IFERROR(__xludf.DUMMYFUNCTION("""COMPUTED_VALUE"""),"6313118L")</f>
        <v>6313118L</v>
      </c>
      <c r="D1553" s="133" t="str">
        <f>IFERROR(__xludf.DUMMYFUNCTION("""COMPUTED_VALUE"""),"женский свитер с оленями в ряд")</f>
        <v>женский свитер с оленями в ряд</v>
      </c>
      <c r="E1553" s="133" t="str">
        <f>IFERROR(__xludf.DUMMYFUNCTION("""COMPUTED_VALUE"""),"L")</f>
        <v>L</v>
      </c>
      <c r="F1553" s="133" t="str">
        <f>IFERROR(__xludf.DUMMYFUNCTION("""COMPUTED_VALUE"""),"10037L")</f>
        <v>10037L</v>
      </c>
      <c r="G1553" s="165">
        <f>IFERROR(__xludf.DUMMYFUNCTION("""COMPUTED_VALUE"""),1167.0)</f>
        <v>1167</v>
      </c>
    </row>
    <row r="1554" ht="15.75" customHeight="1">
      <c r="A1554" s="133">
        <f>IFERROR(__xludf.DUMMYFUNCTION("""COMPUTED_VALUE"""),10037.0)</f>
        <v>10037</v>
      </c>
      <c r="B1554" s="164">
        <f>IFERROR(__xludf.DUMMYFUNCTION("""COMPUTED_VALUE"""),6313118.0)</f>
        <v>6313118</v>
      </c>
      <c r="C1554" s="164" t="str">
        <f>IFERROR(__xludf.DUMMYFUNCTION("""COMPUTED_VALUE"""),"6313118XL")</f>
        <v>6313118XL</v>
      </c>
      <c r="D1554" s="133" t="str">
        <f>IFERROR(__xludf.DUMMYFUNCTION("""COMPUTED_VALUE"""),"женский свитер с оленями в ряд")</f>
        <v>женский свитер с оленями в ряд</v>
      </c>
      <c r="E1554" s="133" t="str">
        <f>IFERROR(__xludf.DUMMYFUNCTION("""COMPUTED_VALUE"""),"XL")</f>
        <v>XL</v>
      </c>
      <c r="F1554" s="133" t="str">
        <f>IFERROR(__xludf.DUMMYFUNCTION("""COMPUTED_VALUE"""),"10037XL")</f>
        <v>10037XL</v>
      </c>
      <c r="G1554" s="165">
        <f>IFERROR(__xludf.DUMMYFUNCTION("""COMPUTED_VALUE"""),1167.0)</f>
        <v>1167</v>
      </c>
    </row>
    <row r="1555" ht="15.75" customHeight="1">
      <c r="A1555" s="133">
        <f>IFERROR(__xludf.DUMMYFUNCTION("""COMPUTED_VALUE"""),10036.0)</f>
        <v>10036</v>
      </c>
      <c r="B1555" s="164">
        <f>IFERROR(__xludf.DUMMYFUNCTION("""COMPUTED_VALUE"""),6313117.0)</f>
        <v>6313117</v>
      </c>
      <c r="C1555" s="164" t="str">
        <f>IFERROR(__xludf.DUMMYFUNCTION("""COMPUTED_VALUE"""),"6313117XXS")</f>
        <v>6313117XXS</v>
      </c>
      <c r="D1555" s="133" t="str">
        <f>IFERROR(__xludf.DUMMYFUNCTION("""COMPUTED_VALUE"""),"женский свитер с оленями в ряд")</f>
        <v>женский свитер с оленями в ряд</v>
      </c>
      <c r="E1555" s="133" t="str">
        <f>IFERROR(__xludf.DUMMYFUNCTION("""COMPUTED_VALUE"""),"XXS")</f>
        <v>XXS</v>
      </c>
      <c r="F1555" s="133" t="str">
        <f>IFERROR(__xludf.DUMMYFUNCTION("""COMPUTED_VALUE"""),"10036XXS")</f>
        <v>10036XXS</v>
      </c>
      <c r="G1555" s="165">
        <f>IFERROR(__xludf.DUMMYFUNCTION("""COMPUTED_VALUE"""),1167.0)</f>
        <v>1167</v>
      </c>
    </row>
    <row r="1556" ht="15.75" customHeight="1">
      <c r="A1556" s="133">
        <f>IFERROR(__xludf.DUMMYFUNCTION("""COMPUTED_VALUE"""),10036.0)</f>
        <v>10036</v>
      </c>
      <c r="B1556" s="164">
        <f>IFERROR(__xludf.DUMMYFUNCTION("""COMPUTED_VALUE"""),6313117.0)</f>
        <v>6313117</v>
      </c>
      <c r="C1556" s="164" t="str">
        <f>IFERROR(__xludf.DUMMYFUNCTION("""COMPUTED_VALUE"""),"6313117XS")</f>
        <v>6313117XS</v>
      </c>
      <c r="D1556" s="133" t="str">
        <f>IFERROR(__xludf.DUMMYFUNCTION("""COMPUTED_VALUE"""),"женский свитер с оленями в ряд")</f>
        <v>женский свитер с оленями в ряд</v>
      </c>
      <c r="E1556" s="133" t="str">
        <f>IFERROR(__xludf.DUMMYFUNCTION("""COMPUTED_VALUE"""),"XS")</f>
        <v>XS</v>
      </c>
      <c r="F1556" s="133" t="str">
        <f>IFERROR(__xludf.DUMMYFUNCTION("""COMPUTED_VALUE"""),"10036XS")</f>
        <v>10036XS</v>
      </c>
      <c r="G1556" s="165">
        <f>IFERROR(__xludf.DUMMYFUNCTION("""COMPUTED_VALUE"""),1167.0)</f>
        <v>1167</v>
      </c>
    </row>
    <row r="1557" ht="15.75" customHeight="1">
      <c r="A1557" s="133">
        <f>IFERROR(__xludf.DUMMYFUNCTION("""COMPUTED_VALUE"""),10036.0)</f>
        <v>10036</v>
      </c>
      <c r="B1557" s="164">
        <f>IFERROR(__xludf.DUMMYFUNCTION("""COMPUTED_VALUE"""),6313117.0)</f>
        <v>6313117</v>
      </c>
      <c r="C1557" s="164" t="str">
        <f>IFERROR(__xludf.DUMMYFUNCTION("""COMPUTED_VALUE"""),"6313117S")</f>
        <v>6313117S</v>
      </c>
      <c r="D1557" s="133" t="str">
        <f>IFERROR(__xludf.DUMMYFUNCTION("""COMPUTED_VALUE"""),"женский свитер с оленями в ряд")</f>
        <v>женский свитер с оленями в ряд</v>
      </c>
      <c r="E1557" s="133" t="str">
        <f>IFERROR(__xludf.DUMMYFUNCTION("""COMPUTED_VALUE"""),"S")</f>
        <v>S</v>
      </c>
      <c r="F1557" s="133" t="str">
        <f>IFERROR(__xludf.DUMMYFUNCTION("""COMPUTED_VALUE"""),"10036S")</f>
        <v>10036S</v>
      </c>
      <c r="G1557" s="165">
        <f>IFERROR(__xludf.DUMMYFUNCTION("""COMPUTED_VALUE"""),1167.0)</f>
        <v>1167</v>
      </c>
    </row>
    <row r="1558" ht="15.75" customHeight="1">
      <c r="A1558" s="133">
        <f>IFERROR(__xludf.DUMMYFUNCTION("""COMPUTED_VALUE"""),10036.0)</f>
        <v>10036</v>
      </c>
      <c r="B1558" s="164">
        <f>IFERROR(__xludf.DUMMYFUNCTION("""COMPUTED_VALUE"""),6313117.0)</f>
        <v>6313117</v>
      </c>
      <c r="C1558" s="164" t="str">
        <f>IFERROR(__xludf.DUMMYFUNCTION("""COMPUTED_VALUE"""),"6313117M")</f>
        <v>6313117M</v>
      </c>
      <c r="D1558" s="133" t="str">
        <f>IFERROR(__xludf.DUMMYFUNCTION("""COMPUTED_VALUE"""),"женский свитер с оленями в ряд")</f>
        <v>женский свитер с оленями в ряд</v>
      </c>
      <c r="E1558" s="133" t="str">
        <f>IFERROR(__xludf.DUMMYFUNCTION("""COMPUTED_VALUE"""),"M")</f>
        <v>M</v>
      </c>
      <c r="F1558" s="133" t="str">
        <f>IFERROR(__xludf.DUMMYFUNCTION("""COMPUTED_VALUE"""),"10036M")</f>
        <v>10036M</v>
      </c>
      <c r="G1558" s="165">
        <f>IFERROR(__xludf.DUMMYFUNCTION("""COMPUTED_VALUE"""),1167.0)</f>
        <v>1167</v>
      </c>
    </row>
    <row r="1559" ht="15.75" customHeight="1">
      <c r="A1559" s="133">
        <f>IFERROR(__xludf.DUMMYFUNCTION("""COMPUTED_VALUE"""),10036.0)</f>
        <v>10036</v>
      </c>
      <c r="B1559" s="164">
        <f>IFERROR(__xludf.DUMMYFUNCTION("""COMPUTED_VALUE"""),6313117.0)</f>
        <v>6313117</v>
      </c>
      <c r="C1559" s="164" t="str">
        <f>IFERROR(__xludf.DUMMYFUNCTION("""COMPUTED_VALUE"""),"6313117L")</f>
        <v>6313117L</v>
      </c>
      <c r="D1559" s="133" t="str">
        <f>IFERROR(__xludf.DUMMYFUNCTION("""COMPUTED_VALUE"""),"женский свитер с оленями в ряд")</f>
        <v>женский свитер с оленями в ряд</v>
      </c>
      <c r="E1559" s="133" t="str">
        <f>IFERROR(__xludf.DUMMYFUNCTION("""COMPUTED_VALUE"""),"L")</f>
        <v>L</v>
      </c>
      <c r="F1559" s="133" t="str">
        <f>IFERROR(__xludf.DUMMYFUNCTION("""COMPUTED_VALUE"""),"10036L")</f>
        <v>10036L</v>
      </c>
      <c r="G1559" s="165">
        <f>IFERROR(__xludf.DUMMYFUNCTION("""COMPUTED_VALUE"""),1167.0)</f>
        <v>1167</v>
      </c>
    </row>
    <row r="1560" ht="15.75" customHeight="1">
      <c r="A1560" s="133">
        <f>IFERROR(__xludf.DUMMYFUNCTION("""COMPUTED_VALUE"""),10036.0)</f>
        <v>10036</v>
      </c>
      <c r="B1560" s="164">
        <f>IFERROR(__xludf.DUMMYFUNCTION("""COMPUTED_VALUE"""),6313117.0)</f>
        <v>6313117</v>
      </c>
      <c r="C1560" s="164" t="str">
        <f>IFERROR(__xludf.DUMMYFUNCTION("""COMPUTED_VALUE"""),"6313117XL")</f>
        <v>6313117XL</v>
      </c>
      <c r="D1560" s="133" t="str">
        <f>IFERROR(__xludf.DUMMYFUNCTION("""COMPUTED_VALUE"""),"женский свитер с оленями в ряд")</f>
        <v>женский свитер с оленями в ряд</v>
      </c>
      <c r="E1560" s="133" t="str">
        <f>IFERROR(__xludf.DUMMYFUNCTION("""COMPUTED_VALUE"""),"XL")</f>
        <v>XL</v>
      </c>
      <c r="F1560" s="133" t="str">
        <f>IFERROR(__xludf.DUMMYFUNCTION("""COMPUTED_VALUE"""),"10036XL")</f>
        <v>10036XL</v>
      </c>
      <c r="G1560" s="165">
        <f>IFERROR(__xludf.DUMMYFUNCTION("""COMPUTED_VALUE"""),1167.0)</f>
        <v>1167</v>
      </c>
    </row>
    <row r="1561" ht="15.75" customHeight="1">
      <c r="A1561" s="133">
        <f>IFERROR(__xludf.DUMMYFUNCTION("""COMPUTED_VALUE"""),10036.0)</f>
        <v>10036</v>
      </c>
      <c r="B1561" s="164">
        <f>IFERROR(__xludf.DUMMYFUNCTION("""COMPUTED_VALUE"""),6313117.0)</f>
        <v>6313117</v>
      </c>
      <c r="C1561" s="164" t="str">
        <f>IFERROR(__xludf.DUMMYFUNCTION("""COMPUTED_VALUE"""),"6313117XXL")</f>
        <v>6313117XXL</v>
      </c>
      <c r="D1561" s="133" t="str">
        <f>IFERROR(__xludf.DUMMYFUNCTION("""COMPUTED_VALUE"""),"женский свитер с оленями в ряд")</f>
        <v>женский свитер с оленями в ряд</v>
      </c>
      <c r="E1561" s="133" t="str">
        <f>IFERROR(__xludf.DUMMYFUNCTION("""COMPUTED_VALUE"""),"XXL")</f>
        <v>XXL</v>
      </c>
      <c r="F1561" s="133" t="str">
        <f>IFERROR(__xludf.DUMMYFUNCTION("""COMPUTED_VALUE"""),"10036XXL")</f>
        <v>10036XXL</v>
      </c>
      <c r="G1561" s="165">
        <f>IFERROR(__xludf.DUMMYFUNCTION("""COMPUTED_VALUE"""),1167.0)</f>
        <v>1167</v>
      </c>
    </row>
    <row r="1562" ht="15.75" customHeight="1">
      <c r="A1562" s="133">
        <f>IFERROR(__xludf.DUMMYFUNCTION("""COMPUTED_VALUE"""),10038.0)</f>
        <v>10038</v>
      </c>
      <c r="B1562" s="164">
        <f>IFERROR(__xludf.DUMMYFUNCTION("""COMPUTED_VALUE"""),6313119.0)</f>
        <v>6313119</v>
      </c>
      <c r="C1562" s="164" t="str">
        <f>IFERROR(__xludf.DUMMYFUNCTION("""COMPUTED_VALUE"""),"6313119XXS")</f>
        <v>6313119XXS</v>
      </c>
      <c r="D1562" s="133" t="str">
        <f>IFERROR(__xludf.DUMMYFUNCTION("""COMPUTED_VALUE"""),"женский свитер с оленями")</f>
        <v>женский свитер с оленями</v>
      </c>
      <c r="E1562" s="133" t="str">
        <f>IFERROR(__xludf.DUMMYFUNCTION("""COMPUTED_VALUE"""),"XXS")</f>
        <v>XXS</v>
      </c>
      <c r="F1562" s="133" t="str">
        <f>IFERROR(__xludf.DUMMYFUNCTION("""COMPUTED_VALUE"""),"10038XXS")</f>
        <v>10038XXS</v>
      </c>
      <c r="G1562" s="165">
        <f>IFERROR(__xludf.DUMMYFUNCTION("""COMPUTED_VALUE"""),1167.0)</f>
        <v>1167</v>
      </c>
    </row>
    <row r="1563" ht="15.75" customHeight="1">
      <c r="A1563" s="133">
        <f>IFERROR(__xludf.DUMMYFUNCTION("""COMPUTED_VALUE"""),10038.0)</f>
        <v>10038</v>
      </c>
      <c r="B1563" s="164">
        <f>IFERROR(__xludf.DUMMYFUNCTION("""COMPUTED_VALUE"""),6313119.0)</f>
        <v>6313119</v>
      </c>
      <c r="C1563" s="164" t="str">
        <f>IFERROR(__xludf.DUMMYFUNCTION("""COMPUTED_VALUE"""),"6313119XS")</f>
        <v>6313119XS</v>
      </c>
      <c r="D1563" s="133" t="str">
        <f>IFERROR(__xludf.DUMMYFUNCTION("""COMPUTED_VALUE"""),"женский свитер с оленями")</f>
        <v>женский свитер с оленями</v>
      </c>
      <c r="E1563" s="133" t="str">
        <f>IFERROR(__xludf.DUMMYFUNCTION("""COMPUTED_VALUE"""),"XS")</f>
        <v>XS</v>
      </c>
      <c r="F1563" s="133" t="str">
        <f>IFERROR(__xludf.DUMMYFUNCTION("""COMPUTED_VALUE"""),"10038XS")</f>
        <v>10038XS</v>
      </c>
      <c r="G1563" s="165">
        <f>IFERROR(__xludf.DUMMYFUNCTION("""COMPUTED_VALUE"""),1167.0)</f>
        <v>1167</v>
      </c>
    </row>
    <row r="1564" ht="15.75" customHeight="1">
      <c r="A1564" s="133">
        <f>IFERROR(__xludf.DUMMYFUNCTION("""COMPUTED_VALUE"""),10038.0)</f>
        <v>10038</v>
      </c>
      <c r="B1564" s="164">
        <f>IFERROR(__xludf.DUMMYFUNCTION("""COMPUTED_VALUE"""),6313119.0)</f>
        <v>6313119</v>
      </c>
      <c r="C1564" s="164" t="str">
        <f>IFERROR(__xludf.DUMMYFUNCTION("""COMPUTED_VALUE"""),"6313119S")</f>
        <v>6313119S</v>
      </c>
      <c r="D1564" s="133" t="str">
        <f>IFERROR(__xludf.DUMMYFUNCTION("""COMPUTED_VALUE"""),"женский свитер с оленями")</f>
        <v>женский свитер с оленями</v>
      </c>
      <c r="E1564" s="133" t="str">
        <f>IFERROR(__xludf.DUMMYFUNCTION("""COMPUTED_VALUE"""),"S")</f>
        <v>S</v>
      </c>
      <c r="F1564" s="133" t="str">
        <f>IFERROR(__xludf.DUMMYFUNCTION("""COMPUTED_VALUE"""),"10038S")</f>
        <v>10038S</v>
      </c>
      <c r="G1564" s="165">
        <f>IFERROR(__xludf.DUMMYFUNCTION("""COMPUTED_VALUE"""),1167.0)</f>
        <v>1167</v>
      </c>
    </row>
    <row r="1565" ht="15.75" customHeight="1">
      <c r="A1565" s="133">
        <f>IFERROR(__xludf.DUMMYFUNCTION("""COMPUTED_VALUE"""),10038.0)</f>
        <v>10038</v>
      </c>
      <c r="B1565" s="164">
        <f>IFERROR(__xludf.DUMMYFUNCTION("""COMPUTED_VALUE"""),6313119.0)</f>
        <v>6313119</v>
      </c>
      <c r="C1565" s="164" t="str">
        <f>IFERROR(__xludf.DUMMYFUNCTION("""COMPUTED_VALUE"""),"6313119M")</f>
        <v>6313119M</v>
      </c>
      <c r="D1565" s="133" t="str">
        <f>IFERROR(__xludf.DUMMYFUNCTION("""COMPUTED_VALUE"""),"женский свитер с оленями")</f>
        <v>женский свитер с оленями</v>
      </c>
      <c r="E1565" s="133" t="str">
        <f>IFERROR(__xludf.DUMMYFUNCTION("""COMPUTED_VALUE"""),"M")</f>
        <v>M</v>
      </c>
      <c r="F1565" s="133" t="str">
        <f>IFERROR(__xludf.DUMMYFUNCTION("""COMPUTED_VALUE"""),"10038M")</f>
        <v>10038M</v>
      </c>
      <c r="G1565" s="165">
        <f>IFERROR(__xludf.DUMMYFUNCTION("""COMPUTED_VALUE"""),1167.0)</f>
        <v>1167</v>
      </c>
    </row>
    <row r="1566" ht="15.75" customHeight="1">
      <c r="A1566" s="133">
        <f>IFERROR(__xludf.DUMMYFUNCTION("""COMPUTED_VALUE"""),10038.0)</f>
        <v>10038</v>
      </c>
      <c r="B1566" s="164">
        <f>IFERROR(__xludf.DUMMYFUNCTION("""COMPUTED_VALUE"""),6313119.0)</f>
        <v>6313119</v>
      </c>
      <c r="C1566" s="164" t="str">
        <f>IFERROR(__xludf.DUMMYFUNCTION("""COMPUTED_VALUE"""),"6313119L")</f>
        <v>6313119L</v>
      </c>
      <c r="D1566" s="133" t="str">
        <f>IFERROR(__xludf.DUMMYFUNCTION("""COMPUTED_VALUE"""),"женский свитер с оленями")</f>
        <v>женский свитер с оленями</v>
      </c>
      <c r="E1566" s="133" t="str">
        <f>IFERROR(__xludf.DUMMYFUNCTION("""COMPUTED_VALUE"""),"L")</f>
        <v>L</v>
      </c>
      <c r="F1566" s="133" t="str">
        <f>IFERROR(__xludf.DUMMYFUNCTION("""COMPUTED_VALUE"""),"10038L")</f>
        <v>10038L</v>
      </c>
      <c r="G1566" s="165">
        <f>IFERROR(__xludf.DUMMYFUNCTION("""COMPUTED_VALUE"""),1167.0)</f>
        <v>1167</v>
      </c>
    </row>
    <row r="1567" ht="15.75" customHeight="1">
      <c r="A1567" s="133">
        <f>IFERROR(__xludf.DUMMYFUNCTION("""COMPUTED_VALUE"""),10038.0)</f>
        <v>10038</v>
      </c>
      <c r="B1567" s="164">
        <f>IFERROR(__xludf.DUMMYFUNCTION("""COMPUTED_VALUE"""),6313119.0)</f>
        <v>6313119</v>
      </c>
      <c r="C1567" s="164" t="str">
        <f>IFERROR(__xludf.DUMMYFUNCTION("""COMPUTED_VALUE"""),"6313119XL")</f>
        <v>6313119XL</v>
      </c>
      <c r="D1567" s="133" t="str">
        <f>IFERROR(__xludf.DUMMYFUNCTION("""COMPUTED_VALUE"""),"женский свитер с оленями")</f>
        <v>женский свитер с оленями</v>
      </c>
      <c r="E1567" s="133" t="str">
        <f>IFERROR(__xludf.DUMMYFUNCTION("""COMPUTED_VALUE"""),"XL")</f>
        <v>XL</v>
      </c>
      <c r="F1567" s="133" t="str">
        <f>IFERROR(__xludf.DUMMYFUNCTION("""COMPUTED_VALUE"""),"10038XL")</f>
        <v>10038XL</v>
      </c>
      <c r="G1567" s="165">
        <f>IFERROR(__xludf.DUMMYFUNCTION("""COMPUTED_VALUE"""),1167.0)</f>
        <v>1167</v>
      </c>
    </row>
    <row r="1568" ht="15.75" customHeight="1">
      <c r="A1568" s="133">
        <f>IFERROR(__xludf.DUMMYFUNCTION("""COMPUTED_VALUE"""),10038.0)</f>
        <v>10038</v>
      </c>
      <c r="B1568" s="164">
        <f>IFERROR(__xludf.DUMMYFUNCTION("""COMPUTED_VALUE"""),6313119.0)</f>
        <v>6313119</v>
      </c>
      <c r="C1568" s="164" t="str">
        <f>IFERROR(__xludf.DUMMYFUNCTION("""COMPUTED_VALUE"""),"6313119XXL")</f>
        <v>6313119XXL</v>
      </c>
      <c r="D1568" s="133" t="str">
        <f>IFERROR(__xludf.DUMMYFUNCTION("""COMPUTED_VALUE"""),"женский свитер с оленями")</f>
        <v>женский свитер с оленями</v>
      </c>
      <c r="E1568" s="133" t="str">
        <f>IFERROR(__xludf.DUMMYFUNCTION("""COMPUTED_VALUE"""),"XXL")</f>
        <v>XXL</v>
      </c>
      <c r="F1568" s="133" t="str">
        <f>IFERROR(__xludf.DUMMYFUNCTION("""COMPUTED_VALUE"""),"10038XXL")</f>
        <v>10038XXL</v>
      </c>
      <c r="G1568" s="165">
        <f>IFERROR(__xludf.DUMMYFUNCTION("""COMPUTED_VALUE"""),1167.0)</f>
        <v>1167</v>
      </c>
    </row>
    <row r="1569" ht="15.75" customHeight="1">
      <c r="A1569" s="133">
        <f>IFERROR(__xludf.DUMMYFUNCTION("""COMPUTED_VALUE"""),10039.0)</f>
        <v>10039</v>
      </c>
      <c r="B1569" s="164">
        <f>IFERROR(__xludf.DUMMYFUNCTION("""COMPUTED_VALUE"""),6313120.0)</f>
        <v>6313120</v>
      </c>
      <c r="C1569" s="164" t="str">
        <f>IFERROR(__xludf.DUMMYFUNCTION("""COMPUTED_VALUE"""),"6313120XXS")</f>
        <v>6313120XXS</v>
      </c>
      <c r="D1569" s="133" t="str">
        <f>IFERROR(__xludf.DUMMYFUNCTION("""COMPUTED_VALUE"""),"женский свитер с лосями")</f>
        <v>женский свитер с лосями</v>
      </c>
      <c r="E1569" s="133" t="str">
        <f>IFERROR(__xludf.DUMMYFUNCTION("""COMPUTED_VALUE"""),"XXS")</f>
        <v>XXS</v>
      </c>
      <c r="F1569" s="133" t="str">
        <f>IFERROR(__xludf.DUMMYFUNCTION("""COMPUTED_VALUE"""),"10039XXS")</f>
        <v>10039XXS</v>
      </c>
      <c r="G1569" s="165">
        <f>IFERROR(__xludf.DUMMYFUNCTION("""COMPUTED_VALUE"""),1167.0)</f>
        <v>1167</v>
      </c>
    </row>
    <row r="1570" ht="15.75" customHeight="1">
      <c r="A1570" s="133">
        <f>IFERROR(__xludf.DUMMYFUNCTION("""COMPUTED_VALUE"""),10039.0)</f>
        <v>10039</v>
      </c>
      <c r="B1570" s="164">
        <f>IFERROR(__xludf.DUMMYFUNCTION("""COMPUTED_VALUE"""),6313120.0)</f>
        <v>6313120</v>
      </c>
      <c r="C1570" s="164" t="str">
        <f>IFERROR(__xludf.DUMMYFUNCTION("""COMPUTED_VALUE"""),"6313120XS")</f>
        <v>6313120XS</v>
      </c>
      <c r="D1570" s="133" t="str">
        <f>IFERROR(__xludf.DUMMYFUNCTION("""COMPUTED_VALUE"""),"женский свитер с лосями")</f>
        <v>женский свитер с лосями</v>
      </c>
      <c r="E1570" s="133" t="str">
        <f>IFERROR(__xludf.DUMMYFUNCTION("""COMPUTED_VALUE"""),"XS")</f>
        <v>XS</v>
      </c>
      <c r="F1570" s="133" t="str">
        <f>IFERROR(__xludf.DUMMYFUNCTION("""COMPUTED_VALUE"""),"10039XS")</f>
        <v>10039XS</v>
      </c>
      <c r="G1570" s="165">
        <f>IFERROR(__xludf.DUMMYFUNCTION("""COMPUTED_VALUE"""),1167.0)</f>
        <v>1167</v>
      </c>
    </row>
    <row r="1571" ht="15.75" customHeight="1">
      <c r="A1571" s="133">
        <f>IFERROR(__xludf.DUMMYFUNCTION("""COMPUTED_VALUE"""),10039.0)</f>
        <v>10039</v>
      </c>
      <c r="B1571" s="164">
        <f>IFERROR(__xludf.DUMMYFUNCTION("""COMPUTED_VALUE"""),6313120.0)</f>
        <v>6313120</v>
      </c>
      <c r="C1571" s="164" t="str">
        <f>IFERROR(__xludf.DUMMYFUNCTION("""COMPUTED_VALUE"""),"6313120S")</f>
        <v>6313120S</v>
      </c>
      <c r="D1571" s="133" t="str">
        <f>IFERROR(__xludf.DUMMYFUNCTION("""COMPUTED_VALUE"""),"женский свитер с лосями")</f>
        <v>женский свитер с лосями</v>
      </c>
      <c r="E1571" s="133" t="str">
        <f>IFERROR(__xludf.DUMMYFUNCTION("""COMPUTED_VALUE"""),"S")</f>
        <v>S</v>
      </c>
      <c r="F1571" s="133" t="str">
        <f>IFERROR(__xludf.DUMMYFUNCTION("""COMPUTED_VALUE"""),"10039S")</f>
        <v>10039S</v>
      </c>
      <c r="G1571" s="165">
        <f>IFERROR(__xludf.DUMMYFUNCTION("""COMPUTED_VALUE"""),1167.0)</f>
        <v>1167</v>
      </c>
    </row>
    <row r="1572" ht="15.75" customHeight="1">
      <c r="A1572" s="133">
        <f>IFERROR(__xludf.DUMMYFUNCTION("""COMPUTED_VALUE"""),10039.0)</f>
        <v>10039</v>
      </c>
      <c r="B1572" s="164">
        <f>IFERROR(__xludf.DUMMYFUNCTION("""COMPUTED_VALUE"""),6313120.0)</f>
        <v>6313120</v>
      </c>
      <c r="C1572" s="164" t="str">
        <f>IFERROR(__xludf.DUMMYFUNCTION("""COMPUTED_VALUE"""),"6313120M")</f>
        <v>6313120M</v>
      </c>
      <c r="D1572" s="133" t="str">
        <f>IFERROR(__xludf.DUMMYFUNCTION("""COMPUTED_VALUE"""),"женский свитер с лосями")</f>
        <v>женский свитер с лосями</v>
      </c>
      <c r="E1572" s="133" t="str">
        <f>IFERROR(__xludf.DUMMYFUNCTION("""COMPUTED_VALUE"""),"M")</f>
        <v>M</v>
      </c>
      <c r="F1572" s="133" t="str">
        <f>IFERROR(__xludf.DUMMYFUNCTION("""COMPUTED_VALUE"""),"10039M")</f>
        <v>10039M</v>
      </c>
      <c r="G1572" s="165">
        <f>IFERROR(__xludf.DUMMYFUNCTION("""COMPUTED_VALUE"""),1167.0)</f>
        <v>1167</v>
      </c>
    </row>
    <row r="1573" ht="15.75" customHeight="1">
      <c r="A1573" s="133">
        <f>IFERROR(__xludf.DUMMYFUNCTION("""COMPUTED_VALUE"""),10039.0)</f>
        <v>10039</v>
      </c>
      <c r="B1573" s="164">
        <f>IFERROR(__xludf.DUMMYFUNCTION("""COMPUTED_VALUE"""),6313120.0)</f>
        <v>6313120</v>
      </c>
      <c r="C1573" s="164" t="str">
        <f>IFERROR(__xludf.DUMMYFUNCTION("""COMPUTED_VALUE"""),"6313120L")</f>
        <v>6313120L</v>
      </c>
      <c r="D1573" s="133" t="str">
        <f>IFERROR(__xludf.DUMMYFUNCTION("""COMPUTED_VALUE"""),"женский свитер с лосями")</f>
        <v>женский свитер с лосями</v>
      </c>
      <c r="E1573" s="133" t="str">
        <f>IFERROR(__xludf.DUMMYFUNCTION("""COMPUTED_VALUE"""),"L")</f>
        <v>L</v>
      </c>
      <c r="F1573" s="133" t="str">
        <f>IFERROR(__xludf.DUMMYFUNCTION("""COMPUTED_VALUE"""),"10039L")</f>
        <v>10039L</v>
      </c>
      <c r="G1573" s="165">
        <f>IFERROR(__xludf.DUMMYFUNCTION("""COMPUTED_VALUE"""),1167.0)</f>
        <v>1167</v>
      </c>
    </row>
    <row r="1574" ht="15.75" customHeight="1">
      <c r="A1574" s="133">
        <f>IFERROR(__xludf.DUMMYFUNCTION("""COMPUTED_VALUE"""),10039.0)</f>
        <v>10039</v>
      </c>
      <c r="B1574" s="164">
        <f>IFERROR(__xludf.DUMMYFUNCTION("""COMPUTED_VALUE"""),6313120.0)</f>
        <v>6313120</v>
      </c>
      <c r="C1574" s="164" t="str">
        <f>IFERROR(__xludf.DUMMYFUNCTION("""COMPUTED_VALUE"""),"6313120XL")</f>
        <v>6313120XL</v>
      </c>
      <c r="D1574" s="133" t="str">
        <f>IFERROR(__xludf.DUMMYFUNCTION("""COMPUTED_VALUE"""),"женский свитер с лосями")</f>
        <v>женский свитер с лосями</v>
      </c>
      <c r="E1574" s="133" t="str">
        <f>IFERROR(__xludf.DUMMYFUNCTION("""COMPUTED_VALUE"""),"XL")</f>
        <v>XL</v>
      </c>
      <c r="F1574" s="133" t="str">
        <f>IFERROR(__xludf.DUMMYFUNCTION("""COMPUTED_VALUE"""),"10039XL")</f>
        <v>10039XL</v>
      </c>
      <c r="G1574" s="165">
        <f>IFERROR(__xludf.DUMMYFUNCTION("""COMPUTED_VALUE"""),1167.0)</f>
        <v>1167</v>
      </c>
    </row>
    <row r="1575" ht="15.75" customHeight="1">
      <c r="A1575" s="133">
        <f>IFERROR(__xludf.DUMMYFUNCTION("""COMPUTED_VALUE"""),10039.0)</f>
        <v>10039</v>
      </c>
      <c r="B1575" s="164">
        <f>IFERROR(__xludf.DUMMYFUNCTION("""COMPUTED_VALUE"""),6313120.0)</f>
        <v>6313120</v>
      </c>
      <c r="C1575" s="164" t="str">
        <f>IFERROR(__xludf.DUMMYFUNCTION("""COMPUTED_VALUE"""),"6313120XXL")</f>
        <v>6313120XXL</v>
      </c>
      <c r="D1575" s="133" t="str">
        <f>IFERROR(__xludf.DUMMYFUNCTION("""COMPUTED_VALUE"""),"женский свитер с лосями")</f>
        <v>женский свитер с лосями</v>
      </c>
      <c r="E1575" s="133" t="str">
        <f>IFERROR(__xludf.DUMMYFUNCTION("""COMPUTED_VALUE"""),"XXL")</f>
        <v>XXL</v>
      </c>
      <c r="F1575" s="133" t="str">
        <f>IFERROR(__xludf.DUMMYFUNCTION("""COMPUTED_VALUE"""),"10039XXL")</f>
        <v>10039XXL</v>
      </c>
      <c r="G1575" s="165">
        <f>IFERROR(__xludf.DUMMYFUNCTION("""COMPUTED_VALUE"""),1167.0)</f>
        <v>1167</v>
      </c>
    </row>
    <row r="1576" ht="15.75" customHeight="1">
      <c r="A1576" s="133">
        <f>IFERROR(__xludf.DUMMYFUNCTION("""COMPUTED_VALUE"""),10045.0)</f>
        <v>10045</v>
      </c>
      <c r="B1576" s="164">
        <f>IFERROR(__xludf.DUMMYFUNCTION("""COMPUTED_VALUE"""),9417264.0)</f>
        <v>9417264</v>
      </c>
      <c r="C1576" s="164" t="str">
        <f>IFERROR(__xludf.DUMMYFUNCTION("""COMPUTED_VALUE"""),"9417264XXS")</f>
        <v>9417264XXS</v>
      </c>
      <c r="D1576" s="133" t="str">
        <f>IFERROR(__xludf.DUMMYFUNCTION("""COMPUTED_VALUE"""),"Женский свитер с Оленями")</f>
        <v>Женский свитер с Оленями</v>
      </c>
      <c r="E1576" s="133" t="str">
        <f>IFERROR(__xludf.DUMMYFUNCTION("""COMPUTED_VALUE"""),"XXS")</f>
        <v>XXS</v>
      </c>
      <c r="F1576" s="133" t="str">
        <f>IFERROR(__xludf.DUMMYFUNCTION("""COMPUTED_VALUE"""),"10045XXS")</f>
        <v>10045XXS</v>
      </c>
      <c r="G1576" s="165">
        <f>IFERROR(__xludf.DUMMYFUNCTION("""COMPUTED_VALUE"""),1167.0)</f>
        <v>1167</v>
      </c>
    </row>
    <row r="1577" ht="15.75" customHeight="1">
      <c r="A1577" s="133">
        <f>IFERROR(__xludf.DUMMYFUNCTION("""COMPUTED_VALUE"""),10045.0)</f>
        <v>10045</v>
      </c>
      <c r="B1577" s="164">
        <f>IFERROR(__xludf.DUMMYFUNCTION("""COMPUTED_VALUE"""),9417264.0)</f>
        <v>9417264</v>
      </c>
      <c r="C1577" s="164" t="str">
        <f>IFERROR(__xludf.DUMMYFUNCTION("""COMPUTED_VALUE"""),"9417264XS")</f>
        <v>9417264XS</v>
      </c>
      <c r="D1577" s="133" t="str">
        <f>IFERROR(__xludf.DUMMYFUNCTION("""COMPUTED_VALUE"""),"Женский свитер с Оленями")</f>
        <v>Женский свитер с Оленями</v>
      </c>
      <c r="E1577" s="133" t="str">
        <f>IFERROR(__xludf.DUMMYFUNCTION("""COMPUTED_VALUE"""),"XS")</f>
        <v>XS</v>
      </c>
      <c r="F1577" s="133" t="str">
        <f>IFERROR(__xludf.DUMMYFUNCTION("""COMPUTED_VALUE"""),"10045XS")</f>
        <v>10045XS</v>
      </c>
      <c r="G1577" s="165">
        <f>IFERROR(__xludf.DUMMYFUNCTION("""COMPUTED_VALUE"""),1167.0)</f>
        <v>1167</v>
      </c>
    </row>
    <row r="1578" ht="15.75" customHeight="1">
      <c r="A1578" s="133">
        <f>IFERROR(__xludf.DUMMYFUNCTION("""COMPUTED_VALUE"""),10045.0)</f>
        <v>10045</v>
      </c>
      <c r="B1578" s="164">
        <f>IFERROR(__xludf.DUMMYFUNCTION("""COMPUTED_VALUE"""),9417264.0)</f>
        <v>9417264</v>
      </c>
      <c r="C1578" s="164" t="str">
        <f>IFERROR(__xludf.DUMMYFUNCTION("""COMPUTED_VALUE"""),"9417264S")</f>
        <v>9417264S</v>
      </c>
      <c r="D1578" s="133" t="str">
        <f>IFERROR(__xludf.DUMMYFUNCTION("""COMPUTED_VALUE"""),"Женский свитер с Оленями")</f>
        <v>Женский свитер с Оленями</v>
      </c>
      <c r="E1578" s="133" t="str">
        <f>IFERROR(__xludf.DUMMYFUNCTION("""COMPUTED_VALUE"""),"S")</f>
        <v>S</v>
      </c>
      <c r="F1578" s="133" t="str">
        <f>IFERROR(__xludf.DUMMYFUNCTION("""COMPUTED_VALUE"""),"10045S")</f>
        <v>10045S</v>
      </c>
      <c r="G1578" s="165">
        <f>IFERROR(__xludf.DUMMYFUNCTION("""COMPUTED_VALUE"""),1167.0)</f>
        <v>1167</v>
      </c>
    </row>
    <row r="1579" ht="15.75" customHeight="1">
      <c r="A1579" s="133">
        <f>IFERROR(__xludf.DUMMYFUNCTION("""COMPUTED_VALUE"""),10045.0)</f>
        <v>10045</v>
      </c>
      <c r="B1579" s="164">
        <f>IFERROR(__xludf.DUMMYFUNCTION("""COMPUTED_VALUE"""),9417264.0)</f>
        <v>9417264</v>
      </c>
      <c r="C1579" s="164" t="str">
        <f>IFERROR(__xludf.DUMMYFUNCTION("""COMPUTED_VALUE"""),"9417264M")</f>
        <v>9417264M</v>
      </c>
      <c r="D1579" s="133" t="str">
        <f>IFERROR(__xludf.DUMMYFUNCTION("""COMPUTED_VALUE"""),"Женский свитер с Оленями")</f>
        <v>Женский свитер с Оленями</v>
      </c>
      <c r="E1579" s="133" t="str">
        <f>IFERROR(__xludf.DUMMYFUNCTION("""COMPUTED_VALUE"""),"M")</f>
        <v>M</v>
      </c>
      <c r="F1579" s="133" t="str">
        <f>IFERROR(__xludf.DUMMYFUNCTION("""COMPUTED_VALUE"""),"10045M")</f>
        <v>10045M</v>
      </c>
      <c r="G1579" s="165">
        <f>IFERROR(__xludf.DUMMYFUNCTION("""COMPUTED_VALUE"""),1167.0)</f>
        <v>1167</v>
      </c>
    </row>
    <row r="1580" ht="15.75" customHeight="1">
      <c r="A1580" s="133">
        <f>IFERROR(__xludf.DUMMYFUNCTION("""COMPUTED_VALUE"""),10045.0)</f>
        <v>10045</v>
      </c>
      <c r="B1580" s="164">
        <f>IFERROR(__xludf.DUMMYFUNCTION("""COMPUTED_VALUE"""),9417264.0)</f>
        <v>9417264</v>
      </c>
      <c r="C1580" s="164" t="str">
        <f>IFERROR(__xludf.DUMMYFUNCTION("""COMPUTED_VALUE"""),"9417264L")</f>
        <v>9417264L</v>
      </c>
      <c r="D1580" s="133" t="str">
        <f>IFERROR(__xludf.DUMMYFUNCTION("""COMPUTED_VALUE"""),"Женский свитер с Оленями")</f>
        <v>Женский свитер с Оленями</v>
      </c>
      <c r="E1580" s="133" t="str">
        <f>IFERROR(__xludf.DUMMYFUNCTION("""COMPUTED_VALUE"""),"L")</f>
        <v>L</v>
      </c>
      <c r="F1580" s="133" t="str">
        <f>IFERROR(__xludf.DUMMYFUNCTION("""COMPUTED_VALUE"""),"10045L")</f>
        <v>10045L</v>
      </c>
      <c r="G1580" s="165">
        <f>IFERROR(__xludf.DUMMYFUNCTION("""COMPUTED_VALUE"""),1167.0)</f>
        <v>1167</v>
      </c>
    </row>
    <row r="1581" ht="15.75" customHeight="1">
      <c r="A1581" s="133">
        <f>IFERROR(__xludf.DUMMYFUNCTION("""COMPUTED_VALUE"""),10045.0)</f>
        <v>10045</v>
      </c>
      <c r="B1581" s="164">
        <f>IFERROR(__xludf.DUMMYFUNCTION("""COMPUTED_VALUE"""),9417264.0)</f>
        <v>9417264</v>
      </c>
      <c r="C1581" s="164" t="str">
        <f>IFERROR(__xludf.DUMMYFUNCTION("""COMPUTED_VALUE"""),"9417264XL")</f>
        <v>9417264XL</v>
      </c>
      <c r="D1581" s="133" t="str">
        <f>IFERROR(__xludf.DUMMYFUNCTION("""COMPUTED_VALUE"""),"Женский свитер с Оленями")</f>
        <v>Женский свитер с Оленями</v>
      </c>
      <c r="E1581" s="133" t="str">
        <f>IFERROR(__xludf.DUMMYFUNCTION("""COMPUTED_VALUE"""),"XL")</f>
        <v>XL</v>
      </c>
      <c r="F1581" s="133" t="str">
        <f>IFERROR(__xludf.DUMMYFUNCTION("""COMPUTED_VALUE"""),"10045XL")</f>
        <v>10045XL</v>
      </c>
      <c r="G1581" s="165">
        <f>IFERROR(__xludf.DUMMYFUNCTION("""COMPUTED_VALUE"""),1167.0)</f>
        <v>1167</v>
      </c>
    </row>
    <row r="1582" ht="15.75" customHeight="1">
      <c r="A1582" s="133">
        <f>IFERROR(__xludf.DUMMYFUNCTION("""COMPUTED_VALUE"""),10045.0)</f>
        <v>10045</v>
      </c>
      <c r="B1582" s="164">
        <f>IFERROR(__xludf.DUMMYFUNCTION("""COMPUTED_VALUE"""),9417264.0)</f>
        <v>9417264</v>
      </c>
      <c r="C1582" s="164" t="str">
        <f>IFERROR(__xludf.DUMMYFUNCTION("""COMPUTED_VALUE"""),"9417264XXL")</f>
        <v>9417264XXL</v>
      </c>
      <c r="D1582" s="133" t="str">
        <f>IFERROR(__xludf.DUMMYFUNCTION("""COMPUTED_VALUE"""),"Женский свитер с Оленями")</f>
        <v>Женский свитер с Оленями</v>
      </c>
      <c r="E1582" s="133" t="str">
        <f>IFERROR(__xludf.DUMMYFUNCTION("""COMPUTED_VALUE"""),"XXL")</f>
        <v>XXL</v>
      </c>
      <c r="F1582" s="133" t="str">
        <f>IFERROR(__xludf.DUMMYFUNCTION("""COMPUTED_VALUE"""),"10045XXL")</f>
        <v>10045XXL</v>
      </c>
      <c r="G1582" s="165">
        <f>IFERROR(__xludf.DUMMYFUNCTION("""COMPUTED_VALUE"""),1167.0)</f>
        <v>1167</v>
      </c>
    </row>
    <row r="1583" ht="15.75" customHeight="1">
      <c r="A1583" s="133">
        <f>IFERROR(__xludf.DUMMYFUNCTION("""COMPUTED_VALUE"""),10047.0)</f>
        <v>10047</v>
      </c>
      <c r="B1583" s="164">
        <f>IFERROR(__xludf.DUMMYFUNCTION("""COMPUTED_VALUE"""),9950352.0)</f>
        <v>9950352</v>
      </c>
      <c r="C1583" s="164" t="str">
        <f>IFERROR(__xludf.DUMMYFUNCTION("""COMPUTED_VALUE"""),"9950352XXS")</f>
        <v>9950352XXS</v>
      </c>
      <c r="D1583" s="133" t="str">
        <f>IFERROR(__xludf.DUMMYFUNCTION("""COMPUTED_VALUE"""),"Женский свитер с Оленями")</f>
        <v>Женский свитер с Оленями</v>
      </c>
      <c r="E1583" s="133" t="str">
        <f>IFERROR(__xludf.DUMMYFUNCTION("""COMPUTED_VALUE"""),"XXS")</f>
        <v>XXS</v>
      </c>
      <c r="F1583" s="133" t="str">
        <f>IFERROR(__xludf.DUMMYFUNCTION("""COMPUTED_VALUE"""),"10047XXS")</f>
        <v>10047XXS</v>
      </c>
      <c r="G1583" s="165">
        <f>IFERROR(__xludf.DUMMYFUNCTION("""COMPUTED_VALUE"""),1167.0)</f>
        <v>1167</v>
      </c>
    </row>
    <row r="1584" ht="15.75" customHeight="1">
      <c r="A1584" s="133">
        <f>IFERROR(__xludf.DUMMYFUNCTION("""COMPUTED_VALUE"""),10047.0)</f>
        <v>10047</v>
      </c>
      <c r="B1584" s="164">
        <f>IFERROR(__xludf.DUMMYFUNCTION("""COMPUTED_VALUE"""),9950352.0)</f>
        <v>9950352</v>
      </c>
      <c r="C1584" s="164" t="str">
        <f>IFERROR(__xludf.DUMMYFUNCTION("""COMPUTED_VALUE"""),"9950352XS")</f>
        <v>9950352XS</v>
      </c>
      <c r="D1584" s="133" t="str">
        <f>IFERROR(__xludf.DUMMYFUNCTION("""COMPUTED_VALUE"""),"Женский свитер с Оленями")</f>
        <v>Женский свитер с Оленями</v>
      </c>
      <c r="E1584" s="133" t="str">
        <f>IFERROR(__xludf.DUMMYFUNCTION("""COMPUTED_VALUE"""),"XS")</f>
        <v>XS</v>
      </c>
      <c r="F1584" s="133" t="str">
        <f>IFERROR(__xludf.DUMMYFUNCTION("""COMPUTED_VALUE"""),"10047XS")</f>
        <v>10047XS</v>
      </c>
      <c r="G1584" s="165">
        <f>IFERROR(__xludf.DUMMYFUNCTION("""COMPUTED_VALUE"""),1167.0)</f>
        <v>1167</v>
      </c>
    </row>
    <row r="1585" ht="15.75" customHeight="1">
      <c r="A1585" s="133">
        <f>IFERROR(__xludf.DUMMYFUNCTION("""COMPUTED_VALUE"""),10047.0)</f>
        <v>10047</v>
      </c>
      <c r="B1585" s="164">
        <f>IFERROR(__xludf.DUMMYFUNCTION("""COMPUTED_VALUE"""),9950352.0)</f>
        <v>9950352</v>
      </c>
      <c r="C1585" s="164" t="str">
        <f>IFERROR(__xludf.DUMMYFUNCTION("""COMPUTED_VALUE"""),"9950352S")</f>
        <v>9950352S</v>
      </c>
      <c r="D1585" s="133" t="str">
        <f>IFERROR(__xludf.DUMMYFUNCTION("""COMPUTED_VALUE"""),"Женский свитер с Оленями")</f>
        <v>Женский свитер с Оленями</v>
      </c>
      <c r="E1585" s="133" t="str">
        <f>IFERROR(__xludf.DUMMYFUNCTION("""COMPUTED_VALUE"""),"S")</f>
        <v>S</v>
      </c>
      <c r="F1585" s="133" t="str">
        <f>IFERROR(__xludf.DUMMYFUNCTION("""COMPUTED_VALUE"""),"10047S")</f>
        <v>10047S</v>
      </c>
      <c r="G1585" s="165">
        <f>IFERROR(__xludf.DUMMYFUNCTION("""COMPUTED_VALUE"""),1167.0)</f>
        <v>1167</v>
      </c>
    </row>
    <row r="1586" ht="15.75" customHeight="1">
      <c r="A1586" s="133">
        <f>IFERROR(__xludf.DUMMYFUNCTION("""COMPUTED_VALUE"""),10047.0)</f>
        <v>10047</v>
      </c>
      <c r="B1586" s="164">
        <f>IFERROR(__xludf.DUMMYFUNCTION("""COMPUTED_VALUE"""),9950352.0)</f>
        <v>9950352</v>
      </c>
      <c r="C1586" s="164" t="str">
        <f>IFERROR(__xludf.DUMMYFUNCTION("""COMPUTED_VALUE"""),"9950352M")</f>
        <v>9950352M</v>
      </c>
      <c r="D1586" s="133" t="str">
        <f>IFERROR(__xludf.DUMMYFUNCTION("""COMPUTED_VALUE"""),"Женский свитер с Оленями")</f>
        <v>Женский свитер с Оленями</v>
      </c>
      <c r="E1586" s="133" t="str">
        <f>IFERROR(__xludf.DUMMYFUNCTION("""COMPUTED_VALUE"""),"M")</f>
        <v>M</v>
      </c>
      <c r="F1586" s="133" t="str">
        <f>IFERROR(__xludf.DUMMYFUNCTION("""COMPUTED_VALUE"""),"10047M")</f>
        <v>10047M</v>
      </c>
      <c r="G1586" s="165">
        <f>IFERROR(__xludf.DUMMYFUNCTION("""COMPUTED_VALUE"""),1167.0)</f>
        <v>1167</v>
      </c>
    </row>
    <row r="1587" ht="15.75" customHeight="1">
      <c r="A1587" s="133">
        <f>IFERROR(__xludf.DUMMYFUNCTION("""COMPUTED_VALUE"""),10047.0)</f>
        <v>10047</v>
      </c>
      <c r="B1587" s="164">
        <f>IFERROR(__xludf.DUMMYFUNCTION("""COMPUTED_VALUE"""),9950352.0)</f>
        <v>9950352</v>
      </c>
      <c r="C1587" s="164" t="str">
        <f>IFERROR(__xludf.DUMMYFUNCTION("""COMPUTED_VALUE"""),"9950352L")</f>
        <v>9950352L</v>
      </c>
      <c r="D1587" s="133" t="str">
        <f>IFERROR(__xludf.DUMMYFUNCTION("""COMPUTED_VALUE"""),"Женский свитер с Оленями")</f>
        <v>Женский свитер с Оленями</v>
      </c>
      <c r="E1587" s="133" t="str">
        <f>IFERROR(__xludf.DUMMYFUNCTION("""COMPUTED_VALUE"""),"L")</f>
        <v>L</v>
      </c>
      <c r="F1587" s="133" t="str">
        <f>IFERROR(__xludf.DUMMYFUNCTION("""COMPUTED_VALUE"""),"10047L")</f>
        <v>10047L</v>
      </c>
      <c r="G1587" s="165">
        <f>IFERROR(__xludf.DUMMYFUNCTION("""COMPUTED_VALUE"""),1167.0)</f>
        <v>1167</v>
      </c>
    </row>
    <row r="1588" ht="15.75" customHeight="1">
      <c r="A1588" s="133">
        <f>IFERROR(__xludf.DUMMYFUNCTION("""COMPUTED_VALUE"""),10047.0)</f>
        <v>10047</v>
      </c>
      <c r="B1588" s="164">
        <f>IFERROR(__xludf.DUMMYFUNCTION("""COMPUTED_VALUE"""),9950352.0)</f>
        <v>9950352</v>
      </c>
      <c r="C1588" s="164" t="str">
        <f>IFERROR(__xludf.DUMMYFUNCTION("""COMPUTED_VALUE"""),"9950352XL")</f>
        <v>9950352XL</v>
      </c>
      <c r="D1588" s="133" t="str">
        <f>IFERROR(__xludf.DUMMYFUNCTION("""COMPUTED_VALUE"""),"Женский свитер с Оленями")</f>
        <v>Женский свитер с Оленями</v>
      </c>
      <c r="E1588" s="133" t="str">
        <f>IFERROR(__xludf.DUMMYFUNCTION("""COMPUTED_VALUE"""),"XL")</f>
        <v>XL</v>
      </c>
      <c r="F1588" s="133" t="str">
        <f>IFERROR(__xludf.DUMMYFUNCTION("""COMPUTED_VALUE"""),"10047XL")</f>
        <v>10047XL</v>
      </c>
      <c r="G1588" s="165">
        <f>IFERROR(__xludf.DUMMYFUNCTION("""COMPUTED_VALUE"""),1167.0)</f>
        <v>1167</v>
      </c>
    </row>
    <row r="1589" ht="15.75" customHeight="1">
      <c r="A1589" s="133">
        <f>IFERROR(__xludf.DUMMYFUNCTION("""COMPUTED_VALUE"""),10047.0)</f>
        <v>10047</v>
      </c>
      <c r="B1589" s="164">
        <f>IFERROR(__xludf.DUMMYFUNCTION("""COMPUTED_VALUE"""),9950352.0)</f>
        <v>9950352</v>
      </c>
      <c r="C1589" s="164" t="str">
        <f>IFERROR(__xludf.DUMMYFUNCTION("""COMPUTED_VALUE"""),"9950352XXL")</f>
        <v>9950352XXL</v>
      </c>
      <c r="D1589" s="133" t="str">
        <f>IFERROR(__xludf.DUMMYFUNCTION("""COMPUTED_VALUE"""),"Женский свитер с Оленями")</f>
        <v>Женский свитер с Оленями</v>
      </c>
      <c r="E1589" s="133" t="str">
        <f>IFERROR(__xludf.DUMMYFUNCTION("""COMPUTED_VALUE"""),"XXL")</f>
        <v>XXL</v>
      </c>
      <c r="F1589" s="133" t="str">
        <f>IFERROR(__xludf.DUMMYFUNCTION("""COMPUTED_VALUE"""),"10047XXL")</f>
        <v>10047XXL</v>
      </c>
      <c r="G1589" s="165">
        <f>IFERROR(__xludf.DUMMYFUNCTION("""COMPUTED_VALUE"""),1167.0)</f>
        <v>1167</v>
      </c>
    </row>
    <row r="1590" ht="15.75" customHeight="1">
      <c r="A1590" s="133">
        <f>IFERROR(__xludf.DUMMYFUNCTION("""COMPUTED_VALUE"""),10048.0)</f>
        <v>10048</v>
      </c>
      <c r="B1590" s="164">
        <f>IFERROR(__xludf.DUMMYFUNCTION("""COMPUTED_VALUE"""),1.0041475E7)</f>
        <v>10041475</v>
      </c>
      <c r="C1590" s="164" t="str">
        <f>IFERROR(__xludf.DUMMYFUNCTION("""COMPUTED_VALUE"""),"10041475XXS")</f>
        <v>10041475XXS</v>
      </c>
      <c r="D1590" s="133" t="str">
        <f>IFERROR(__xludf.DUMMYFUNCTION("""COMPUTED_VALUE"""),"Женский свитер с Оленями")</f>
        <v>Женский свитер с Оленями</v>
      </c>
      <c r="E1590" s="133" t="str">
        <f>IFERROR(__xludf.DUMMYFUNCTION("""COMPUTED_VALUE"""),"XXS")</f>
        <v>XXS</v>
      </c>
      <c r="F1590" s="133" t="str">
        <f>IFERROR(__xludf.DUMMYFUNCTION("""COMPUTED_VALUE"""),"10048XXS")</f>
        <v>10048XXS</v>
      </c>
      <c r="G1590" s="165">
        <f>IFERROR(__xludf.DUMMYFUNCTION("""COMPUTED_VALUE"""),1167.0)</f>
        <v>1167</v>
      </c>
    </row>
    <row r="1591" ht="15.75" customHeight="1">
      <c r="A1591" s="133">
        <f>IFERROR(__xludf.DUMMYFUNCTION("""COMPUTED_VALUE"""),10048.0)</f>
        <v>10048</v>
      </c>
      <c r="B1591" s="164">
        <f>IFERROR(__xludf.DUMMYFUNCTION("""COMPUTED_VALUE"""),1.0041475E7)</f>
        <v>10041475</v>
      </c>
      <c r="C1591" s="164" t="str">
        <f>IFERROR(__xludf.DUMMYFUNCTION("""COMPUTED_VALUE"""),"10041475XS")</f>
        <v>10041475XS</v>
      </c>
      <c r="D1591" s="133" t="str">
        <f>IFERROR(__xludf.DUMMYFUNCTION("""COMPUTED_VALUE"""),"Женский свитер с Оленями")</f>
        <v>Женский свитер с Оленями</v>
      </c>
      <c r="E1591" s="133" t="str">
        <f>IFERROR(__xludf.DUMMYFUNCTION("""COMPUTED_VALUE"""),"XS")</f>
        <v>XS</v>
      </c>
      <c r="F1591" s="133" t="str">
        <f>IFERROR(__xludf.DUMMYFUNCTION("""COMPUTED_VALUE"""),"10048XS")</f>
        <v>10048XS</v>
      </c>
      <c r="G1591" s="165">
        <f>IFERROR(__xludf.DUMMYFUNCTION("""COMPUTED_VALUE"""),1167.0)</f>
        <v>1167</v>
      </c>
    </row>
    <row r="1592" ht="15.75" customHeight="1">
      <c r="A1592" s="133">
        <f>IFERROR(__xludf.DUMMYFUNCTION("""COMPUTED_VALUE"""),10048.0)</f>
        <v>10048</v>
      </c>
      <c r="B1592" s="164">
        <f>IFERROR(__xludf.DUMMYFUNCTION("""COMPUTED_VALUE"""),1.0041475E7)</f>
        <v>10041475</v>
      </c>
      <c r="C1592" s="164" t="str">
        <f>IFERROR(__xludf.DUMMYFUNCTION("""COMPUTED_VALUE"""),"10041475S")</f>
        <v>10041475S</v>
      </c>
      <c r="D1592" s="133" t="str">
        <f>IFERROR(__xludf.DUMMYFUNCTION("""COMPUTED_VALUE"""),"Женский свитер с Оленями")</f>
        <v>Женский свитер с Оленями</v>
      </c>
      <c r="E1592" s="133" t="str">
        <f>IFERROR(__xludf.DUMMYFUNCTION("""COMPUTED_VALUE"""),"S")</f>
        <v>S</v>
      </c>
      <c r="F1592" s="133" t="str">
        <f>IFERROR(__xludf.DUMMYFUNCTION("""COMPUTED_VALUE"""),"10048S")</f>
        <v>10048S</v>
      </c>
      <c r="G1592" s="165">
        <f>IFERROR(__xludf.DUMMYFUNCTION("""COMPUTED_VALUE"""),1167.0)</f>
        <v>1167</v>
      </c>
    </row>
    <row r="1593" ht="15.75" customHeight="1">
      <c r="A1593" s="133">
        <f>IFERROR(__xludf.DUMMYFUNCTION("""COMPUTED_VALUE"""),10048.0)</f>
        <v>10048</v>
      </c>
      <c r="B1593" s="164">
        <f>IFERROR(__xludf.DUMMYFUNCTION("""COMPUTED_VALUE"""),1.0041475E7)</f>
        <v>10041475</v>
      </c>
      <c r="C1593" s="164" t="str">
        <f>IFERROR(__xludf.DUMMYFUNCTION("""COMPUTED_VALUE"""),"10041475M")</f>
        <v>10041475M</v>
      </c>
      <c r="D1593" s="133" t="str">
        <f>IFERROR(__xludf.DUMMYFUNCTION("""COMPUTED_VALUE"""),"Женский свитер с Оленями")</f>
        <v>Женский свитер с Оленями</v>
      </c>
      <c r="E1593" s="133" t="str">
        <f>IFERROR(__xludf.DUMMYFUNCTION("""COMPUTED_VALUE"""),"M")</f>
        <v>M</v>
      </c>
      <c r="F1593" s="133" t="str">
        <f>IFERROR(__xludf.DUMMYFUNCTION("""COMPUTED_VALUE"""),"10048M")</f>
        <v>10048M</v>
      </c>
      <c r="G1593" s="165">
        <f>IFERROR(__xludf.DUMMYFUNCTION("""COMPUTED_VALUE"""),1167.0)</f>
        <v>1167</v>
      </c>
    </row>
    <row r="1594" ht="15.75" customHeight="1">
      <c r="A1594" s="133">
        <f>IFERROR(__xludf.DUMMYFUNCTION("""COMPUTED_VALUE"""),10048.0)</f>
        <v>10048</v>
      </c>
      <c r="B1594" s="164">
        <f>IFERROR(__xludf.DUMMYFUNCTION("""COMPUTED_VALUE"""),1.0041475E7)</f>
        <v>10041475</v>
      </c>
      <c r="C1594" s="164" t="str">
        <f>IFERROR(__xludf.DUMMYFUNCTION("""COMPUTED_VALUE"""),"10041475L")</f>
        <v>10041475L</v>
      </c>
      <c r="D1594" s="133" t="str">
        <f>IFERROR(__xludf.DUMMYFUNCTION("""COMPUTED_VALUE"""),"Женский свитер с Оленями")</f>
        <v>Женский свитер с Оленями</v>
      </c>
      <c r="E1594" s="133" t="str">
        <f>IFERROR(__xludf.DUMMYFUNCTION("""COMPUTED_VALUE"""),"L")</f>
        <v>L</v>
      </c>
      <c r="F1594" s="133" t="str">
        <f>IFERROR(__xludf.DUMMYFUNCTION("""COMPUTED_VALUE"""),"10048L")</f>
        <v>10048L</v>
      </c>
      <c r="G1594" s="165">
        <f>IFERROR(__xludf.DUMMYFUNCTION("""COMPUTED_VALUE"""),1167.0)</f>
        <v>1167</v>
      </c>
    </row>
    <row r="1595" ht="15.75" customHeight="1">
      <c r="A1595" s="133">
        <f>IFERROR(__xludf.DUMMYFUNCTION("""COMPUTED_VALUE"""),10048.0)</f>
        <v>10048</v>
      </c>
      <c r="B1595" s="164">
        <f>IFERROR(__xludf.DUMMYFUNCTION("""COMPUTED_VALUE"""),1.0041475E7)</f>
        <v>10041475</v>
      </c>
      <c r="C1595" s="164" t="str">
        <f>IFERROR(__xludf.DUMMYFUNCTION("""COMPUTED_VALUE"""),"10041475XL")</f>
        <v>10041475XL</v>
      </c>
      <c r="D1595" s="133" t="str">
        <f>IFERROR(__xludf.DUMMYFUNCTION("""COMPUTED_VALUE"""),"Женский свитер с Оленями")</f>
        <v>Женский свитер с Оленями</v>
      </c>
      <c r="E1595" s="133" t="str">
        <f>IFERROR(__xludf.DUMMYFUNCTION("""COMPUTED_VALUE"""),"XL")</f>
        <v>XL</v>
      </c>
      <c r="F1595" s="133" t="str">
        <f>IFERROR(__xludf.DUMMYFUNCTION("""COMPUTED_VALUE"""),"10048XL")</f>
        <v>10048XL</v>
      </c>
      <c r="G1595" s="165">
        <f>IFERROR(__xludf.DUMMYFUNCTION("""COMPUTED_VALUE"""),1167.0)</f>
        <v>1167</v>
      </c>
    </row>
    <row r="1596" ht="15.75" customHeight="1">
      <c r="A1596" s="133">
        <f>IFERROR(__xludf.DUMMYFUNCTION("""COMPUTED_VALUE"""),10049.0)</f>
        <v>10049</v>
      </c>
      <c r="B1596" s="164">
        <f>IFERROR(__xludf.DUMMYFUNCTION("""COMPUTED_VALUE"""),1.0133475E7)</f>
        <v>10133475</v>
      </c>
      <c r="C1596" s="164" t="str">
        <f>IFERROR(__xludf.DUMMYFUNCTION("""COMPUTED_VALUE"""),"10133475XXS")</f>
        <v>10133475XXS</v>
      </c>
      <c r="D1596" s="133" t="str">
        <f>IFERROR(__xludf.DUMMYFUNCTION("""COMPUTED_VALUE"""),"Женский свитер с Оленями")</f>
        <v>Женский свитер с Оленями</v>
      </c>
      <c r="E1596" s="133" t="str">
        <f>IFERROR(__xludf.DUMMYFUNCTION("""COMPUTED_VALUE"""),"XXS")</f>
        <v>XXS</v>
      </c>
      <c r="F1596" s="133" t="str">
        <f>IFERROR(__xludf.DUMMYFUNCTION("""COMPUTED_VALUE"""),"10049XXS")</f>
        <v>10049XXS</v>
      </c>
      <c r="G1596" s="165">
        <f>IFERROR(__xludf.DUMMYFUNCTION("""COMPUTED_VALUE"""),1167.0)</f>
        <v>1167</v>
      </c>
    </row>
    <row r="1597" ht="15.75" customHeight="1">
      <c r="A1597" s="133">
        <f>IFERROR(__xludf.DUMMYFUNCTION("""COMPUTED_VALUE"""),10049.0)</f>
        <v>10049</v>
      </c>
      <c r="B1597" s="164">
        <f>IFERROR(__xludf.DUMMYFUNCTION("""COMPUTED_VALUE"""),1.0133475E7)</f>
        <v>10133475</v>
      </c>
      <c r="C1597" s="164" t="str">
        <f>IFERROR(__xludf.DUMMYFUNCTION("""COMPUTED_VALUE"""),"10133475XS")</f>
        <v>10133475XS</v>
      </c>
      <c r="D1597" s="133" t="str">
        <f>IFERROR(__xludf.DUMMYFUNCTION("""COMPUTED_VALUE"""),"Женский свитер с Оленями")</f>
        <v>Женский свитер с Оленями</v>
      </c>
      <c r="E1597" s="133" t="str">
        <f>IFERROR(__xludf.DUMMYFUNCTION("""COMPUTED_VALUE"""),"XS")</f>
        <v>XS</v>
      </c>
      <c r="F1597" s="133" t="str">
        <f>IFERROR(__xludf.DUMMYFUNCTION("""COMPUTED_VALUE"""),"10049XS")</f>
        <v>10049XS</v>
      </c>
      <c r="G1597" s="165">
        <f>IFERROR(__xludf.DUMMYFUNCTION("""COMPUTED_VALUE"""),1167.0)</f>
        <v>1167</v>
      </c>
    </row>
    <row r="1598" ht="15.75" customHeight="1">
      <c r="A1598" s="133">
        <f>IFERROR(__xludf.DUMMYFUNCTION("""COMPUTED_VALUE"""),10049.0)</f>
        <v>10049</v>
      </c>
      <c r="B1598" s="164">
        <f>IFERROR(__xludf.DUMMYFUNCTION("""COMPUTED_VALUE"""),1.0133475E7)</f>
        <v>10133475</v>
      </c>
      <c r="C1598" s="164" t="str">
        <f>IFERROR(__xludf.DUMMYFUNCTION("""COMPUTED_VALUE"""),"10133475S")</f>
        <v>10133475S</v>
      </c>
      <c r="D1598" s="133" t="str">
        <f>IFERROR(__xludf.DUMMYFUNCTION("""COMPUTED_VALUE"""),"Женский свитер с Оленями")</f>
        <v>Женский свитер с Оленями</v>
      </c>
      <c r="E1598" s="133" t="str">
        <f>IFERROR(__xludf.DUMMYFUNCTION("""COMPUTED_VALUE"""),"S")</f>
        <v>S</v>
      </c>
      <c r="F1598" s="133" t="str">
        <f>IFERROR(__xludf.DUMMYFUNCTION("""COMPUTED_VALUE"""),"10049S")</f>
        <v>10049S</v>
      </c>
      <c r="G1598" s="165">
        <f>IFERROR(__xludf.DUMMYFUNCTION("""COMPUTED_VALUE"""),1167.0)</f>
        <v>1167</v>
      </c>
    </row>
    <row r="1599" ht="15.75" customHeight="1">
      <c r="A1599" s="133">
        <f>IFERROR(__xludf.DUMMYFUNCTION("""COMPUTED_VALUE"""),10049.0)</f>
        <v>10049</v>
      </c>
      <c r="B1599" s="164">
        <f>IFERROR(__xludf.DUMMYFUNCTION("""COMPUTED_VALUE"""),1.0133475E7)</f>
        <v>10133475</v>
      </c>
      <c r="C1599" s="164" t="str">
        <f>IFERROR(__xludf.DUMMYFUNCTION("""COMPUTED_VALUE"""),"10133475M")</f>
        <v>10133475M</v>
      </c>
      <c r="D1599" s="133" t="str">
        <f>IFERROR(__xludf.DUMMYFUNCTION("""COMPUTED_VALUE"""),"Женский свитер с Оленями")</f>
        <v>Женский свитер с Оленями</v>
      </c>
      <c r="E1599" s="133" t="str">
        <f>IFERROR(__xludf.DUMMYFUNCTION("""COMPUTED_VALUE"""),"M")</f>
        <v>M</v>
      </c>
      <c r="F1599" s="133" t="str">
        <f>IFERROR(__xludf.DUMMYFUNCTION("""COMPUTED_VALUE"""),"10049M")</f>
        <v>10049M</v>
      </c>
      <c r="G1599" s="165">
        <f>IFERROR(__xludf.DUMMYFUNCTION("""COMPUTED_VALUE"""),1167.0)</f>
        <v>1167</v>
      </c>
    </row>
    <row r="1600" ht="15.75" customHeight="1">
      <c r="A1600" s="133">
        <f>IFERROR(__xludf.DUMMYFUNCTION("""COMPUTED_VALUE"""),10049.0)</f>
        <v>10049</v>
      </c>
      <c r="B1600" s="164">
        <f>IFERROR(__xludf.DUMMYFUNCTION("""COMPUTED_VALUE"""),1.0133475E7)</f>
        <v>10133475</v>
      </c>
      <c r="C1600" s="164" t="str">
        <f>IFERROR(__xludf.DUMMYFUNCTION("""COMPUTED_VALUE"""),"10133475L")</f>
        <v>10133475L</v>
      </c>
      <c r="D1600" s="133" t="str">
        <f>IFERROR(__xludf.DUMMYFUNCTION("""COMPUTED_VALUE"""),"Женский свитер с Оленями")</f>
        <v>Женский свитер с Оленями</v>
      </c>
      <c r="E1600" s="133" t="str">
        <f>IFERROR(__xludf.DUMMYFUNCTION("""COMPUTED_VALUE"""),"L")</f>
        <v>L</v>
      </c>
      <c r="F1600" s="133" t="str">
        <f>IFERROR(__xludf.DUMMYFUNCTION("""COMPUTED_VALUE"""),"10049L")</f>
        <v>10049L</v>
      </c>
      <c r="G1600" s="165">
        <f>IFERROR(__xludf.DUMMYFUNCTION("""COMPUTED_VALUE"""),1167.0)</f>
        <v>1167</v>
      </c>
    </row>
    <row r="1601" ht="15.75" customHeight="1">
      <c r="A1601" s="133">
        <f>IFERROR(__xludf.DUMMYFUNCTION("""COMPUTED_VALUE"""),10049.0)</f>
        <v>10049</v>
      </c>
      <c r="B1601" s="164">
        <f>IFERROR(__xludf.DUMMYFUNCTION("""COMPUTED_VALUE"""),1.0133475E7)</f>
        <v>10133475</v>
      </c>
      <c r="C1601" s="164" t="str">
        <f>IFERROR(__xludf.DUMMYFUNCTION("""COMPUTED_VALUE"""),"10133475XL")</f>
        <v>10133475XL</v>
      </c>
      <c r="D1601" s="133" t="str">
        <f>IFERROR(__xludf.DUMMYFUNCTION("""COMPUTED_VALUE"""),"Женский свитер с Оленями")</f>
        <v>Женский свитер с Оленями</v>
      </c>
      <c r="E1601" s="133" t="str">
        <f>IFERROR(__xludf.DUMMYFUNCTION("""COMPUTED_VALUE"""),"XL")</f>
        <v>XL</v>
      </c>
      <c r="F1601" s="133" t="str">
        <f>IFERROR(__xludf.DUMMYFUNCTION("""COMPUTED_VALUE"""),"10049XL")</f>
        <v>10049XL</v>
      </c>
      <c r="G1601" s="165">
        <f>IFERROR(__xludf.DUMMYFUNCTION("""COMPUTED_VALUE"""),1167.0)</f>
        <v>1167</v>
      </c>
    </row>
    <row r="1602" ht="15.75" customHeight="1">
      <c r="A1602" s="133">
        <f>IFERROR(__xludf.DUMMYFUNCTION("""COMPUTED_VALUE"""),10050.0)</f>
        <v>10050</v>
      </c>
      <c r="B1602" s="164">
        <f>IFERROR(__xludf.DUMMYFUNCTION("""COMPUTED_VALUE"""),1.0041476E7)</f>
        <v>10041476</v>
      </c>
      <c r="C1602" s="164" t="str">
        <f>IFERROR(__xludf.DUMMYFUNCTION("""COMPUTED_VALUE"""),"10041476XXS")</f>
        <v>10041476XXS</v>
      </c>
      <c r="D1602" s="133" t="str">
        <f>IFERROR(__xludf.DUMMYFUNCTION("""COMPUTED_VALUE"""),"Женский свитер с Оленями")</f>
        <v>Женский свитер с Оленями</v>
      </c>
      <c r="E1602" s="133" t="str">
        <f>IFERROR(__xludf.DUMMYFUNCTION("""COMPUTED_VALUE"""),"XXS")</f>
        <v>XXS</v>
      </c>
      <c r="F1602" s="133" t="str">
        <f>IFERROR(__xludf.DUMMYFUNCTION("""COMPUTED_VALUE"""),"10050XXS")</f>
        <v>10050XXS</v>
      </c>
      <c r="G1602" s="165">
        <f>IFERROR(__xludf.DUMMYFUNCTION("""COMPUTED_VALUE"""),1167.0)</f>
        <v>1167</v>
      </c>
    </row>
    <row r="1603" ht="15.75" customHeight="1">
      <c r="A1603" s="133">
        <f>IFERROR(__xludf.DUMMYFUNCTION("""COMPUTED_VALUE"""),10050.0)</f>
        <v>10050</v>
      </c>
      <c r="B1603" s="164">
        <f>IFERROR(__xludf.DUMMYFUNCTION("""COMPUTED_VALUE"""),1.0041476E7)</f>
        <v>10041476</v>
      </c>
      <c r="C1603" s="164" t="str">
        <f>IFERROR(__xludf.DUMMYFUNCTION("""COMPUTED_VALUE"""),"10041476XS")</f>
        <v>10041476XS</v>
      </c>
      <c r="D1603" s="133" t="str">
        <f>IFERROR(__xludf.DUMMYFUNCTION("""COMPUTED_VALUE"""),"Женский свитер с Оленями")</f>
        <v>Женский свитер с Оленями</v>
      </c>
      <c r="E1603" s="133" t="str">
        <f>IFERROR(__xludf.DUMMYFUNCTION("""COMPUTED_VALUE"""),"XS")</f>
        <v>XS</v>
      </c>
      <c r="F1603" s="133" t="str">
        <f>IFERROR(__xludf.DUMMYFUNCTION("""COMPUTED_VALUE"""),"10050XS")</f>
        <v>10050XS</v>
      </c>
      <c r="G1603" s="165">
        <f>IFERROR(__xludf.DUMMYFUNCTION("""COMPUTED_VALUE"""),1167.0)</f>
        <v>1167</v>
      </c>
    </row>
    <row r="1604" ht="15.75" customHeight="1">
      <c r="A1604" s="133">
        <f>IFERROR(__xludf.DUMMYFUNCTION("""COMPUTED_VALUE"""),10050.0)</f>
        <v>10050</v>
      </c>
      <c r="B1604" s="164">
        <f>IFERROR(__xludf.DUMMYFUNCTION("""COMPUTED_VALUE"""),1.0041476E7)</f>
        <v>10041476</v>
      </c>
      <c r="C1604" s="164" t="str">
        <f>IFERROR(__xludf.DUMMYFUNCTION("""COMPUTED_VALUE"""),"10041476S")</f>
        <v>10041476S</v>
      </c>
      <c r="D1604" s="133" t="str">
        <f>IFERROR(__xludf.DUMMYFUNCTION("""COMPUTED_VALUE"""),"Женский свитер с Оленями")</f>
        <v>Женский свитер с Оленями</v>
      </c>
      <c r="E1604" s="133" t="str">
        <f>IFERROR(__xludf.DUMMYFUNCTION("""COMPUTED_VALUE"""),"S")</f>
        <v>S</v>
      </c>
      <c r="F1604" s="133" t="str">
        <f>IFERROR(__xludf.DUMMYFUNCTION("""COMPUTED_VALUE"""),"10050S")</f>
        <v>10050S</v>
      </c>
      <c r="G1604" s="165">
        <f>IFERROR(__xludf.DUMMYFUNCTION("""COMPUTED_VALUE"""),1167.0)</f>
        <v>1167</v>
      </c>
    </row>
    <row r="1605" ht="15.75" customHeight="1">
      <c r="A1605" s="133">
        <f>IFERROR(__xludf.DUMMYFUNCTION("""COMPUTED_VALUE"""),10050.0)</f>
        <v>10050</v>
      </c>
      <c r="B1605" s="164">
        <f>IFERROR(__xludf.DUMMYFUNCTION("""COMPUTED_VALUE"""),1.0041476E7)</f>
        <v>10041476</v>
      </c>
      <c r="C1605" s="164" t="str">
        <f>IFERROR(__xludf.DUMMYFUNCTION("""COMPUTED_VALUE"""),"10041476M")</f>
        <v>10041476M</v>
      </c>
      <c r="D1605" s="133" t="str">
        <f>IFERROR(__xludf.DUMMYFUNCTION("""COMPUTED_VALUE"""),"Женский свитер с Оленями")</f>
        <v>Женский свитер с Оленями</v>
      </c>
      <c r="E1605" s="133" t="str">
        <f>IFERROR(__xludf.DUMMYFUNCTION("""COMPUTED_VALUE"""),"M")</f>
        <v>M</v>
      </c>
      <c r="F1605" s="133" t="str">
        <f>IFERROR(__xludf.DUMMYFUNCTION("""COMPUTED_VALUE"""),"10050M")</f>
        <v>10050M</v>
      </c>
      <c r="G1605" s="165">
        <f>IFERROR(__xludf.DUMMYFUNCTION("""COMPUTED_VALUE"""),1167.0)</f>
        <v>1167</v>
      </c>
    </row>
    <row r="1606" ht="15.75" customHeight="1">
      <c r="A1606" s="133">
        <f>IFERROR(__xludf.DUMMYFUNCTION("""COMPUTED_VALUE"""),10050.0)</f>
        <v>10050</v>
      </c>
      <c r="B1606" s="164">
        <f>IFERROR(__xludf.DUMMYFUNCTION("""COMPUTED_VALUE"""),1.0041476E7)</f>
        <v>10041476</v>
      </c>
      <c r="C1606" s="164" t="str">
        <f>IFERROR(__xludf.DUMMYFUNCTION("""COMPUTED_VALUE"""),"10041476L")</f>
        <v>10041476L</v>
      </c>
      <c r="D1606" s="133" t="str">
        <f>IFERROR(__xludf.DUMMYFUNCTION("""COMPUTED_VALUE"""),"Женский свитер с Оленями")</f>
        <v>Женский свитер с Оленями</v>
      </c>
      <c r="E1606" s="133" t="str">
        <f>IFERROR(__xludf.DUMMYFUNCTION("""COMPUTED_VALUE"""),"L")</f>
        <v>L</v>
      </c>
      <c r="F1606" s="133" t="str">
        <f>IFERROR(__xludf.DUMMYFUNCTION("""COMPUTED_VALUE"""),"10050L")</f>
        <v>10050L</v>
      </c>
      <c r="G1606" s="165">
        <f>IFERROR(__xludf.DUMMYFUNCTION("""COMPUTED_VALUE"""),1167.0)</f>
        <v>1167</v>
      </c>
    </row>
    <row r="1607" ht="15.75" customHeight="1">
      <c r="A1607" s="133">
        <f>IFERROR(__xludf.DUMMYFUNCTION("""COMPUTED_VALUE"""),10050.0)</f>
        <v>10050</v>
      </c>
      <c r="B1607" s="164">
        <f>IFERROR(__xludf.DUMMYFUNCTION("""COMPUTED_VALUE"""),1.0041476E7)</f>
        <v>10041476</v>
      </c>
      <c r="C1607" s="164" t="str">
        <f>IFERROR(__xludf.DUMMYFUNCTION("""COMPUTED_VALUE"""),"10041476XL")</f>
        <v>10041476XL</v>
      </c>
      <c r="D1607" s="133" t="str">
        <f>IFERROR(__xludf.DUMMYFUNCTION("""COMPUTED_VALUE"""),"Женский свитер с Оленями")</f>
        <v>Женский свитер с Оленями</v>
      </c>
      <c r="E1607" s="133" t="str">
        <f>IFERROR(__xludf.DUMMYFUNCTION("""COMPUTED_VALUE"""),"XL")</f>
        <v>XL</v>
      </c>
      <c r="F1607" s="133" t="str">
        <f>IFERROR(__xludf.DUMMYFUNCTION("""COMPUTED_VALUE"""),"10050XL")</f>
        <v>10050XL</v>
      </c>
      <c r="G1607" s="165">
        <f>IFERROR(__xludf.DUMMYFUNCTION("""COMPUTED_VALUE"""),1167.0)</f>
        <v>1167</v>
      </c>
    </row>
    <row r="1608" ht="15.75" customHeight="1">
      <c r="A1608" s="133">
        <f>IFERROR(__xludf.DUMMYFUNCTION("""COMPUTED_VALUE"""),10050.0)</f>
        <v>10050</v>
      </c>
      <c r="B1608" s="164">
        <f>IFERROR(__xludf.DUMMYFUNCTION("""COMPUTED_VALUE"""),1.0041476E7)</f>
        <v>10041476</v>
      </c>
      <c r="C1608" s="164" t="str">
        <f>IFERROR(__xludf.DUMMYFUNCTION("""COMPUTED_VALUE"""),"10041476XXL")</f>
        <v>10041476XXL</v>
      </c>
      <c r="D1608" s="133" t="str">
        <f>IFERROR(__xludf.DUMMYFUNCTION("""COMPUTED_VALUE"""),"Женский свитер с Оленями")</f>
        <v>Женский свитер с Оленями</v>
      </c>
      <c r="E1608" s="133" t="str">
        <f>IFERROR(__xludf.DUMMYFUNCTION("""COMPUTED_VALUE"""),"XXL")</f>
        <v>XXL</v>
      </c>
      <c r="F1608" s="133" t="str">
        <f>IFERROR(__xludf.DUMMYFUNCTION("""COMPUTED_VALUE"""),"10050XXL")</f>
        <v>10050XXL</v>
      </c>
      <c r="G1608" s="165">
        <f>IFERROR(__xludf.DUMMYFUNCTION("""COMPUTED_VALUE"""),1167.0)</f>
        <v>1167</v>
      </c>
    </row>
    <row r="1609" ht="15.75" customHeight="1">
      <c r="A1609" s="133">
        <f>IFERROR(__xludf.DUMMYFUNCTION("""COMPUTED_VALUE"""),10051.0)</f>
        <v>10051</v>
      </c>
      <c r="B1609" s="164">
        <f>IFERROR(__xludf.DUMMYFUNCTION("""COMPUTED_VALUE"""),1.0041477E7)</f>
        <v>10041477</v>
      </c>
      <c r="C1609" s="164" t="str">
        <f>IFERROR(__xludf.DUMMYFUNCTION("""COMPUTED_VALUE"""),"10041477XXS")</f>
        <v>10041477XXS</v>
      </c>
      <c r="D1609" s="133" t="str">
        <f>IFERROR(__xludf.DUMMYFUNCTION("""COMPUTED_VALUE"""),"Женский свитер с Оленями")</f>
        <v>Женский свитер с Оленями</v>
      </c>
      <c r="E1609" s="133" t="str">
        <f>IFERROR(__xludf.DUMMYFUNCTION("""COMPUTED_VALUE"""),"XXS")</f>
        <v>XXS</v>
      </c>
      <c r="F1609" s="133" t="str">
        <f>IFERROR(__xludf.DUMMYFUNCTION("""COMPUTED_VALUE"""),"10051XXS")</f>
        <v>10051XXS</v>
      </c>
      <c r="G1609" s="165">
        <f>IFERROR(__xludf.DUMMYFUNCTION("""COMPUTED_VALUE"""),1167.0)</f>
        <v>1167</v>
      </c>
    </row>
    <row r="1610" ht="15.75" customHeight="1">
      <c r="A1610" s="133">
        <f>IFERROR(__xludf.DUMMYFUNCTION("""COMPUTED_VALUE"""),10051.0)</f>
        <v>10051</v>
      </c>
      <c r="B1610" s="164">
        <f>IFERROR(__xludf.DUMMYFUNCTION("""COMPUTED_VALUE"""),1.0041477E7)</f>
        <v>10041477</v>
      </c>
      <c r="C1610" s="164" t="str">
        <f>IFERROR(__xludf.DUMMYFUNCTION("""COMPUTED_VALUE"""),"10041477XS")</f>
        <v>10041477XS</v>
      </c>
      <c r="D1610" s="133" t="str">
        <f>IFERROR(__xludf.DUMMYFUNCTION("""COMPUTED_VALUE"""),"Женский свитер с Оленями")</f>
        <v>Женский свитер с Оленями</v>
      </c>
      <c r="E1610" s="133" t="str">
        <f>IFERROR(__xludf.DUMMYFUNCTION("""COMPUTED_VALUE"""),"XS")</f>
        <v>XS</v>
      </c>
      <c r="F1610" s="133" t="str">
        <f>IFERROR(__xludf.DUMMYFUNCTION("""COMPUTED_VALUE"""),"10051XS")</f>
        <v>10051XS</v>
      </c>
      <c r="G1610" s="165">
        <f>IFERROR(__xludf.DUMMYFUNCTION("""COMPUTED_VALUE"""),1167.0)</f>
        <v>1167</v>
      </c>
    </row>
    <row r="1611" ht="15.75" customHeight="1">
      <c r="A1611" s="133">
        <f>IFERROR(__xludf.DUMMYFUNCTION("""COMPUTED_VALUE"""),10051.0)</f>
        <v>10051</v>
      </c>
      <c r="B1611" s="164">
        <f>IFERROR(__xludf.DUMMYFUNCTION("""COMPUTED_VALUE"""),1.0041477E7)</f>
        <v>10041477</v>
      </c>
      <c r="C1611" s="164" t="str">
        <f>IFERROR(__xludf.DUMMYFUNCTION("""COMPUTED_VALUE"""),"10041477S")</f>
        <v>10041477S</v>
      </c>
      <c r="D1611" s="133" t="str">
        <f>IFERROR(__xludf.DUMMYFUNCTION("""COMPUTED_VALUE"""),"Женский свитер с Оленями")</f>
        <v>Женский свитер с Оленями</v>
      </c>
      <c r="E1611" s="133" t="str">
        <f>IFERROR(__xludf.DUMMYFUNCTION("""COMPUTED_VALUE"""),"S")</f>
        <v>S</v>
      </c>
      <c r="F1611" s="133" t="str">
        <f>IFERROR(__xludf.DUMMYFUNCTION("""COMPUTED_VALUE"""),"10051S")</f>
        <v>10051S</v>
      </c>
      <c r="G1611" s="165">
        <f>IFERROR(__xludf.DUMMYFUNCTION("""COMPUTED_VALUE"""),1167.0)</f>
        <v>1167</v>
      </c>
    </row>
    <row r="1612" ht="15.75" customHeight="1">
      <c r="A1612" s="133">
        <f>IFERROR(__xludf.DUMMYFUNCTION("""COMPUTED_VALUE"""),10051.0)</f>
        <v>10051</v>
      </c>
      <c r="B1612" s="164">
        <f>IFERROR(__xludf.DUMMYFUNCTION("""COMPUTED_VALUE"""),1.0041477E7)</f>
        <v>10041477</v>
      </c>
      <c r="C1612" s="164" t="str">
        <f>IFERROR(__xludf.DUMMYFUNCTION("""COMPUTED_VALUE"""),"10041477M")</f>
        <v>10041477M</v>
      </c>
      <c r="D1612" s="133" t="str">
        <f>IFERROR(__xludf.DUMMYFUNCTION("""COMPUTED_VALUE"""),"Женский свитер с Оленями")</f>
        <v>Женский свитер с Оленями</v>
      </c>
      <c r="E1612" s="133" t="str">
        <f>IFERROR(__xludf.DUMMYFUNCTION("""COMPUTED_VALUE"""),"M")</f>
        <v>M</v>
      </c>
      <c r="F1612" s="133" t="str">
        <f>IFERROR(__xludf.DUMMYFUNCTION("""COMPUTED_VALUE"""),"10051M")</f>
        <v>10051M</v>
      </c>
      <c r="G1612" s="165">
        <f>IFERROR(__xludf.DUMMYFUNCTION("""COMPUTED_VALUE"""),1167.0)</f>
        <v>1167</v>
      </c>
    </row>
    <row r="1613" ht="15.75" customHeight="1">
      <c r="A1613" s="133">
        <f>IFERROR(__xludf.DUMMYFUNCTION("""COMPUTED_VALUE"""),10051.0)</f>
        <v>10051</v>
      </c>
      <c r="B1613" s="164">
        <f>IFERROR(__xludf.DUMMYFUNCTION("""COMPUTED_VALUE"""),1.0041477E7)</f>
        <v>10041477</v>
      </c>
      <c r="C1613" s="164" t="str">
        <f>IFERROR(__xludf.DUMMYFUNCTION("""COMPUTED_VALUE"""),"10041477L")</f>
        <v>10041477L</v>
      </c>
      <c r="D1613" s="133" t="str">
        <f>IFERROR(__xludf.DUMMYFUNCTION("""COMPUTED_VALUE"""),"Женский свитер с Оленями")</f>
        <v>Женский свитер с Оленями</v>
      </c>
      <c r="E1613" s="133" t="str">
        <f>IFERROR(__xludf.DUMMYFUNCTION("""COMPUTED_VALUE"""),"L")</f>
        <v>L</v>
      </c>
      <c r="F1613" s="133" t="str">
        <f>IFERROR(__xludf.DUMMYFUNCTION("""COMPUTED_VALUE"""),"10051L")</f>
        <v>10051L</v>
      </c>
      <c r="G1613" s="165">
        <f>IFERROR(__xludf.DUMMYFUNCTION("""COMPUTED_VALUE"""),1167.0)</f>
        <v>1167</v>
      </c>
    </row>
    <row r="1614" ht="15.75" customHeight="1">
      <c r="A1614" s="133">
        <f>IFERROR(__xludf.DUMMYFUNCTION("""COMPUTED_VALUE"""),10051.0)</f>
        <v>10051</v>
      </c>
      <c r="B1614" s="164">
        <f>IFERROR(__xludf.DUMMYFUNCTION("""COMPUTED_VALUE"""),1.0041477E7)</f>
        <v>10041477</v>
      </c>
      <c r="C1614" s="164" t="str">
        <f>IFERROR(__xludf.DUMMYFUNCTION("""COMPUTED_VALUE"""),"10041477XL")</f>
        <v>10041477XL</v>
      </c>
      <c r="D1614" s="133" t="str">
        <f>IFERROR(__xludf.DUMMYFUNCTION("""COMPUTED_VALUE"""),"Женский свитер с Оленями")</f>
        <v>Женский свитер с Оленями</v>
      </c>
      <c r="E1614" s="133" t="str">
        <f>IFERROR(__xludf.DUMMYFUNCTION("""COMPUTED_VALUE"""),"XL")</f>
        <v>XL</v>
      </c>
      <c r="F1614" s="133" t="str">
        <f>IFERROR(__xludf.DUMMYFUNCTION("""COMPUTED_VALUE"""),"10051XL")</f>
        <v>10051XL</v>
      </c>
      <c r="G1614" s="165">
        <f>IFERROR(__xludf.DUMMYFUNCTION("""COMPUTED_VALUE"""),1167.0)</f>
        <v>1167</v>
      </c>
    </row>
    <row r="1615" ht="15.75" customHeight="1">
      <c r="A1615" s="133">
        <f>IFERROR(__xludf.DUMMYFUNCTION("""COMPUTED_VALUE"""),10051.0)</f>
        <v>10051</v>
      </c>
      <c r="B1615" s="164">
        <f>IFERROR(__xludf.DUMMYFUNCTION("""COMPUTED_VALUE"""),1.0041477E7)</f>
        <v>10041477</v>
      </c>
      <c r="C1615" s="164" t="str">
        <f>IFERROR(__xludf.DUMMYFUNCTION("""COMPUTED_VALUE"""),"10041477XXL")</f>
        <v>10041477XXL</v>
      </c>
      <c r="D1615" s="133" t="str">
        <f>IFERROR(__xludf.DUMMYFUNCTION("""COMPUTED_VALUE"""),"Женский свитер с Оленями")</f>
        <v>Женский свитер с Оленями</v>
      </c>
      <c r="E1615" s="133" t="str">
        <f>IFERROR(__xludf.DUMMYFUNCTION("""COMPUTED_VALUE"""),"XXL")</f>
        <v>XXL</v>
      </c>
      <c r="F1615" s="133" t="str">
        <f>IFERROR(__xludf.DUMMYFUNCTION("""COMPUTED_VALUE"""),"10051XXL")</f>
        <v>10051XXL</v>
      </c>
      <c r="G1615" s="165">
        <f>IFERROR(__xludf.DUMMYFUNCTION("""COMPUTED_VALUE"""),1167.0)</f>
        <v>1167</v>
      </c>
    </row>
    <row r="1616" ht="15.75" customHeight="1">
      <c r="A1616" s="133">
        <f>IFERROR(__xludf.DUMMYFUNCTION("""COMPUTED_VALUE"""),10052.0)</f>
        <v>10052</v>
      </c>
      <c r="B1616" s="164">
        <f>IFERROR(__xludf.DUMMYFUNCTION("""COMPUTED_VALUE"""),1.0041478E7)</f>
        <v>10041478</v>
      </c>
      <c r="C1616" s="164" t="str">
        <f>IFERROR(__xludf.DUMMYFUNCTION("""COMPUTED_VALUE"""),"10041478XXS")</f>
        <v>10041478XXS</v>
      </c>
      <c r="D1616" s="133" t="str">
        <f>IFERROR(__xludf.DUMMYFUNCTION("""COMPUTED_VALUE"""),"Женский свитер с Оленями")</f>
        <v>Женский свитер с Оленями</v>
      </c>
      <c r="E1616" s="133" t="str">
        <f>IFERROR(__xludf.DUMMYFUNCTION("""COMPUTED_VALUE"""),"XXS")</f>
        <v>XXS</v>
      </c>
      <c r="F1616" s="133" t="str">
        <f>IFERROR(__xludf.DUMMYFUNCTION("""COMPUTED_VALUE"""),"10052XXS")</f>
        <v>10052XXS</v>
      </c>
      <c r="G1616" s="165">
        <f>IFERROR(__xludf.DUMMYFUNCTION("""COMPUTED_VALUE"""),1167.0)</f>
        <v>1167</v>
      </c>
    </row>
    <row r="1617" ht="15.75" customHeight="1">
      <c r="A1617" s="133">
        <f>IFERROR(__xludf.DUMMYFUNCTION("""COMPUTED_VALUE"""),10052.0)</f>
        <v>10052</v>
      </c>
      <c r="B1617" s="164">
        <f>IFERROR(__xludf.DUMMYFUNCTION("""COMPUTED_VALUE"""),1.0041478E7)</f>
        <v>10041478</v>
      </c>
      <c r="C1617" s="164" t="str">
        <f>IFERROR(__xludf.DUMMYFUNCTION("""COMPUTED_VALUE"""),"10041478XS")</f>
        <v>10041478XS</v>
      </c>
      <c r="D1617" s="133" t="str">
        <f>IFERROR(__xludf.DUMMYFUNCTION("""COMPUTED_VALUE"""),"Женский свитер с Оленями")</f>
        <v>Женский свитер с Оленями</v>
      </c>
      <c r="E1617" s="133" t="str">
        <f>IFERROR(__xludf.DUMMYFUNCTION("""COMPUTED_VALUE"""),"XS")</f>
        <v>XS</v>
      </c>
      <c r="F1617" s="133" t="str">
        <f>IFERROR(__xludf.DUMMYFUNCTION("""COMPUTED_VALUE"""),"10052XS")</f>
        <v>10052XS</v>
      </c>
      <c r="G1617" s="165">
        <f>IFERROR(__xludf.DUMMYFUNCTION("""COMPUTED_VALUE"""),1167.0)</f>
        <v>1167</v>
      </c>
    </row>
    <row r="1618" ht="15.75" customHeight="1">
      <c r="A1618" s="133">
        <f>IFERROR(__xludf.DUMMYFUNCTION("""COMPUTED_VALUE"""),10052.0)</f>
        <v>10052</v>
      </c>
      <c r="B1618" s="164">
        <f>IFERROR(__xludf.DUMMYFUNCTION("""COMPUTED_VALUE"""),1.0041478E7)</f>
        <v>10041478</v>
      </c>
      <c r="C1618" s="164" t="str">
        <f>IFERROR(__xludf.DUMMYFUNCTION("""COMPUTED_VALUE"""),"10041478S")</f>
        <v>10041478S</v>
      </c>
      <c r="D1618" s="133" t="str">
        <f>IFERROR(__xludf.DUMMYFUNCTION("""COMPUTED_VALUE"""),"Женский свитер с Оленями")</f>
        <v>Женский свитер с Оленями</v>
      </c>
      <c r="E1618" s="133" t="str">
        <f>IFERROR(__xludf.DUMMYFUNCTION("""COMPUTED_VALUE"""),"S")</f>
        <v>S</v>
      </c>
      <c r="F1618" s="133" t="str">
        <f>IFERROR(__xludf.DUMMYFUNCTION("""COMPUTED_VALUE"""),"10052S")</f>
        <v>10052S</v>
      </c>
      <c r="G1618" s="165">
        <f>IFERROR(__xludf.DUMMYFUNCTION("""COMPUTED_VALUE"""),1167.0)</f>
        <v>1167</v>
      </c>
    </row>
    <row r="1619" ht="15.75" customHeight="1">
      <c r="A1619" s="133">
        <f>IFERROR(__xludf.DUMMYFUNCTION("""COMPUTED_VALUE"""),10052.0)</f>
        <v>10052</v>
      </c>
      <c r="B1619" s="164">
        <f>IFERROR(__xludf.DUMMYFUNCTION("""COMPUTED_VALUE"""),1.0041478E7)</f>
        <v>10041478</v>
      </c>
      <c r="C1619" s="164" t="str">
        <f>IFERROR(__xludf.DUMMYFUNCTION("""COMPUTED_VALUE"""),"10041478M")</f>
        <v>10041478M</v>
      </c>
      <c r="D1619" s="133" t="str">
        <f>IFERROR(__xludf.DUMMYFUNCTION("""COMPUTED_VALUE"""),"Женский свитер с Оленями")</f>
        <v>Женский свитер с Оленями</v>
      </c>
      <c r="E1619" s="133" t="str">
        <f>IFERROR(__xludf.DUMMYFUNCTION("""COMPUTED_VALUE"""),"M")</f>
        <v>M</v>
      </c>
      <c r="F1619" s="133" t="str">
        <f>IFERROR(__xludf.DUMMYFUNCTION("""COMPUTED_VALUE"""),"10052M")</f>
        <v>10052M</v>
      </c>
      <c r="G1619" s="165">
        <f>IFERROR(__xludf.DUMMYFUNCTION("""COMPUTED_VALUE"""),1167.0)</f>
        <v>1167</v>
      </c>
    </row>
    <row r="1620" ht="15.75" customHeight="1">
      <c r="A1620" s="133">
        <f>IFERROR(__xludf.DUMMYFUNCTION("""COMPUTED_VALUE"""),10052.0)</f>
        <v>10052</v>
      </c>
      <c r="B1620" s="164">
        <f>IFERROR(__xludf.DUMMYFUNCTION("""COMPUTED_VALUE"""),1.0041478E7)</f>
        <v>10041478</v>
      </c>
      <c r="C1620" s="164" t="str">
        <f>IFERROR(__xludf.DUMMYFUNCTION("""COMPUTED_VALUE"""),"10041478L")</f>
        <v>10041478L</v>
      </c>
      <c r="D1620" s="133" t="str">
        <f>IFERROR(__xludf.DUMMYFUNCTION("""COMPUTED_VALUE"""),"Женский свитер с Оленями")</f>
        <v>Женский свитер с Оленями</v>
      </c>
      <c r="E1620" s="133" t="str">
        <f>IFERROR(__xludf.DUMMYFUNCTION("""COMPUTED_VALUE"""),"L")</f>
        <v>L</v>
      </c>
      <c r="F1620" s="133" t="str">
        <f>IFERROR(__xludf.DUMMYFUNCTION("""COMPUTED_VALUE"""),"10052L")</f>
        <v>10052L</v>
      </c>
      <c r="G1620" s="165">
        <f>IFERROR(__xludf.DUMMYFUNCTION("""COMPUTED_VALUE"""),1167.0)</f>
        <v>1167</v>
      </c>
    </row>
    <row r="1621" ht="15.75" customHeight="1">
      <c r="A1621" s="133">
        <f>IFERROR(__xludf.DUMMYFUNCTION("""COMPUTED_VALUE"""),10052.0)</f>
        <v>10052</v>
      </c>
      <c r="B1621" s="164">
        <f>IFERROR(__xludf.DUMMYFUNCTION("""COMPUTED_VALUE"""),1.0041478E7)</f>
        <v>10041478</v>
      </c>
      <c r="C1621" s="164" t="str">
        <f>IFERROR(__xludf.DUMMYFUNCTION("""COMPUTED_VALUE"""),"10041478XL")</f>
        <v>10041478XL</v>
      </c>
      <c r="D1621" s="133" t="str">
        <f>IFERROR(__xludf.DUMMYFUNCTION("""COMPUTED_VALUE"""),"Женский свитер с Оленями")</f>
        <v>Женский свитер с Оленями</v>
      </c>
      <c r="E1621" s="133" t="str">
        <f>IFERROR(__xludf.DUMMYFUNCTION("""COMPUTED_VALUE"""),"XL")</f>
        <v>XL</v>
      </c>
      <c r="F1621" s="133" t="str">
        <f>IFERROR(__xludf.DUMMYFUNCTION("""COMPUTED_VALUE"""),"10052XL")</f>
        <v>10052XL</v>
      </c>
      <c r="G1621" s="165">
        <f>IFERROR(__xludf.DUMMYFUNCTION("""COMPUTED_VALUE"""),1167.0)</f>
        <v>1167</v>
      </c>
    </row>
    <row r="1622" ht="15.75" customHeight="1">
      <c r="A1622" s="133">
        <f>IFERROR(__xludf.DUMMYFUNCTION("""COMPUTED_VALUE"""),10053.0)</f>
        <v>10053</v>
      </c>
      <c r="B1622" s="164">
        <f>IFERROR(__xludf.DUMMYFUNCTION("""COMPUTED_VALUE"""),9862270.0)</f>
        <v>9862270</v>
      </c>
      <c r="C1622" s="164" t="str">
        <f>IFERROR(__xludf.DUMMYFUNCTION("""COMPUTED_VALUE"""),"9862270XXS")</f>
        <v>9862270XXS</v>
      </c>
      <c r="D1622" s="133" t="str">
        <f>IFERROR(__xludf.DUMMYFUNCTION("""COMPUTED_VALUE"""),"Женский свитер с Оленями")</f>
        <v>Женский свитер с Оленями</v>
      </c>
      <c r="E1622" s="133" t="str">
        <f>IFERROR(__xludf.DUMMYFUNCTION("""COMPUTED_VALUE"""),"XXS")</f>
        <v>XXS</v>
      </c>
      <c r="F1622" s="133" t="str">
        <f>IFERROR(__xludf.DUMMYFUNCTION("""COMPUTED_VALUE"""),"10053XXS")</f>
        <v>10053XXS</v>
      </c>
      <c r="G1622" s="165">
        <f>IFERROR(__xludf.DUMMYFUNCTION("""COMPUTED_VALUE"""),1167.0)</f>
        <v>1167</v>
      </c>
    </row>
    <row r="1623" ht="15.75" customHeight="1">
      <c r="A1623" s="133">
        <f>IFERROR(__xludf.DUMMYFUNCTION("""COMPUTED_VALUE"""),10053.0)</f>
        <v>10053</v>
      </c>
      <c r="B1623" s="164">
        <f>IFERROR(__xludf.DUMMYFUNCTION("""COMPUTED_VALUE"""),9862270.0)</f>
        <v>9862270</v>
      </c>
      <c r="C1623" s="164" t="str">
        <f>IFERROR(__xludf.DUMMYFUNCTION("""COMPUTED_VALUE"""),"9862270XS")</f>
        <v>9862270XS</v>
      </c>
      <c r="D1623" s="133" t="str">
        <f>IFERROR(__xludf.DUMMYFUNCTION("""COMPUTED_VALUE"""),"Женский свитер с Оленями")</f>
        <v>Женский свитер с Оленями</v>
      </c>
      <c r="E1623" s="133" t="str">
        <f>IFERROR(__xludf.DUMMYFUNCTION("""COMPUTED_VALUE"""),"XS")</f>
        <v>XS</v>
      </c>
      <c r="F1623" s="133" t="str">
        <f>IFERROR(__xludf.DUMMYFUNCTION("""COMPUTED_VALUE"""),"10053XS")</f>
        <v>10053XS</v>
      </c>
      <c r="G1623" s="165">
        <f>IFERROR(__xludf.DUMMYFUNCTION("""COMPUTED_VALUE"""),1167.0)</f>
        <v>1167</v>
      </c>
    </row>
    <row r="1624" ht="15.75" customHeight="1">
      <c r="A1624" s="133">
        <f>IFERROR(__xludf.DUMMYFUNCTION("""COMPUTED_VALUE"""),10053.0)</f>
        <v>10053</v>
      </c>
      <c r="B1624" s="164">
        <f>IFERROR(__xludf.DUMMYFUNCTION("""COMPUTED_VALUE"""),9862270.0)</f>
        <v>9862270</v>
      </c>
      <c r="C1624" s="164" t="str">
        <f>IFERROR(__xludf.DUMMYFUNCTION("""COMPUTED_VALUE"""),"9862270S")</f>
        <v>9862270S</v>
      </c>
      <c r="D1624" s="133" t="str">
        <f>IFERROR(__xludf.DUMMYFUNCTION("""COMPUTED_VALUE"""),"Женский свитер с Оленями")</f>
        <v>Женский свитер с Оленями</v>
      </c>
      <c r="E1624" s="133" t="str">
        <f>IFERROR(__xludf.DUMMYFUNCTION("""COMPUTED_VALUE"""),"S")</f>
        <v>S</v>
      </c>
      <c r="F1624" s="133" t="str">
        <f>IFERROR(__xludf.DUMMYFUNCTION("""COMPUTED_VALUE"""),"10053S")</f>
        <v>10053S</v>
      </c>
      <c r="G1624" s="165">
        <f>IFERROR(__xludf.DUMMYFUNCTION("""COMPUTED_VALUE"""),1167.0)</f>
        <v>1167</v>
      </c>
    </row>
    <row r="1625" ht="15.75" customHeight="1">
      <c r="A1625" s="133">
        <f>IFERROR(__xludf.DUMMYFUNCTION("""COMPUTED_VALUE"""),10053.0)</f>
        <v>10053</v>
      </c>
      <c r="B1625" s="164">
        <f>IFERROR(__xludf.DUMMYFUNCTION("""COMPUTED_VALUE"""),9862270.0)</f>
        <v>9862270</v>
      </c>
      <c r="C1625" s="164" t="str">
        <f>IFERROR(__xludf.DUMMYFUNCTION("""COMPUTED_VALUE"""),"9862270M")</f>
        <v>9862270M</v>
      </c>
      <c r="D1625" s="133" t="str">
        <f>IFERROR(__xludf.DUMMYFUNCTION("""COMPUTED_VALUE"""),"Женский свитер с Оленями")</f>
        <v>Женский свитер с Оленями</v>
      </c>
      <c r="E1625" s="133" t="str">
        <f>IFERROR(__xludf.DUMMYFUNCTION("""COMPUTED_VALUE"""),"M")</f>
        <v>M</v>
      </c>
      <c r="F1625" s="133" t="str">
        <f>IFERROR(__xludf.DUMMYFUNCTION("""COMPUTED_VALUE"""),"10053M")</f>
        <v>10053M</v>
      </c>
      <c r="G1625" s="165">
        <f>IFERROR(__xludf.DUMMYFUNCTION("""COMPUTED_VALUE"""),1167.0)</f>
        <v>1167</v>
      </c>
    </row>
    <row r="1626" ht="15.75" customHeight="1">
      <c r="A1626" s="133">
        <f>IFERROR(__xludf.DUMMYFUNCTION("""COMPUTED_VALUE"""),10053.0)</f>
        <v>10053</v>
      </c>
      <c r="B1626" s="164">
        <f>IFERROR(__xludf.DUMMYFUNCTION("""COMPUTED_VALUE"""),9862270.0)</f>
        <v>9862270</v>
      </c>
      <c r="C1626" s="164" t="str">
        <f>IFERROR(__xludf.DUMMYFUNCTION("""COMPUTED_VALUE"""),"9862270L")</f>
        <v>9862270L</v>
      </c>
      <c r="D1626" s="133" t="str">
        <f>IFERROR(__xludf.DUMMYFUNCTION("""COMPUTED_VALUE"""),"Женский свитер с Оленями")</f>
        <v>Женский свитер с Оленями</v>
      </c>
      <c r="E1626" s="133" t="str">
        <f>IFERROR(__xludf.DUMMYFUNCTION("""COMPUTED_VALUE"""),"L")</f>
        <v>L</v>
      </c>
      <c r="F1626" s="133" t="str">
        <f>IFERROR(__xludf.DUMMYFUNCTION("""COMPUTED_VALUE"""),"10053L")</f>
        <v>10053L</v>
      </c>
      <c r="G1626" s="165">
        <f>IFERROR(__xludf.DUMMYFUNCTION("""COMPUTED_VALUE"""),1167.0)</f>
        <v>1167</v>
      </c>
    </row>
    <row r="1627" ht="15.75" customHeight="1">
      <c r="A1627" s="133">
        <f>IFERROR(__xludf.DUMMYFUNCTION("""COMPUTED_VALUE"""),10053.0)</f>
        <v>10053</v>
      </c>
      <c r="B1627" s="164">
        <f>IFERROR(__xludf.DUMMYFUNCTION("""COMPUTED_VALUE"""),9862270.0)</f>
        <v>9862270</v>
      </c>
      <c r="C1627" s="164" t="str">
        <f>IFERROR(__xludf.DUMMYFUNCTION("""COMPUTED_VALUE"""),"9862270XL")</f>
        <v>9862270XL</v>
      </c>
      <c r="D1627" s="133" t="str">
        <f>IFERROR(__xludf.DUMMYFUNCTION("""COMPUTED_VALUE"""),"Женский свитер с Оленями")</f>
        <v>Женский свитер с Оленями</v>
      </c>
      <c r="E1627" s="133" t="str">
        <f>IFERROR(__xludf.DUMMYFUNCTION("""COMPUTED_VALUE"""),"XL")</f>
        <v>XL</v>
      </c>
      <c r="F1627" s="133" t="str">
        <f>IFERROR(__xludf.DUMMYFUNCTION("""COMPUTED_VALUE"""),"10053XL")</f>
        <v>10053XL</v>
      </c>
      <c r="G1627" s="165">
        <f>IFERROR(__xludf.DUMMYFUNCTION("""COMPUTED_VALUE"""),1167.0)</f>
        <v>1167</v>
      </c>
    </row>
    <row r="1628" ht="15.75" customHeight="1">
      <c r="A1628" s="133">
        <f>IFERROR(__xludf.DUMMYFUNCTION("""COMPUTED_VALUE"""),10053.0)</f>
        <v>10053</v>
      </c>
      <c r="B1628" s="164">
        <f>IFERROR(__xludf.DUMMYFUNCTION("""COMPUTED_VALUE"""),9862270.0)</f>
        <v>9862270</v>
      </c>
      <c r="C1628" s="164" t="str">
        <f>IFERROR(__xludf.DUMMYFUNCTION("""COMPUTED_VALUE"""),"9862270XXL")</f>
        <v>9862270XXL</v>
      </c>
      <c r="D1628" s="133" t="str">
        <f>IFERROR(__xludf.DUMMYFUNCTION("""COMPUTED_VALUE"""),"Женский свитер с Оленями")</f>
        <v>Женский свитер с Оленями</v>
      </c>
      <c r="E1628" s="133" t="str">
        <f>IFERROR(__xludf.DUMMYFUNCTION("""COMPUTED_VALUE"""),"XXL")</f>
        <v>XXL</v>
      </c>
      <c r="F1628" s="133" t="str">
        <f>IFERROR(__xludf.DUMMYFUNCTION("""COMPUTED_VALUE"""),"10053XXL")</f>
        <v>10053XXL</v>
      </c>
      <c r="G1628" s="165">
        <f>IFERROR(__xludf.DUMMYFUNCTION("""COMPUTED_VALUE"""),1167.0)</f>
        <v>1167</v>
      </c>
    </row>
    <row r="1629" ht="15.75" customHeight="1">
      <c r="A1629" s="133">
        <f>IFERROR(__xludf.DUMMYFUNCTION("""COMPUTED_VALUE"""),10054.0)</f>
        <v>10054</v>
      </c>
      <c r="B1629" s="164">
        <f>IFERROR(__xludf.DUMMYFUNCTION("""COMPUTED_VALUE"""),9950353.0)</f>
        <v>9950353</v>
      </c>
      <c r="C1629" s="164" t="str">
        <f>IFERROR(__xludf.DUMMYFUNCTION("""COMPUTED_VALUE"""),"9950353XXS")</f>
        <v>9950353XXS</v>
      </c>
      <c r="D1629" s="133" t="str">
        <f>IFERROR(__xludf.DUMMYFUNCTION("""COMPUTED_VALUE"""),"Женский свитер с Оленями")</f>
        <v>Женский свитер с Оленями</v>
      </c>
      <c r="E1629" s="133" t="str">
        <f>IFERROR(__xludf.DUMMYFUNCTION("""COMPUTED_VALUE"""),"XXS")</f>
        <v>XXS</v>
      </c>
      <c r="F1629" s="133" t="str">
        <f>IFERROR(__xludf.DUMMYFUNCTION("""COMPUTED_VALUE"""),"10054XXS")</f>
        <v>10054XXS</v>
      </c>
      <c r="G1629" s="165">
        <f>IFERROR(__xludf.DUMMYFUNCTION("""COMPUTED_VALUE"""),1167.0)</f>
        <v>1167</v>
      </c>
    </row>
    <row r="1630" ht="15.75" customHeight="1">
      <c r="A1630" s="133">
        <f>IFERROR(__xludf.DUMMYFUNCTION("""COMPUTED_VALUE"""),10054.0)</f>
        <v>10054</v>
      </c>
      <c r="B1630" s="164">
        <f>IFERROR(__xludf.DUMMYFUNCTION("""COMPUTED_VALUE"""),9950353.0)</f>
        <v>9950353</v>
      </c>
      <c r="C1630" s="164" t="str">
        <f>IFERROR(__xludf.DUMMYFUNCTION("""COMPUTED_VALUE"""),"9950353XS")</f>
        <v>9950353XS</v>
      </c>
      <c r="D1630" s="133" t="str">
        <f>IFERROR(__xludf.DUMMYFUNCTION("""COMPUTED_VALUE"""),"Женский свитер с Оленями")</f>
        <v>Женский свитер с Оленями</v>
      </c>
      <c r="E1630" s="133" t="str">
        <f>IFERROR(__xludf.DUMMYFUNCTION("""COMPUTED_VALUE"""),"XS")</f>
        <v>XS</v>
      </c>
      <c r="F1630" s="133" t="str">
        <f>IFERROR(__xludf.DUMMYFUNCTION("""COMPUTED_VALUE"""),"10054XS")</f>
        <v>10054XS</v>
      </c>
      <c r="G1630" s="165">
        <f>IFERROR(__xludf.DUMMYFUNCTION("""COMPUTED_VALUE"""),1167.0)</f>
        <v>1167</v>
      </c>
    </row>
    <row r="1631" ht="15.75" customHeight="1">
      <c r="A1631" s="133">
        <f>IFERROR(__xludf.DUMMYFUNCTION("""COMPUTED_VALUE"""),10054.0)</f>
        <v>10054</v>
      </c>
      <c r="B1631" s="164">
        <f>IFERROR(__xludf.DUMMYFUNCTION("""COMPUTED_VALUE"""),9950353.0)</f>
        <v>9950353</v>
      </c>
      <c r="C1631" s="164" t="str">
        <f>IFERROR(__xludf.DUMMYFUNCTION("""COMPUTED_VALUE"""),"9950353S")</f>
        <v>9950353S</v>
      </c>
      <c r="D1631" s="133" t="str">
        <f>IFERROR(__xludf.DUMMYFUNCTION("""COMPUTED_VALUE"""),"Женский свитер с Оленями")</f>
        <v>Женский свитер с Оленями</v>
      </c>
      <c r="E1631" s="133" t="str">
        <f>IFERROR(__xludf.DUMMYFUNCTION("""COMPUTED_VALUE"""),"S")</f>
        <v>S</v>
      </c>
      <c r="F1631" s="133" t="str">
        <f>IFERROR(__xludf.DUMMYFUNCTION("""COMPUTED_VALUE"""),"10054S")</f>
        <v>10054S</v>
      </c>
      <c r="G1631" s="165">
        <f>IFERROR(__xludf.DUMMYFUNCTION("""COMPUTED_VALUE"""),1167.0)</f>
        <v>1167</v>
      </c>
    </row>
    <row r="1632" ht="15.75" customHeight="1">
      <c r="A1632" s="133">
        <f>IFERROR(__xludf.DUMMYFUNCTION("""COMPUTED_VALUE"""),10054.0)</f>
        <v>10054</v>
      </c>
      <c r="B1632" s="164">
        <f>IFERROR(__xludf.DUMMYFUNCTION("""COMPUTED_VALUE"""),9950353.0)</f>
        <v>9950353</v>
      </c>
      <c r="C1632" s="164" t="str">
        <f>IFERROR(__xludf.DUMMYFUNCTION("""COMPUTED_VALUE"""),"9950353M")</f>
        <v>9950353M</v>
      </c>
      <c r="D1632" s="133" t="str">
        <f>IFERROR(__xludf.DUMMYFUNCTION("""COMPUTED_VALUE"""),"Женский свитер с Оленями")</f>
        <v>Женский свитер с Оленями</v>
      </c>
      <c r="E1632" s="133" t="str">
        <f>IFERROR(__xludf.DUMMYFUNCTION("""COMPUTED_VALUE"""),"M")</f>
        <v>M</v>
      </c>
      <c r="F1632" s="133" t="str">
        <f>IFERROR(__xludf.DUMMYFUNCTION("""COMPUTED_VALUE"""),"10054M")</f>
        <v>10054M</v>
      </c>
      <c r="G1632" s="165">
        <f>IFERROR(__xludf.DUMMYFUNCTION("""COMPUTED_VALUE"""),1167.0)</f>
        <v>1167</v>
      </c>
    </row>
    <row r="1633" ht="15.75" customHeight="1">
      <c r="A1633" s="133">
        <f>IFERROR(__xludf.DUMMYFUNCTION("""COMPUTED_VALUE"""),10054.0)</f>
        <v>10054</v>
      </c>
      <c r="B1633" s="164">
        <f>IFERROR(__xludf.DUMMYFUNCTION("""COMPUTED_VALUE"""),9950353.0)</f>
        <v>9950353</v>
      </c>
      <c r="C1633" s="164" t="str">
        <f>IFERROR(__xludf.DUMMYFUNCTION("""COMPUTED_VALUE"""),"9950353L")</f>
        <v>9950353L</v>
      </c>
      <c r="D1633" s="133" t="str">
        <f>IFERROR(__xludf.DUMMYFUNCTION("""COMPUTED_VALUE"""),"Женский свитер с Оленями")</f>
        <v>Женский свитер с Оленями</v>
      </c>
      <c r="E1633" s="133" t="str">
        <f>IFERROR(__xludf.DUMMYFUNCTION("""COMPUTED_VALUE"""),"L")</f>
        <v>L</v>
      </c>
      <c r="F1633" s="133" t="str">
        <f>IFERROR(__xludf.DUMMYFUNCTION("""COMPUTED_VALUE"""),"10054L")</f>
        <v>10054L</v>
      </c>
      <c r="G1633" s="165">
        <f>IFERROR(__xludf.DUMMYFUNCTION("""COMPUTED_VALUE"""),1167.0)</f>
        <v>1167</v>
      </c>
    </row>
    <row r="1634" ht="15.75" customHeight="1">
      <c r="A1634" s="133">
        <f>IFERROR(__xludf.DUMMYFUNCTION("""COMPUTED_VALUE"""),10054.0)</f>
        <v>10054</v>
      </c>
      <c r="B1634" s="164">
        <f>IFERROR(__xludf.DUMMYFUNCTION("""COMPUTED_VALUE"""),9950353.0)</f>
        <v>9950353</v>
      </c>
      <c r="C1634" s="164" t="str">
        <f>IFERROR(__xludf.DUMMYFUNCTION("""COMPUTED_VALUE"""),"9950353XL")</f>
        <v>9950353XL</v>
      </c>
      <c r="D1634" s="133" t="str">
        <f>IFERROR(__xludf.DUMMYFUNCTION("""COMPUTED_VALUE"""),"Женский свитер с Оленями")</f>
        <v>Женский свитер с Оленями</v>
      </c>
      <c r="E1634" s="133" t="str">
        <f>IFERROR(__xludf.DUMMYFUNCTION("""COMPUTED_VALUE"""),"XL")</f>
        <v>XL</v>
      </c>
      <c r="F1634" s="133" t="str">
        <f>IFERROR(__xludf.DUMMYFUNCTION("""COMPUTED_VALUE"""),"10054XL")</f>
        <v>10054XL</v>
      </c>
      <c r="G1634" s="165">
        <f>IFERROR(__xludf.DUMMYFUNCTION("""COMPUTED_VALUE"""),1167.0)</f>
        <v>1167</v>
      </c>
    </row>
    <row r="1635" ht="15.75" customHeight="1">
      <c r="A1635" s="133">
        <f>IFERROR(__xludf.DUMMYFUNCTION("""COMPUTED_VALUE"""),10054.0)</f>
        <v>10054</v>
      </c>
      <c r="B1635" s="164">
        <f>IFERROR(__xludf.DUMMYFUNCTION("""COMPUTED_VALUE"""),9950353.0)</f>
        <v>9950353</v>
      </c>
      <c r="C1635" s="164" t="str">
        <f>IFERROR(__xludf.DUMMYFUNCTION("""COMPUTED_VALUE"""),"9950353XXL")</f>
        <v>9950353XXL</v>
      </c>
      <c r="D1635" s="133" t="str">
        <f>IFERROR(__xludf.DUMMYFUNCTION("""COMPUTED_VALUE"""),"Женский свитер с Оленями")</f>
        <v>Женский свитер с Оленями</v>
      </c>
      <c r="E1635" s="133" t="str">
        <f>IFERROR(__xludf.DUMMYFUNCTION("""COMPUTED_VALUE"""),"XXL")</f>
        <v>XXL</v>
      </c>
      <c r="F1635" s="133" t="str">
        <f>IFERROR(__xludf.DUMMYFUNCTION("""COMPUTED_VALUE"""),"10054XXL")</f>
        <v>10054XXL</v>
      </c>
      <c r="G1635" s="165">
        <f>IFERROR(__xludf.DUMMYFUNCTION("""COMPUTED_VALUE"""),1167.0)</f>
        <v>1167</v>
      </c>
    </row>
    <row r="1636" ht="15.75" customHeight="1">
      <c r="A1636" s="133">
        <f>IFERROR(__xludf.DUMMYFUNCTION("""COMPUTED_VALUE"""),10055.0)</f>
        <v>10055</v>
      </c>
      <c r="B1636" s="164">
        <f>IFERROR(__xludf.DUMMYFUNCTION("""COMPUTED_VALUE"""),1.0041479E7)</f>
        <v>10041479</v>
      </c>
      <c r="C1636" s="164" t="str">
        <f>IFERROR(__xludf.DUMMYFUNCTION("""COMPUTED_VALUE"""),"10041479XXS")</f>
        <v>10041479XXS</v>
      </c>
      <c r="D1636" s="133" t="str">
        <f>IFERROR(__xludf.DUMMYFUNCTION("""COMPUTED_VALUE"""),"Женский свитер с Оленями")</f>
        <v>Женский свитер с Оленями</v>
      </c>
      <c r="E1636" s="133" t="str">
        <f>IFERROR(__xludf.DUMMYFUNCTION("""COMPUTED_VALUE"""),"XXS")</f>
        <v>XXS</v>
      </c>
      <c r="F1636" s="133" t="str">
        <f>IFERROR(__xludf.DUMMYFUNCTION("""COMPUTED_VALUE"""),"10055XXS")</f>
        <v>10055XXS</v>
      </c>
      <c r="G1636" s="165">
        <f>IFERROR(__xludf.DUMMYFUNCTION("""COMPUTED_VALUE"""),1167.0)</f>
        <v>1167</v>
      </c>
    </row>
    <row r="1637" ht="15.75" customHeight="1">
      <c r="A1637" s="133">
        <f>IFERROR(__xludf.DUMMYFUNCTION("""COMPUTED_VALUE"""),10055.0)</f>
        <v>10055</v>
      </c>
      <c r="B1637" s="164">
        <f>IFERROR(__xludf.DUMMYFUNCTION("""COMPUTED_VALUE"""),1.0041479E7)</f>
        <v>10041479</v>
      </c>
      <c r="C1637" s="164" t="str">
        <f>IFERROR(__xludf.DUMMYFUNCTION("""COMPUTED_VALUE"""),"10041479XS")</f>
        <v>10041479XS</v>
      </c>
      <c r="D1637" s="133" t="str">
        <f>IFERROR(__xludf.DUMMYFUNCTION("""COMPUTED_VALUE"""),"Женский свитер с Оленями")</f>
        <v>Женский свитер с Оленями</v>
      </c>
      <c r="E1637" s="133" t="str">
        <f>IFERROR(__xludf.DUMMYFUNCTION("""COMPUTED_VALUE"""),"XS")</f>
        <v>XS</v>
      </c>
      <c r="F1637" s="133" t="str">
        <f>IFERROR(__xludf.DUMMYFUNCTION("""COMPUTED_VALUE"""),"10055XS")</f>
        <v>10055XS</v>
      </c>
      <c r="G1637" s="165">
        <f>IFERROR(__xludf.DUMMYFUNCTION("""COMPUTED_VALUE"""),1167.0)</f>
        <v>1167</v>
      </c>
    </row>
    <row r="1638" ht="15.75" customHeight="1">
      <c r="A1638" s="133">
        <f>IFERROR(__xludf.DUMMYFUNCTION("""COMPUTED_VALUE"""),10055.0)</f>
        <v>10055</v>
      </c>
      <c r="B1638" s="164">
        <f>IFERROR(__xludf.DUMMYFUNCTION("""COMPUTED_VALUE"""),1.0041479E7)</f>
        <v>10041479</v>
      </c>
      <c r="C1638" s="164" t="str">
        <f>IFERROR(__xludf.DUMMYFUNCTION("""COMPUTED_VALUE"""),"10041479S")</f>
        <v>10041479S</v>
      </c>
      <c r="D1638" s="133" t="str">
        <f>IFERROR(__xludf.DUMMYFUNCTION("""COMPUTED_VALUE"""),"Женский свитер с Оленями")</f>
        <v>Женский свитер с Оленями</v>
      </c>
      <c r="E1638" s="133" t="str">
        <f>IFERROR(__xludf.DUMMYFUNCTION("""COMPUTED_VALUE"""),"S")</f>
        <v>S</v>
      </c>
      <c r="F1638" s="133" t="str">
        <f>IFERROR(__xludf.DUMMYFUNCTION("""COMPUTED_VALUE"""),"10055S")</f>
        <v>10055S</v>
      </c>
      <c r="G1638" s="165">
        <f>IFERROR(__xludf.DUMMYFUNCTION("""COMPUTED_VALUE"""),1167.0)</f>
        <v>1167</v>
      </c>
    </row>
    <row r="1639" ht="15.75" customHeight="1">
      <c r="A1639" s="133">
        <f>IFERROR(__xludf.DUMMYFUNCTION("""COMPUTED_VALUE"""),10055.0)</f>
        <v>10055</v>
      </c>
      <c r="B1639" s="164">
        <f>IFERROR(__xludf.DUMMYFUNCTION("""COMPUTED_VALUE"""),1.0041479E7)</f>
        <v>10041479</v>
      </c>
      <c r="C1639" s="164" t="str">
        <f>IFERROR(__xludf.DUMMYFUNCTION("""COMPUTED_VALUE"""),"10041479M")</f>
        <v>10041479M</v>
      </c>
      <c r="D1639" s="133" t="str">
        <f>IFERROR(__xludf.DUMMYFUNCTION("""COMPUTED_VALUE"""),"Женский свитер с Оленями")</f>
        <v>Женский свитер с Оленями</v>
      </c>
      <c r="E1639" s="133" t="str">
        <f>IFERROR(__xludf.DUMMYFUNCTION("""COMPUTED_VALUE"""),"M")</f>
        <v>M</v>
      </c>
      <c r="F1639" s="133" t="str">
        <f>IFERROR(__xludf.DUMMYFUNCTION("""COMPUTED_VALUE"""),"10055M")</f>
        <v>10055M</v>
      </c>
      <c r="G1639" s="165">
        <f>IFERROR(__xludf.DUMMYFUNCTION("""COMPUTED_VALUE"""),1167.0)</f>
        <v>1167</v>
      </c>
    </row>
    <row r="1640" ht="15.75" customHeight="1">
      <c r="A1640" s="133">
        <f>IFERROR(__xludf.DUMMYFUNCTION("""COMPUTED_VALUE"""),10055.0)</f>
        <v>10055</v>
      </c>
      <c r="B1640" s="164">
        <f>IFERROR(__xludf.DUMMYFUNCTION("""COMPUTED_VALUE"""),1.0041479E7)</f>
        <v>10041479</v>
      </c>
      <c r="C1640" s="164" t="str">
        <f>IFERROR(__xludf.DUMMYFUNCTION("""COMPUTED_VALUE"""),"10041479L")</f>
        <v>10041479L</v>
      </c>
      <c r="D1640" s="133" t="str">
        <f>IFERROR(__xludf.DUMMYFUNCTION("""COMPUTED_VALUE"""),"Женский свитер с Оленями")</f>
        <v>Женский свитер с Оленями</v>
      </c>
      <c r="E1640" s="133" t="str">
        <f>IFERROR(__xludf.DUMMYFUNCTION("""COMPUTED_VALUE"""),"L")</f>
        <v>L</v>
      </c>
      <c r="F1640" s="133" t="str">
        <f>IFERROR(__xludf.DUMMYFUNCTION("""COMPUTED_VALUE"""),"10055L")</f>
        <v>10055L</v>
      </c>
      <c r="G1640" s="165">
        <f>IFERROR(__xludf.DUMMYFUNCTION("""COMPUTED_VALUE"""),1167.0)</f>
        <v>1167</v>
      </c>
    </row>
    <row r="1641" ht="15.75" customHeight="1">
      <c r="A1641" s="133">
        <f>IFERROR(__xludf.DUMMYFUNCTION("""COMPUTED_VALUE"""),10055.0)</f>
        <v>10055</v>
      </c>
      <c r="B1641" s="164">
        <f>IFERROR(__xludf.DUMMYFUNCTION("""COMPUTED_VALUE"""),1.0041479E7)</f>
        <v>10041479</v>
      </c>
      <c r="C1641" s="164" t="str">
        <f>IFERROR(__xludf.DUMMYFUNCTION("""COMPUTED_VALUE"""),"10041479XL")</f>
        <v>10041479XL</v>
      </c>
      <c r="D1641" s="133" t="str">
        <f>IFERROR(__xludf.DUMMYFUNCTION("""COMPUTED_VALUE"""),"Женский свитер с Оленями")</f>
        <v>Женский свитер с Оленями</v>
      </c>
      <c r="E1641" s="133" t="str">
        <f>IFERROR(__xludf.DUMMYFUNCTION("""COMPUTED_VALUE"""),"XL")</f>
        <v>XL</v>
      </c>
      <c r="F1641" s="133" t="str">
        <f>IFERROR(__xludf.DUMMYFUNCTION("""COMPUTED_VALUE"""),"10055XL")</f>
        <v>10055XL</v>
      </c>
      <c r="G1641" s="165">
        <f>IFERROR(__xludf.DUMMYFUNCTION("""COMPUTED_VALUE"""),1167.0)</f>
        <v>1167</v>
      </c>
    </row>
    <row r="1642" ht="15.75" customHeight="1">
      <c r="A1642" s="133">
        <f>IFERROR(__xludf.DUMMYFUNCTION("""COMPUTED_VALUE"""),10055.0)</f>
        <v>10055</v>
      </c>
      <c r="B1642" s="164">
        <f>IFERROR(__xludf.DUMMYFUNCTION("""COMPUTED_VALUE"""),1.0041479E7)</f>
        <v>10041479</v>
      </c>
      <c r="C1642" s="164" t="str">
        <f>IFERROR(__xludf.DUMMYFUNCTION("""COMPUTED_VALUE"""),"10041479XXL")</f>
        <v>10041479XXL</v>
      </c>
      <c r="D1642" s="133" t="str">
        <f>IFERROR(__xludf.DUMMYFUNCTION("""COMPUTED_VALUE"""),"Женский свитер с Оленями")</f>
        <v>Женский свитер с Оленями</v>
      </c>
      <c r="E1642" s="133" t="str">
        <f>IFERROR(__xludf.DUMMYFUNCTION("""COMPUTED_VALUE"""),"XXL")</f>
        <v>XXL</v>
      </c>
      <c r="F1642" s="133" t="str">
        <f>IFERROR(__xludf.DUMMYFUNCTION("""COMPUTED_VALUE"""),"10055XXL")</f>
        <v>10055XXL</v>
      </c>
      <c r="G1642" s="165">
        <f>IFERROR(__xludf.DUMMYFUNCTION("""COMPUTED_VALUE"""),1167.0)</f>
        <v>1167</v>
      </c>
    </row>
    <row r="1643" ht="15.75" customHeight="1">
      <c r="A1643" s="133">
        <f>IFERROR(__xludf.DUMMYFUNCTION("""COMPUTED_VALUE"""),20001.0)</f>
        <v>20001</v>
      </c>
      <c r="B1643" s="164">
        <f>IFERROR(__xludf.DUMMYFUNCTION("""COMPUTED_VALUE"""),5286931.0)</f>
        <v>5286931</v>
      </c>
      <c r="C1643" s="164" t="str">
        <f>IFERROR(__xludf.DUMMYFUNCTION("""COMPUTED_VALUE"""),"5286931S")</f>
        <v>5286931S</v>
      </c>
      <c r="D1643" s="133" t="str">
        <f>IFERROR(__xludf.DUMMYFUNCTION("""COMPUTED_VALUE"""),"Мужской свитер с волком")</f>
        <v>Мужской свитер с волком</v>
      </c>
      <c r="E1643" s="133" t="str">
        <f>IFERROR(__xludf.DUMMYFUNCTION("""COMPUTED_VALUE"""),"S")</f>
        <v>S</v>
      </c>
      <c r="F1643" s="133" t="str">
        <f>IFERROR(__xludf.DUMMYFUNCTION("""COMPUTED_VALUE"""),"20001S")</f>
        <v>20001S</v>
      </c>
      <c r="G1643" s="165">
        <f>IFERROR(__xludf.DUMMYFUNCTION("""COMPUTED_VALUE"""),1236.0)</f>
        <v>1236</v>
      </c>
    </row>
    <row r="1644" ht="15.75" customHeight="1">
      <c r="A1644" s="133">
        <f>IFERROR(__xludf.DUMMYFUNCTION("""COMPUTED_VALUE"""),20001.0)</f>
        <v>20001</v>
      </c>
      <c r="B1644" s="164">
        <f>IFERROR(__xludf.DUMMYFUNCTION("""COMPUTED_VALUE"""),5286931.0)</f>
        <v>5286931</v>
      </c>
      <c r="C1644" s="164" t="str">
        <f>IFERROR(__xludf.DUMMYFUNCTION("""COMPUTED_VALUE"""),"5286931M")</f>
        <v>5286931M</v>
      </c>
      <c r="D1644" s="133" t="str">
        <f>IFERROR(__xludf.DUMMYFUNCTION("""COMPUTED_VALUE"""),"Мужской свитер с волком")</f>
        <v>Мужской свитер с волком</v>
      </c>
      <c r="E1644" s="133" t="str">
        <f>IFERROR(__xludf.DUMMYFUNCTION("""COMPUTED_VALUE"""),"M")</f>
        <v>M</v>
      </c>
      <c r="F1644" s="133" t="str">
        <f>IFERROR(__xludf.DUMMYFUNCTION("""COMPUTED_VALUE"""),"20001M")</f>
        <v>20001M</v>
      </c>
      <c r="G1644" s="165">
        <f>IFERROR(__xludf.DUMMYFUNCTION("""COMPUTED_VALUE"""),1236.0)</f>
        <v>1236</v>
      </c>
    </row>
    <row r="1645" ht="15.75" customHeight="1">
      <c r="A1645" s="133">
        <f>IFERROR(__xludf.DUMMYFUNCTION("""COMPUTED_VALUE"""),20001.0)</f>
        <v>20001</v>
      </c>
      <c r="B1645" s="164">
        <f>IFERROR(__xludf.DUMMYFUNCTION("""COMPUTED_VALUE"""),5286931.0)</f>
        <v>5286931</v>
      </c>
      <c r="C1645" s="164" t="str">
        <f>IFERROR(__xludf.DUMMYFUNCTION("""COMPUTED_VALUE"""),"5286931L")</f>
        <v>5286931L</v>
      </c>
      <c r="D1645" s="133" t="str">
        <f>IFERROR(__xludf.DUMMYFUNCTION("""COMPUTED_VALUE"""),"Мужской свитер с волком")</f>
        <v>Мужской свитер с волком</v>
      </c>
      <c r="E1645" s="133" t="str">
        <f>IFERROR(__xludf.DUMMYFUNCTION("""COMPUTED_VALUE"""),"L")</f>
        <v>L</v>
      </c>
      <c r="F1645" s="133" t="str">
        <f>IFERROR(__xludf.DUMMYFUNCTION("""COMPUTED_VALUE"""),"20001L")</f>
        <v>20001L</v>
      </c>
      <c r="G1645" s="165">
        <f>IFERROR(__xludf.DUMMYFUNCTION("""COMPUTED_VALUE"""),1236.0)</f>
        <v>1236</v>
      </c>
    </row>
    <row r="1646" ht="15.75" customHeight="1">
      <c r="A1646" s="133">
        <f>IFERROR(__xludf.DUMMYFUNCTION("""COMPUTED_VALUE"""),20001.0)</f>
        <v>20001</v>
      </c>
      <c r="B1646" s="164">
        <f>IFERROR(__xludf.DUMMYFUNCTION("""COMPUTED_VALUE"""),5286931.0)</f>
        <v>5286931</v>
      </c>
      <c r="C1646" s="164" t="str">
        <f>IFERROR(__xludf.DUMMYFUNCTION("""COMPUTED_VALUE"""),"5286931XL")</f>
        <v>5286931XL</v>
      </c>
      <c r="D1646" s="133" t="str">
        <f>IFERROR(__xludf.DUMMYFUNCTION("""COMPUTED_VALUE"""),"Мужской свитер с волком")</f>
        <v>Мужской свитер с волком</v>
      </c>
      <c r="E1646" s="133" t="str">
        <f>IFERROR(__xludf.DUMMYFUNCTION("""COMPUTED_VALUE"""),"XL")</f>
        <v>XL</v>
      </c>
      <c r="F1646" s="133" t="str">
        <f>IFERROR(__xludf.DUMMYFUNCTION("""COMPUTED_VALUE"""),"20001XL")</f>
        <v>20001XL</v>
      </c>
      <c r="G1646" s="165">
        <f>IFERROR(__xludf.DUMMYFUNCTION("""COMPUTED_VALUE"""),1236.0)</f>
        <v>1236</v>
      </c>
    </row>
    <row r="1647" ht="15.75" customHeight="1">
      <c r="A1647" s="133">
        <f>IFERROR(__xludf.DUMMYFUNCTION("""COMPUTED_VALUE"""),20001.0)</f>
        <v>20001</v>
      </c>
      <c r="B1647" s="164">
        <f>IFERROR(__xludf.DUMMYFUNCTION("""COMPUTED_VALUE"""),5286931.0)</f>
        <v>5286931</v>
      </c>
      <c r="C1647" s="164" t="str">
        <f>IFERROR(__xludf.DUMMYFUNCTION("""COMPUTED_VALUE"""),"5286931XXL")</f>
        <v>5286931XXL</v>
      </c>
      <c r="D1647" s="133" t="str">
        <f>IFERROR(__xludf.DUMMYFUNCTION("""COMPUTED_VALUE"""),"Мужской свитер с волком")</f>
        <v>Мужской свитер с волком</v>
      </c>
      <c r="E1647" s="133" t="str">
        <f>IFERROR(__xludf.DUMMYFUNCTION("""COMPUTED_VALUE"""),"XXL")</f>
        <v>XXL</v>
      </c>
      <c r="F1647" s="133" t="str">
        <f>IFERROR(__xludf.DUMMYFUNCTION("""COMPUTED_VALUE"""),"20001XXL")</f>
        <v>20001XXL</v>
      </c>
      <c r="G1647" s="165">
        <f>IFERROR(__xludf.DUMMYFUNCTION("""COMPUTED_VALUE"""),1236.0)</f>
        <v>1236</v>
      </c>
    </row>
    <row r="1648" ht="15.75" customHeight="1">
      <c r="A1648" s="133">
        <f>IFERROR(__xludf.DUMMYFUNCTION("""COMPUTED_VALUE"""),20001.0)</f>
        <v>20001</v>
      </c>
      <c r="B1648" s="164">
        <f>IFERROR(__xludf.DUMMYFUNCTION("""COMPUTED_VALUE"""),5286931.0)</f>
        <v>5286931</v>
      </c>
      <c r="C1648" s="164" t="str">
        <f>IFERROR(__xludf.DUMMYFUNCTION("""COMPUTED_VALUE"""),"5286931XXXL")</f>
        <v>5286931XXXL</v>
      </c>
      <c r="D1648" s="133" t="str">
        <f>IFERROR(__xludf.DUMMYFUNCTION("""COMPUTED_VALUE"""),"Мужской свитер с волком")</f>
        <v>Мужской свитер с волком</v>
      </c>
      <c r="E1648" s="133" t="str">
        <f>IFERROR(__xludf.DUMMYFUNCTION("""COMPUTED_VALUE"""),"XXXL")</f>
        <v>XXXL</v>
      </c>
      <c r="F1648" s="133" t="str">
        <f>IFERROR(__xludf.DUMMYFUNCTION("""COMPUTED_VALUE"""),"20001XXXL")</f>
        <v>20001XXXL</v>
      </c>
      <c r="G1648" s="165">
        <f>IFERROR(__xludf.DUMMYFUNCTION("""COMPUTED_VALUE"""),1236.0)</f>
        <v>1236</v>
      </c>
    </row>
    <row r="1649" ht="15.75" customHeight="1">
      <c r="A1649" s="133">
        <f>IFERROR(__xludf.DUMMYFUNCTION("""COMPUTED_VALUE"""),20002.0)</f>
        <v>20002</v>
      </c>
      <c r="B1649" s="164">
        <f>IFERROR(__xludf.DUMMYFUNCTION("""COMPUTED_VALUE"""),5286932.0)</f>
        <v>5286932</v>
      </c>
      <c r="C1649" s="164" t="str">
        <f>IFERROR(__xludf.DUMMYFUNCTION("""COMPUTED_VALUE"""),"5286932S")</f>
        <v>5286932S</v>
      </c>
      <c r="D1649" s="133" t="str">
        <f>IFERROR(__xludf.DUMMYFUNCTION("""COMPUTED_VALUE"""),"Мужской свитер с волком")</f>
        <v>Мужской свитер с волком</v>
      </c>
      <c r="E1649" s="133" t="str">
        <f>IFERROR(__xludf.DUMMYFUNCTION("""COMPUTED_VALUE"""),"S")</f>
        <v>S</v>
      </c>
      <c r="F1649" s="133" t="str">
        <f>IFERROR(__xludf.DUMMYFUNCTION("""COMPUTED_VALUE"""),"20002S")</f>
        <v>20002S</v>
      </c>
      <c r="G1649" s="165">
        <f>IFERROR(__xludf.DUMMYFUNCTION("""COMPUTED_VALUE"""),1236.0)</f>
        <v>1236</v>
      </c>
    </row>
    <row r="1650" ht="15.75" customHeight="1">
      <c r="A1650" s="133">
        <f>IFERROR(__xludf.DUMMYFUNCTION("""COMPUTED_VALUE"""),20002.0)</f>
        <v>20002</v>
      </c>
      <c r="B1650" s="164">
        <f>IFERROR(__xludf.DUMMYFUNCTION("""COMPUTED_VALUE"""),5286932.0)</f>
        <v>5286932</v>
      </c>
      <c r="C1650" s="164" t="str">
        <f>IFERROR(__xludf.DUMMYFUNCTION("""COMPUTED_VALUE"""),"5286932M")</f>
        <v>5286932M</v>
      </c>
      <c r="D1650" s="133" t="str">
        <f>IFERROR(__xludf.DUMMYFUNCTION("""COMPUTED_VALUE"""),"Мужской свитер с волком")</f>
        <v>Мужской свитер с волком</v>
      </c>
      <c r="E1650" s="133" t="str">
        <f>IFERROR(__xludf.DUMMYFUNCTION("""COMPUTED_VALUE"""),"M")</f>
        <v>M</v>
      </c>
      <c r="F1650" s="133" t="str">
        <f>IFERROR(__xludf.DUMMYFUNCTION("""COMPUTED_VALUE"""),"20002M")</f>
        <v>20002M</v>
      </c>
      <c r="G1650" s="165">
        <f>IFERROR(__xludf.DUMMYFUNCTION("""COMPUTED_VALUE"""),1236.0)</f>
        <v>1236</v>
      </c>
    </row>
    <row r="1651" ht="15.75" customHeight="1">
      <c r="A1651" s="133">
        <f>IFERROR(__xludf.DUMMYFUNCTION("""COMPUTED_VALUE"""),20002.0)</f>
        <v>20002</v>
      </c>
      <c r="B1651" s="164">
        <f>IFERROR(__xludf.DUMMYFUNCTION("""COMPUTED_VALUE"""),5286932.0)</f>
        <v>5286932</v>
      </c>
      <c r="C1651" s="164" t="str">
        <f>IFERROR(__xludf.DUMMYFUNCTION("""COMPUTED_VALUE"""),"5286932L")</f>
        <v>5286932L</v>
      </c>
      <c r="D1651" s="133" t="str">
        <f>IFERROR(__xludf.DUMMYFUNCTION("""COMPUTED_VALUE"""),"Мужской свитер с волком")</f>
        <v>Мужской свитер с волком</v>
      </c>
      <c r="E1651" s="133" t="str">
        <f>IFERROR(__xludf.DUMMYFUNCTION("""COMPUTED_VALUE"""),"L")</f>
        <v>L</v>
      </c>
      <c r="F1651" s="133" t="str">
        <f>IFERROR(__xludf.DUMMYFUNCTION("""COMPUTED_VALUE"""),"20002L")</f>
        <v>20002L</v>
      </c>
      <c r="G1651" s="165">
        <f>IFERROR(__xludf.DUMMYFUNCTION("""COMPUTED_VALUE"""),1236.0)</f>
        <v>1236</v>
      </c>
    </row>
    <row r="1652" ht="15.75" customHeight="1">
      <c r="A1652" s="133">
        <f>IFERROR(__xludf.DUMMYFUNCTION("""COMPUTED_VALUE"""),20002.0)</f>
        <v>20002</v>
      </c>
      <c r="B1652" s="164">
        <f>IFERROR(__xludf.DUMMYFUNCTION("""COMPUTED_VALUE"""),5286932.0)</f>
        <v>5286932</v>
      </c>
      <c r="C1652" s="164" t="str">
        <f>IFERROR(__xludf.DUMMYFUNCTION("""COMPUTED_VALUE"""),"5286932XL")</f>
        <v>5286932XL</v>
      </c>
      <c r="D1652" s="133" t="str">
        <f>IFERROR(__xludf.DUMMYFUNCTION("""COMPUTED_VALUE"""),"Мужской свитер с волком")</f>
        <v>Мужской свитер с волком</v>
      </c>
      <c r="E1652" s="133" t="str">
        <f>IFERROR(__xludf.DUMMYFUNCTION("""COMPUTED_VALUE"""),"XL")</f>
        <v>XL</v>
      </c>
      <c r="F1652" s="133" t="str">
        <f>IFERROR(__xludf.DUMMYFUNCTION("""COMPUTED_VALUE"""),"20002XL")</f>
        <v>20002XL</v>
      </c>
      <c r="G1652" s="165">
        <f>IFERROR(__xludf.DUMMYFUNCTION("""COMPUTED_VALUE"""),1236.0)</f>
        <v>1236</v>
      </c>
    </row>
    <row r="1653" ht="15.75" customHeight="1">
      <c r="A1653" s="133">
        <f>IFERROR(__xludf.DUMMYFUNCTION("""COMPUTED_VALUE"""),20002.0)</f>
        <v>20002</v>
      </c>
      <c r="B1653" s="164">
        <f>IFERROR(__xludf.DUMMYFUNCTION("""COMPUTED_VALUE"""),5286932.0)</f>
        <v>5286932</v>
      </c>
      <c r="C1653" s="164" t="str">
        <f>IFERROR(__xludf.DUMMYFUNCTION("""COMPUTED_VALUE"""),"5286932XXL")</f>
        <v>5286932XXL</v>
      </c>
      <c r="D1653" s="133" t="str">
        <f>IFERROR(__xludf.DUMMYFUNCTION("""COMPUTED_VALUE"""),"Мужской свитер с волком")</f>
        <v>Мужской свитер с волком</v>
      </c>
      <c r="E1653" s="133" t="str">
        <f>IFERROR(__xludf.DUMMYFUNCTION("""COMPUTED_VALUE"""),"XXL")</f>
        <v>XXL</v>
      </c>
      <c r="F1653" s="133" t="str">
        <f>IFERROR(__xludf.DUMMYFUNCTION("""COMPUTED_VALUE"""),"20002XXL")</f>
        <v>20002XXL</v>
      </c>
      <c r="G1653" s="165">
        <f>IFERROR(__xludf.DUMMYFUNCTION("""COMPUTED_VALUE"""),1236.0)</f>
        <v>1236</v>
      </c>
    </row>
    <row r="1654" ht="15.75" customHeight="1">
      <c r="A1654" s="133">
        <f>IFERROR(__xludf.DUMMYFUNCTION("""COMPUTED_VALUE"""),20002.0)</f>
        <v>20002</v>
      </c>
      <c r="B1654" s="164">
        <f>IFERROR(__xludf.DUMMYFUNCTION("""COMPUTED_VALUE"""),5286932.0)</f>
        <v>5286932</v>
      </c>
      <c r="C1654" s="164" t="str">
        <f>IFERROR(__xludf.DUMMYFUNCTION("""COMPUTED_VALUE"""),"5286932XXXL")</f>
        <v>5286932XXXL</v>
      </c>
      <c r="D1654" s="133" t="str">
        <f>IFERROR(__xludf.DUMMYFUNCTION("""COMPUTED_VALUE"""),"Мужской свитер с волком")</f>
        <v>Мужской свитер с волком</v>
      </c>
      <c r="E1654" s="133" t="str">
        <f>IFERROR(__xludf.DUMMYFUNCTION("""COMPUTED_VALUE"""),"XXXL")</f>
        <v>XXXL</v>
      </c>
      <c r="F1654" s="133" t="str">
        <f>IFERROR(__xludf.DUMMYFUNCTION("""COMPUTED_VALUE"""),"20002XXXL")</f>
        <v>20002XXXL</v>
      </c>
      <c r="G1654" s="165">
        <f>IFERROR(__xludf.DUMMYFUNCTION("""COMPUTED_VALUE"""),1236.0)</f>
        <v>1236</v>
      </c>
    </row>
    <row r="1655" ht="15.75" customHeight="1">
      <c r="A1655" s="133">
        <f>IFERROR(__xludf.DUMMYFUNCTION("""COMPUTED_VALUE"""),20003.0)</f>
        <v>20003</v>
      </c>
      <c r="B1655" s="164">
        <f>IFERROR(__xludf.DUMMYFUNCTION("""COMPUTED_VALUE"""),5286933.0)</f>
        <v>5286933</v>
      </c>
      <c r="C1655" s="164" t="str">
        <f>IFERROR(__xludf.DUMMYFUNCTION("""COMPUTED_VALUE"""),"5286933S")</f>
        <v>5286933S</v>
      </c>
      <c r="D1655" s="133" t="str">
        <f>IFERROR(__xludf.DUMMYFUNCTION("""COMPUTED_VALUE"""),"Мужской свитер с волком")</f>
        <v>Мужской свитер с волком</v>
      </c>
      <c r="E1655" s="133" t="str">
        <f>IFERROR(__xludf.DUMMYFUNCTION("""COMPUTED_VALUE"""),"S")</f>
        <v>S</v>
      </c>
      <c r="F1655" s="133" t="str">
        <f>IFERROR(__xludf.DUMMYFUNCTION("""COMPUTED_VALUE"""),"20003S")</f>
        <v>20003S</v>
      </c>
      <c r="G1655" s="165">
        <f>IFERROR(__xludf.DUMMYFUNCTION("""COMPUTED_VALUE"""),1236.0)</f>
        <v>1236</v>
      </c>
    </row>
    <row r="1656" ht="15.75" customHeight="1">
      <c r="A1656" s="133">
        <f>IFERROR(__xludf.DUMMYFUNCTION("""COMPUTED_VALUE"""),20003.0)</f>
        <v>20003</v>
      </c>
      <c r="B1656" s="164">
        <f>IFERROR(__xludf.DUMMYFUNCTION("""COMPUTED_VALUE"""),5286933.0)</f>
        <v>5286933</v>
      </c>
      <c r="C1656" s="164" t="str">
        <f>IFERROR(__xludf.DUMMYFUNCTION("""COMPUTED_VALUE"""),"5286933M")</f>
        <v>5286933M</v>
      </c>
      <c r="D1656" s="133" t="str">
        <f>IFERROR(__xludf.DUMMYFUNCTION("""COMPUTED_VALUE"""),"Мужской свитер с волком")</f>
        <v>Мужской свитер с волком</v>
      </c>
      <c r="E1656" s="133" t="str">
        <f>IFERROR(__xludf.DUMMYFUNCTION("""COMPUTED_VALUE"""),"M")</f>
        <v>M</v>
      </c>
      <c r="F1656" s="133" t="str">
        <f>IFERROR(__xludf.DUMMYFUNCTION("""COMPUTED_VALUE"""),"20003M")</f>
        <v>20003M</v>
      </c>
      <c r="G1656" s="165">
        <f>IFERROR(__xludf.DUMMYFUNCTION("""COMPUTED_VALUE"""),1236.0)</f>
        <v>1236</v>
      </c>
    </row>
    <row r="1657" ht="15.75" customHeight="1">
      <c r="A1657" s="133">
        <f>IFERROR(__xludf.DUMMYFUNCTION("""COMPUTED_VALUE"""),20003.0)</f>
        <v>20003</v>
      </c>
      <c r="B1657" s="164">
        <f>IFERROR(__xludf.DUMMYFUNCTION("""COMPUTED_VALUE"""),5286933.0)</f>
        <v>5286933</v>
      </c>
      <c r="C1657" s="164" t="str">
        <f>IFERROR(__xludf.DUMMYFUNCTION("""COMPUTED_VALUE"""),"5286933L")</f>
        <v>5286933L</v>
      </c>
      <c r="D1657" s="133" t="str">
        <f>IFERROR(__xludf.DUMMYFUNCTION("""COMPUTED_VALUE"""),"Мужской свитер с волком")</f>
        <v>Мужской свитер с волком</v>
      </c>
      <c r="E1657" s="133" t="str">
        <f>IFERROR(__xludf.DUMMYFUNCTION("""COMPUTED_VALUE"""),"L")</f>
        <v>L</v>
      </c>
      <c r="F1657" s="133" t="str">
        <f>IFERROR(__xludf.DUMMYFUNCTION("""COMPUTED_VALUE"""),"20003L")</f>
        <v>20003L</v>
      </c>
      <c r="G1657" s="165">
        <f>IFERROR(__xludf.DUMMYFUNCTION("""COMPUTED_VALUE"""),1236.0)</f>
        <v>1236</v>
      </c>
    </row>
    <row r="1658" ht="15.75" customHeight="1">
      <c r="A1658" s="133">
        <f>IFERROR(__xludf.DUMMYFUNCTION("""COMPUTED_VALUE"""),20003.0)</f>
        <v>20003</v>
      </c>
      <c r="B1658" s="164">
        <f>IFERROR(__xludf.DUMMYFUNCTION("""COMPUTED_VALUE"""),5286933.0)</f>
        <v>5286933</v>
      </c>
      <c r="C1658" s="164" t="str">
        <f>IFERROR(__xludf.DUMMYFUNCTION("""COMPUTED_VALUE"""),"5286933XL")</f>
        <v>5286933XL</v>
      </c>
      <c r="D1658" s="133" t="str">
        <f>IFERROR(__xludf.DUMMYFUNCTION("""COMPUTED_VALUE"""),"Мужской свитер с волком")</f>
        <v>Мужской свитер с волком</v>
      </c>
      <c r="E1658" s="133" t="str">
        <f>IFERROR(__xludf.DUMMYFUNCTION("""COMPUTED_VALUE"""),"XL")</f>
        <v>XL</v>
      </c>
      <c r="F1658" s="133" t="str">
        <f>IFERROR(__xludf.DUMMYFUNCTION("""COMPUTED_VALUE"""),"20003XL")</f>
        <v>20003XL</v>
      </c>
      <c r="G1658" s="165">
        <f>IFERROR(__xludf.DUMMYFUNCTION("""COMPUTED_VALUE"""),1236.0)</f>
        <v>1236</v>
      </c>
    </row>
    <row r="1659" ht="15.75" customHeight="1">
      <c r="A1659" s="133">
        <f>IFERROR(__xludf.DUMMYFUNCTION("""COMPUTED_VALUE"""),20003.0)</f>
        <v>20003</v>
      </c>
      <c r="B1659" s="164">
        <f>IFERROR(__xludf.DUMMYFUNCTION("""COMPUTED_VALUE"""),5286933.0)</f>
        <v>5286933</v>
      </c>
      <c r="C1659" s="164" t="str">
        <f>IFERROR(__xludf.DUMMYFUNCTION("""COMPUTED_VALUE"""),"5286933XXL")</f>
        <v>5286933XXL</v>
      </c>
      <c r="D1659" s="133" t="str">
        <f>IFERROR(__xludf.DUMMYFUNCTION("""COMPUTED_VALUE"""),"Мужской свитер с волком")</f>
        <v>Мужской свитер с волком</v>
      </c>
      <c r="E1659" s="133" t="str">
        <f>IFERROR(__xludf.DUMMYFUNCTION("""COMPUTED_VALUE"""),"XXL")</f>
        <v>XXL</v>
      </c>
      <c r="F1659" s="133" t="str">
        <f>IFERROR(__xludf.DUMMYFUNCTION("""COMPUTED_VALUE"""),"20003XXL")</f>
        <v>20003XXL</v>
      </c>
      <c r="G1659" s="165">
        <f>IFERROR(__xludf.DUMMYFUNCTION("""COMPUTED_VALUE"""),1236.0)</f>
        <v>1236</v>
      </c>
    </row>
    <row r="1660" ht="15.75" customHeight="1">
      <c r="A1660" s="133">
        <f>IFERROR(__xludf.DUMMYFUNCTION("""COMPUTED_VALUE"""),20003.0)</f>
        <v>20003</v>
      </c>
      <c r="B1660" s="164">
        <f>IFERROR(__xludf.DUMMYFUNCTION("""COMPUTED_VALUE"""),5286933.0)</f>
        <v>5286933</v>
      </c>
      <c r="C1660" s="164" t="str">
        <f>IFERROR(__xludf.DUMMYFUNCTION("""COMPUTED_VALUE"""),"5286933XXXL")</f>
        <v>5286933XXXL</v>
      </c>
      <c r="D1660" s="133" t="str">
        <f>IFERROR(__xludf.DUMMYFUNCTION("""COMPUTED_VALUE"""),"Мужской свитер с волком")</f>
        <v>Мужской свитер с волком</v>
      </c>
      <c r="E1660" s="133" t="str">
        <f>IFERROR(__xludf.DUMMYFUNCTION("""COMPUTED_VALUE"""),"XXXL")</f>
        <v>XXXL</v>
      </c>
      <c r="F1660" s="133" t="str">
        <f>IFERROR(__xludf.DUMMYFUNCTION("""COMPUTED_VALUE"""),"20003XXXL")</f>
        <v>20003XXXL</v>
      </c>
      <c r="G1660" s="165">
        <f>IFERROR(__xludf.DUMMYFUNCTION("""COMPUTED_VALUE"""),1236.0)</f>
        <v>1236</v>
      </c>
    </row>
    <row r="1661" ht="15.75" customHeight="1">
      <c r="A1661" s="133">
        <f>IFERROR(__xludf.DUMMYFUNCTION("""COMPUTED_VALUE"""),20004.0)</f>
        <v>20004</v>
      </c>
      <c r="B1661" s="164">
        <f>IFERROR(__xludf.DUMMYFUNCTION("""COMPUTED_VALUE"""),5286934.0)</f>
        <v>5286934</v>
      </c>
      <c r="C1661" s="164" t="str">
        <f>IFERROR(__xludf.DUMMYFUNCTION("""COMPUTED_VALUE"""),"5286934S")</f>
        <v>5286934S</v>
      </c>
      <c r="D1661" s="133" t="str">
        <f>IFERROR(__xludf.DUMMYFUNCTION("""COMPUTED_VALUE"""),"Мужской свитер с медведем")</f>
        <v>Мужской свитер с медведем</v>
      </c>
      <c r="E1661" s="133" t="str">
        <f>IFERROR(__xludf.DUMMYFUNCTION("""COMPUTED_VALUE"""),"S")</f>
        <v>S</v>
      </c>
      <c r="F1661" s="133" t="str">
        <f>IFERROR(__xludf.DUMMYFUNCTION("""COMPUTED_VALUE"""),"20004S")</f>
        <v>20004S</v>
      </c>
      <c r="G1661" s="165">
        <f>IFERROR(__xludf.DUMMYFUNCTION("""COMPUTED_VALUE"""),1236.0)</f>
        <v>1236</v>
      </c>
    </row>
    <row r="1662" ht="15.75" customHeight="1">
      <c r="A1662" s="133">
        <f>IFERROR(__xludf.DUMMYFUNCTION("""COMPUTED_VALUE"""),20004.0)</f>
        <v>20004</v>
      </c>
      <c r="B1662" s="164">
        <f>IFERROR(__xludf.DUMMYFUNCTION("""COMPUTED_VALUE"""),5286934.0)</f>
        <v>5286934</v>
      </c>
      <c r="C1662" s="164" t="str">
        <f>IFERROR(__xludf.DUMMYFUNCTION("""COMPUTED_VALUE"""),"5286934M")</f>
        <v>5286934M</v>
      </c>
      <c r="D1662" s="133" t="str">
        <f>IFERROR(__xludf.DUMMYFUNCTION("""COMPUTED_VALUE"""),"Мужской свитер с медведем")</f>
        <v>Мужской свитер с медведем</v>
      </c>
      <c r="E1662" s="133" t="str">
        <f>IFERROR(__xludf.DUMMYFUNCTION("""COMPUTED_VALUE"""),"M")</f>
        <v>M</v>
      </c>
      <c r="F1662" s="133" t="str">
        <f>IFERROR(__xludf.DUMMYFUNCTION("""COMPUTED_VALUE"""),"20004M")</f>
        <v>20004M</v>
      </c>
      <c r="G1662" s="165">
        <f>IFERROR(__xludf.DUMMYFUNCTION("""COMPUTED_VALUE"""),1236.0)</f>
        <v>1236</v>
      </c>
    </row>
    <row r="1663" ht="15.75" customHeight="1">
      <c r="A1663" s="133">
        <f>IFERROR(__xludf.DUMMYFUNCTION("""COMPUTED_VALUE"""),20004.0)</f>
        <v>20004</v>
      </c>
      <c r="B1663" s="164">
        <f>IFERROR(__xludf.DUMMYFUNCTION("""COMPUTED_VALUE"""),5286934.0)</f>
        <v>5286934</v>
      </c>
      <c r="C1663" s="164" t="str">
        <f>IFERROR(__xludf.DUMMYFUNCTION("""COMPUTED_VALUE"""),"5286934L")</f>
        <v>5286934L</v>
      </c>
      <c r="D1663" s="133" t="str">
        <f>IFERROR(__xludf.DUMMYFUNCTION("""COMPUTED_VALUE"""),"Мужской свитер с медведем")</f>
        <v>Мужской свитер с медведем</v>
      </c>
      <c r="E1663" s="133" t="str">
        <f>IFERROR(__xludf.DUMMYFUNCTION("""COMPUTED_VALUE"""),"L")</f>
        <v>L</v>
      </c>
      <c r="F1663" s="133" t="str">
        <f>IFERROR(__xludf.DUMMYFUNCTION("""COMPUTED_VALUE"""),"20004L")</f>
        <v>20004L</v>
      </c>
      <c r="G1663" s="165">
        <f>IFERROR(__xludf.DUMMYFUNCTION("""COMPUTED_VALUE"""),1236.0)</f>
        <v>1236</v>
      </c>
    </row>
    <row r="1664" ht="15.75" customHeight="1">
      <c r="A1664" s="133">
        <f>IFERROR(__xludf.DUMMYFUNCTION("""COMPUTED_VALUE"""),20004.0)</f>
        <v>20004</v>
      </c>
      <c r="B1664" s="164">
        <f>IFERROR(__xludf.DUMMYFUNCTION("""COMPUTED_VALUE"""),5286934.0)</f>
        <v>5286934</v>
      </c>
      <c r="C1664" s="164" t="str">
        <f>IFERROR(__xludf.DUMMYFUNCTION("""COMPUTED_VALUE"""),"5286934XL")</f>
        <v>5286934XL</v>
      </c>
      <c r="D1664" s="133" t="str">
        <f>IFERROR(__xludf.DUMMYFUNCTION("""COMPUTED_VALUE"""),"Мужской свитер с медведем")</f>
        <v>Мужской свитер с медведем</v>
      </c>
      <c r="E1664" s="133" t="str">
        <f>IFERROR(__xludf.DUMMYFUNCTION("""COMPUTED_VALUE"""),"XL")</f>
        <v>XL</v>
      </c>
      <c r="F1664" s="133" t="str">
        <f>IFERROR(__xludf.DUMMYFUNCTION("""COMPUTED_VALUE"""),"20004XL")</f>
        <v>20004XL</v>
      </c>
      <c r="G1664" s="165">
        <f>IFERROR(__xludf.DUMMYFUNCTION("""COMPUTED_VALUE"""),1236.0)</f>
        <v>1236</v>
      </c>
    </row>
    <row r="1665" ht="15.75" customHeight="1">
      <c r="A1665" s="133">
        <f>IFERROR(__xludf.DUMMYFUNCTION("""COMPUTED_VALUE"""),20004.0)</f>
        <v>20004</v>
      </c>
      <c r="B1665" s="164">
        <f>IFERROR(__xludf.DUMMYFUNCTION("""COMPUTED_VALUE"""),5286934.0)</f>
        <v>5286934</v>
      </c>
      <c r="C1665" s="164" t="str">
        <f>IFERROR(__xludf.DUMMYFUNCTION("""COMPUTED_VALUE"""),"5286934XXL")</f>
        <v>5286934XXL</v>
      </c>
      <c r="D1665" s="133" t="str">
        <f>IFERROR(__xludf.DUMMYFUNCTION("""COMPUTED_VALUE"""),"Мужской свитер с медведем")</f>
        <v>Мужской свитер с медведем</v>
      </c>
      <c r="E1665" s="133" t="str">
        <f>IFERROR(__xludf.DUMMYFUNCTION("""COMPUTED_VALUE"""),"XXL")</f>
        <v>XXL</v>
      </c>
      <c r="F1665" s="133" t="str">
        <f>IFERROR(__xludf.DUMMYFUNCTION("""COMPUTED_VALUE"""),"20004XXL")</f>
        <v>20004XXL</v>
      </c>
      <c r="G1665" s="165">
        <f>IFERROR(__xludf.DUMMYFUNCTION("""COMPUTED_VALUE"""),1236.0)</f>
        <v>1236</v>
      </c>
    </row>
    <row r="1666" ht="15.75" customHeight="1">
      <c r="A1666" s="133">
        <f>IFERROR(__xludf.DUMMYFUNCTION("""COMPUTED_VALUE"""),20004.0)</f>
        <v>20004</v>
      </c>
      <c r="B1666" s="164">
        <f>IFERROR(__xludf.DUMMYFUNCTION("""COMPUTED_VALUE"""),5286934.0)</f>
        <v>5286934</v>
      </c>
      <c r="C1666" s="164" t="str">
        <f>IFERROR(__xludf.DUMMYFUNCTION("""COMPUTED_VALUE"""),"5286934XXXL")</f>
        <v>5286934XXXL</v>
      </c>
      <c r="D1666" s="133" t="str">
        <f>IFERROR(__xludf.DUMMYFUNCTION("""COMPUTED_VALUE"""),"Мужской свитер с медведем")</f>
        <v>Мужской свитер с медведем</v>
      </c>
      <c r="E1666" s="133" t="str">
        <f>IFERROR(__xludf.DUMMYFUNCTION("""COMPUTED_VALUE"""),"XXXL")</f>
        <v>XXXL</v>
      </c>
      <c r="F1666" s="133" t="str">
        <f>IFERROR(__xludf.DUMMYFUNCTION("""COMPUTED_VALUE"""),"20004XXXL")</f>
        <v>20004XXXL</v>
      </c>
      <c r="G1666" s="165">
        <f>IFERROR(__xludf.DUMMYFUNCTION("""COMPUTED_VALUE"""),1236.0)</f>
        <v>1236</v>
      </c>
    </row>
    <row r="1667" ht="15.75" customHeight="1">
      <c r="A1667" s="133">
        <f>IFERROR(__xludf.DUMMYFUNCTION("""COMPUTED_VALUE"""),20005.0)</f>
        <v>20005</v>
      </c>
      <c r="B1667" s="164">
        <f>IFERROR(__xludf.DUMMYFUNCTION("""COMPUTED_VALUE"""),6313122.0)</f>
        <v>6313122</v>
      </c>
      <c r="C1667" s="164" t="str">
        <f>IFERROR(__xludf.DUMMYFUNCTION("""COMPUTED_VALUE"""),"6313122S")</f>
        <v>6313122S</v>
      </c>
      <c r="D1667" s="133" t="str">
        <f>IFERROR(__xludf.DUMMYFUNCTION("""COMPUTED_VALUE"""),"Мужской свитер с медведем")</f>
        <v>Мужской свитер с медведем</v>
      </c>
      <c r="E1667" s="133" t="str">
        <f>IFERROR(__xludf.DUMMYFUNCTION("""COMPUTED_VALUE"""),"S")</f>
        <v>S</v>
      </c>
      <c r="F1667" s="133" t="str">
        <f>IFERROR(__xludf.DUMMYFUNCTION("""COMPUTED_VALUE"""),"20005S")</f>
        <v>20005S</v>
      </c>
      <c r="G1667" s="165">
        <f>IFERROR(__xludf.DUMMYFUNCTION("""COMPUTED_VALUE"""),1236.0)</f>
        <v>1236</v>
      </c>
    </row>
    <row r="1668" ht="15.75" customHeight="1">
      <c r="A1668" s="133">
        <f>IFERROR(__xludf.DUMMYFUNCTION("""COMPUTED_VALUE"""),20005.0)</f>
        <v>20005</v>
      </c>
      <c r="B1668" s="164">
        <f>IFERROR(__xludf.DUMMYFUNCTION("""COMPUTED_VALUE"""),6313122.0)</f>
        <v>6313122</v>
      </c>
      <c r="C1668" s="164" t="str">
        <f>IFERROR(__xludf.DUMMYFUNCTION("""COMPUTED_VALUE"""),"6313122M")</f>
        <v>6313122M</v>
      </c>
      <c r="D1668" s="133" t="str">
        <f>IFERROR(__xludf.DUMMYFUNCTION("""COMPUTED_VALUE"""),"Мужской свитер с медведем")</f>
        <v>Мужской свитер с медведем</v>
      </c>
      <c r="E1668" s="133" t="str">
        <f>IFERROR(__xludf.DUMMYFUNCTION("""COMPUTED_VALUE"""),"M")</f>
        <v>M</v>
      </c>
      <c r="F1668" s="133" t="str">
        <f>IFERROR(__xludf.DUMMYFUNCTION("""COMPUTED_VALUE"""),"20005M")</f>
        <v>20005M</v>
      </c>
      <c r="G1668" s="165">
        <f>IFERROR(__xludf.DUMMYFUNCTION("""COMPUTED_VALUE"""),1236.0)</f>
        <v>1236</v>
      </c>
    </row>
    <row r="1669" ht="15.75" customHeight="1">
      <c r="A1669" s="133">
        <f>IFERROR(__xludf.DUMMYFUNCTION("""COMPUTED_VALUE"""),20005.0)</f>
        <v>20005</v>
      </c>
      <c r="B1669" s="164">
        <f>IFERROR(__xludf.DUMMYFUNCTION("""COMPUTED_VALUE"""),6313122.0)</f>
        <v>6313122</v>
      </c>
      <c r="C1669" s="164" t="str">
        <f>IFERROR(__xludf.DUMMYFUNCTION("""COMPUTED_VALUE"""),"6313122L")</f>
        <v>6313122L</v>
      </c>
      <c r="D1669" s="133" t="str">
        <f>IFERROR(__xludf.DUMMYFUNCTION("""COMPUTED_VALUE"""),"Мужской свитер с медведем")</f>
        <v>Мужской свитер с медведем</v>
      </c>
      <c r="E1669" s="133" t="str">
        <f>IFERROR(__xludf.DUMMYFUNCTION("""COMPUTED_VALUE"""),"L")</f>
        <v>L</v>
      </c>
      <c r="F1669" s="133" t="str">
        <f>IFERROR(__xludf.DUMMYFUNCTION("""COMPUTED_VALUE"""),"20005L")</f>
        <v>20005L</v>
      </c>
      <c r="G1669" s="165">
        <f>IFERROR(__xludf.DUMMYFUNCTION("""COMPUTED_VALUE"""),1236.0)</f>
        <v>1236</v>
      </c>
    </row>
    <row r="1670" ht="15.75" customHeight="1">
      <c r="A1670" s="133">
        <f>IFERROR(__xludf.DUMMYFUNCTION("""COMPUTED_VALUE"""),20005.0)</f>
        <v>20005</v>
      </c>
      <c r="B1670" s="164">
        <f>IFERROR(__xludf.DUMMYFUNCTION("""COMPUTED_VALUE"""),6313122.0)</f>
        <v>6313122</v>
      </c>
      <c r="C1670" s="164" t="str">
        <f>IFERROR(__xludf.DUMMYFUNCTION("""COMPUTED_VALUE"""),"6313122XL")</f>
        <v>6313122XL</v>
      </c>
      <c r="D1670" s="133" t="str">
        <f>IFERROR(__xludf.DUMMYFUNCTION("""COMPUTED_VALUE"""),"Мужской свитер с медведем")</f>
        <v>Мужской свитер с медведем</v>
      </c>
      <c r="E1670" s="133" t="str">
        <f>IFERROR(__xludf.DUMMYFUNCTION("""COMPUTED_VALUE"""),"XL")</f>
        <v>XL</v>
      </c>
      <c r="F1670" s="133" t="str">
        <f>IFERROR(__xludf.DUMMYFUNCTION("""COMPUTED_VALUE"""),"20005XL")</f>
        <v>20005XL</v>
      </c>
      <c r="G1670" s="165">
        <f>IFERROR(__xludf.DUMMYFUNCTION("""COMPUTED_VALUE"""),1236.0)</f>
        <v>1236</v>
      </c>
    </row>
    <row r="1671" ht="15.75" customHeight="1">
      <c r="A1671" s="133">
        <f>IFERROR(__xludf.DUMMYFUNCTION("""COMPUTED_VALUE"""),20005.0)</f>
        <v>20005</v>
      </c>
      <c r="B1671" s="164">
        <f>IFERROR(__xludf.DUMMYFUNCTION("""COMPUTED_VALUE"""),6313122.0)</f>
        <v>6313122</v>
      </c>
      <c r="C1671" s="164" t="str">
        <f>IFERROR(__xludf.DUMMYFUNCTION("""COMPUTED_VALUE"""),"6313122XXL")</f>
        <v>6313122XXL</v>
      </c>
      <c r="D1671" s="133" t="str">
        <f>IFERROR(__xludf.DUMMYFUNCTION("""COMPUTED_VALUE"""),"Мужской свитер с медведем")</f>
        <v>Мужской свитер с медведем</v>
      </c>
      <c r="E1671" s="133" t="str">
        <f>IFERROR(__xludf.DUMMYFUNCTION("""COMPUTED_VALUE"""),"XXL")</f>
        <v>XXL</v>
      </c>
      <c r="F1671" s="133" t="str">
        <f>IFERROR(__xludf.DUMMYFUNCTION("""COMPUTED_VALUE"""),"20005XXL")</f>
        <v>20005XXL</v>
      </c>
      <c r="G1671" s="165">
        <f>IFERROR(__xludf.DUMMYFUNCTION("""COMPUTED_VALUE"""),1236.0)</f>
        <v>1236</v>
      </c>
    </row>
    <row r="1672" ht="15.75" customHeight="1">
      <c r="A1672" s="133">
        <f>IFERROR(__xludf.DUMMYFUNCTION("""COMPUTED_VALUE"""),20005.0)</f>
        <v>20005</v>
      </c>
      <c r="B1672" s="164">
        <f>IFERROR(__xludf.DUMMYFUNCTION("""COMPUTED_VALUE"""),6313122.0)</f>
        <v>6313122</v>
      </c>
      <c r="C1672" s="164" t="str">
        <f>IFERROR(__xludf.DUMMYFUNCTION("""COMPUTED_VALUE"""),"6313122XXXL")</f>
        <v>6313122XXXL</v>
      </c>
      <c r="D1672" s="133" t="str">
        <f>IFERROR(__xludf.DUMMYFUNCTION("""COMPUTED_VALUE"""),"Мужской свитер с медведем")</f>
        <v>Мужской свитер с медведем</v>
      </c>
      <c r="E1672" s="133" t="str">
        <f>IFERROR(__xludf.DUMMYFUNCTION("""COMPUTED_VALUE"""),"XXXL")</f>
        <v>XXXL</v>
      </c>
      <c r="F1672" s="133" t="str">
        <f>IFERROR(__xludf.DUMMYFUNCTION("""COMPUTED_VALUE"""),"20005XXXL")</f>
        <v>20005XXXL</v>
      </c>
      <c r="G1672" s="165">
        <f>IFERROR(__xludf.DUMMYFUNCTION("""COMPUTED_VALUE"""),1236.0)</f>
        <v>1236</v>
      </c>
    </row>
    <row r="1673" ht="15.75" customHeight="1">
      <c r="A1673" s="133">
        <f>IFERROR(__xludf.DUMMYFUNCTION("""COMPUTED_VALUE"""),20006.0)</f>
        <v>20006</v>
      </c>
      <c r="B1673" s="164">
        <f>IFERROR(__xludf.DUMMYFUNCTION("""COMPUTED_VALUE"""),5286935.0)</f>
        <v>5286935</v>
      </c>
      <c r="C1673" s="164" t="str">
        <f>IFERROR(__xludf.DUMMYFUNCTION("""COMPUTED_VALUE"""),"5286935S")</f>
        <v>5286935S</v>
      </c>
      <c r="D1673" s="133" t="str">
        <f>IFERROR(__xludf.DUMMYFUNCTION("""COMPUTED_VALUE"""),"Мужской свитер с медведем")</f>
        <v>Мужской свитер с медведем</v>
      </c>
      <c r="E1673" s="133" t="str">
        <f>IFERROR(__xludf.DUMMYFUNCTION("""COMPUTED_VALUE"""),"S")</f>
        <v>S</v>
      </c>
      <c r="F1673" s="133" t="str">
        <f>IFERROR(__xludf.DUMMYFUNCTION("""COMPUTED_VALUE"""),"20006S")</f>
        <v>20006S</v>
      </c>
      <c r="G1673" s="165">
        <f>IFERROR(__xludf.DUMMYFUNCTION("""COMPUTED_VALUE"""),1236.0)</f>
        <v>1236</v>
      </c>
    </row>
    <row r="1674" ht="15.75" customHeight="1">
      <c r="A1674" s="133">
        <f>IFERROR(__xludf.DUMMYFUNCTION("""COMPUTED_VALUE"""),20006.0)</f>
        <v>20006</v>
      </c>
      <c r="B1674" s="164">
        <f>IFERROR(__xludf.DUMMYFUNCTION("""COMPUTED_VALUE"""),5286935.0)</f>
        <v>5286935</v>
      </c>
      <c r="C1674" s="164" t="str">
        <f>IFERROR(__xludf.DUMMYFUNCTION("""COMPUTED_VALUE"""),"5286935M")</f>
        <v>5286935M</v>
      </c>
      <c r="D1674" s="133" t="str">
        <f>IFERROR(__xludf.DUMMYFUNCTION("""COMPUTED_VALUE"""),"Мужской свитер с медведем")</f>
        <v>Мужской свитер с медведем</v>
      </c>
      <c r="E1674" s="133" t="str">
        <f>IFERROR(__xludf.DUMMYFUNCTION("""COMPUTED_VALUE"""),"M")</f>
        <v>M</v>
      </c>
      <c r="F1674" s="133" t="str">
        <f>IFERROR(__xludf.DUMMYFUNCTION("""COMPUTED_VALUE"""),"20006M")</f>
        <v>20006M</v>
      </c>
      <c r="G1674" s="165">
        <f>IFERROR(__xludf.DUMMYFUNCTION("""COMPUTED_VALUE"""),1236.0)</f>
        <v>1236</v>
      </c>
    </row>
    <row r="1675" ht="15.75" customHeight="1">
      <c r="A1675" s="133">
        <f>IFERROR(__xludf.DUMMYFUNCTION("""COMPUTED_VALUE"""),20006.0)</f>
        <v>20006</v>
      </c>
      <c r="B1675" s="164">
        <f>IFERROR(__xludf.DUMMYFUNCTION("""COMPUTED_VALUE"""),5286935.0)</f>
        <v>5286935</v>
      </c>
      <c r="C1675" s="164" t="str">
        <f>IFERROR(__xludf.DUMMYFUNCTION("""COMPUTED_VALUE"""),"5286935L")</f>
        <v>5286935L</v>
      </c>
      <c r="D1675" s="133" t="str">
        <f>IFERROR(__xludf.DUMMYFUNCTION("""COMPUTED_VALUE"""),"Мужской свитер с медведем")</f>
        <v>Мужской свитер с медведем</v>
      </c>
      <c r="E1675" s="133" t="str">
        <f>IFERROR(__xludf.DUMMYFUNCTION("""COMPUTED_VALUE"""),"L")</f>
        <v>L</v>
      </c>
      <c r="F1675" s="133" t="str">
        <f>IFERROR(__xludf.DUMMYFUNCTION("""COMPUTED_VALUE"""),"20006L")</f>
        <v>20006L</v>
      </c>
      <c r="G1675" s="165">
        <f>IFERROR(__xludf.DUMMYFUNCTION("""COMPUTED_VALUE"""),1236.0)</f>
        <v>1236</v>
      </c>
    </row>
    <row r="1676" ht="15.75" customHeight="1">
      <c r="A1676" s="133">
        <f>IFERROR(__xludf.DUMMYFUNCTION("""COMPUTED_VALUE"""),20006.0)</f>
        <v>20006</v>
      </c>
      <c r="B1676" s="164">
        <f>IFERROR(__xludf.DUMMYFUNCTION("""COMPUTED_VALUE"""),5286935.0)</f>
        <v>5286935</v>
      </c>
      <c r="C1676" s="164" t="str">
        <f>IFERROR(__xludf.DUMMYFUNCTION("""COMPUTED_VALUE"""),"5286935XL")</f>
        <v>5286935XL</v>
      </c>
      <c r="D1676" s="133" t="str">
        <f>IFERROR(__xludf.DUMMYFUNCTION("""COMPUTED_VALUE"""),"Мужской свитер с медведем")</f>
        <v>Мужской свитер с медведем</v>
      </c>
      <c r="E1676" s="133" t="str">
        <f>IFERROR(__xludf.DUMMYFUNCTION("""COMPUTED_VALUE"""),"XL")</f>
        <v>XL</v>
      </c>
      <c r="F1676" s="133" t="str">
        <f>IFERROR(__xludf.DUMMYFUNCTION("""COMPUTED_VALUE"""),"20006XL")</f>
        <v>20006XL</v>
      </c>
      <c r="G1676" s="165">
        <f>IFERROR(__xludf.DUMMYFUNCTION("""COMPUTED_VALUE"""),1236.0)</f>
        <v>1236</v>
      </c>
    </row>
    <row r="1677" ht="15.75" customHeight="1">
      <c r="A1677" s="133">
        <f>IFERROR(__xludf.DUMMYFUNCTION("""COMPUTED_VALUE"""),20006.0)</f>
        <v>20006</v>
      </c>
      <c r="B1677" s="164">
        <f>IFERROR(__xludf.DUMMYFUNCTION("""COMPUTED_VALUE"""),5286935.0)</f>
        <v>5286935</v>
      </c>
      <c r="C1677" s="164" t="str">
        <f>IFERROR(__xludf.DUMMYFUNCTION("""COMPUTED_VALUE"""),"5286935XXL")</f>
        <v>5286935XXL</v>
      </c>
      <c r="D1677" s="133" t="str">
        <f>IFERROR(__xludf.DUMMYFUNCTION("""COMPUTED_VALUE"""),"Мужской свитер с медведем")</f>
        <v>Мужской свитер с медведем</v>
      </c>
      <c r="E1677" s="133" t="str">
        <f>IFERROR(__xludf.DUMMYFUNCTION("""COMPUTED_VALUE"""),"XXL")</f>
        <v>XXL</v>
      </c>
      <c r="F1677" s="133" t="str">
        <f>IFERROR(__xludf.DUMMYFUNCTION("""COMPUTED_VALUE"""),"20006XXL")</f>
        <v>20006XXL</v>
      </c>
      <c r="G1677" s="165">
        <f>IFERROR(__xludf.DUMMYFUNCTION("""COMPUTED_VALUE"""),1236.0)</f>
        <v>1236</v>
      </c>
    </row>
    <row r="1678" ht="15.75" customHeight="1">
      <c r="A1678" s="133">
        <f>IFERROR(__xludf.DUMMYFUNCTION("""COMPUTED_VALUE"""),20006.0)</f>
        <v>20006</v>
      </c>
      <c r="B1678" s="164">
        <f>IFERROR(__xludf.DUMMYFUNCTION("""COMPUTED_VALUE"""),5286935.0)</f>
        <v>5286935</v>
      </c>
      <c r="C1678" s="164" t="str">
        <f>IFERROR(__xludf.DUMMYFUNCTION("""COMPUTED_VALUE"""),"5286935XXXL")</f>
        <v>5286935XXXL</v>
      </c>
      <c r="D1678" s="133" t="str">
        <f>IFERROR(__xludf.DUMMYFUNCTION("""COMPUTED_VALUE"""),"Мужской свитер с медведем")</f>
        <v>Мужской свитер с медведем</v>
      </c>
      <c r="E1678" s="133" t="str">
        <f>IFERROR(__xludf.DUMMYFUNCTION("""COMPUTED_VALUE"""),"XXXL")</f>
        <v>XXXL</v>
      </c>
      <c r="F1678" s="133" t="str">
        <f>IFERROR(__xludf.DUMMYFUNCTION("""COMPUTED_VALUE"""),"20006XXXL")</f>
        <v>20006XXXL</v>
      </c>
      <c r="G1678" s="165">
        <f>IFERROR(__xludf.DUMMYFUNCTION("""COMPUTED_VALUE"""),1236.0)</f>
        <v>1236</v>
      </c>
    </row>
    <row r="1679" ht="15.75" customHeight="1">
      <c r="A1679" s="133">
        <f>IFERROR(__xludf.DUMMYFUNCTION("""COMPUTED_VALUE"""),20007.0)</f>
        <v>20007</v>
      </c>
      <c r="B1679" s="164">
        <f>IFERROR(__xludf.DUMMYFUNCTION("""COMPUTED_VALUE"""),5286936.0)</f>
        <v>5286936</v>
      </c>
      <c r="C1679" s="164" t="str">
        <f>IFERROR(__xludf.DUMMYFUNCTION("""COMPUTED_VALUE"""),"5286936S")</f>
        <v>5286936S</v>
      </c>
      <c r="D1679" s="133" t="str">
        <f>IFERROR(__xludf.DUMMYFUNCTION("""COMPUTED_VALUE"""),"Мужской свитер с оленями")</f>
        <v>Мужской свитер с оленями</v>
      </c>
      <c r="E1679" s="133" t="str">
        <f>IFERROR(__xludf.DUMMYFUNCTION("""COMPUTED_VALUE"""),"S")</f>
        <v>S</v>
      </c>
      <c r="F1679" s="133" t="str">
        <f>IFERROR(__xludf.DUMMYFUNCTION("""COMPUTED_VALUE"""),"20007S")</f>
        <v>20007S</v>
      </c>
      <c r="G1679" s="165">
        <f>IFERROR(__xludf.DUMMYFUNCTION("""COMPUTED_VALUE"""),1236.0)</f>
        <v>1236</v>
      </c>
    </row>
    <row r="1680" ht="15.75" customHeight="1">
      <c r="A1680" s="133">
        <f>IFERROR(__xludf.DUMMYFUNCTION("""COMPUTED_VALUE"""),20007.0)</f>
        <v>20007</v>
      </c>
      <c r="B1680" s="164">
        <f>IFERROR(__xludf.DUMMYFUNCTION("""COMPUTED_VALUE"""),5286936.0)</f>
        <v>5286936</v>
      </c>
      <c r="C1680" s="164" t="str">
        <f>IFERROR(__xludf.DUMMYFUNCTION("""COMPUTED_VALUE"""),"5286936M")</f>
        <v>5286936M</v>
      </c>
      <c r="D1680" s="133" t="str">
        <f>IFERROR(__xludf.DUMMYFUNCTION("""COMPUTED_VALUE"""),"Мужской свитер с оленями")</f>
        <v>Мужской свитер с оленями</v>
      </c>
      <c r="E1680" s="133" t="str">
        <f>IFERROR(__xludf.DUMMYFUNCTION("""COMPUTED_VALUE"""),"M")</f>
        <v>M</v>
      </c>
      <c r="F1680" s="133" t="str">
        <f>IFERROR(__xludf.DUMMYFUNCTION("""COMPUTED_VALUE"""),"20007M")</f>
        <v>20007M</v>
      </c>
      <c r="G1680" s="165">
        <f>IFERROR(__xludf.DUMMYFUNCTION("""COMPUTED_VALUE"""),1236.0)</f>
        <v>1236</v>
      </c>
    </row>
    <row r="1681" ht="15.75" customHeight="1">
      <c r="A1681" s="133">
        <f>IFERROR(__xludf.DUMMYFUNCTION("""COMPUTED_VALUE"""),20007.0)</f>
        <v>20007</v>
      </c>
      <c r="B1681" s="164">
        <f>IFERROR(__xludf.DUMMYFUNCTION("""COMPUTED_VALUE"""),5286936.0)</f>
        <v>5286936</v>
      </c>
      <c r="C1681" s="164" t="str">
        <f>IFERROR(__xludf.DUMMYFUNCTION("""COMPUTED_VALUE"""),"5286936L")</f>
        <v>5286936L</v>
      </c>
      <c r="D1681" s="133" t="str">
        <f>IFERROR(__xludf.DUMMYFUNCTION("""COMPUTED_VALUE"""),"Мужской свитер с оленями")</f>
        <v>Мужской свитер с оленями</v>
      </c>
      <c r="E1681" s="133" t="str">
        <f>IFERROR(__xludf.DUMMYFUNCTION("""COMPUTED_VALUE"""),"L")</f>
        <v>L</v>
      </c>
      <c r="F1681" s="133" t="str">
        <f>IFERROR(__xludf.DUMMYFUNCTION("""COMPUTED_VALUE"""),"20007L")</f>
        <v>20007L</v>
      </c>
      <c r="G1681" s="165">
        <f>IFERROR(__xludf.DUMMYFUNCTION("""COMPUTED_VALUE"""),1236.0)</f>
        <v>1236</v>
      </c>
    </row>
    <row r="1682" ht="15.75" customHeight="1">
      <c r="A1682" s="133">
        <f>IFERROR(__xludf.DUMMYFUNCTION("""COMPUTED_VALUE"""),20007.0)</f>
        <v>20007</v>
      </c>
      <c r="B1682" s="164">
        <f>IFERROR(__xludf.DUMMYFUNCTION("""COMPUTED_VALUE"""),5286936.0)</f>
        <v>5286936</v>
      </c>
      <c r="C1682" s="164" t="str">
        <f>IFERROR(__xludf.DUMMYFUNCTION("""COMPUTED_VALUE"""),"5286936XL")</f>
        <v>5286936XL</v>
      </c>
      <c r="D1682" s="133" t="str">
        <f>IFERROR(__xludf.DUMMYFUNCTION("""COMPUTED_VALUE"""),"Мужской свитер с оленями")</f>
        <v>Мужской свитер с оленями</v>
      </c>
      <c r="E1682" s="133" t="str">
        <f>IFERROR(__xludf.DUMMYFUNCTION("""COMPUTED_VALUE"""),"XL")</f>
        <v>XL</v>
      </c>
      <c r="F1682" s="133" t="str">
        <f>IFERROR(__xludf.DUMMYFUNCTION("""COMPUTED_VALUE"""),"20007XL")</f>
        <v>20007XL</v>
      </c>
      <c r="G1682" s="165">
        <f>IFERROR(__xludf.DUMMYFUNCTION("""COMPUTED_VALUE"""),1236.0)</f>
        <v>1236</v>
      </c>
    </row>
    <row r="1683" ht="15.75" customHeight="1">
      <c r="A1683" s="133">
        <f>IFERROR(__xludf.DUMMYFUNCTION("""COMPUTED_VALUE"""),20007.0)</f>
        <v>20007</v>
      </c>
      <c r="B1683" s="164">
        <f>IFERROR(__xludf.DUMMYFUNCTION("""COMPUTED_VALUE"""),5286936.0)</f>
        <v>5286936</v>
      </c>
      <c r="C1683" s="164" t="str">
        <f>IFERROR(__xludf.DUMMYFUNCTION("""COMPUTED_VALUE"""),"5286936XXL")</f>
        <v>5286936XXL</v>
      </c>
      <c r="D1683" s="133" t="str">
        <f>IFERROR(__xludf.DUMMYFUNCTION("""COMPUTED_VALUE"""),"Мужской свитер с оленями")</f>
        <v>Мужской свитер с оленями</v>
      </c>
      <c r="E1683" s="133" t="str">
        <f>IFERROR(__xludf.DUMMYFUNCTION("""COMPUTED_VALUE"""),"XXL")</f>
        <v>XXL</v>
      </c>
      <c r="F1683" s="133" t="str">
        <f>IFERROR(__xludf.DUMMYFUNCTION("""COMPUTED_VALUE"""),"20007XXL")</f>
        <v>20007XXL</v>
      </c>
      <c r="G1683" s="165">
        <f>IFERROR(__xludf.DUMMYFUNCTION("""COMPUTED_VALUE"""),1236.0)</f>
        <v>1236</v>
      </c>
    </row>
    <row r="1684" ht="15.75" customHeight="1">
      <c r="A1684" s="133">
        <f>IFERROR(__xludf.DUMMYFUNCTION("""COMPUTED_VALUE"""),20007.0)</f>
        <v>20007</v>
      </c>
      <c r="B1684" s="164">
        <f>IFERROR(__xludf.DUMMYFUNCTION("""COMPUTED_VALUE"""),5286936.0)</f>
        <v>5286936</v>
      </c>
      <c r="C1684" s="164" t="str">
        <f>IFERROR(__xludf.DUMMYFUNCTION("""COMPUTED_VALUE"""),"5286936XXXL")</f>
        <v>5286936XXXL</v>
      </c>
      <c r="D1684" s="133" t="str">
        <f>IFERROR(__xludf.DUMMYFUNCTION("""COMPUTED_VALUE"""),"Мужской свитер с оленями")</f>
        <v>Мужской свитер с оленями</v>
      </c>
      <c r="E1684" s="133" t="str">
        <f>IFERROR(__xludf.DUMMYFUNCTION("""COMPUTED_VALUE"""),"XXXL")</f>
        <v>XXXL</v>
      </c>
      <c r="F1684" s="133" t="str">
        <f>IFERROR(__xludf.DUMMYFUNCTION("""COMPUTED_VALUE"""),"20007XXXL")</f>
        <v>20007XXXL</v>
      </c>
      <c r="G1684" s="165">
        <f>IFERROR(__xludf.DUMMYFUNCTION("""COMPUTED_VALUE"""),1236.0)</f>
        <v>1236</v>
      </c>
    </row>
    <row r="1685" ht="15.75" customHeight="1">
      <c r="A1685" s="133">
        <f>IFERROR(__xludf.DUMMYFUNCTION("""COMPUTED_VALUE"""),20010.0)</f>
        <v>20010</v>
      </c>
      <c r="B1685" s="164">
        <f>IFERROR(__xludf.DUMMYFUNCTION("""COMPUTED_VALUE"""),5286939.0)</f>
        <v>5286939</v>
      </c>
      <c r="C1685" s="164" t="str">
        <f>IFERROR(__xludf.DUMMYFUNCTION("""COMPUTED_VALUE"""),"5286939S")</f>
        <v>5286939S</v>
      </c>
      <c r="D1685" s="133" t="str">
        <f>IFERROR(__xludf.DUMMYFUNCTION("""COMPUTED_VALUE"""),"Мужской свитер с оленями")</f>
        <v>Мужской свитер с оленями</v>
      </c>
      <c r="E1685" s="133" t="str">
        <f>IFERROR(__xludf.DUMMYFUNCTION("""COMPUTED_VALUE"""),"S")</f>
        <v>S</v>
      </c>
      <c r="F1685" s="133" t="str">
        <f>IFERROR(__xludf.DUMMYFUNCTION("""COMPUTED_VALUE"""),"20010S")</f>
        <v>20010S</v>
      </c>
      <c r="G1685" s="165">
        <f>IFERROR(__xludf.DUMMYFUNCTION("""COMPUTED_VALUE"""),1236.0)</f>
        <v>1236</v>
      </c>
    </row>
    <row r="1686" ht="15.75" customHeight="1">
      <c r="A1686" s="133">
        <f>IFERROR(__xludf.DUMMYFUNCTION("""COMPUTED_VALUE"""),20010.0)</f>
        <v>20010</v>
      </c>
      <c r="B1686" s="164">
        <f>IFERROR(__xludf.DUMMYFUNCTION("""COMPUTED_VALUE"""),5286939.0)</f>
        <v>5286939</v>
      </c>
      <c r="C1686" s="164" t="str">
        <f>IFERROR(__xludf.DUMMYFUNCTION("""COMPUTED_VALUE"""),"5286939M")</f>
        <v>5286939M</v>
      </c>
      <c r="D1686" s="133" t="str">
        <f>IFERROR(__xludf.DUMMYFUNCTION("""COMPUTED_VALUE"""),"Мужской свитер с оленями")</f>
        <v>Мужской свитер с оленями</v>
      </c>
      <c r="E1686" s="133" t="str">
        <f>IFERROR(__xludf.DUMMYFUNCTION("""COMPUTED_VALUE"""),"M")</f>
        <v>M</v>
      </c>
      <c r="F1686" s="133" t="str">
        <f>IFERROR(__xludf.DUMMYFUNCTION("""COMPUTED_VALUE"""),"20010M")</f>
        <v>20010M</v>
      </c>
      <c r="G1686" s="165">
        <f>IFERROR(__xludf.DUMMYFUNCTION("""COMPUTED_VALUE"""),1236.0)</f>
        <v>1236</v>
      </c>
    </row>
    <row r="1687" ht="15.75" customHeight="1">
      <c r="A1687" s="133">
        <f>IFERROR(__xludf.DUMMYFUNCTION("""COMPUTED_VALUE"""),20010.0)</f>
        <v>20010</v>
      </c>
      <c r="B1687" s="164">
        <f>IFERROR(__xludf.DUMMYFUNCTION("""COMPUTED_VALUE"""),5286939.0)</f>
        <v>5286939</v>
      </c>
      <c r="C1687" s="164" t="str">
        <f>IFERROR(__xludf.DUMMYFUNCTION("""COMPUTED_VALUE"""),"5286939L")</f>
        <v>5286939L</v>
      </c>
      <c r="D1687" s="133" t="str">
        <f>IFERROR(__xludf.DUMMYFUNCTION("""COMPUTED_VALUE"""),"Мужской свитер с оленями")</f>
        <v>Мужской свитер с оленями</v>
      </c>
      <c r="E1687" s="133" t="str">
        <f>IFERROR(__xludf.DUMMYFUNCTION("""COMPUTED_VALUE"""),"L")</f>
        <v>L</v>
      </c>
      <c r="F1687" s="133" t="str">
        <f>IFERROR(__xludf.DUMMYFUNCTION("""COMPUTED_VALUE"""),"20010L")</f>
        <v>20010L</v>
      </c>
      <c r="G1687" s="165">
        <f>IFERROR(__xludf.DUMMYFUNCTION("""COMPUTED_VALUE"""),1236.0)</f>
        <v>1236</v>
      </c>
    </row>
    <row r="1688" ht="15.75" customHeight="1">
      <c r="A1688" s="133">
        <f>IFERROR(__xludf.DUMMYFUNCTION("""COMPUTED_VALUE"""),20010.0)</f>
        <v>20010</v>
      </c>
      <c r="B1688" s="164">
        <f>IFERROR(__xludf.DUMMYFUNCTION("""COMPUTED_VALUE"""),5286939.0)</f>
        <v>5286939</v>
      </c>
      <c r="C1688" s="164" t="str">
        <f>IFERROR(__xludf.DUMMYFUNCTION("""COMPUTED_VALUE"""),"5286939XL")</f>
        <v>5286939XL</v>
      </c>
      <c r="D1688" s="133" t="str">
        <f>IFERROR(__xludf.DUMMYFUNCTION("""COMPUTED_VALUE"""),"Мужской свитер с оленями")</f>
        <v>Мужской свитер с оленями</v>
      </c>
      <c r="E1688" s="133" t="str">
        <f>IFERROR(__xludf.DUMMYFUNCTION("""COMPUTED_VALUE"""),"XL")</f>
        <v>XL</v>
      </c>
      <c r="F1688" s="133" t="str">
        <f>IFERROR(__xludf.DUMMYFUNCTION("""COMPUTED_VALUE"""),"20010XL")</f>
        <v>20010XL</v>
      </c>
      <c r="G1688" s="165">
        <f>IFERROR(__xludf.DUMMYFUNCTION("""COMPUTED_VALUE"""),1236.0)</f>
        <v>1236</v>
      </c>
    </row>
    <row r="1689" ht="15.75" customHeight="1">
      <c r="A1689" s="133">
        <f>IFERROR(__xludf.DUMMYFUNCTION("""COMPUTED_VALUE"""),20010.0)</f>
        <v>20010</v>
      </c>
      <c r="B1689" s="164">
        <f>IFERROR(__xludf.DUMMYFUNCTION("""COMPUTED_VALUE"""),5286939.0)</f>
        <v>5286939</v>
      </c>
      <c r="C1689" s="164" t="str">
        <f>IFERROR(__xludf.DUMMYFUNCTION("""COMPUTED_VALUE"""),"5286939XXL")</f>
        <v>5286939XXL</v>
      </c>
      <c r="D1689" s="133" t="str">
        <f>IFERROR(__xludf.DUMMYFUNCTION("""COMPUTED_VALUE"""),"Мужской свитер с оленями")</f>
        <v>Мужской свитер с оленями</v>
      </c>
      <c r="E1689" s="133" t="str">
        <f>IFERROR(__xludf.DUMMYFUNCTION("""COMPUTED_VALUE"""),"XXL")</f>
        <v>XXL</v>
      </c>
      <c r="F1689" s="133" t="str">
        <f>IFERROR(__xludf.DUMMYFUNCTION("""COMPUTED_VALUE"""),"20010XXL")</f>
        <v>20010XXL</v>
      </c>
      <c r="G1689" s="165">
        <f>IFERROR(__xludf.DUMMYFUNCTION("""COMPUTED_VALUE"""),1236.0)</f>
        <v>1236</v>
      </c>
    </row>
    <row r="1690" ht="15.75" customHeight="1">
      <c r="A1690" s="133">
        <f>IFERROR(__xludf.DUMMYFUNCTION("""COMPUTED_VALUE"""),20010.0)</f>
        <v>20010</v>
      </c>
      <c r="B1690" s="164">
        <f>IFERROR(__xludf.DUMMYFUNCTION("""COMPUTED_VALUE"""),5286939.0)</f>
        <v>5286939</v>
      </c>
      <c r="C1690" s="164" t="str">
        <f>IFERROR(__xludf.DUMMYFUNCTION("""COMPUTED_VALUE"""),"5286939XXXL")</f>
        <v>5286939XXXL</v>
      </c>
      <c r="D1690" s="133" t="str">
        <f>IFERROR(__xludf.DUMMYFUNCTION("""COMPUTED_VALUE"""),"Мужской свитер с оленями")</f>
        <v>Мужской свитер с оленями</v>
      </c>
      <c r="E1690" s="133" t="str">
        <f>IFERROR(__xludf.DUMMYFUNCTION("""COMPUTED_VALUE"""),"XXXL")</f>
        <v>XXXL</v>
      </c>
      <c r="F1690" s="133" t="str">
        <f>IFERROR(__xludf.DUMMYFUNCTION("""COMPUTED_VALUE"""),"20010XXXL")</f>
        <v>20010XXXL</v>
      </c>
      <c r="G1690" s="165">
        <f>IFERROR(__xludf.DUMMYFUNCTION("""COMPUTED_VALUE"""),1236.0)</f>
        <v>1236</v>
      </c>
    </row>
    <row r="1691" ht="15.75" customHeight="1">
      <c r="A1691" s="133">
        <f>IFERROR(__xludf.DUMMYFUNCTION("""COMPUTED_VALUE"""),20011.0)</f>
        <v>20011</v>
      </c>
      <c r="B1691" s="164">
        <f>IFERROR(__xludf.DUMMYFUNCTION("""COMPUTED_VALUE"""),5286940.0)</f>
        <v>5286940</v>
      </c>
      <c r="C1691" s="164" t="str">
        <f>IFERROR(__xludf.DUMMYFUNCTION("""COMPUTED_VALUE"""),"5286940S")</f>
        <v>5286940S</v>
      </c>
      <c r="D1691" s="133" t="str">
        <f>IFERROR(__xludf.DUMMYFUNCTION("""COMPUTED_VALUE"""),"Мужской свитер с тигром")</f>
        <v>Мужской свитер с тигром</v>
      </c>
      <c r="E1691" s="133" t="str">
        <f>IFERROR(__xludf.DUMMYFUNCTION("""COMPUTED_VALUE"""),"S")</f>
        <v>S</v>
      </c>
      <c r="F1691" s="133" t="str">
        <f>IFERROR(__xludf.DUMMYFUNCTION("""COMPUTED_VALUE"""),"20011S")</f>
        <v>20011S</v>
      </c>
      <c r="G1691" s="165">
        <f>IFERROR(__xludf.DUMMYFUNCTION("""COMPUTED_VALUE"""),1236.0)</f>
        <v>1236</v>
      </c>
    </row>
    <row r="1692" ht="15.75" customHeight="1">
      <c r="A1692" s="133">
        <f>IFERROR(__xludf.DUMMYFUNCTION("""COMPUTED_VALUE"""),20011.0)</f>
        <v>20011</v>
      </c>
      <c r="B1692" s="164">
        <f>IFERROR(__xludf.DUMMYFUNCTION("""COMPUTED_VALUE"""),5286940.0)</f>
        <v>5286940</v>
      </c>
      <c r="C1692" s="164" t="str">
        <f>IFERROR(__xludf.DUMMYFUNCTION("""COMPUTED_VALUE"""),"5286940M")</f>
        <v>5286940M</v>
      </c>
      <c r="D1692" s="133" t="str">
        <f>IFERROR(__xludf.DUMMYFUNCTION("""COMPUTED_VALUE"""),"Мужской свитер с тигром")</f>
        <v>Мужской свитер с тигром</v>
      </c>
      <c r="E1692" s="133" t="str">
        <f>IFERROR(__xludf.DUMMYFUNCTION("""COMPUTED_VALUE"""),"M")</f>
        <v>M</v>
      </c>
      <c r="F1692" s="133" t="str">
        <f>IFERROR(__xludf.DUMMYFUNCTION("""COMPUTED_VALUE"""),"20011M")</f>
        <v>20011M</v>
      </c>
      <c r="G1692" s="165">
        <f>IFERROR(__xludf.DUMMYFUNCTION("""COMPUTED_VALUE"""),1236.0)</f>
        <v>1236</v>
      </c>
    </row>
    <row r="1693" ht="15.75" customHeight="1">
      <c r="A1693" s="133">
        <f>IFERROR(__xludf.DUMMYFUNCTION("""COMPUTED_VALUE"""),20011.0)</f>
        <v>20011</v>
      </c>
      <c r="B1693" s="164">
        <f>IFERROR(__xludf.DUMMYFUNCTION("""COMPUTED_VALUE"""),5286940.0)</f>
        <v>5286940</v>
      </c>
      <c r="C1693" s="164" t="str">
        <f>IFERROR(__xludf.DUMMYFUNCTION("""COMPUTED_VALUE"""),"5286940L")</f>
        <v>5286940L</v>
      </c>
      <c r="D1693" s="133" t="str">
        <f>IFERROR(__xludf.DUMMYFUNCTION("""COMPUTED_VALUE"""),"Мужской свитер с тигром")</f>
        <v>Мужской свитер с тигром</v>
      </c>
      <c r="E1693" s="133" t="str">
        <f>IFERROR(__xludf.DUMMYFUNCTION("""COMPUTED_VALUE"""),"L")</f>
        <v>L</v>
      </c>
      <c r="F1693" s="133" t="str">
        <f>IFERROR(__xludf.DUMMYFUNCTION("""COMPUTED_VALUE"""),"20011L")</f>
        <v>20011L</v>
      </c>
      <c r="G1693" s="165">
        <f>IFERROR(__xludf.DUMMYFUNCTION("""COMPUTED_VALUE"""),1236.0)</f>
        <v>1236</v>
      </c>
    </row>
    <row r="1694" ht="15.75" customHeight="1">
      <c r="A1694" s="133">
        <f>IFERROR(__xludf.DUMMYFUNCTION("""COMPUTED_VALUE"""),20011.0)</f>
        <v>20011</v>
      </c>
      <c r="B1694" s="164">
        <f>IFERROR(__xludf.DUMMYFUNCTION("""COMPUTED_VALUE"""),5286940.0)</f>
        <v>5286940</v>
      </c>
      <c r="C1694" s="164" t="str">
        <f>IFERROR(__xludf.DUMMYFUNCTION("""COMPUTED_VALUE"""),"5286940XL")</f>
        <v>5286940XL</v>
      </c>
      <c r="D1694" s="133" t="str">
        <f>IFERROR(__xludf.DUMMYFUNCTION("""COMPUTED_VALUE"""),"Мужской свитер с тигром")</f>
        <v>Мужской свитер с тигром</v>
      </c>
      <c r="E1694" s="133" t="str">
        <f>IFERROR(__xludf.DUMMYFUNCTION("""COMPUTED_VALUE"""),"XL")</f>
        <v>XL</v>
      </c>
      <c r="F1694" s="133" t="str">
        <f>IFERROR(__xludf.DUMMYFUNCTION("""COMPUTED_VALUE"""),"20011XL")</f>
        <v>20011XL</v>
      </c>
      <c r="G1694" s="165">
        <f>IFERROR(__xludf.DUMMYFUNCTION("""COMPUTED_VALUE"""),1236.0)</f>
        <v>1236</v>
      </c>
    </row>
    <row r="1695" ht="15.75" customHeight="1">
      <c r="A1695" s="133">
        <f>IFERROR(__xludf.DUMMYFUNCTION("""COMPUTED_VALUE"""),20011.0)</f>
        <v>20011</v>
      </c>
      <c r="B1695" s="164">
        <f>IFERROR(__xludf.DUMMYFUNCTION("""COMPUTED_VALUE"""),5286940.0)</f>
        <v>5286940</v>
      </c>
      <c r="C1695" s="164" t="str">
        <f>IFERROR(__xludf.DUMMYFUNCTION("""COMPUTED_VALUE"""),"5286940XXL")</f>
        <v>5286940XXL</v>
      </c>
      <c r="D1695" s="133" t="str">
        <f>IFERROR(__xludf.DUMMYFUNCTION("""COMPUTED_VALUE"""),"Мужской свитер с тигром")</f>
        <v>Мужской свитер с тигром</v>
      </c>
      <c r="E1695" s="133" t="str">
        <f>IFERROR(__xludf.DUMMYFUNCTION("""COMPUTED_VALUE"""),"XXL")</f>
        <v>XXL</v>
      </c>
      <c r="F1695" s="133" t="str">
        <f>IFERROR(__xludf.DUMMYFUNCTION("""COMPUTED_VALUE"""),"20011XXL")</f>
        <v>20011XXL</v>
      </c>
      <c r="G1695" s="165">
        <f>IFERROR(__xludf.DUMMYFUNCTION("""COMPUTED_VALUE"""),1236.0)</f>
        <v>1236</v>
      </c>
    </row>
    <row r="1696" ht="15.75" customHeight="1">
      <c r="A1696" s="133">
        <f>IFERROR(__xludf.DUMMYFUNCTION("""COMPUTED_VALUE"""),20011.0)</f>
        <v>20011</v>
      </c>
      <c r="B1696" s="164">
        <f>IFERROR(__xludf.DUMMYFUNCTION("""COMPUTED_VALUE"""),5286940.0)</f>
        <v>5286940</v>
      </c>
      <c r="C1696" s="164" t="str">
        <f>IFERROR(__xludf.DUMMYFUNCTION("""COMPUTED_VALUE"""),"5286940XXXL")</f>
        <v>5286940XXXL</v>
      </c>
      <c r="D1696" s="133" t="str">
        <f>IFERROR(__xludf.DUMMYFUNCTION("""COMPUTED_VALUE"""),"Мужской свитер с тигром")</f>
        <v>Мужской свитер с тигром</v>
      </c>
      <c r="E1696" s="133" t="str">
        <f>IFERROR(__xludf.DUMMYFUNCTION("""COMPUTED_VALUE"""),"XXXL")</f>
        <v>XXXL</v>
      </c>
      <c r="F1696" s="133" t="str">
        <f>IFERROR(__xludf.DUMMYFUNCTION("""COMPUTED_VALUE"""),"20011XXXL")</f>
        <v>20011XXXL</v>
      </c>
      <c r="G1696" s="165">
        <f>IFERROR(__xludf.DUMMYFUNCTION("""COMPUTED_VALUE"""),1236.0)</f>
        <v>1236</v>
      </c>
    </row>
    <row r="1697" ht="15.75" customHeight="1">
      <c r="A1697" s="133">
        <f>IFERROR(__xludf.DUMMYFUNCTION("""COMPUTED_VALUE"""),20012.0)</f>
        <v>20012</v>
      </c>
      <c r="B1697" s="164">
        <f>IFERROR(__xludf.DUMMYFUNCTION("""COMPUTED_VALUE"""),5286941.0)</f>
        <v>5286941</v>
      </c>
      <c r="C1697" s="164" t="str">
        <f>IFERROR(__xludf.DUMMYFUNCTION("""COMPUTED_VALUE"""),"5286941S")</f>
        <v>5286941S</v>
      </c>
      <c r="D1697" s="133" t="str">
        <f>IFERROR(__xludf.DUMMYFUNCTION("""COMPUTED_VALUE"""),"Мужской свитер с тигром")</f>
        <v>Мужской свитер с тигром</v>
      </c>
      <c r="E1697" s="133" t="str">
        <f>IFERROR(__xludf.DUMMYFUNCTION("""COMPUTED_VALUE"""),"S")</f>
        <v>S</v>
      </c>
      <c r="F1697" s="133" t="str">
        <f>IFERROR(__xludf.DUMMYFUNCTION("""COMPUTED_VALUE"""),"20012S")</f>
        <v>20012S</v>
      </c>
      <c r="G1697" s="165">
        <f>IFERROR(__xludf.DUMMYFUNCTION("""COMPUTED_VALUE"""),1236.0)</f>
        <v>1236</v>
      </c>
    </row>
    <row r="1698" ht="15.75" customHeight="1">
      <c r="A1698" s="133">
        <f>IFERROR(__xludf.DUMMYFUNCTION("""COMPUTED_VALUE"""),20012.0)</f>
        <v>20012</v>
      </c>
      <c r="B1698" s="164">
        <f>IFERROR(__xludf.DUMMYFUNCTION("""COMPUTED_VALUE"""),5286941.0)</f>
        <v>5286941</v>
      </c>
      <c r="C1698" s="164" t="str">
        <f>IFERROR(__xludf.DUMMYFUNCTION("""COMPUTED_VALUE"""),"5286941M")</f>
        <v>5286941M</v>
      </c>
      <c r="D1698" s="133" t="str">
        <f>IFERROR(__xludf.DUMMYFUNCTION("""COMPUTED_VALUE"""),"Мужской свитер с тигром")</f>
        <v>Мужской свитер с тигром</v>
      </c>
      <c r="E1698" s="133" t="str">
        <f>IFERROR(__xludf.DUMMYFUNCTION("""COMPUTED_VALUE"""),"M")</f>
        <v>M</v>
      </c>
      <c r="F1698" s="133" t="str">
        <f>IFERROR(__xludf.DUMMYFUNCTION("""COMPUTED_VALUE"""),"20012M")</f>
        <v>20012M</v>
      </c>
      <c r="G1698" s="165">
        <f>IFERROR(__xludf.DUMMYFUNCTION("""COMPUTED_VALUE"""),1236.0)</f>
        <v>1236</v>
      </c>
    </row>
    <row r="1699" ht="15.75" customHeight="1">
      <c r="A1699" s="133">
        <f>IFERROR(__xludf.DUMMYFUNCTION("""COMPUTED_VALUE"""),20012.0)</f>
        <v>20012</v>
      </c>
      <c r="B1699" s="164">
        <f>IFERROR(__xludf.DUMMYFUNCTION("""COMPUTED_VALUE"""),5286941.0)</f>
        <v>5286941</v>
      </c>
      <c r="C1699" s="164" t="str">
        <f>IFERROR(__xludf.DUMMYFUNCTION("""COMPUTED_VALUE"""),"5286941L")</f>
        <v>5286941L</v>
      </c>
      <c r="D1699" s="133" t="str">
        <f>IFERROR(__xludf.DUMMYFUNCTION("""COMPUTED_VALUE"""),"Мужской свитер с тигром")</f>
        <v>Мужской свитер с тигром</v>
      </c>
      <c r="E1699" s="133" t="str">
        <f>IFERROR(__xludf.DUMMYFUNCTION("""COMPUTED_VALUE"""),"L")</f>
        <v>L</v>
      </c>
      <c r="F1699" s="133" t="str">
        <f>IFERROR(__xludf.DUMMYFUNCTION("""COMPUTED_VALUE"""),"20012L")</f>
        <v>20012L</v>
      </c>
      <c r="G1699" s="165">
        <f>IFERROR(__xludf.DUMMYFUNCTION("""COMPUTED_VALUE"""),1236.0)</f>
        <v>1236</v>
      </c>
    </row>
    <row r="1700" ht="15.75" customHeight="1">
      <c r="A1700" s="133">
        <f>IFERROR(__xludf.DUMMYFUNCTION("""COMPUTED_VALUE"""),20012.0)</f>
        <v>20012</v>
      </c>
      <c r="B1700" s="164">
        <f>IFERROR(__xludf.DUMMYFUNCTION("""COMPUTED_VALUE"""),5286941.0)</f>
        <v>5286941</v>
      </c>
      <c r="C1700" s="164" t="str">
        <f>IFERROR(__xludf.DUMMYFUNCTION("""COMPUTED_VALUE"""),"5286941XL")</f>
        <v>5286941XL</v>
      </c>
      <c r="D1700" s="133" t="str">
        <f>IFERROR(__xludf.DUMMYFUNCTION("""COMPUTED_VALUE"""),"Мужской свитер с тигром")</f>
        <v>Мужской свитер с тигром</v>
      </c>
      <c r="E1700" s="133" t="str">
        <f>IFERROR(__xludf.DUMMYFUNCTION("""COMPUTED_VALUE"""),"XL")</f>
        <v>XL</v>
      </c>
      <c r="F1700" s="133" t="str">
        <f>IFERROR(__xludf.DUMMYFUNCTION("""COMPUTED_VALUE"""),"20012XL")</f>
        <v>20012XL</v>
      </c>
      <c r="G1700" s="165">
        <f>IFERROR(__xludf.DUMMYFUNCTION("""COMPUTED_VALUE"""),1236.0)</f>
        <v>1236</v>
      </c>
    </row>
    <row r="1701" ht="15.75" customHeight="1">
      <c r="A1701" s="133">
        <f>IFERROR(__xludf.DUMMYFUNCTION("""COMPUTED_VALUE"""),20012.0)</f>
        <v>20012</v>
      </c>
      <c r="B1701" s="164">
        <f>IFERROR(__xludf.DUMMYFUNCTION("""COMPUTED_VALUE"""),5286941.0)</f>
        <v>5286941</v>
      </c>
      <c r="C1701" s="164" t="str">
        <f>IFERROR(__xludf.DUMMYFUNCTION("""COMPUTED_VALUE"""),"5286941XXL")</f>
        <v>5286941XXL</v>
      </c>
      <c r="D1701" s="133" t="str">
        <f>IFERROR(__xludf.DUMMYFUNCTION("""COMPUTED_VALUE"""),"Мужской свитер с тигром")</f>
        <v>Мужской свитер с тигром</v>
      </c>
      <c r="E1701" s="133" t="str">
        <f>IFERROR(__xludf.DUMMYFUNCTION("""COMPUTED_VALUE"""),"XXL")</f>
        <v>XXL</v>
      </c>
      <c r="F1701" s="133" t="str">
        <f>IFERROR(__xludf.DUMMYFUNCTION("""COMPUTED_VALUE"""),"20012XXL")</f>
        <v>20012XXL</v>
      </c>
      <c r="G1701" s="165">
        <f>IFERROR(__xludf.DUMMYFUNCTION("""COMPUTED_VALUE"""),1236.0)</f>
        <v>1236</v>
      </c>
    </row>
    <row r="1702" ht="15.75" customHeight="1">
      <c r="A1702" s="133">
        <f>IFERROR(__xludf.DUMMYFUNCTION("""COMPUTED_VALUE"""),20012.0)</f>
        <v>20012</v>
      </c>
      <c r="B1702" s="164">
        <f>IFERROR(__xludf.DUMMYFUNCTION("""COMPUTED_VALUE"""),5286941.0)</f>
        <v>5286941</v>
      </c>
      <c r="C1702" s="164" t="str">
        <f>IFERROR(__xludf.DUMMYFUNCTION("""COMPUTED_VALUE"""),"5286941XXXL")</f>
        <v>5286941XXXL</v>
      </c>
      <c r="D1702" s="133" t="str">
        <f>IFERROR(__xludf.DUMMYFUNCTION("""COMPUTED_VALUE"""),"Мужской свитер с тигром")</f>
        <v>Мужской свитер с тигром</v>
      </c>
      <c r="E1702" s="133" t="str">
        <f>IFERROR(__xludf.DUMMYFUNCTION("""COMPUTED_VALUE"""),"XXXL")</f>
        <v>XXXL</v>
      </c>
      <c r="F1702" s="133" t="str">
        <f>IFERROR(__xludf.DUMMYFUNCTION("""COMPUTED_VALUE"""),"20012XXXL")</f>
        <v>20012XXXL</v>
      </c>
      <c r="G1702" s="165">
        <f>IFERROR(__xludf.DUMMYFUNCTION("""COMPUTED_VALUE"""),1236.0)</f>
        <v>1236</v>
      </c>
    </row>
    <row r="1703" ht="15.75" customHeight="1">
      <c r="A1703" s="133">
        <f>IFERROR(__xludf.DUMMYFUNCTION("""COMPUTED_VALUE"""),20013.0)</f>
        <v>20013</v>
      </c>
      <c r="B1703" s="164">
        <f>IFERROR(__xludf.DUMMYFUNCTION("""COMPUTED_VALUE"""),5286942.0)</f>
        <v>5286942</v>
      </c>
      <c r="C1703" s="164" t="str">
        <f>IFERROR(__xludf.DUMMYFUNCTION("""COMPUTED_VALUE"""),"5286942S")</f>
        <v>5286942S</v>
      </c>
      <c r="D1703" s="133" t="str">
        <f>IFERROR(__xludf.DUMMYFUNCTION("""COMPUTED_VALUE"""),"Мужской свитер с тигром")</f>
        <v>Мужской свитер с тигром</v>
      </c>
      <c r="E1703" s="133" t="str">
        <f>IFERROR(__xludf.DUMMYFUNCTION("""COMPUTED_VALUE"""),"S")</f>
        <v>S</v>
      </c>
      <c r="F1703" s="133" t="str">
        <f>IFERROR(__xludf.DUMMYFUNCTION("""COMPUTED_VALUE"""),"20013S")</f>
        <v>20013S</v>
      </c>
      <c r="G1703" s="165">
        <f>IFERROR(__xludf.DUMMYFUNCTION("""COMPUTED_VALUE"""),1236.0)</f>
        <v>1236</v>
      </c>
    </row>
    <row r="1704" ht="15.75" customHeight="1">
      <c r="A1704" s="133">
        <f>IFERROR(__xludf.DUMMYFUNCTION("""COMPUTED_VALUE"""),20013.0)</f>
        <v>20013</v>
      </c>
      <c r="B1704" s="164">
        <f>IFERROR(__xludf.DUMMYFUNCTION("""COMPUTED_VALUE"""),5286942.0)</f>
        <v>5286942</v>
      </c>
      <c r="C1704" s="164" t="str">
        <f>IFERROR(__xludf.DUMMYFUNCTION("""COMPUTED_VALUE"""),"5286942M")</f>
        <v>5286942M</v>
      </c>
      <c r="D1704" s="133" t="str">
        <f>IFERROR(__xludf.DUMMYFUNCTION("""COMPUTED_VALUE"""),"Мужской свитер с тигром")</f>
        <v>Мужской свитер с тигром</v>
      </c>
      <c r="E1704" s="133" t="str">
        <f>IFERROR(__xludf.DUMMYFUNCTION("""COMPUTED_VALUE"""),"M")</f>
        <v>M</v>
      </c>
      <c r="F1704" s="133" t="str">
        <f>IFERROR(__xludf.DUMMYFUNCTION("""COMPUTED_VALUE"""),"20013M")</f>
        <v>20013M</v>
      </c>
      <c r="G1704" s="165">
        <f>IFERROR(__xludf.DUMMYFUNCTION("""COMPUTED_VALUE"""),1236.0)</f>
        <v>1236</v>
      </c>
    </row>
    <row r="1705" ht="15.75" customHeight="1">
      <c r="A1705" s="133">
        <f>IFERROR(__xludf.DUMMYFUNCTION("""COMPUTED_VALUE"""),20013.0)</f>
        <v>20013</v>
      </c>
      <c r="B1705" s="164">
        <f>IFERROR(__xludf.DUMMYFUNCTION("""COMPUTED_VALUE"""),5286942.0)</f>
        <v>5286942</v>
      </c>
      <c r="C1705" s="164" t="str">
        <f>IFERROR(__xludf.DUMMYFUNCTION("""COMPUTED_VALUE"""),"5286942L")</f>
        <v>5286942L</v>
      </c>
      <c r="D1705" s="133" t="str">
        <f>IFERROR(__xludf.DUMMYFUNCTION("""COMPUTED_VALUE"""),"Мужской свитер с тигром")</f>
        <v>Мужской свитер с тигром</v>
      </c>
      <c r="E1705" s="133" t="str">
        <f>IFERROR(__xludf.DUMMYFUNCTION("""COMPUTED_VALUE"""),"L")</f>
        <v>L</v>
      </c>
      <c r="F1705" s="133" t="str">
        <f>IFERROR(__xludf.DUMMYFUNCTION("""COMPUTED_VALUE"""),"20013L")</f>
        <v>20013L</v>
      </c>
      <c r="G1705" s="165">
        <f>IFERROR(__xludf.DUMMYFUNCTION("""COMPUTED_VALUE"""),1236.0)</f>
        <v>1236</v>
      </c>
    </row>
    <row r="1706" ht="15.75" customHeight="1">
      <c r="A1706" s="133">
        <f>IFERROR(__xludf.DUMMYFUNCTION("""COMPUTED_VALUE"""),20013.0)</f>
        <v>20013</v>
      </c>
      <c r="B1706" s="164">
        <f>IFERROR(__xludf.DUMMYFUNCTION("""COMPUTED_VALUE"""),5286942.0)</f>
        <v>5286942</v>
      </c>
      <c r="C1706" s="164" t="str">
        <f>IFERROR(__xludf.DUMMYFUNCTION("""COMPUTED_VALUE"""),"5286942XL")</f>
        <v>5286942XL</v>
      </c>
      <c r="D1706" s="133" t="str">
        <f>IFERROR(__xludf.DUMMYFUNCTION("""COMPUTED_VALUE"""),"Мужской свитер с тигром")</f>
        <v>Мужской свитер с тигром</v>
      </c>
      <c r="E1706" s="133" t="str">
        <f>IFERROR(__xludf.DUMMYFUNCTION("""COMPUTED_VALUE"""),"XL")</f>
        <v>XL</v>
      </c>
      <c r="F1706" s="133" t="str">
        <f>IFERROR(__xludf.DUMMYFUNCTION("""COMPUTED_VALUE"""),"20013XL")</f>
        <v>20013XL</v>
      </c>
      <c r="G1706" s="165">
        <f>IFERROR(__xludf.DUMMYFUNCTION("""COMPUTED_VALUE"""),1236.0)</f>
        <v>1236</v>
      </c>
    </row>
    <row r="1707" ht="15.75" customHeight="1">
      <c r="A1707" s="133">
        <f>IFERROR(__xludf.DUMMYFUNCTION("""COMPUTED_VALUE"""),20013.0)</f>
        <v>20013</v>
      </c>
      <c r="B1707" s="164">
        <f>IFERROR(__xludf.DUMMYFUNCTION("""COMPUTED_VALUE"""),5286942.0)</f>
        <v>5286942</v>
      </c>
      <c r="C1707" s="164" t="str">
        <f>IFERROR(__xludf.DUMMYFUNCTION("""COMPUTED_VALUE"""),"5286942XXL")</f>
        <v>5286942XXL</v>
      </c>
      <c r="D1707" s="133" t="str">
        <f>IFERROR(__xludf.DUMMYFUNCTION("""COMPUTED_VALUE"""),"Мужской свитер с тигром")</f>
        <v>Мужской свитер с тигром</v>
      </c>
      <c r="E1707" s="133" t="str">
        <f>IFERROR(__xludf.DUMMYFUNCTION("""COMPUTED_VALUE"""),"XXL")</f>
        <v>XXL</v>
      </c>
      <c r="F1707" s="133" t="str">
        <f>IFERROR(__xludf.DUMMYFUNCTION("""COMPUTED_VALUE"""),"20013XXL")</f>
        <v>20013XXL</v>
      </c>
      <c r="G1707" s="165">
        <f>IFERROR(__xludf.DUMMYFUNCTION("""COMPUTED_VALUE"""),1236.0)</f>
        <v>1236</v>
      </c>
    </row>
    <row r="1708" ht="15.75" customHeight="1">
      <c r="A1708" s="133">
        <f>IFERROR(__xludf.DUMMYFUNCTION("""COMPUTED_VALUE"""),20013.0)</f>
        <v>20013</v>
      </c>
      <c r="B1708" s="164">
        <f>IFERROR(__xludf.DUMMYFUNCTION("""COMPUTED_VALUE"""),5286942.0)</f>
        <v>5286942</v>
      </c>
      <c r="C1708" s="164" t="str">
        <f>IFERROR(__xludf.DUMMYFUNCTION("""COMPUTED_VALUE"""),"5286942XXXL")</f>
        <v>5286942XXXL</v>
      </c>
      <c r="D1708" s="133" t="str">
        <f>IFERROR(__xludf.DUMMYFUNCTION("""COMPUTED_VALUE"""),"Мужской свитер с тигром")</f>
        <v>Мужской свитер с тигром</v>
      </c>
      <c r="E1708" s="133" t="str">
        <f>IFERROR(__xludf.DUMMYFUNCTION("""COMPUTED_VALUE"""),"XXXL")</f>
        <v>XXXL</v>
      </c>
      <c r="F1708" s="133" t="str">
        <f>IFERROR(__xludf.DUMMYFUNCTION("""COMPUTED_VALUE"""),"20013XXXL")</f>
        <v>20013XXXL</v>
      </c>
      <c r="G1708" s="165">
        <f>IFERROR(__xludf.DUMMYFUNCTION("""COMPUTED_VALUE"""),1236.0)</f>
        <v>1236</v>
      </c>
    </row>
    <row r="1709" ht="15.75" customHeight="1">
      <c r="A1709" s="133">
        <f>IFERROR(__xludf.DUMMYFUNCTION("""COMPUTED_VALUE"""),20014.0)</f>
        <v>20014</v>
      </c>
      <c r="B1709" s="164">
        <f>IFERROR(__xludf.DUMMYFUNCTION("""COMPUTED_VALUE"""),5286943.0)</f>
        <v>5286943</v>
      </c>
      <c r="C1709" s="164" t="str">
        <f>IFERROR(__xludf.DUMMYFUNCTION("""COMPUTED_VALUE"""),"5286943S")</f>
        <v>5286943S</v>
      </c>
      <c r="D1709" s="133" t="str">
        <f>IFERROR(__xludf.DUMMYFUNCTION("""COMPUTED_VALUE"""),"Мужской джемпер с хаски")</f>
        <v>Мужской джемпер с хаски</v>
      </c>
      <c r="E1709" s="133" t="str">
        <f>IFERROR(__xludf.DUMMYFUNCTION("""COMPUTED_VALUE"""),"S")</f>
        <v>S</v>
      </c>
      <c r="F1709" s="133" t="str">
        <f>IFERROR(__xludf.DUMMYFUNCTION("""COMPUTED_VALUE"""),"20014S")</f>
        <v>20014S</v>
      </c>
      <c r="G1709" s="165">
        <f>IFERROR(__xludf.DUMMYFUNCTION("""COMPUTED_VALUE"""),1236.0)</f>
        <v>1236</v>
      </c>
    </row>
    <row r="1710" ht="15.75" customHeight="1">
      <c r="A1710" s="133">
        <f>IFERROR(__xludf.DUMMYFUNCTION("""COMPUTED_VALUE"""),20014.0)</f>
        <v>20014</v>
      </c>
      <c r="B1710" s="164">
        <f>IFERROR(__xludf.DUMMYFUNCTION("""COMPUTED_VALUE"""),5286943.0)</f>
        <v>5286943</v>
      </c>
      <c r="C1710" s="164" t="str">
        <f>IFERROR(__xludf.DUMMYFUNCTION("""COMPUTED_VALUE"""),"5286943M")</f>
        <v>5286943M</v>
      </c>
      <c r="D1710" s="133" t="str">
        <f>IFERROR(__xludf.DUMMYFUNCTION("""COMPUTED_VALUE"""),"Мужской джемпер с хаски")</f>
        <v>Мужской джемпер с хаски</v>
      </c>
      <c r="E1710" s="133" t="str">
        <f>IFERROR(__xludf.DUMMYFUNCTION("""COMPUTED_VALUE"""),"M")</f>
        <v>M</v>
      </c>
      <c r="F1710" s="133" t="str">
        <f>IFERROR(__xludf.DUMMYFUNCTION("""COMPUTED_VALUE"""),"20014M")</f>
        <v>20014M</v>
      </c>
      <c r="G1710" s="165">
        <f>IFERROR(__xludf.DUMMYFUNCTION("""COMPUTED_VALUE"""),1236.0)</f>
        <v>1236</v>
      </c>
    </row>
    <row r="1711" ht="15.75" customHeight="1">
      <c r="A1711" s="133">
        <f>IFERROR(__xludf.DUMMYFUNCTION("""COMPUTED_VALUE"""),20014.0)</f>
        <v>20014</v>
      </c>
      <c r="B1711" s="164">
        <f>IFERROR(__xludf.DUMMYFUNCTION("""COMPUTED_VALUE"""),5286943.0)</f>
        <v>5286943</v>
      </c>
      <c r="C1711" s="164" t="str">
        <f>IFERROR(__xludf.DUMMYFUNCTION("""COMPUTED_VALUE"""),"5286943L")</f>
        <v>5286943L</v>
      </c>
      <c r="D1711" s="133" t="str">
        <f>IFERROR(__xludf.DUMMYFUNCTION("""COMPUTED_VALUE"""),"Мужской джемпер с хаски")</f>
        <v>Мужской джемпер с хаски</v>
      </c>
      <c r="E1711" s="133" t="str">
        <f>IFERROR(__xludf.DUMMYFUNCTION("""COMPUTED_VALUE"""),"L")</f>
        <v>L</v>
      </c>
      <c r="F1711" s="133" t="str">
        <f>IFERROR(__xludf.DUMMYFUNCTION("""COMPUTED_VALUE"""),"20014L")</f>
        <v>20014L</v>
      </c>
      <c r="G1711" s="165">
        <f>IFERROR(__xludf.DUMMYFUNCTION("""COMPUTED_VALUE"""),1236.0)</f>
        <v>1236</v>
      </c>
    </row>
    <row r="1712" ht="15.75" customHeight="1">
      <c r="A1712" s="133">
        <f>IFERROR(__xludf.DUMMYFUNCTION("""COMPUTED_VALUE"""),20014.0)</f>
        <v>20014</v>
      </c>
      <c r="B1712" s="164">
        <f>IFERROR(__xludf.DUMMYFUNCTION("""COMPUTED_VALUE"""),5286943.0)</f>
        <v>5286943</v>
      </c>
      <c r="C1712" s="164" t="str">
        <f>IFERROR(__xludf.DUMMYFUNCTION("""COMPUTED_VALUE"""),"5286943XL")</f>
        <v>5286943XL</v>
      </c>
      <c r="D1712" s="133" t="str">
        <f>IFERROR(__xludf.DUMMYFUNCTION("""COMPUTED_VALUE"""),"Мужской джемпер с хаски")</f>
        <v>Мужской джемпер с хаски</v>
      </c>
      <c r="E1712" s="133" t="str">
        <f>IFERROR(__xludf.DUMMYFUNCTION("""COMPUTED_VALUE"""),"XL")</f>
        <v>XL</v>
      </c>
      <c r="F1712" s="133" t="str">
        <f>IFERROR(__xludf.DUMMYFUNCTION("""COMPUTED_VALUE"""),"20014XL")</f>
        <v>20014XL</v>
      </c>
      <c r="G1712" s="165">
        <f>IFERROR(__xludf.DUMMYFUNCTION("""COMPUTED_VALUE"""),1236.0)</f>
        <v>1236</v>
      </c>
    </row>
    <row r="1713" ht="15.75" customHeight="1">
      <c r="A1713" s="133">
        <f>IFERROR(__xludf.DUMMYFUNCTION("""COMPUTED_VALUE"""),20014.0)</f>
        <v>20014</v>
      </c>
      <c r="B1713" s="164">
        <f>IFERROR(__xludf.DUMMYFUNCTION("""COMPUTED_VALUE"""),5286943.0)</f>
        <v>5286943</v>
      </c>
      <c r="C1713" s="164" t="str">
        <f>IFERROR(__xludf.DUMMYFUNCTION("""COMPUTED_VALUE"""),"5286943XXL")</f>
        <v>5286943XXL</v>
      </c>
      <c r="D1713" s="133" t="str">
        <f>IFERROR(__xludf.DUMMYFUNCTION("""COMPUTED_VALUE"""),"Мужской джемпер с хаски")</f>
        <v>Мужской джемпер с хаски</v>
      </c>
      <c r="E1713" s="133" t="str">
        <f>IFERROR(__xludf.DUMMYFUNCTION("""COMPUTED_VALUE"""),"XXL")</f>
        <v>XXL</v>
      </c>
      <c r="F1713" s="133" t="str">
        <f>IFERROR(__xludf.DUMMYFUNCTION("""COMPUTED_VALUE"""),"20014XXL")</f>
        <v>20014XXL</v>
      </c>
      <c r="G1713" s="165">
        <f>IFERROR(__xludf.DUMMYFUNCTION("""COMPUTED_VALUE"""),1236.0)</f>
        <v>1236</v>
      </c>
    </row>
    <row r="1714" ht="15.75" customHeight="1">
      <c r="A1714" s="133">
        <f>IFERROR(__xludf.DUMMYFUNCTION("""COMPUTED_VALUE"""),20014.0)</f>
        <v>20014</v>
      </c>
      <c r="B1714" s="164">
        <f>IFERROR(__xludf.DUMMYFUNCTION("""COMPUTED_VALUE"""),5286943.0)</f>
        <v>5286943</v>
      </c>
      <c r="C1714" s="164" t="str">
        <f>IFERROR(__xludf.DUMMYFUNCTION("""COMPUTED_VALUE"""),"5286943XXXL")</f>
        <v>5286943XXXL</v>
      </c>
      <c r="D1714" s="133" t="str">
        <f>IFERROR(__xludf.DUMMYFUNCTION("""COMPUTED_VALUE"""),"Мужской джемпер с хаски")</f>
        <v>Мужской джемпер с хаски</v>
      </c>
      <c r="E1714" s="133" t="str">
        <f>IFERROR(__xludf.DUMMYFUNCTION("""COMPUTED_VALUE"""),"XXXL")</f>
        <v>XXXL</v>
      </c>
      <c r="F1714" s="133" t="str">
        <f>IFERROR(__xludf.DUMMYFUNCTION("""COMPUTED_VALUE"""),"20014XXXL")</f>
        <v>20014XXXL</v>
      </c>
      <c r="G1714" s="165">
        <f>IFERROR(__xludf.DUMMYFUNCTION("""COMPUTED_VALUE"""),1236.0)</f>
        <v>1236</v>
      </c>
    </row>
    <row r="1715" ht="15.75" customHeight="1">
      <c r="A1715" s="133">
        <f>IFERROR(__xludf.DUMMYFUNCTION("""COMPUTED_VALUE"""),20015.0)</f>
        <v>20015</v>
      </c>
      <c r="B1715" s="164">
        <f>IFERROR(__xludf.DUMMYFUNCTION("""COMPUTED_VALUE"""),5286944.0)</f>
        <v>5286944</v>
      </c>
      <c r="C1715" s="164" t="str">
        <f>IFERROR(__xludf.DUMMYFUNCTION("""COMPUTED_VALUE"""),"5286944S")</f>
        <v>5286944S</v>
      </c>
      <c r="D1715" s="133" t="str">
        <f>IFERROR(__xludf.DUMMYFUNCTION("""COMPUTED_VALUE"""),"Мужской джемпер с хаски")</f>
        <v>Мужской джемпер с хаски</v>
      </c>
      <c r="E1715" s="133" t="str">
        <f>IFERROR(__xludf.DUMMYFUNCTION("""COMPUTED_VALUE"""),"S")</f>
        <v>S</v>
      </c>
      <c r="F1715" s="133" t="str">
        <f>IFERROR(__xludf.DUMMYFUNCTION("""COMPUTED_VALUE"""),"20015S")</f>
        <v>20015S</v>
      </c>
      <c r="G1715" s="165">
        <f>IFERROR(__xludf.DUMMYFUNCTION("""COMPUTED_VALUE"""),1236.0)</f>
        <v>1236</v>
      </c>
    </row>
    <row r="1716" ht="15.75" customHeight="1">
      <c r="A1716" s="133">
        <f>IFERROR(__xludf.DUMMYFUNCTION("""COMPUTED_VALUE"""),20015.0)</f>
        <v>20015</v>
      </c>
      <c r="B1716" s="164">
        <f>IFERROR(__xludf.DUMMYFUNCTION("""COMPUTED_VALUE"""),5286944.0)</f>
        <v>5286944</v>
      </c>
      <c r="C1716" s="164" t="str">
        <f>IFERROR(__xludf.DUMMYFUNCTION("""COMPUTED_VALUE"""),"5286944M")</f>
        <v>5286944M</v>
      </c>
      <c r="D1716" s="133" t="str">
        <f>IFERROR(__xludf.DUMMYFUNCTION("""COMPUTED_VALUE"""),"Мужской джемпер с хаски")</f>
        <v>Мужской джемпер с хаски</v>
      </c>
      <c r="E1716" s="133" t="str">
        <f>IFERROR(__xludf.DUMMYFUNCTION("""COMPUTED_VALUE"""),"M")</f>
        <v>M</v>
      </c>
      <c r="F1716" s="133" t="str">
        <f>IFERROR(__xludf.DUMMYFUNCTION("""COMPUTED_VALUE"""),"20015M")</f>
        <v>20015M</v>
      </c>
      <c r="G1716" s="165">
        <f>IFERROR(__xludf.DUMMYFUNCTION("""COMPUTED_VALUE"""),1236.0)</f>
        <v>1236</v>
      </c>
    </row>
    <row r="1717" ht="15.75" customHeight="1">
      <c r="A1717" s="133">
        <f>IFERROR(__xludf.DUMMYFUNCTION("""COMPUTED_VALUE"""),20015.0)</f>
        <v>20015</v>
      </c>
      <c r="B1717" s="164">
        <f>IFERROR(__xludf.DUMMYFUNCTION("""COMPUTED_VALUE"""),5286944.0)</f>
        <v>5286944</v>
      </c>
      <c r="C1717" s="164" t="str">
        <f>IFERROR(__xludf.DUMMYFUNCTION("""COMPUTED_VALUE"""),"5286944L")</f>
        <v>5286944L</v>
      </c>
      <c r="D1717" s="133" t="str">
        <f>IFERROR(__xludf.DUMMYFUNCTION("""COMPUTED_VALUE"""),"Мужской джемпер с хаски")</f>
        <v>Мужской джемпер с хаски</v>
      </c>
      <c r="E1717" s="133" t="str">
        <f>IFERROR(__xludf.DUMMYFUNCTION("""COMPUTED_VALUE"""),"L")</f>
        <v>L</v>
      </c>
      <c r="F1717" s="133" t="str">
        <f>IFERROR(__xludf.DUMMYFUNCTION("""COMPUTED_VALUE"""),"20015L")</f>
        <v>20015L</v>
      </c>
      <c r="G1717" s="165">
        <f>IFERROR(__xludf.DUMMYFUNCTION("""COMPUTED_VALUE"""),1236.0)</f>
        <v>1236</v>
      </c>
    </row>
    <row r="1718" ht="15.75" customHeight="1">
      <c r="A1718" s="133">
        <f>IFERROR(__xludf.DUMMYFUNCTION("""COMPUTED_VALUE"""),20015.0)</f>
        <v>20015</v>
      </c>
      <c r="B1718" s="164">
        <f>IFERROR(__xludf.DUMMYFUNCTION("""COMPUTED_VALUE"""),5286944.0)</f>
        <v>5286944</v>
      </c>
      <c r="C1718" s="164" t="str">
        <f>IFERROR(__xludf.DUMMYFUNCTION("""COMPUTED_VALUE"""),"5286944XL")</f>
        <v>5286944XL</v>
      </c>
      <c r="D1718" s="133" t="str">
        <f>IFERROR(__xludf.DUMMYFUNCTION("""COMPUTED_VALUE"""),"Мужской джемпер с хаски")</f>
        <v>Мужской джемпер с хаски</v>
      </c>
      <c r="E1718" s="133" t="str">
        <f>IFERROR(__xludf.DUMMYFUNCTION("""COMPUTED_VALUE"""),"XL")</f>
        <v>XL</v>
      </c>
      <c r="F1718" s="133" t="str">
        <f>IFERROR(__xludf.DUMMYFUNCTION("""COMPUTED_VALUE"""),"20015XL")</f>
        <v>20015XL</v>
      </c>
      <c r="G1718" s="165">
        <f>IFERROR(__xludf.DUMMYFUNCTION("""COMPUTED_VALUE"""),1236.0)</f>
        <v>1236</v>
      </c>
    </row>
    <row r="1719" ht="15.75" customHeight="1">
      <c r="A1719" s="133">
        <f>IFERROR(__xludf.DUMMYFUNCTION("""COMPUTED_VALUE"""),20015.0)</f>
        <v>20015</v>
      </c>
      <c r="B1719" s="164">
        <f>IFERROR(__xludf.DUMMYFUNCTION("""COMPUTED_VALUE"""),5286944.0)</f>
        <v>5286944</v>
      </c>
      <c r="C1719" s="164" t="str">
        <f>IFERROR(__xludf.DUMMYFUNCTION("""COMPUTED_VALUE"""),"5286944XXL")</f>
        <v>5286944XXL</v>
      </c>
      <c r="D1719" s="133" t="str">
        <f>IFERROR(__xludf.DUMMYFUNCTION("""COMPUTED_VALUE"""),"Мужской джемпер с хаски")</f>
        <v>Мужской джемпер с хаски</v>
      </c>
      <c r="E1719" s="133" t="str">
        <f>IFERROR(__xludf.DUMMYFUNCTION("""COMPUTED_VALUE"""),"XXL")</f>
        <v>XXL</v>
      </c>
      <c r="F1719" s="133" t="str">
        <f>IFERROR(__xludf.DUMMYFUNCTION("""COMPUTED_VALUE"""),"20015XXL")</f>
        <v>20015XXL</v>
      </c>
      <c r="G1719" s="165">
        <f>IFERROR(__xludf.DUMMYFUNCTION("""COMPUTED_VALUE"""),1236.0)</f>
        <v>1236</v>
      </c>
    </row>
    <row r="1720" ht="15.75" customHeight="1">
      <c r="A1720" s="133">
        <f>IFERROR(__xludf.DUMMYFUNCTION("""COMPUTED_VALUE"""),20015.0)</f>
        <v>20015</v>
      </c>
      <c r="B1720" s="164">
        <f>IFERROR(__xludf.DUMMYFUNCTION("""COMPUTED_VALUE"""),5286944.0)</f>
        <v>5286944</v>
      </c>
      <c r="C1720" s="164" t="str">
        <f>IFERROR(__xludf.DUMMYFUNCTION("""COMPUTED_VALUE"""),"5286944XXXL")</f>
        <v>5286944XXXL</v>
      </c>
      <c r="D1720" s="133" t="str">
        <f>IFERROR(__xludf.DUMMYFUNCTION("""COMPUTED_VALUE"""),"Мужской джемпер с хаски")</f>
        <v>Мужской джемпер с хаски</v>
      </c>
      <c r="E1720" s="133" t="str">
        <f>IFERROR(__xludf.DUMMYFUNCTION("""COMPUTED_VALUE"""),"XXXL")</f>
        <v>XXXL</v>
      </c>
      <c r="F1720" s="133" t="str">
        <f>IFERROR(__xludf.DUMMYFUNCTION("""COMPUTED_VALUE"""),"20015XXXL")</f>
        <v>20015XXXL</v>
      </c>
      <c r="G1720" s="165">
        <f>IFERROR(__xludf.DUMMYFUNCTION("""COMPUTED_VALUE"""),1236.0)</f>
        <v>1236</v>
      </c>
    </row>
    <row r="1721" ht="15.75" customHeight="1">
      <c r="A1721" s="133">
        <f>IFERROR(__xludf.DUMMYFUNCTION("""COMPUTED_VALUE"""),20016.0)</f>
        <v>20016</v>
      </c>
      <c r="B1721" s="164">
        <f>IFERROR(__xludf.DUMMYFUNCTION("""COMPUTED_VALUE"""),5286945.0)</f>
        <v>5286945</v>
      </c>
      <c r="C1721" s="164" t="str">
        <f>IFERROR(__xludf.DUMMYFUNCTION("""COMPUTED_VALUE"""),"5286945S")</f>
        <v>5286945S</v>
      </c>
      <c r="D1721" s="133" t="str">
        <f>IFERROR(__xludf.DUMMYFUNCTION("""COMPUTED_VALUE"""),"Мужской джемпер с хаски")</f>
        <v>Мужской джемпер с хаски</v>
      </c>
      <c r="E1721" s="133" t="str">
        <f>IFERROR(__xludf.DUMMYFUNCTION("""COMPUTED_VALUE"""),"S")</f>
        <v>S</v>
      </c>
      <c r="F1721" s="133" t="str">
        <f>IFERROR(__xludf.DUMMYFUNCTION("""COMPUTED_VALUE"""),"20016S")</f>
        <v>20016S</v>
      </c>
      <c r="G1721" s="165">
        <f>IFERROR(__xludf.DUMMYFUNCTION("""COMPUTED_VALUE"""),1236.0)</f>
        <v>1236</v>
      </c>
    </row>
    <row r="1722" ht="15.75" customHeight="1">
      <c r="A1722" s="133">
        <f>IFERROR(__xludf.DUMMYFUNCTION("""COMPUTED_VALUE"""),20016.0)</f>
        <v>20016</v>
      </c>
      <c r="B1722" s="164">
        <f>IFERROR(__xludf.DUMMYFUNCTION("""COMPUTED_VALUE"""),5286945.0)</f>
        <v>5286945</v>
      </c>
      <c r="C1722" s="164" t="str">
        <f>IFERROR(__xludf.DUMMYFUNCTION("""COMPUTED_VALUE"""),"5286945M")</f>
        <v>5286945M</v>
      </c>
      <c r="D1722" s="133" t="str">
        <f>IFERROR(__xludf.DUMMYFUNCTION("""COMPUTED_VALUE"""),"Мужской джемпер с хаски")</f>
        <v>Мужской джемпер с хаски</v>
      </c>
      <c r="E1722" s="133" t="str">
        <f>IFERROR(__xludf.DUMMYFUNCTION("""COMPUTED_VALUE"""),"M")</f>
        <v>M</v>
      </c>
      <c r="F1722" s="133" t="str">
        <f>IFERROR(__xludf.DUMMYFUNCTION("""COMPUTED_VALUE"""),"20016M")</f>
        <v>20016M</v>
      </c>
      <c r="G1722" s="165">
        <f>IFERROR(__xludf.DUMMYFUNCTION("""COMPUTED_VALUE"""),1236.0)</f>
        <v>1236</v>
      </c>
    </row>
    <row r="1723" ht="15.75" customHeight="1">
      <c r="A1723" s="133">
        <f>IFERROR(__xludf.DUMMYFUNCTION("""COMPUTED_VALUE"""),20016.0)</f>
        <v>20016</v>
      </c>
      <c r="B1723" s="164">
        <f>IFERROR(__xludf.DUMMYFUNCTION("""COMPUTED_VALUE"""),5286945.0)</f>
        <v>5286945</v>
      </c>
      <c r="C1723" s="164" t="str">
        <f>IFERROR(__xludf.DUMMYFUNCTION("""COMPUTED_VALUE"""),"5286945L")</f>
        <v>5286945L</v>
      </c>
      <c r="D1723" s="133" t="str">
        <f>IFERROR(__xludf.DUMMYFUNCTION("""COMPUTED_VALUE"""),"Мужской джемпер с хаски")</f>
        <v>Мужской джемпер с хаски</v>
      </c>
      <c r="E1723" s="133" t="str">
        <f>IFERROR(__xludf.DUMMYFUNCTION("""COMPUTED_VALUE"""),"L")</f>
        <v>L</v>
      </c>
      <c r="F1723" s="133" t="str">
        <f>IFERROR(__xludf.DUMMYFUNCTION("""COMPUTED_VALUE"""),"20016L")</f>
        <v>20016L</v>
      </c>
      <c r="G1723" s="165">
        <f>IFERROR(__xludf.DUMMYFUNCTION("""COMPUTED_VALUE"""),1236.0)</f>
        <v>1236</v>
      </c>
    </row>
    <row r="1724" ht="15.75" customHeight="1">
      <c r="A1724" s="133">
        <f>IFERROR(__xludf.DUMMYFUNCTION("""COMPUTED_VALUE"""),20016.0)</f>
        <v>20016</v>
      </c>
      <c r="B1724" s="164">
        <f>IFERROR(__xludf.DUMMYFUNCTION("""COMPUTED_VALUE"""),5286945.0)</f>
        <v>5286945</v>
      </c>
      <c r="C1724" s="164" t="str">
        <f>IFERROR(__xludf.DUMMYFUNCTION("""COMPUTED_VALUE"""),"5286945XL")</f>
        <v>5286945XL</v>
      </c>
      <c r="D1724" s="133" t="str">
        <f>IFERROR(__xludf.DUMMYFUNCTION("""COMPUTED_VALUE"""),"Мужской джемпер с хаски")</f>
        <v>Мужской джемпер с хаски</v>
      </c>
      <c r="E1724" s="133" t="str">
        <f>IFERROR(__xludf.DUMMYFUNCTION("""COMPUTED_VALUE"""),"XL")</f>
        <v>XL</v>
      </c>
      <c r="F1724" s="133" t="str">
        <f>IFERROR(__xludf.DUMMYFUNCTION("""COMPUTED_VALUE"""),"20016XL")</f>
        <v>20016XL</v>
      </c>
      <c r="G1724" s="165">
        <f>IFERROR(__xludf.DUMMYFUNCTION("""COMPUTED_VALUE"""),1236.0)</f>
        <v>1236</v>
      </c>
    </row>
    <row r="1725" ht="15.75" customHeight="1">
      <c r="A1725" s="133">
        <f>IFERROR(__xludf.DUMMYFUNCTION("""COMPUTED_VALUE"""),20016.0)</f>
        <v>20016</v>
      </c>
      <c r="B1725" s="164">
        <f>IFERROR(__xludf.DUMMYFUNCTION("""COMPUTED_VALUE"""),5286945.0)</f>
        <v>5286945</v>
      </c>
      <c r="C1725" s="164" t="str">
        <f>IFERROR(__xludf.DUMMYFUNCTION("""COMPUTED_VALUE"""),"5286945XXL")</f>
        <v>5286945XXL</v>
      </c>
      <c r="D1725" s="133" t="str">
        <f>IFERROR(__xludf.DUMMYFUNCTION("""COMPUTED_VALUE"""),"Мужской джемпер с хаски")</f>
        <v>Мужской джемпер с хаски</v>
      </c>
      <c r="E1725" s="133" t="str">
        <f>IFERROR(__xludf.DUMMYFUNCTION("""COMPUTED_VALUE"""),"XXL")</f>
        <v>XXL</v>
      </c>
      <c r="F1725" s="133" t="str">
        <f>IFERROR(__xludf.DUMMYFUNCTION("""COMPUTED_VALUE"""),"20016XXL")</f>
        <v>20016XXL</v>
      </c>
      <c r="G1725" s="165">
        <f>IFERROR(__xludf.DUMMYFUNCTION("""COMPUTED_VALUE"""),1236.0)</f>
        <v>1236</v>
      </c>
    </row>
    <row r="1726" ht="15.75" customHeight="1">
      <c r="A1726" s="133">
        <f>IFERROR(__xludf.DUMMYFUNCTION("""COMPUTED_VALUE"""),20016.0)</f>
        <v>20016</v>
      </c>
      <c r="B1726" s="164">
        <f>IFERROR(__xludf.DUMMYFUNCTION("""COMPUTED_VALUE"""),5286945.0)</f>
        <v>5286945</v>
      </c>
      <c r="C1726" s="164" t="str">
        <f>IFERROR(__xludf.DUMMYFUNCTION("""COMPUTED_VALUE"""),"5286945XXXL")</f>
        <v>5286945XXXL</v>
      </c>
      <c r="D1726" s="133" t="str">
        <f>IFERROR(__xludf.DUMMYFUNCTION("""COMPUTED_VALUE"""),"Мужской джемпер с хаски")</f>
        <v>Мужской джемпер с хаски</v>
      </c>
      <c r="E1726" s="133" t="str">
        <f>IFERROR(__xludf.DUMMYFUNCTION("""COMPUTED_VALUE"""),"XXXL")</f>
        <v>XXXL</v>
      </c>
      <c r="F1726" s="133" t="str">
        <f>IFERROR(__xludf.DUMMYFUNCTION("""COMPUTED_VALUE"""),"20016XXXL")</f>
        <v>20016XXXL</v>
      </c>
      <c r="G1726" s="165">
        <f>IFERROR(__xludf.DUMMYFUNCTION("""COMPUTED_VALUE"""),1236.0)</f>
        <v>1236</v>
      </c>
    </row>
    <row r="1727" ht="15.75" customHeight="1">
      <c r="A1727" s="133">
        <f>IFERROR(__xludf.DUMMYFUNCTION("""COMPUTED_VALUE"""),20019.0)</f>
        <v>20019</v>
      </c>
      <c r="B1727" s="164">
        <f>IFERROR(__xludf.DUMMYFUNCTION("""COMPUTED_VALUE"""),5286948.0)</f>
        <v>5286948</v>
      </c>
      <c r="C1727" s="164" t="str">
        <f>IFERROR(__xludf.DUMMYFUNCTION("""COMPUTED_VALUE"""),"5286948S")</f>
        <v>5286948S</v>
      </c>
      <c r="D1727" s="133" t="str">
        <f>IFERROR(__xludf.DUMMYFUNCTION("""COMPUTED_VALUE"""),"Мужской свитер с оленями")</f>
        <v>Мужской свитер с оленями</v>
      </c>
      <c r="E1727" s="133" t="str">
        <f>IFERROR(__xludf.DUMMYFUNCTION("""COMPUTED_VALUE"""),"S")</f>
        <v>S</v>
      </c>
      <c r="F1727" s="133" t="str">
        <f>IFERROR(__xludf.DUMMYFUNCTION("""COMPUTED_VALUE"""),"20019S")</f>
        <v>20019S</v>
      </c>
      <c r="G1727" s="165">
        <f>IFERROR(__xludf.DUMMYFUNCTION("""COMPUTED_VALUE"""),1236.0)</f>
        <v>1236</v>
      </c>
    </row>
    <row r="1728" ht="15.75" customHeight="1">
      <c r="A1728" s="133">
        <f>IFERROR(__xludf.DUMMYFUNCTION("""COMPUTED_VALUE"""),20019.0)</f>
        <v>20019</v>
      </c>
      <c r="B1728" s="164">
        <f>IFERROR(__xludf.DUMMYFUNCTION("""COMPUTED_VALUE"""),5286948.0)</f>
        <v>5286948</v>
      </c>
      <c r="C1728" s="164" t="str">
        <f>IFERROR(__xludf.DUMMYFUNCTION("""COMPUTED_VALUE"""),"5286948M")</f>
        <v>5286948M</v>
      </c>
      <c r="D1728" s="133" t="str">
        <f>IFERROR(__xludf.DUMMYFUNCTION("""COMPUTED_VALUE"""),"Мужской свитер с оленями")</f>
        <v>Мужской свитер с оленями</v>
      </c>
      <c r="E1728" s="133" t="str">
        <f>IFERROR(__xludf.DUMMYFUNCTION("""COMPUTED_VALUE"""),"M")</f>
        <v>M</v>
      </c>
      <c r="F1728" s="133" t="str">
        <f>IFERROR(__xludf.DUMMYFUNCTION("""COMPUTED_VALUE"""),"20019M")</f>
        <v>20019M</v>
      </c>
      <c r="G1728" s="165">
        <f>IFERROR(__xludf.DUMMYFUNCTION("""COMPUTED_VALUE"""),1236.0)</f>
        <v>1236</v>
      </c>
    </row>
    <row r="1729" ht="15.75" customHeight="1">
      <c r="A1729" s="133">
        <f>IFERROR(__xludf.DUMMYFUNCTION("""COMPUTED_VALUE"""),20019.0)</f>
        <v>20019</v>
      </c>
      <c r="B1729" s="164">
        <f>IFERROR(__xludf.DUMMYFUNCTION("""COMPUTED_VALUE"""),5286948.0)</f>
        <v>5286948</v>
      </c>
      <c r="C1729" s="164" t="str">
        <f>IFERROR(__xludf.DUMMYFUNCTION("""COMPUTED_VALUE"""),"5286948L")</f>
        <v>5286948L</v>
      </c>
      <c r="D1729" s="133" t="str">
        <f>IFERROR(__xludf.DUMMYFUNCTION("""COMPUTED_VALUE"""),"Мужской свитер с оленями")</f>
        <v>Мужской свитер с оленями</v>
      </c>
      <c r="E1729" s="133" t="str">
        <f>IFERROR(__xludf.DUMMYFUNCTION("""COMPUTED_VALUE"""),"L")</f>
        <v>L</v>
      </c>
      <c r="F1729" s="133" t="str">
        <f>IFERROR(__xludf.DUMMYFUNCTION("""COMPUTED_VALUE"""),"20019L")</f>
        <v>20019L</v>
      </c>
      <c r="G1729" s="165">
        <f>IFERROR(__xludf.DUMMYFUNCTION("""COMPUTED_VALUE"""),1236.0)</f>
        <v>1236</v>
      </c>
    </row>
    <row r="1730" ht="15.75" customHeight="1">
      <c r="A1730" s="133">
        <f>IFERROR(__xludf.DUMMYFUNCTION("""COMPUTED_VALUE"""),20019.0)</f>
        <v>20019</v>
      </c>
      <c r="B1730" s="164">
        <f>IFERROR(__xludf.DUMMYFUNCTION("""COMPUTED_VALUE"""),5286948.0)</f>
        <v>5286948</v>
      </c>
      <c r="C1730" s="164" t="str">
        <f>IFERROR(__xludf.DUMMYFUNCTION("""COMPUTED_VALUE"""),"5286948XL")</f>
        <v>5286948XL</v>
      </c>
      <c r="D1730" s="133" t="str">
        <f>IFERROR(__xludf.DUMMYFUNCTION("""COMPUTED_VALUE"""),"Мужской свитер с оленями")</f>
        <v>Мужской свитер с оленями</v>
      </c>
      <c r="E1730" s="133" t="str">
        <f>IFERROR(__xludf.DUMMYFUNCTION("""COMPUTED_VALUE"""),"XL")</f>
        <v>XL</v>
      </c>
      <c r="F1730" s="133" t="str">
        <f>IFERROR(__xludf.DUMMYFUNCTION("""COMPUTED_VALUE"""),"20019XL")</f>
        <v>20019XL</v>
      </c>
      <c r="G1730" s="165">
        <f>IFERROR(__xludf.DUMMYFUNCTION("""COMPUTED_VALUE"""),1236.0)</f>
        <v>1236</v>
      </c>
    </row>
    <row r="1731" ht="15.75" customHeight="1">
      <c r="A1731" s="133">
        <f>IFERROR(__xludf.DUMMYFUNCTION("""COMPUTED_VALUE"""),20019.0)</f>
        <v>20019</v>
      </c>
      <c r="B1731" s="164">
        <f>IFERROR(__xludf.DUMMYFUNCTION("""COMPUTED_VALUE"""),5286948.0)</f>
        <v>5286948</v>
      </c>
      <c r="C1731" s="164" t="str">
        <f>IFERROR(__xludf.DUMMYFUNCTION("""COMPUTED_VALUE"""),"5286948XXL")</f>
        <v>5286948XXL</v>
      </c>
      <c r="D1731" s="133" t="str">
        <f>IFERROR(__xludf.DUMMYFUNCTION("""COMPUTED_VALUE"""),"Мужской свитер с оленями")</f>
        <v>Мужской свитер с оленями</v>
      </c>
      <c r="E1731" s="133" t="str">
        <f>IFERROR(__xludf.DUMMYFUNCTION("""COMPUTED_VALUE"""),"XXL")</f>
        <v>XXL</v>
      </c>
      <c r="F1731" s="133" t="str">
        <f>IFERROR(__xludf.DUMMYFUNCTION("""COMPUTED_VALUE"""),"20019XXL")</f>
        <v>20019XXL</v>
      </c>
      <c r="G1731" s="165">
        <f>IFERROR(__xludf.DUMMYFUNCTION("""COMPUTED_VALUE"""),1236.0)</f>
        <v>1236</v>
      </c>
    </row>
    <row r="1732" ht="15.75" customHeight="1">
      <c r="A1732" s="133">
        <f>IFERROR(__xludf.DUMMYFUNCTION("""COMPUTED_VALUE"""),20019.0)</f>
        <v>20019</v>
      </c>
      <c r="B1732" s="164">
        <f>IFERROR(__xludf.DUMMYFUNCTION("""COMPUTED_VALUE"""),5286948.0)</f>
        <v>5286948</v>
      </c>
      <c r="C1732" s="164" t="str">
        <f>IFERROR(__xludf.DUMMYFUNCTION("""COMPUTED_VALUE"""),"5286948XXXL")</f>
        <v>5286948XXXL</v>
      </c>
      <c r="D1732" s="133" t="str">
        <f>IFERROR(__xludf.DUMMYFUNCTION("""COMPUTED_VALUE"""),"Мужской свитер с оленями")</f>
        <v>Мужской свитер с оленями</v>
      </c>
      <c r="E1732" s="133" t="str">
        <f>IFERROR(__xludf.DUMMYFUNCTION("""COMPUTED_VALUE"""),"XXXL")</f>
        <v>XXXL</v>
      </c>
      <c r="F1732" s="133" t="str">
        <f>IFERROR(__xludf.DUMMYFUNCTION("""COMPUTED_VALUE"""),"20019XXXL")</f>
        <v>20019XXXL</v>
      </c>
      <c r="G1732" s="165">
        <f>IFERROR(__xludf.DUMMYFUNCTION("""COMPUTED_VALUE"""),1236.0)</f>
        <v>1236</v>
      </c>
    </row>
    <row r="1733" ht="15.75" customHeight="1">
      <c r="A1733" s="133">
        <f>IFERROR(__xludf.DUMMYFUNCTION("""COMPUTED_VALUE"""),20021.0)</f>
        <v>20021</v>
      </c>
      <c r="B1733" s="164">
        <f>IFERROR(__xludf.DUMMYFUNCTION("""COMPUTED_VALUE"""),5286950.0)</f>
        <v>5286950</v>
      </c>
      <c r="C1733" s="164" t="str">
        <f>IFERROR(__xludf.DUMMYFUNCTION("""COMPUTED_VALUE"""),"5286950S")</f>
        <v>5286950S</v>
      </c>
      <c r="D1733" s="133" t="str">
        <f>IFERROR(__xludf.DUMMYFUNCTION("""COMPUTED_VALUE"""),"Мужской свитер с оленями")</f>
        <v>Мужской свитер с оленями</v>
      </c>
      <c r="E1733" s="133" t="str">
        <f>IFERROR(__xludf.DUMMYFUNCTION("""COMPUTED_VALUE"""),"S")</f>
        <v>S</v>
      </c>
      <c r="F1733" s="133" t="str">
        <f>IFERROR(__xludf.DUMMYFUNCTION("""COMPUTED_VALUE"""),"20021S")</f>
        <v>20021S</v>
      </c>
      <c r="G1733" s="165">
        <f>IFERROR(__xludf.DUMMYFUNCTION("""COMPUTED_VALUE"""),1236.0)</f>
        <v>1236</v>
      </c>
    </row>
    <row r="1734" ht="15.75" customHeight="1">
      <c r="A1734" s="133">
        <f>IFERROR(__xludf.DUMMYFUNCTION("""COMPUTED_VALUE"""),20021.0)</f>
        <v>20021</v>
      </c>
      <c r="B1734" s="164">
        <f>IFERROR(__xludf.DUMMYFUNCTION("""COMPUTED_VALUE"""),5286950.0)</f>
        <v>5286950</v>
      </c>
      <c r="C1734" s="164" t="str">
        <f>IFERROR(__xludf.DUMMYFUNCTION("""COMPUTED_VALUE"""),"5286950M")</f>
        <v>5286950M</v>
      </c>
      <c r="D1734" s="133" t="str">
        <f>IFERROR(__xludf.DUMMYFUNCTION("""COMPUTED_VALUE"""),"Мужской свитер с оленями")</f>
        <v>Мужской свитер с оленями</v>
      </c>
      <c r="E1734" s="133" t="str">
        <f>IFERROR(__xludf.DUMMYFUNCTION("""COMPUTED_VALUE"""),"M")</f>
        <v>M</v>
      </c>
      <c r="F1734" s="133" t="str">
        <f>IFERROR(__xludf.DUMMYFUNCTION("""COMPUTED_VALUE"""),"20021M")</f>
        <v>20021M</v>
      </c>
      <c r="G1734" s="165">
        <f>IFERROR(__xludf.DUMMYFUNCTION("""COMPUTED_VALUE"""),1236.0)</f>
        <v>1236</v>
      </c>
    </row>
    <row r="1735" ht="15.75" customHeight="1">
      <c r="A1735" s="133">
        <f>IFERROR(__xludf.DUMMYFUNCTION("""COMPUTED_VALUE"""),20021.0)</f>
        <v>20021</v>
      </c>
      <c r="B1735" s="164">
        <f>IFERROR(__xludf.DUMMYFUNCTION("""COMPUTED_VALUE"""),5286950.0)</f>
        <v>5286950</v>
      </c>
      <c r="C1735" s="164" t="str">
        <f>IFERROR(__xludf.DUMMYFUNCTION("""COMPUTED_VALUE"""),"5286950L")</f>
        <v>5286950L</v>
      </c>
      <c r="D1735" s="133" t="str">
        <f>IFERROR(__xludf.DUMMYFUNCTION("""COMPUTED_VALUE"""),"Мужской свитер с оленями")</f>
        <v>Мужской свитер с оленями</v>
      </c>
      <c r="E1735" s="133" t="str">
        <f>IFERROR(__xludf.DUMMYFUNCTION("""COMPUTED_VALUE"""),"L")</f>
        <v>L</v>
      </c>
      <c r="F1735" s="133" t="str">
        <f>IFERROR(__xludf.DUMMYFUNCTION("""COMPUTED_VALUE"""),"20021L")</f>
        <v>20021L</v>
      </c>
      <c r="G1735" s="165">
        <f>IFERROR(__xludf.DUMMYFUNCTION("""COMPUTED_VALUE"""),1236.0)</f>
        <v>1236</v>
      </c>
    </row>
    <row r="1736" ht="15.75" customHeight="1">
      <c r="A1736" s="133">
        <f>IFERROR(__xludf.DUMMYFUNCTION("""COMPUTED_VALUE"""),20021.0)</f>
        <v>20021</v>
      </c>
      <c r="B1736" s="164">
        <f>IFERROR(__xludf.DUMMYFUNCTION("""COMPUTED_VALUE"""),5286950.0)</f>
        <v>5286950</v>
      </c>
      <c r="C1736" s="164" t="str">
        <f>IFERROR(__xludf.DUMMYFUNCTION("""COMPUTED_VALUE"""),"5286950XL")</f>
        <v>5286950XL</v>
      </c>
      <c r="D1736" s="133" t="str">
        <f>IFERROR(__xludf.DUMMYFUNCTION("""COMPUTED_VALUE"""),"Мужской свитер с оленями")</f>
        <v>Мужской свитер с оленями</v>
      </c>
      <c r="E1736" s="133" t="str">
        <f>IFERROR(__xludf.DUMMYFUNCTION("""COMPUTED_VALUE"""),"XL")</f>
        <v>XL</v>
      </c>
      <c r="F1736" s="133" t="str">
        <f>IFERROR(__xludf.DUMMYFUNCTION("""COMPUTED_VALUE"""),"20021XL")</f>
        <v>20021XL</v>
      </c>
      <c r="G1736" s="165">
        <f>IFERROR(__xludf.DUMMYFUNCTION("""COMPUTED_VALUE"""),1236.0)</f>
        <v>1236</v>
      </c>
    </row>
    <row r="1737" ht="15.75" customHeight="1">
      <c r="A1737" s="133">
        <f>IFERROR(__xludf.DUMMYFUNCTION("""COMPUTED_VALUE"""),20021.0)</f>
        <v>20021</v>
      </c>
      <c r="B1737" s="164">
        <f>IFERROR(__xludf.DUMMYFUNCTION("""COMPUTED_VALUE"""),5286950.0)</f>
        <v>5286950</v>
      </c>
      <c r="C1737" s="164" t="str">
        <f>IFERROR(__xludf.DUMMYFUNCTION("""COMPUTED_VALUE"""),"5286950XXL")</f>
        <v>5286950XXL</v>
      </c>
      <c r="D1737" s="133" t="str">
        <f>IFERROR(__xludf.DUMMYFUNCTION("""COMPUTED_VALUE"""),"Мужской свитер с оленями")</f>
        <v>Мужской свитер с оленями</v>
      </c>
      <c r="E1737" s="133" t="str">
        <f>IFERROR(__xludf.DUMMYFUNCTION("""COMPUTED_VALUE"""),"XXL")</f>
        <v>XXL</v>
      </c>
      <c r="F1737" s="133" t="str">
        <f>IFERROR(__xludf.DUMMYFUNCTION("""COMPUTED_VALUE"""),"20021XXL")</f>
        <v>20021XXL</v>
      </c>
      <c r="G1737" s="165">
        <f>IFERROR(__xludf.DUMMYFUNCTION("""COMPUTED_VALUE"""),1236.0)</f>
        <v>1236</v>
      </c>
    </row>
    <row r="1738" ht="15.75" customHeight="1">
      <c r="A1738" s="133">
        <f>IFERROR(__xludf.DUMMYFUNCTION("""COMPUTED_VALUE"""),20021.0)</f>
        <v>20021</v>
      </c>
      <c r="B1738" s="164">
        <f>IFERROR(__xludf.DUMMYFUNCTION("""COMPUTED_VALUE"""),5286950.0)</f>
        <v>5286950</v>
      </c>
      <c r="C1738" s="164" t="str">
        <f>IFERROR(__xludf.DUMMYFUNCTION("""COMPUTED_VALUE"""),"5286950XXXL")</f>
        <v>5286950XXXL</v>
      </c>
      <c r="D1738" s="133" t="str">
        <f>IFERROR(__xludf.DUMMYFUNCTION("""COMPUTED_VALUE"""),"Мужской свитер с оленями")</f>
        <v>Мужской свитер с оленями</v>
      </c>
      <c r="E1738" s="133" t="str">
        <f>IFERROR(__xludf.DUMMYFUNCTION("""COMPUTED_VALUE"""),"XXXL")</f>
        <v>XXXL</v>
      </c>
      <c r="F1738" s="133" t="str">
        <f>IFERROR(__xludf.DUMMYFUNCTION("""COMPUTED_VALUE"""),"20021XXXL")</f>
        <v>20021XXXL</v>
      </c>
      <c r="G1738" s="165">
        <f>IFERROR(__xludf.DUMMYFUNCTION("""COMPUTED_VALUE"""),1236.0)</f>
        <v>1236</v>
      </c>
    </row>
    <row r="1739" ht="15.75" customHeight="1">
      <c r="A1739" s="133">
        <f>IFERROR(__xludf.DUMMYFUNCTION("""COMPUTED_VALUE"""),20023.0)</f>
        <v>20023</v>
      </c>
      <c r="B1739" s="164">
        <f>IFERROR(__xludf.DUMMYFUNCTION("""COMPUTED_VALUE"""),5286952.0)</f>
        <v>5286952</v>
      </c>
      <c r="C1739" s="164" t="str">
        <f>IFERROR(__xludf.DUMMYFUNCTION("""COMPUTED_VALUE"""),"5286952S")</f>
        <v>5286952S</v>
      </c>
      <c r="D1739" s="133" t="str">
        <f>IFERROR(__xludf.DUMMYFUNCTION("""COMPUTED_VALUE"""),"Мужской джемпер с хаски")</f>
        <v>Мужской джемпер с хаски</v>
      </c>
      <c r="E1739" s="133" t="str">
        <f>IFERROR(__xludf.DUMMYFUNCTION("""COMPUTED_VALUE"""),"S")</f>
        <v>S</v>
      </c>
      <c r="F1739" s="133" t="str">
        <f>IFERROR(__xludf.DUMMYFUNCTION("""COMPUTED_VALUE"""),"20023S")</f>
        <v>20023S</v>
      </c>
      <c r="G1739" s="165">
        <f>IFERROR(__xludf.DUMMYFUNCTION("""COMPUTED_VALUE"""),1236.0)</f>
        <v>1236</v>
      </c>
    </row>
    <row r="1740" ht="15.75" customHeight="1">
      <c r="A1740" s="133">
        <f>IFERROR(__xludf.DUMMYFUNCTION("""COMPUTED_VALUE"""),20023.0)</f>
        <v>20023</v>
      </c>
      <c r="B1740" s="164">
        <f>IFERROR(__xludf.DUMMYFUNCTION("""COMPUTED_VALUE"""),5286952.0)</f>
        <v>5286952</v>
      </c>
      <c r="C1740" s="164" t="str">
        <f>IFERROR(__xludf.DUMMYFUNCTION("""COMPUTED_VALUE"""),"5286952M")</f>
        <v>5286952M</v>
      </c>
      <c r="D1740" s="133" t="str">
        <f>IFERROR(__xludf.DUMMYFUNCTION("""COMPUTED_VALUE"""),"Мужской джемпер с хаски")</f>
        <v>Мужской джемпер с хаски</v>
      </c>
      <c r="E1740" s="133" t="str">
        <f>IFERROR(__xludf.DUMMYFUNCTION("""COMPUTED_VALUE"""),"M")</f>
        <v>M</v>
      </c>
      <c r="F1740" s="133" t="str">
        <f>IFERROR(__xludf.DUMMYFUNCTION("""COMPUTED_VALUE"""),"20023M")</f>
        <v>20023M</v>
      </c>
      <c r="G1740" s="165">
        <f>IFERROR(__xludf.DUMMYFUNCTION("""COMPUTED_VALUE"""),1236.0)</f>
        <v>1236</v>
      </c>
    </row>
    <row r="1741" ht="15.75" customHeight="1">
      <c r="A1741" s="133">
        <f>IFERROR(__xludf.DUMMYFUNCTION("""COMPUTED_VALUE"""),20023.0)</f>
        <v>20023</v>
      </c>
      <c r="B1741" s="164">
        <f>IFERROR(__xludf.DUMMYFUNCTION("""COMPUTED_VALUE"""),5286952.0)</f>
        <v>5286952</v>
      </c>
      <c r="C1741" s="164" t="str">
        <f>IFERROR(__xludf.DUMMYFUNCTION("""COMPUTED_VALUE"""),"5286952L")</f>
        <v>5286952L</v>
      </c>
      <c r="D1741" s="133" t="str">
        <f>IFERROR(__xludf.DUMMYFUNCTION("""COMPUTED_VALUE"""),"Мужской джемпер с хаски")</f>
        <v>Мужской джемпер с хаски</v>
      </c>
      <c r="E1741" s="133" t="str">
        <f>IFERROR(__xludf.DUMMYFUNCTION("""COMPUTED_VALUE"""),"L")</f>
        <v>L</v>
      </c>
      <c r="F1741" s="133" t="str">
        <f>IFERROR(__xludf.DUMMYFUNCTION("""COMPUTED_VALUE"""),"20023L")</f>
        <v>20023L</v>
      </c>
      <c r="G1741" s="165">
        <f>IFERROR(__xludf.DUMMYFUNCTION("""COMPUTED_VALUE"""),1236.0)</f>
        <v>1236</v>
      </c>
    </row>
    <row r="1742" ht="15.75" customHeight="1">
      <c r="A1742" s="133">
        <f>IFERROR(__xludf.DUMMYFUNCTION("""COMPUTED_VALUE"""),20023.0)</f>
        <v>20023</v>
      </c>
      <c r="B1742" s="164">
        <f>IFERROR(__xludf.DUMMYFUNCTION("""COMPUTED_VALUE"""),5286952.0)</f>
        <v>5286952</v>
      </c>
      <c r="C1742" s="164" t="str">
        <f>IFERROR(__xludf.DUMMYFUNCTION("""COMPUTED_VALUE"""),"5286952XL")</f>
        <v>5286952XL</v>
      </c>
      <c r="D1742" s="133" t="str">
        <f>IFERROR(__xludf.DUMMYFUNCTION("""COMPUTED_VALUE"""),"Мужской джемпер с хаски")</f>
        <v>Мужской джемпер с хаски</v>
      </c>
      <c r="E1742" s="133" t="str">
        <f>IFERROR(__xludf.DUMMYFUNCTION("""COMPUTED_VALUE"""),"XL")</f>
        <v>XL</v>
      </c>
      <c r="F1742" s="133" t="str">
        <f>IFERROR(__xludf.DUMMYFUNCTION("""COMPUTED_VALUE"""),"20023XL")</f>
        <v>20023XL</v>
      </c>
      <c r="G1742" s="165">
        <f>IFERROR(__xludf.DUMMYFUNCTION("""COMPUTED_VALUE"""),1236.0)</f>
        <v>1236</v>
      </c>
    </row>
    <row r="1743" ht="15.75" customHeight="1">
      <c r="A1743" s="133">
        <f>IFERROR(__xludf.DUMMYFUNCTION("""COMPUTED_VALUE"""),20023.0)</f>
        <v>20023</v>
      </c>
      <c r="B1743" s="164">
        <f>IFERROR(__xludf.DUMMYFUNCTION("""COMPUTED_VALUE"""),5286952.0)</f>
        <v>5286952</v>
      </c>
      <c r="C1743" s="164" t="str">
        <f>IFERROR(__xludf.DUMMYFUNCTION("""COMPUTED_VALUE"""),"5286952XXL")</f>
        <v>5286952XXL</v>
      </c>
      <c r="D1743" s="133" t="str">
        <f>IFERROR(__xludf.DUMMYFUNCTION("""COMPUTED_VALUE"""),"Мужской джемпер с хаски")</f>
        <v>Мужской джемпер с хаски</v>
      </c>
      <c r="E1743" s="133" t="str">
        <f>IFERROR(__xludf.DUMMYFUNCTION("""COMPUTED_VALUE"""),"XXL")</f>
        <v>XXL</v>
      </c>
      <c r="F1743" s="133" t="str">
        <f>IFERROR(__xludf.DUMMYFUNCTION("""COMPUTED_VALUE"""),"20023XXL")</f>
        <v>20023XXL</v>
      </c>
      <c r="G1743" s="165">
        <f>IFERROR(__xludf.DUMMYFUNCTION("""COMPUTED_VALUE"""),1236.0)</f>
        <v>1236</v>
      </c>
    </row>
    <row r="1744" ht="15.75" customHeight="1">
      <c r="A1744" s="133">
        <f>IFERROR(__xludf.DUMMYFUNCTION("""COMPUTED_VALUE"""),20023.0)</f>
        <v>20023</v>
      </c>
      <c r="B1744" s="164">
        <f>IFERROR(__xludf.DUMMYFUNCTION("""COMPUTED_VALUE"""),5286952.0)</f>
        <v>5286952</v>
      </c>
      <c r="C1744" s="164" t="str">
        <f>IFERROR(__xludf.DUMMYFUNCTION("""COMPUTED_VALUE"""),"5286952XXXL")</f>
        <v>5286952XXXL</v>
      </c>
      <c r="D1744" s="133" t="str">
        <f>IFERROR(__xludf.DUMMYFUNCTION("""COMPUTED_VALUE"""),"Мужской джемпер с хаски")</f>
        <v>Мужской джемпер с хаски</v>
      </c>
      <c r="E1744" s="133" t="str">
        <f>IFERROR(__xludf.DUMMYFUNCTION("""COMPUTED_VALUE"""),"XXXL")</f>
        <v>XXXL</v>
      </c>
      <c r="F1744" s="133" t="str">
        <f>IFERROR(__xludf.DUMMYFUNCTION("""COMPUTED_VALUE"""),"20023XXXL")</f>
        <v>20023XXXL</v>
      </c>
      <c r="G1744" s="165">
        <f>IFERROR(__xludf.DUMMYFUNCTION("""COMPUTED_VALUE"""),1236.0)</f>
        <v>1236</v>
      </c>
    </row>
    <row r="1745" ht="15.75" customHeight="1">
      <c r="A1745" s="133">
        <f>IFERROR(__xludf.DUMMYFUNCTION("""COMPUTED_VALUE"""),20024.0)</f>
        <v>20024</v>
      </c>
      <c r="B1745" s="164">
        <f>IFERROR(__xludf.DUMMYFUNCTION("""COMPUTED_VALUE"""),6313123.0)</f>
        <v>6313123</v>
      </c>
      <c r="C1745" s="164" t="str">
        <f>IFERROR(__xludf.DUMMYFUNCTION("""COMPUTED_VALUE"""),"6313123S")</f>
        <v>6313123S</v>
      </c>
      <c r="D1745" s="133" t="str">
        <f>IFERROR(__xludf.DUMMYFUNCTION("""COMPUTED_VALUE"""),"Мужской свитер с оленями")</f>
        <v>Мужской свитер с оленями</v>
      </c>
      <c r="E1745" s="133" t="str">
        <f>IFERROR(__xludf.DUMMYFUNCTION("""COMPUTED_VALUE"""),"S")</f>
        <v>S</v>
      </c>
      <c r="F1745" s="133" t="str">
        <f>IFERROR(__xludf.DUMMYFUNCTION("""COMPUTED_VALUE"""),"20024S")</f>
        <v>20024S</v>
      </c>
      <c r="G1745" s="165">
        <f>IFERROR(__xludf.DUMMYFUNCTION("""COMPUTED_VALUE"""),1236.0)</f>
        <v>1236</v>
      </c>
    </row>
    <row r="1746" ht="15.75" customHeight="1">
      <c r="A1746" s="133">
        <f>IFERROR(__xludf.DUMMYFUNCTION("""COMPUTED_VALUE"""),20024.0)</f>
        <v>20024</v>
      </c>
      <c r="B1746" s="164">
        <f>IFERROR(__xludf.DUMMYFUNCTION("""COMPUTED_VALUE"""),6313123.0)</f>
        <v>6313123</v>
      </c>
      <c r="C1746" s="164" t="str">
        <f>IFERROR(__xludf.DUMMYFUNCTION("""COMPUTED_VALUE"""),"6313123M")</f>
        <v>6313123M</v>
      </c>
      <c r="D1746" s="133" t="str">
        <f>IFERROR(__xludf.DUMMYFUNCTION("""COMPUTED_VALUE"""),"Мужской свитер с оленями")</f>
        <v>Мужской свитер с оленями</v>
      </c>
      <c r="E1746" s="133" t="str">
        <f>IFERROR(__xludf.DUMMYFUNCTION("""COMPUTED_VALUE"""),"M")</f>
        <v>M</v>
      </c>
      <c r="F1746" s="133" t="str">
        <f>IFERROR(__xludf.DUMMYFUNCTION("""COMPUTED_VALUE"""),"20024M")</f>
        <v>20024M</v>
      </c>
      <c r="G1746" s="165">
        <f>IFERROR(__xludf.DUMMYFUNCTION("""COMPUTED_VALUE"""),1236.0)</f>
        <v>1236</v>
      </c>
    </row>
    <row r="1747" ht="15.75" customHeight="1">
      <c r="A1747" s="133">
        <f>IFERROR(__xludf.DUMMYFUNCTION("""COMPUTED_VALUE"""),20024.0)</f>
        <v>20024</v>
      </c>
      <c r="B1747" s="164">
        <f>IFERROR(__xludf.DUMMYFUNCTION("""COMPUTED_VALUE"""),6313123.0)</f>
        <v>6313123</v>
      </c>
      <c r="C1747" s="164" t="str">
        <f>IFERROR(__xludf.DUMMYFUNCTION("""COMPUTED_VALUE"""),"6313123L")</f>
        <v>6313123L</v>
      </c>
      <c r="D1747" s="133" t="str">
        <f>IFERROR(__xludf.DUMMYFUNCTION("""COMPUTED_VALUE"""),"Мужской свитер с оленями")</f>
        <v>Мужской свитер с оленями</v>
      </c>
      <c r="E1747" s="133" t="str">
        <f>IFERROR(__xludf.DUMMYFUNCTION("""COMPUTED_VALUE"""),"L")</f>
        <v>L</v>
      </c>
      <c r="F1747" s="133" t="str">
        <f>IFERROR(__xludf.DUMMYFUNCTION("""COMPUTED_VALUE"""),"20024L")</f>
        <v>20024L</v>
      </c>
      <c r="G1747" s="165">
        <f>IFERROR(__xludf.DUMMYFUNCTION("""COMPUTED_VALUE"""),1236.0)</f>
        <v>1236</v>
      </c>
    </row>
    <row r="1748" ht="15.75" customHeight="1">
      <c r="A1748" s="133">
        <f>IFERROR(__xludf.DUMMYFUNCTION("""COMPUTED_VALUE"""),20024.0)</f>
        <v>20024</v>
      </c>
      <c r="B1748" s="164">
        <f>IFERROR(__xludf.DUMMYFUNCTION("""COMPUTED_VALUE"""),6313123.0)</f>
        <v>6313123</v>
      </c>
      <c r="C1748" s="164" t="str">
        <f>IFERROR(__xludf.DUMMYFUNCTION("""COMPUTED_VALUE"""),"6313123XL")</f>
        <v>6313123XL</v>
      </c>
      <c r="D1748" s="133" t="str">
        <f>IFERROR(__xludf.DUMMYFUNCTION("""COMPUTED_VALUE"""),"Мужской свитер с оленями")</f>
        <v>Мужской свитер с оленями</v>
      </c>
      <c r="E1748" s="133" t="str">
        <f>IFERROR(__xludf.DUMMYFUNCTION("""COMPUTED_VALUE"""),"XL")</f>
        <v>XL</v>
      </c>
      <c r="F1748" s="133" t="str">
        <f>IFERROR(__xludf.DUMMYFUNCTION("""COMPUTED_VALUE"""),"20024XL")</f>
        <v>20024XL</v>
      </c>
      <c r="G1748" s="165">
        <f>IFERROR(__xludf.DUMMYFUNCTION("""COMPUTED_VALUE"""),1236.0)</f>
        <v>1236</v>
      </c>
    </row>
    <row r="1749" ht="15.75" customHeight="1">
      <c r="A1749" s="133">
        <f>IFERROR(__xludf.DUMMYFUNCTION("""COMPUTED_VALUE"""),20024.0)</f>
        <v>20024</v>
      </c>
      <c r="B1749" s="164">
        <f>IFERROR(__xludf.DUMMYFUNCTION("""COMPUTED_VALUE"""),6313123.0)</f>
        <v>6313123</v>
      </c>
      <c r="C1749" s="164" t="str">
        <f>IFERROR(__xludf.DUMMYFUNCTION("""COMPUTED_VALUE"""),"6313123XXL")</f>
        <v>6313123XXL</v>
      </c>
      <c r="D1749" s="133" t="str">
        <f>IFERROR(__xludf.DUMMYFUNCTION("""COMPUTED_VALUE"""),"Мужской свитер с оленями")</f>
        <v>Мужской свитер с оленями</v>
      </c>
      <c r="E1749" s="133" t="str">
        <f>IFERROR(__xludf.DUMMYFUNCTION("""COMPUTED_VALUE"""),"XXL")</f>
        <v>XXL</v>
      </c>
      <c r="F1749" s="133" t="str">
        <f>IFERROR(__xludf.DUMMYFUNCTION("""COMPUTED_VALUE"""),"20024XXL")</f>
        <v>20024XXL</v>
      </c>
      <c r="G1749" s="165">
        <f>IFERROR(__xludf.DUMMYFUNCTION("""COMPUTED_VALUE"""),1236.0)</f>
        <v>1236</v>
      </c>
    </row>
    <row r="1750" ht="15.75" customHeight="1">
      <c r="A1750" s="133">
        <f>IFERROR(__xludf.DUMMYFUNCTION("""COMPUTED_VALUE"""),20024.0)</f>
        <v>20024</v>
      </c>
      <c r="B1750" s="164">
        <f>IFERROR(__xludf.DUMMYFUNCTION("""COMPUTED_VALUE"""),6313123.0)</f>
        <v>6313123</v>
      </c>
      <c r="C1750" s="164" t="str">
        <f>IFERROR(__xludf.DUMMYFUNCTION("""COMPUTED_VALUE"""),"6313123XXXL")</f>
        <v>6313123XXXL</v>
      </c>
      <c r="D1750" s="133" t="str">
        <f>IFERROR(__xludf.DUMMYFUNCTION("""COMPUTED_VALUE"""),"Мужской свитер с оленями")</f>
        <v>Мужской свитер с оленями</v>
      </c>
      <c r="E1750" s="133" t="str">
        <f>IFERROR(__xludf.DUMMYFUNCTION("""COMPUTED_VALUE"""),"XXXL")</f>
        <v>XXXL</v>
      </c>
      <c r="F1750" s="133" t="str">
        <f>IFERROR(__xludf.DUMMYFUNCTION("""COMPUTED_VALUE"""),"20024XXXL")</f>
        <v>20024XXXL</v>
      </c>
      <c r="G1750" s="165">
        <f>IFERROR(__xludf.DUMMYFUNCTION("""COMPUTED_VALUE"""),1236.0)</f>
        <v>1236</v>
      </c>
    </row>
    <row r="1751" ht="15.75" customHeight="1">
      <c r="A1751" s="133">
        <f>IFERROR(__xludf.DUMMYFUNCTION("""COMPUTED_VALUE"""),20025.0)</f>
        <v>20025</v>
      </c>
      <c r="B1751" s="164">
        <f>IFERROR(__xludf.DUMMYFUNCTION("""COMPUTED_VALUE"""),6313124.0)</f>
        <v>6313124</v>
      </c>
      <c r="C1751" s="164" t="str">
        <f>IFERROR(__xludf.DUMMYFUNCTION("""COMPUTED_VALUE"""),"6313124S")</f>
        <v>6313124S</v>
      </c>
      <c r="D1751" s="133" t="str">
        <f>IFERROR(__xludf.DUMMYFUNCTION("""COMPUTED_VALUE"""),"Мужской свитер с оленями")</f>
        <v>Мужской свитер с оленями</v>
      </c>
      <c r="E1751" s="133" t="str">
        <f>IFERROR(__xludf.DUMMYFUNCTION("""COMPUTED_VALUE"""),"S")</f>
        <v>S</v>
      </c>
      <c r="F1751" s="133" t="str">
        <f>IFERROR(__xludf.DUMMYFUNCTION("""COMPUTED_VALUE"""),"20025S")</f>
        <v>20025S</v>
      </c>
      <c r="G1751" s="165">
        <f>IFERROR(__xludf.DUMMYFUNCTION("""COMPUTED_VALUE"""),1236.0)</f>
        <v>1236</v>
      </c>
    </row>
    <row r="1752" ht="15.75" customHeight="1">
      <c r="A1752" s="133">
        <f>IFERROR(__xludf.DUMMYFUNCTION("""COMPUTED_VALUE"""),20025.0)</f>
        <v>20025</v>
      </c>
      <c r="B1752" s="164">
        <f>IFERROR(__xludf.DUMMYFUNCTION("""COMPUTED_VALUE"""),6313124.0)</f>
        <v>6313124</v>
      </c>
      <c r="C1752" s="164" t="str">
        <f>IFERROR(__xludf.DUMMYFUNCTION("""COMPUTED_VALUE"""),"6313124M")</f>
        <v>6313124M</v>
      </c>
      <c r="D1752" s="133" t="str">
        <f>IFERROR(__xludf.DUMMYFUNCTION("""COMPUTED_VALUE"""),"Мужской свитер с оленями")</f>
        <v>Мужской свитер с оленями</v>
      </c>
      <c r="E1752" s="133" t="str">
        <f>IFERROR(__xludf.DUMMYFUNCTION("""COMPUTED_VALUE"""),"M")</f>
        <v>M</v>
      </c>
      <c r="F1752" s="133" t="str">
        <f>IFERROR(__xludf.DUMMYFUNCTION("""COMPUTED_VALUE"""),"20025M")</f>
        <v>20025M</v>
      </c>
      <c r="G1752" s="165">
        <f>IFERROR(__xludf.DUMMYFUNCTION("""COMPUTED_VALUE"""),1236.0)</f>
        <v>1236</v>
      </c>
    </row>
    <row r="1753" ht="15.75" customHeight="1">
      <c r="A1753" s="133">
        <f>IFERROR(__xludf.DUMMYFUNCTION("""COMPUTED_VALUE"""),20025.0)</f>
        <v>20025</v>
      </c>
      <c r="B1753" s="164">
        <f>IFERROR(__xludf.DUMMYFUNCTION("""COMPUTED_VALUE"""),6313124.0)</f>
        <v>6313124</v>
      </c>
      <c r="C1753" s="164" t="str">
        <f>IFERROR(__xludf.DUMMYFUNCTION("""COMPUTED_VALUE"""),"6313124L")</f>
        <v>6313124L</v>
      </c>
      <c r="D1753" s="133" t="str">
        <f>IFERROR(__xludf.DUMMYFUNCTION("""COMPUTED_VALUE"""),"Мужской свитер с оленями")</f>
        <v>Мужской свитер с оленями</v>
      </c>
      <c r="E1753" s="133" t="str">
        <f>IFERROR(__xludf.DUMMYFUNCTION("""COMPUTED_VALUE"""),"L")</f>
        <v>L</v>
      </c>
      <c r="F1753" s="133" t="str">
        <f>IFERROR(__xludf.DUMMYFUNCTION("""COMPUTED_VALUE"""),"20025L")</f>
        <v>20025L</v>
      </c>
      <c r="G1753" s="165">
        <f>IFERROR(__xludf.DUMMYFUNCTION("""COMPUTED_VALUE"""),1236.0)</f>
        <v>1236</v>
      </c>
    </row>
    <row r="1754" ht="15.75" customHeight="1">
      <c r="A1754" s="133">
        <f>IFERROR(__xludf.DUMMYFUNCTION("""COMPUTED_VALUE"""),20025.0)</f>
        <v>20025</v>
      </c>
      <c r="B1754" s="164">
        <f>IFERROR(__xludf.DUMMYFUNCTION("""COMPUTED_VALUE"""),6313124.0)</f>
        <v>6313124</v>
      </c>
      <c r="C1754" s="164" t="str">
        <f>IFERROR(__xludf.DUMMYFUNCTION("""COMPUTED_VALUE"""),"6313124XL")</f>
        <v>6313124XL</v>
      </c>
      <c r="D1754" s="133" t="str">
        <f>IFERROR(__xludf.DUMMYFUNCTION("""COMPUTED_VALUE"""),"Мужской свитер с оленями")</f>
        <v>Мужской свитер с оленями</v>
      </c>
      <c r="E1754" s="133" t="str">
        <f>IFERROR(__xludf.DUMMYFUNCTION("""COMPUTED_VALUE"""),"XL")</f>
        <v>XL</v>
      </c>
      <c r="F1754" s="133" t="str">
        <f>IFERROR(__xludf.DUMMYFUNCTION("""COMPUTED_VALUE"""),"20025XL")</f>
        <v>20025XL</v>
      </c>
      <c r="G1754" s="165">
        <f>IFERROR(__xludf.DUMMYFUNCTION("""COMPUTED_VALUE"""),1236.0)</f>
        <v>1236</v>
      </c>
    </row>
    <row r="1755" ht="15.75" customHeight="1">
      <c r="A1755" s="133">
        <f>IFERROR(__xludf.DUMMYFUNCTION("""COMPUTED_VALUE"""),20025.0)</f>
        <v>20025</v>
      </c>
      <c r="B1755" s="164">
        <f>IFERROR(__xludf.DUMMYFUNCTION("""COMPUTED_VALUE"""),6313124.0)</f>
        <v>6313124</v>
      </c>
      <c r="C1755" s="164" t="str">
        <f>IFERROR(__xludf.DUMMYFUNCTION("""COMPUTED_VALUE"""),"6313124XXL")</f>
        <v>6313124XXL</v>
      </c>
      <c r="D1755" s="133" t="str">
        <f>IFERROR(__xludf.DUMMYFUNCTION("""COMPUTED_VALUE"""),"Мужской свитер с оленями")</f>
        <v>Мужской свитер с оленями</v>
      </c>
      <c r="E1755" s="133" t="str">
        <f>IFERROR(__xludf.DUMMYFUNCTION("""COMPUTED_VALUE"""),"XXL")</f>
        <v>XXL</v>
      </c>
      <c r="F1755" s="133" t="str">
        <f>IFERROR(__xludf.DUMMYFUNCTION("""COMPUTED_VALUE"""),"20025XXL")</f>
        <v>20025XXL</v>
      </c>
      <c r="G1755" s="165">
        <f>IFERROR(__xludf.DUMMYFUNCTION("""COMPUTED_VALUE"""),1236.0)</f>
        <v>1236</v>
      </c>
    </row>
    <row r="1756" ht="15.75" customHeight="1">
      <c r="A1756" s="133">
        <f>IFERROR(__xludf.DUMMYFUNCTION("""COMPUTED_VALUE"""),20025.0)</f>
        <v>20025</v>
      </c>
      <c r="B1756" s="164">
        <f>IFERROR(__xludf.DUMMYFUNCTION("""COMPUTED_VALUE"""),6313124.0)</f>
        <v>6313124</v>
      </c>
      <c r="C1756" s="164" t="str">
        <f>IFERROR(__xludf.DUMMYFUNCTION("""COMPUTED_VALUE"""),"6313124XXXL")</f>
        <v>6313124XXXL</v>
      </c>
      <c r="D1756" s="133" t="str">
        <f>IFERROR(__xludf.DUMMYFUNCTION("""COMPUTED_VALUE"""),"Мужской свитер с оленями")</f>
        <v>Мужской свитер с оленями</v>
      </c>
      <c r="E1756" s="133" t="str">
        <f>IFERROR(__xludf.DUMMYFUNCTION("""COMPUTED_VALUE"""),"XXXL")</f>
        <v>XXXL</v>
      </c>
      <c r="F1756" s="133" t="str">
        <f>IFERROR(__xludf.DUMMYFUNCTION("""COMPUTED_VALUE"""),"20025XXXL")</f>
        <v>20025XXXL</v>
      </c>
      <c r="G1756" s="165">
        <f>IFERROR(__xludf.DUMMYFUNCTION("""COMPUTED_VALUE"""),1236.0)</f>
        <v>1236</v>
      </c>
    </row>
    <row r="1757" ht="15.75" customHeight="1">
      <c r="A1757" s="133">
        <f>IFERROR(__xludf.DUMMYFUNCTION("""COMPUTED_VALUE"""),20026.0)</f>
        <v>20026</v>
      </c>
      <c r="B1757" s="164">
        <f>IFERROR(__xludf.DUMMYFUNCTION("""COMPUTED_VALUE"""),6313125.0)</f>
        <v>6313125</v>
      </c>
      <c r="C1757" s="164" t="str">
        <f>IFERROR(__xludf.DUMMYFUNCTION("""COMPUTED_VALUE"""),"6313125S")</f>
        <v>6313125S</v>
      </c>
      <c r="D1757" s="133" t="str">
        <f>IFERROR(__xludf.DUMMYFUNCTION("""COMPUTED_VALUE"""),"Мужской свитер с оленями")</f>
        <v>Мужской свитер с оленями</v>
      </c>
      <c r="E1757" s="133" t="str">
        <f>IFERROR(__xludf.DUMMYFUNCTION("""COMPUTED_VALUE"""),"S")</f>
        <v>S</v>
      </c>
      <c r="F1757" s="133" t="str">
        <f>IFERROR(__xludf.DUMMYFUNCTION("""COMPUTED_VALUE"""),"20026S")</f>
        <v>20026S</v>
      </c>
      <c r="G1757" s="165">
        <f>IFERROR(__xludf.DUMMYFUNCTION("""COMPUTED_VALUE"""),1236.0)</f>
        <v>1236</v>
      </c>
    </row>
    <row r="1758" ht="15.75" customHeight="1">
      <c r="A1758" s="133">
        <f>IFERROR(__xludf.DUMMYFUNCTION("""COMPUTED_VALUE"""),20026.0)</f>
        <v>20026</v>
      </c>
      <c r="B1758" s="164">
        <f>IFERROR(__xludf.DUMMYFUNCTION("""COMPUTED_VALUE"""),6313125.0)</f>
        <v>6313125</v>
      </c>
      <c r="C1758" s="164" t="str">
        <f>IFERROR(__xludf.DUMMYFUNCTION("""COMPUTED_VALUE"""),"6313125M")</f>
        <v>6313125M</v>
      </c>
      <c r="D1758" s="133" t="str">
        <f>IFERROR(__xludf.DUMMYFUNCTION("""COMPUTED_VALUE"""),"Мужской свитер с оленями")</f>
        <v>Мужской свитер с оленями</v>
      </c>
      <c r="E1758" s="133" t="str">
        <f>IFERROR(__xludf.DUMMYFUNCTION("""COMPUTED_VALUE"""),"M")</f>
        <v>M</v>
      </c>
      <c r="F1758" s="133" t="str">
        <f>IFERROR(__xludf.DUMMYFUNCTION("""COMPUTED_VALUE"""),"20026M")</f>
        <v>20026M</v>
      </c>
      <c r="G1758" s="165">
        <f>IFERROR(__xludf.DUMMYFUNCTION("""COMPUTED_VALUE"""),1236.0)</f>
        <v>1236</v>
      </c>
    </row>
    <row r="1759" ht="15.75" customHeight="1">
      <c r="A1759" s="133">
        <f>IFERROR(__xludf.DUMMYFUNCTION("""COMPUTED_VALUE"""),20026.0)</f>
        <v>20026</v>
      </c>
      <c r="B1759" s="164">
        <f>IFERROR(__xludf.DUMMYFUNCTION("""COMPUTED_VALUE"""),6313125.0)</f>
        <v>6313125</v>
      </c>
      <c r="C1759" s="164" t="str">
        <f>IFERROR(__xludf.DUMMYFUNCTION("""COMPUTED_VALUE"""),"6313125L")</f>
        <v>6313125L</v>
      </c>
      <c r="D1759" s="133" t="str">
        <f>IFERROR(__xludf.DUMMYFUNCTION("""COMPUTED_VALUE"""),"Мужской свитер с оленями")</f>
        <v>Мужской свитер с оленями</v>
      </c>
      <c r="E1759" s="133" t="str">
        <f>IFERROR(__xludf.DUMMYFUNCTION("""COMPUTED_VALUE"""),"L")</f>
        <v>L</v>
      </c>
      <c r="F1759" s="133" t="str">
        <f>IFERROR(__xludf.DUMMYFUNCTION("""COMPUTED_VALUE"""),"20026L")</f>
        <v>20026L</v>
      </c>
      <c r="G1759" s="165">
        <f>IFERROR(__xludf.DUMMYFUNCTION("""COMPUTED_VALUE"""),1236.0)</f>
        <v>1236</v>
      </c>
    </row>
    <row r="1760" ht="15.75" customHeight="1">
      <c r="A1760" s="133">
        <f>IFERROR(__xludf.DUMMYFUNCTION("""COMPUTED_VALUE"""),20026.0)</f>
        <v>20026</v>
      </c>
      <c r="B1760" s="164">
        <f>IFERROR(__xludf.DUMMYFUNCTION("""COMPUTED_VALUE"""),6313125.0)</f>
        <v>6313125</v>
      </c>
      <c r="C1760" s="164" t="str">
        <f>IFERROR(__xludf.DUMMYFUNCTION("""COMPUTED_VALUE"""),"6313125XL")</f>
        <v>6313125XL</v>
      </c>
      <c r="D1760" s="133" t="str">
        <f>IFERROR(__xludf.DUMMYFUNCTION("""COMPUTED_VALUE"""),"Мужской свитер с оленями")</f>
        <v>Мужской свитер с оленями</v>
      </c>
      <c r="E1760" s="133" t="str">
        <f>IFERROR(__xludf.DUMMYFUNCTION("""COMPUTED_VALUE"""),"XL")</f>
        <v>XL</v>
      </c>
      <c r="F1760" s="133" t="str">
        <f>IFERROR(__xludf.DUMMYFUNCTION("""COMPUTED_VALUE"""),"20026XL")</f>
        <v>20026XL</v>
      </c>
      <c r="G1760" s="165">
        <f>IFERROR(__xludf.DUMMYFUNCTION("""COMPUTED_VALUE"""),1236.0)</f>
        <v>1236</v>
      </c>
    </row>
    <row r="1761" ht="15.75" customHeight="1">
      <c r="A1761" s="133">
        <f>IFERROR(__xludf.DUMMYFUNCTION("""COMPUTED_VALUE"""),20026.0)</f>
        <v>20026</v>
      </c>
      <c r="B1761" s="164">
        <f>IFERROR(__xludf.DUMMYFUNCTION("""COMPUTED_VALUE"""),6313125.0)</f>
        <v>6313125</v>
      </c>
      <c r="C1761" s="164" t="str">
        <f>IFERROR(__xludf.DUMMYFUNCTION("""COMPUTED_VALUE"""),"6313125XXL")</f>
        <v>6313125XXL</v>
      </c>
      <c r="D1761" s="133" t="str">
        <f>IFERROR(__xludf.DUMMYFUNCTION("""COMPUTED_VALUE"""),"Мужской свитер с оленями")</f>
        <v>Мужской свитер с оленями</v>
      </c>
      <c r="E1761" s="133" t="str">
        <f>IFERROR(__xludf.DUMMYFUNCTION("""COMPUTED_VALUE"""),"XXL")</f>
        <v>XXL</v>
      </c>
      <c r="F1761" s="133" t="str">
        <f>IFERROR(__xludf.DUMMYFUNCTION("""COMPUTED_VALUE"""),"20026XXL")</f>
        <v>20026XXL</v>
      </c>
      <c r="G1761" s="165">
        <f>IFERROR(__xludf.DUMMYFUNCTION("""COMPUTED_VALUE"""),1236.0)</f>
        <v>1236</v>
      </c>
    </row>
    <row r="1762" ht="15.75" customHeight="1">
      <c r="A1762" s="133">
        <f>IFERROR(__xludf.DUMMYFUNCTION("""COMPUTED_VALUE"""),20026.0)</f>
        <v>20026</v>
      </c>
      <c r="B1762" s="164">
        <f>IFERROR(__xludf.DUMMYFUNCTION("""COMPUTED_VALUE"""),6313125.0)</f>
        <v>6313125</v>
      </c>
      <c r="C1762" s="164" t="str">
        <f>IFERROR(__xludf.DUMMYFUNCTION("""COMPUTED_VALUE"""),"6313125XXXL")</f>
        <v>6313125XXXL</v>
      </c>
      <c r="D1762" s="133" t="str">
        <f>IFERROR(__xludf.DUMMYFUNCTION("""COMPUTED_VALUE"""),"Мужской свитер с оленями")</f>
        <v>Мужской свитер с оленями</v>
      </c>
      <c r="E1762" s="133" t="str">
        <f>IFERROR(__xludf.DUMMYFUNCTION("""COMPUTED_VALUE"""),"XXXL")</f>
        <v>XXXL</v>
      </c>
      <c r="F1762" s="133" t="str">
        <f>IFERROR(__xludf.DUMMYFUNCTION("""COMPUTED_VALUE"""),"20026XXXL")</f>
        <v>20026XXXL</v>
      </c>
      <c r="G1762" s="165">
        <f>IFERROR(__xludf.DUMMYFUNCTION("""COMPUTED_VALUE"""),1236.0)</f>
        <v>1236</v>
      </c>
    </row>
    <row r="1763" ht="15.75" customHeight="1">
      <c r="A1763" s="133">
        <f>IFERROR(__xludf.DUMMYFUNCTION("""COMPUTED_VALUE"""),20028.0)</f>
        <v>20028</v>
      </c>
      <c r="B1763" s="164">
        <f>IFERROR(__xludf.DUMMYFUNCTION("""COMPUTED_VALUE"""),6313127.0)</f>
        <v>6313127</v>
      </c>
      <c r="C1763" s="164" t="str">
        <f>IFERROR(__xludf.DUMMYFUNCTION("""COMPUTED_VALUE"""),"6313127S")</f>
        <v>6313127S</v>
      </c>
      <c r="D1763" s="133" t="str">
        <f>IFERROR(__xludf.DUMMYFUNCTION("""COMPUTED_VALUE"""),"Мужской свитер с оленями")</f>
        <v>Мужской свитер с оленями</v>
      </c>
      <c r="E1763" s="133" t="str">
        <f>IFERROR(__xludf.DUMMYFUNCTION("""COMPUTED_VALUE"""),"S")</f>
        <v>S</v>
      </c>
      <c r="F1763" s="133" t="str">
        <f>IFERROR(__xludf.DUMMYFUNCTION("""COMPUTED_VALUE"""),"20028S")</f>
        <v>20028S</v>
      </c>
      <c r="G1763" s="165">
        <f>IFERROR(__xludf.DUMMYFUNCTION("""COMPUTED_VALUE"""),1236.0)</f>
        <v>1236</v>
      </c>
    </row>
    <row r="1764" ht="15.75" customHeight="1">
      <c r="A1764" s="133">
        <f>IFERROR(__xludf.DUMMYFUNCTION("""COMPUTED_VALUE"""),20028.0)</f>
        <v>20028</v>
      </c>
      <c r="B1764" s="164">
        <f>IFERROR(__xludf.DUMMYFUNCTION("""COMPUTED_VALUE"""),6313127.0)</f>
        <v>6313127</v>
      </c>
      <c r="C1764" s="164" t="str">
        <f>IFERROR(__xludf.DUMMYFUNCTION("""COMPUTED_VALUE"""),"6313127M")</f>
        <v>6313127M</v>
      </c>
      <c r="D1764" s="133" t="str">
        <f>IFERROR(__xludf.DUMMYFUNCTION("""COMPUTED_VALUE"""),"Мужской свитер с оленями")</f>
        <v>Мужской свитер с оленями</v>
      </c>
      <c r="E1764" s="133" t="str">
        <f>IFERROR(__xludf.DUMMYFUNCTION("""COMPUTED_VALUE"""),"M")</f>
        <v>M</v>
      </c>
      <c r="F1764" s="133" t="str">
        <f>IFERROR(__xludf.DUMMYFUNCTION("""COMPUTED_VALUE"""),"20028M")</f>
        <v>20028M</v>
      </c>
      <c r="G1764" s="165">
        <f>IFERROR(__xludf.DUMMYFUNCTION("""COMPUTED_VALUE"""),1236.0)</f>
        <v>1236</v>
      </c>
    </row>
    <row r="1765" ht="15.75" customHeight="1">
      <c r="A1765" s="133">
        <f>IFERROR(__xludf.DUMMYFUNCTION("""COMPUTED_VALUE"""),20028.0)</f>
        <v>20028</v>
      </c>
      <c r="B1765" s="164">
        <f>IFERROR(__xludf.DUMMYFUNCTION("""COMPUTED_VALUE"""),6313127.0)</f>
        <v>6313127</v>
      </c>
      <c r="C1765" s="164" t="str">
        <f>IFERROR(__xludf.DUMMYFUNCTION("""COMPUTED_VALUE"""),"6313127L")</f>
        <v>6313127L</v>
      </c>
      <c r="D1765" s="133" t="str">
        <f>IFERROR(__xludf.DUMMYFUNCTION("""COMPUTED_VALUE"""),"Мужской свитер с оленями")</f>
        <v>Мужской свитер с оленями</v>
      </c>
      <c r="E1765" s="133" t="str">
        <f>IFERROR(__xludf.DUMMYFUNCTION("""COMPUTED_VALUE"""),"L")</f>
        <v>L</v>
      </c>
      <c r="F1765" s="133" t="str">
        <f>IFERROR(__xludf.DUMMYFUNCTION("""COMPUTED_VALUE"""),"20028L")</f>
        <v>20028L</v>
      </c>
      <c r="G1765" s="165">
        <f>IFERROR(__xludf.DUMMYFUNCTION("""COMPUTED_VALUE"""),1236.0)</f>
        <v>1236</v>
      </c>
    </row>
    <row r="1766" ht="15.75" customHeight="1">
      <c r="A1766" s="133">
        <f>IFERROR(__xludf.DUMMYFUNCTION("""COMPUTED_VALUE"""),20028.0)</f>
        <v>20028</v>
      </c>
      <c r="B1766" s="164">
        <f>IFERROR(__xludf.DUMMYFUNCTION("""COMPUTED_VALUE"""),6313127.0)</f>
        <v>6313127</v>
      </c>
      <c r="C1766" s="164" t="str">
        <f>IFERROR(__xludf.DUMMYFUNCTION("""COMPUTED_VALUE"""),"6313127XL")</f>
        <v>6313127XL</v>
      </c>
      <c r="D1766" s="133" t="str">
        <f>IFERROR(__xludf.DUMMYFUNCTION("""COMPUTED_VALUE"""),"Мужской свитер с оленями")</f>
        <v>Мужской свитер с оленями</v>
      </c>
      <c r="E1766" s="133" t="str">
        <f>IFERROR(__xludf.DUMMYFUNCTION("""COMPUTED_VALUE"""),"XL")</f>
        <v>XL</v>
      </c>
      <c r="F1766" s="133" t="str">
        <f>IFERROR(__xludf.DUMMYFUNCTION("""COMPUTED_VALUE"""),"20028XL")</f>
        <v>20028XL</v>
      </c>
      <c r="G1766" s="165">
        <f>IFERROR(__xludf.DUMMYFUNCTION("""COMPUTED_VALUE"""),1236.0)</f>
        <v>1236</v>
      </c>
    </row>
    <row r="1767" ht="15.75" customHeight="1">
      <c r="A1767" s="133">
        <f>IFERROR(__xludf.DUMMYFUNCTION("""COMPUTED_VALUE"""),20028.0)</f>
        <v>20028</v>
      </c>
      <c r="B1767" s="164">
        <f>IFERROR(__xludf.DUMMYFUNCTION("""COMPUTED_VALUE"""),6313127.0)</f>
        <v>6313127</v>
      </c>
      <c r="C1767" s="164" t="str">
        <f>IFERROR(__xludf.DUMMYFUNCTION("""COMPUTED_VALUE"""),"6313127XXL")</f>
        <v>6313127XXL</v>
      </c>
      <c r="D1767" s="133" t="str">
        <f>IFERROR(__xludf.DUMMYFUNCTION("""COMPUTED_VALUE"""),"Мужской свитер с оленями")</f>
        <v>Мужской свитер с оленями</v>
      </c>
      <c r="E1767" s="133" t="str">
        <f>IFERROR(__xludf.DUMMYFUNCTION("""COMPUTED_VALUE"""),"XXL")</f>
        <v>XXL</v>
      </c>
      <c r="F1767" s="133" t="str">
        <f>IFERROR(__xludf.DUMMYFUNCTION("""COMPUTED_VALUE"""),"20028XXL")</f>
        <v>20028XXL</v>
      </c>
      <c r="G1767" s="165">
        <f>IFERROR(__xludf.DUMMYFUNCTION("""COMPUTED_VALUE"""),1236.0)</f>
        <v>1236</v>
      </c>
    </row>
    <row r="1768" ht="15.75" customHeight="1">
      <c r="A1768" s="133">
        <f>IFERROR(__xludf.DUMMYFUNCTION("""COMPUTED_VALUE"""),20028.0)</f>
        <v>20028</v>
      </c>
      <c r="B1768" s="164">
        <f>IFERROR(__xludf.DUMMYFUNCTION("""COMPUTED_VALUE"""),6313127.0)</f>
        <v>6313127</v>
      </c>
      <c r="C1768" s="164" t="str">
        <f>IFERROR(__xludf.DUMMYFUNCTION("""COMPUTED_VALUE"""),"6313127XXXL")</f>
        <v>6313127XXXL</v>
      </c>
      <c r="D1768" s="133" t="str">
        <f>IFERROR(__xludf.DUMMYFUNCTION("""COMPUTED_VALUE"""),"Мужской свитер с оленями")</f>
        <v>Мужской свитер с оленями</v>
      </c>
      <c r="E1768" s="133" t="str">
        <f>IFERROR(__xludf.DUMMYFUNCTION("""COMPUTED_VALUE"""),"XXXL")</f>
        <v>XXXL</v>
      </c>
      <c r="F1768" s="133" t="str">
        <f>IFERROR(__xludf.DUMMYFUNCTION("""COMPUTED_VALUE"""),"20028XXXL")</f>
        <v>20028XXXL</v>
      </c>
      <c r="G1768" s="165">
        <f>IFERROR(__xludf.DUMMYFUNCTION("""COMPUTED_VALUE"""),1236.0)</f>
        <v>1236</v>
      </c>
    </row>
    <row r="1769" ht="15.75" customHeight="1">
      <c r="A1769" s="133">
        <f>IFERROR(__xludf.DUMMYFUNCTION("""COMPUTED_VALUE"""),20030.0)</f>
        <v>20030</v>
      </c>
      <c r="B1769" s="164">
        <f>IFERROR(__xludf.DUMMYFUNCTION("""COMPUTED_VALUE"""),6313129.0)</f>
        <v>6313129</v>
      </c>
      <c r="C1769" s="164" t="str">
        <f>IFERROR(__xludf.DUMMYFUNCTION("""COMPUTED_VALUE"""),"6313129S")</f>
        <v>6313129S</v>
      </c>
      <c r="D1769" s="133" t="str">
        <f>IFERROR(__xludf.DUMMYFUNCTION("""COMPUTED_VALUE"""),"Мужской свитер с лосями")</f>
        <v>Мужской свитер с лосями</v>
      </c>
      <c r="E1769" s="133" t="str">
        <f>IFERROR(__xludf.DUMMYFUNCTION("""COMPUTED_VALUE"""),"S")</f>
        <v>S</v>
      </c>
      <c r="F1769" s="133" t="str">
        <f>IFERROR(__xludf.DUMMYFUNCTION("""COMPUTED_VALUE"""),"20030S")</f>
        <v>20030S</v>
      </c>
      <c r="G1769" s="165">
        <f>IFERROR(__xludf.DUMMYFUNCTION("""COMPUTED_VALUE"""),1236.0)</f>
        <v>1236</v>
      </c>
    </row>
    <row r="1770" ht="15.75" customHeight="1">
      <c r="A1770" s="133">
        <f>IFERROR(__xludf.DUMMYFUNCTION("""COMPUTED_VALUE"""),20030.0)</f>
        <v>20030</v>
      </c>
      <c r="B1770" s="164">
        <f>IFERROR(__xludf.DUMMYFUNCTION("""COMPUTED_VALUE"""),6313129.0)</f>
        <v>6313129</v>
      </c>
      <c r="C1770" s="164" t="str">
        <f>IFERROR(__xludf.DUMMYFUNCTION("""COMPUTED_VALUE"""),"6313129M")</f>
        <v>6313129M</v>
      </c>
      <c r="D1770" s="133" t="str">
        <f>IFERROR(__xludf.DUMMYFUNCTION("""COMPUTED_VALUE"""),"Мужской свитер с лосями")</f>
        <v>Мужской свитер с лосями</v>
      </c>
      <c r="E1770" s="133" t="str">
        <f>IFERROR(__xludf.DUMMYFUNCTION("""COMPUTED_VALUE"""),"M")</f>
        <v>M</v>
      </c>
      <c r="F1770" s="133" t="str">
        <f>IFERROR(__xludf.DUMMYFUNCTION("""COMPUTED_VALUE"""),"20030M")</f>
        <v>20030M</v>
      </c>
      <c r="G1770" s="165">
        <f>IFERROR(__xludf.DUMMYFUNCTION("""COMPUTED_VALUE"""),1236.0)</f>
        <v>1236</v>
      </c>
    </row>
    <row r="1771" ht="15.75" customHeight="1">
      <c r="A1771" s="133">
        <f>IFERROR(__xludf.DUMMYFUNCTION("""COMPUTED_VALUE"""),20030.0)</f>
        <v>20030</v>
      </c>
      <c r="B1771" s="164">
        <f>IFERROR(__xludf.DUMMYFUNCTION("""COMPUTED_VALUE"""),6313129.0)</f>
        <v>6313129</v>
      </c>
      <c r="C1771" s="164" t="str">
        <f>IFERROR(__xludf.DUMMYFUNCTION("""COMPUTED_VALUE"""),"6313129L")</f>
        <v>6313129L</v>
      </c>
      <c r="D1771" s="133" t="str">
        <f>IFERROR(__xludf.DUMMYFUNCTION("""COMPUTED_VALUE"""),"Мужской свитер с лосями")</f>
        <v>Мужской свитер с лосями</v>
      </c>
      <c r="E1771" s="133" t="str">
        <f>IFERROR(__xludf.DUMMYFUNCTION("""COMPUTED_VALUE"""),"L")</f>
        <v>L</v>
      </c>
      <c r="F1771" s="133" t="str">
        <f>IFERROR(__xludf.DUMMYFUNCTION("""COMPUTED_VALUE"""),"20030L")</f>
        <v>20030L</v>
      </c>
      <c r="G1771" s="165">
        <f>IFERROR(__xludf.DUMMYFUNCTION("""COMPUTED_VALUE"""),1236.0)</f>
        <v>1236</v>
      </c>
    </row>
    <row r="1772" ht="15.75" customHeight="1">
      <c r="A1772" s="133">
        <f>IFERROR(__xludf.DUMMYFUNCTION("""COMPUTED_VALUE"""),20030.0)</f>
        <v>20030</v>
      </c>
      <c r="B1772" s="164">
        <f>IFERROR(__xludf.DUMMYFUNCTION("""COMPUTED_VALUE"""),6313129.0)</f>
        <v>6313129</v>
      </c>
      <c r="C1772" s="164" t="str">
        <f>IFERROR(__xludf.DUMMYFUNCTION("""COMPUTED_VALUE"""),"6313129XL")</f>
        <v>6313129XL</v>
      </c>
      <c r="D1772" s="133" t="str">
        <f>IFERROR(__xludf.DUMMYFUNCTION("""COMPUTED_VALUE"""),"Мужской свитер с лосями")</f>
        <v>Мужской свитер с лосями</v>
      </c>
      <c r="E1772" s="133" t="str">
        <f>IFERROR(__xludf.DUMMYFUNCTION("""COMPUTED_VALUE"""),"XL")</f>
        <v>XL</v>
      </c>
      <c r="F1772" s="133" t="str">
        <f>IFERROR(__xludf.DUMMYFUNCTION("""COMPUTED_VALUE"""),"20030XL")</f>
        <v>20030XL</v>
      </c>
      <c r="G1772" s="165">
        <f>IFERROR(__xludf.DUMMYFUNCTION("""COMPUTED_VALUE"""),1236.0)</f>
        <v>1236</v>
      </c>
    </row>
    <row r="1773" ht="15.75" customHeight="1">
      <c r="A1773" s="133">
        <f>IFERROR(__xludf.DUMMYFUNCTION("""COMPUTED_VALUE"""),20030.0)</f>
        <v>20030</v>
      </c>
      <c r="B1773" s="164">
        <f>IFERROR(__xludf.DUMMYFUNCTION("""COMPUTED_VALUE"""),6313129.0)</f>
        <v>6313129</v>
      </c>
      <c r="C1773" s="164" t="str">
        <f>IFERROR(__xludf.DUMMYFUNCTION("""COMPUTED_VALUE"""),"6313129XXL")</f>
        <v>6313129XXL</v>
      </c>
      <c r="D1773" s="133" t="str">
        <f>IFERROR(__xludf.DUMMYFUNCTION("""COMPUTED_VALUE"""),"Мужской свитер с лосями")</f>
        <v>Мужской свитер с лосями</v>
      </c>
      <c r="E1773" s="133" t="str">
        <f>IFERROR(__xludf.DUMMYFUNCTION("""COMPUTED_VALUE"""),"XXL")</f>
        <v>XXL</v>
      </c>
      <c r="F1773" s="133" t="str">
        <f>IFERROR(__xludf.DUMMYFUNCTION("""COMPUTED_VALUE"""),"20030XXL")</f>
        <v>20030XXL</v>
      </c>
      <c r="G1773" s="165">
        <f>IFERROR(__xludf.DUMMYFUNCTION("""COMPUTED_VALUE"""),1236.0)</f>
        <v>1236</v>
      </c>
    </row>
    <row r="1774" ht="15.75" customHeight="1">
      <c r="A1774" s="133">
        <f>IFERROR(__xludf.DUMMYFUNCTION("""COMPUTED_VALUE"""),20030.0)</f>
        <v>20030</v>
      </c>
      <c r="B1774" s="164">
        <f>IFERROR(__xludf.DUMMYFUNCTION("""COMPUTED_VALUE"""),6313129.0)</f>
        <v>6313129</v>
      </c>
      <c r="C1774" s="164" t="str">
        <f>IFERROR(__xludf.DUMMYFUNCTION("""COMPUTED_VALUE"""),"6313129XXXL")</f>
        <v>6313129XXXL</v>
      </c>
      <c r="D1774" s="133" t="str">
        <f>IFERROR(__xludf.DUMMYFUNCTION("""COMPUTED_VALUE"""),"Мужской свитер с лосями")</f>
        <v>Мужской свитер с лосями</v>
      </c>
      <c r="E1774" s="133" t="str">
        <f>IFERROR(__xludf.DUMMYFUNCTION("""COMPUTED_VALUE"""),"XXXL")</f>
        <v>XXXL</v>
      </c>
      <c r="F1774" s="133" t="str">
        <f>IFERROR(__xludf.DUMMYFUNCTION("""COMPUTED_VALUE"""),"20030XXXL")</f>
        <v>20030XXXL</v>
      </c>
      <c r="G1774" s="165">
        <f>IFERROR(__xludf.DUMMYFUNCTION("""COMPUTED_VALUE"""),1236.0)</f>
        <v>1236</v>
      </c>
    </row>
    <row r="1775" ht="15.75" customHeight="1">
      <c r="A1775" s="133">
        <f>IFERROR(__xludf.DUMMYFUNCTION("""COMPUTED_VALUE"""),20031.0)</f>
        <v>20031</v>
      </c>
      <c r="B1775" s="164">
        <f>IFERROR(__xludf.DUMMYFUNCTION("""COMPUTED_VALUE"""),6313130.0)</f>
        <v>6313130</v>
      </c>
      <c r="C1775" s="164" t="str">
        <f>IFERROR(__xludf.DUMMYFUNCTION("""COMPUTED_VALUE"""),"6313130S")</f>
        <v>6313130S</v>
      </c>
      <c r="D1775" s="133" t="str">
        <f>IFERROR(__xludf.DUMMYFUNCTION("""COMPUTED_VALUE"""),"Мужской свитер с лосями")</f>
        <v>Мужской свитер с лосями</v>
      </c>
      <c r="E1775" s="133" t="str">
        <f>IFERROR(__xludf.DUMMYFUNCTION("""COMPUTED_VALUE"""),"S")</f>
        <v>S</v>
      </c>
      <c r="F1775" s="133" t="str">
        <f>IFERROR(__xludf.DUMMYFUNCTION("""COMPUTED_VALUE"""),"20031S")</f>
        <v>20031S</v>
      </c>
      <c r="G1775" s="165">
        <f>IFERROR(__xludf.DUMMYFUNCTION("""COMPUTED_VALUE"""),1236.0)</f>
        <v>1236</v>
      </c>
    </row>
    <row r="1776" ht="15.75" customHeight="1">
      <c r="A1776" s="133">
        <f>IFERROR(__xludf.DUMMYFUNCTION("""COMPUTED_VALUE"""),20031.0)</f>
        <v>20031</v>
      </c>
      <c r="B1776" s="164">
        <f>IFERROR(__xludf.DUMMYFUNCTION("""COMPUTED_VALUE"""),6313130.0)</f>
        <v>6313130</v>
      </c>
      <c r="C1776" s="164" t="str">
        <f>IFERROR(__xludf.DUMMYFUNCTION("""COMPUTED_VALUE"""),"6313130M")</f>
        <v>6313130M</v>
      </c>
      <c r="D1776" s="133" t="str">
        <f>IFERROR(__xludf.DUMMYFUNCTION("""COMPUTED_VALUE"""),"Мужской свитер с лосями")</f>
        <v>Мужской свитер с лосями</v>
      </c>
      <c r="E1776" s="133" t="str">
        <f>IFERROR(__xludf.DUMMYFUNCTION("""COMPUTED_VALUE"""),"M")</f>
        <v>M</v>
      </c>
      <c r="F1776" s="133" t="str">
        <f>IFERROR(__xludf.DUMMYFUNCTION("""COMPUTED_VALUE"""),"20031M")</f>
        <v>20031M</v>
      </c>
      <c r="G1776" s="165">
        <f>IFERROR(__xludf.DUMMYFUNCTION("""COMPUTED_VALUE"""),1236.0)</f>
        <v>1236</v>
      </c>
    </row>
    <row r="1777" ht="15.75" customHeight="1">
      <c r="A1777" s="133">
        <f>IFERROR(__xludf.DUMMYFUNCTION("""COMPUTED_VALUE"""),20031.0)</f>
        <v>20031</v>
      </c>
      <c r="B1777" s="164">
        <f>IFERROR(__xludf.DUMMYFUNCTION("""COMPUTED_VALUE"""),6313130.0)</f>
        <v>6313130</v>
      </c>
      <c r="C1777" s="164" t="str">
        <f>IFERROR(__xludf.DUMMYFUNCTION("""COMPUTED_VALUE"""),"6313130L")</f>
        <v>6313130L</v>
      </c>
      <c r="D1777" s="133" t="str">
        <f>IFERROR(__xludf.DUMMYFUNCTION("""COMPUTED_VALUE"""),"Мужской свитер с лосями")</f>
        <v>Мужской свитер с лосями</v>
      </c>
      <c r="E1777" s="133" t="str">
        <f>IFERROR(__xludf.DUMMYFUNCTION("""COMPUTED_VALUE"""),"L")</f>
        <v>L</v>
      </c>
      <c r="F1777" s="133" t="str">
        <f>IFERROR(__xludf.DUMMYFUNCTION("""COMPUTED_VALUE"""),"20031L")</f>
        <v>20031L</v>
      </c>
      <c r="G1777" s="165">
        <f>IFERROR(__xludf.DUMMYFUNCTION("""COMPUTED_VALUE"""),1236.0)</f>
        <v>1236</v>
      </c>
    </row>
    <row r="1778" ht="15.75" customHeight="1">
      <c r="A1778" s="133">
        <f>IFERROR(__xludf.DUMMYFUNCTION("""COMPUTED_VALUE"""),20031.0)</f>
        <v>20031</v>
      </c>
      <c r="B1778" s="164">
        <f>IFERROR(__xludf.DUMMYFUNCTION("""COMPUTED_VALUE"""),6313130.0)</f>
        <v>6313130</v>
      </c>
      <c r="C1778" s="164" t="str">
        <f>IFERROR(__xludf.DUMMYFUNCTION("""COMPUTED_VALUE"""),"6313130XL")</f>
        <v>6313130XL</v>
      </c>
      <c r="D1778" s="133" t="str">
        <f>IFERROR(__xludf.DUMMYFUNCTION("""COMPUTED_VALUE"""),"Мужской свитер с лосями")</f>
        <v>Мужской свитер с лосями</v>
      </c>
      <c r="E1778" s="133" t="str">
        <f>IFERROR(__xludf.DUMMYFUNCTION("""COMPUTED_VALUE"""),"XL")</f>
        <v>XL</v>
      </c>
      <c r="F1778" s="133" t="str">
        <f>IFERROR(__xludf.DUMMYFUNCTION("""COMPUTED_VALUE"""),"20031XL")</f>
        <v>20031XL</v>
      </c>
      <c r="G1778" s="165">
        <f>IFERROR(__xludf.DUMMYFUNCTION("""COMPUTED_VALUE"""),1236.0)</f>
        <v>1236</v>
      </c>
    </row>
    <row r="1779" ht="15.75" customHeight="1">
      <c r="A1779" s="133">
        <f>IFERROR(__xludf.DUMMYFUNCTION("""COMPUTED_VALUE"""),20031.0)</f>
        <v>20031</v>
      </c>
      <c r="B1779" s="164">
        <f>IFERROR(__xludf.DUMMYFUNCTION("""COMPUTED_VALUE"""),6313130.0)</f>
        <v>6313130</v>
      </c>
      <c r="C1779" s="164" t="str">
        <f>IFERROR(__xludf.DUMMYFUNCTION("""COMPUTED_VALUE"""),"6313130XXL")</f>
        <v>6313130XXL</v>
      </c>
      <c r="D1779" s="133" t="str">
        <f>IFERROR(__xludf.DUMMYFUNCTION("""COMPUTED_VALUE"""),"Мужской свитер с лосями")</f>
        <v>Мужской свитер с лосями</v>
      </c>
      <c r="E1779" s="133" t="str">
        <f>IFERROR(__xludf.DUMMYFUNCTION("""COMPUTED_VALUE"""),"XXL")</f>
        <v>XXL</v>
      </c>
      <c r="F1779" s="133" t="str">
        <f>IFERROR(__xludf.DUMMYFUNCTION("""COMPUTED_VALUE"""),"20031XXL")</f>
        <v>20031XXL</v>
      </c>
      <c r="G1779" s="165">
        <f>IFERROR(__xludf.DUMMYFUNCTION("""COMPUTED_VALUE"""),1236.0)</f>
        <v>1236</v>
      </c>
    </row>
    <row r="1780" ht="15.75" customHeight="1">
      <c r="A1780" s="133">
        <f>IFERROR(__xludf.DUMMYFUNCTION("""COMPUTED_VALUE"""),20031.0)</f>
        <v>20031</v>
      </c>
      <c r="B1780" s="164">
        <f>IFERROR(__xludf.DUMMYFUNCTION("""COMPUTED_VALUE"""),6313130.0)</f>
        <v>6313130</v>
      </c>
      <c r="C1780" s="164" t="str">
        <f>IFERROR(__xludf.DUMMYFUNCTION("""COMPUTED_VALUE"""),"6313130XXXL")</f>
        <v>6313130XXXL</v>
      </c>
      <c r="D1780" s="133" t="str">
        <f>IFERROR(__xludf.DUMMYFUNCTION("""COMPUTED_VALUE"""),"Мужской свитер с лосями")</f>
        <v>Мужской свитер с лосями</v>
      </c>
      <c r="E1780" s="133" t="str">
        <f>IFERROR(__xludf.DUMMYFUNCTION("""COMPUTED_VALUE"""),"XXXL")</f>
        <v>XXXL</v>
      </c>
      <c r="F1780" s="133" t="str">
        <f>IFERROR(__xludf.DUMMYFUNCTION("""COMPUTED_VALUE"""),"20031XXXL")</f>
        <v>20031XXXL</v>
      </c>
      <c r="G1780" s="165">
        <f>IFERROR(__xludf.DUMMYFUNCTION("""COMPUTED_VALUE"""),1236.0)</f>
        <v>1236</v>
      </c>
    </row>
    <row r="1781" ht="15.75" customHeight="1">
      <c r="A1781" s="133">
        <f>IFERROR(__xludf.DUMMYFUNCTION("""COMPUTED_VALUE"""),20037.0)</f>
        <v>20037</v>
      </c>
      <c r="B1781" s="164">
        <f>IFERROR(__xludf.DUMMYFUNCTION("""COMPUTED_VALUE"""),9862271.0)</f>
        <v>9862271</v>
      </c>
      <c r="C1781" s="164" t="str">
        <f>IFERROR(__xludf.DUMMYFUNCTION("""COMPUTED_VALUE"""),"9862271S")</f>
        <v>9862271S</v>
      </c>
      <c r="D1781" s="133" t="str">
        <f>IFERROR(__xludf.DUMMYFUNCTION("""COMPUTED_VALUE"""),"Мужской свитер с оленями")</f>
        <v>Мужской свитер с оленями</v>
      </c>
      <c r="E1781" s="133" t="str">
        <f>IFERROR(__xludf.DUMMYFUNCTION("""COMPUTED_VALUE"""),"S")</f>
        <v>S</v>
      </c>
      <c r="F1781" s="133" t="str">
        <f>IFERROR(__xludf.DUMMYFUNCTION("""COMPUTED_VALUE"""),"20037S")</f>
        <v>20037S</v>
      </c>
      <c r="G1781" s="165">
        <f>IFERROR(__xludf.DUMMYFUNCTION("""COMPUTED_VALUE"""),1236.0)</f>
        <v>1236</v>
      </c>
    </row>
    <row r="1782" ht="15.75" customHeight="1">
      <c r="A1782" s="133">
        <f>IFERROR(__xludf.DUMMYFUNCTION("""COMPUTED_VALUE"""),20037.0)</f>
        <v>20037</v>
      </c>
      <c r="B1782" s="164">
        <f>IFERROR(__xludf.DUMMYFUNCTION("""COMPUTED_VALUE"""),9862271.0)</f>
        <v>9862271</v>
      </c>
      <c r="C1782" s="164" t="str">
        <f>IFERROR(__xludf.DUMMYFUNCTION("""COMPUTED_VALUE"""),"9862271M")</f>
        <v>9862271M</v>
      </c>
      <c r="D1782" s="133" t="str">
        <f>IFERROR(__xludf.DUMMYFUNCTION("""COMPUTED_VALUE"""),"Мужской свитер с оленями")</f>
        <v>Мужской свитер с оленями</v>
      </c>
      <c r="E1782" s="133" t="str">
        <f>IFERROR(__xludf.DUMMYFUNCTION("""COMPUTED_VALUE"""),"M")</f>
        <v>M</v>
      </c>
      <c r="F1782" s="133" t="str">
        <f>IFERROR(__xludf.DUMMYFUNCTION("""COMPUTED_VALUE"""),"20037M")</f>
        <v>20037M</v>
      </c>
      <c r="G1782" s="165">
        <f>IFERROR(__xludf.DUMMYFUNCTION("""COMPUTED_VALUE"""),1236.0)</f>
        <v>1236</v>
      </c>
    </row>
    <row r="1783" ht="15.75" customHeight="1">
      <c r="A1783" s="133">
        <f>IFERROR(__xludf.DUMMYFUNCTION("""COMPUTED_VALUE"""),20037.0)</f>
        <v>20037</v>
      </c>
      <c r="B1783" s="164">
        <f>IFERROR(__xludf.DUMMYFUNCTION("""COMPUTED_VALUE"""),9862271.0)</f>
        <v>9862271</v>
      </c>
      <c r="C1783" s="164" t="str">
        <f>IFERROR(__xludf.DUMMYFUNCTION("""COMPUTED_VALUE"""),"9862271L")</f>
        <v>9862271L</v>
      </c>
      <c r="D1783" s="133" t="str">
        <f>IFERROR(__xludf.DUMMYFUNCTION("""COMPUTED_VALUE"""),"Мужской свитер с оленями")</f>
        <v>Мужской свитер с оленями</v>
      </c>
      <c r="E1783" s="133" t="str">
        <f>IFERROR(__xludf.DUMMYFUNCTION("""COMPUTED_VALUE"""),"L")</f>
        <v>L</v>
      </c>
      <c r="F1783" s="133" t="str">
        <f>IFERROR(__xludf.DUMMYFUNCTION("""COMPUTED_VALUE"""),"20037L")</f>
        <v>20037L</v>
      </c>
      <c r="G1783" s="165">
        <f>IFERROR(__xludf.DUMMYFUNCTION("""COMPUTED_VALUE"""),1236.0)</f>
        <v>1236</v>
      </c>
    </row>
    <row r="1784" ht="15.75" customHeight="1">
      <c r="A1784" s="133">
        <f>IFERROR(__xludf.DUMMYFUNCTION("""COMPUTED_VALUE"""),20037.0)</f>
        <v>20037</v>
      </c>
      <c r="B1784" s="164">
        <f>IFERROR(__xludf.DUMMYFUNCTION("""COMPUTED_VALUE"""),9862271.0)</f>
        <v>9862271</v>
      </c>
      <c r="C1784" s="164" t="str">
        <f>IFERROR(__xludf.DUMMYFUNCTION("""COMPUTED_VALUE"""),"9862271XL")</f>
        <v>9862271XL</v>
      </c>
      <c r="D1784" s="133" t="str">
        <f>IFERROR(__xludf.DUMMYFUNCTION("""COMPUTED_VALUE"""),"Мужской свитер с оленями")</f>
        <v>Мужской свитер с оленями</v>
      </c>
      <c r="E1784" s="133" t="str">
        <f>IFERROR(__xludf.DUMMYFUNCTION("""COMPUTED_VALUE"""),"XL")</f>
        <v>XL</v>
      </c>
      <c r="F1784" s="133" t="str">
        <f>IFERROR(__xludf.DUMMYFUNCTION("""COMPUTED_VALUE"""),"20037XL")</f>
        <v>20037XL</v>
      </c>
      <c r="G1784" s="165">
        <f>IFERROR(__xludf.DUMMYFUNCTION("""COMPUTED_VALUE"""),1236.0)</f>
        <v>1236</v>
      </c>
    </row>
    <row r="1785" ht="15.75" customHeight="1">
      <c r="A1785" s="133">
        <f>IFERROR(__xludf.DUMMYFUNCTION("""COMPUTED_VALUE"""),20037.0)</f>
        <v>20037</v>
      </c>
      <c r="B1785" s="164">
        <f>IFERROR(__xludf.DUMMYFUNCTION("""COMPUTED_VALUE"""),9862271.0)</f>
        <v>9862271</v>
      </c>
      <c r="C1785" s="164" t="str">
        <f>IFERROR(__xludf.DUMMYFUNCTION("""COMPUTED_VALUE"""),"9862271XXL")</f>
        <v>9862271XXL</v>
      </c>
      <c r="D1785" s="133" t="str">
        <f>IFERROR(__xludf.DUMMYFUNCTION("""COMPUTED_VALUE"""),"Мужской свитер с оленями")</f>
        <v>Мужской свитер с оленями</v>
      </c>
      <c r="E1785" s="133" t="str">
        <f>IFERROR(__xludf.DUMMYFUNCTION("""COMPUTED_VALUE"""),"XXL")</f>
        <v>XXL</v>
      </c>
      <c r="F1785" s="133" t="str">
        <f>IFERROR(__xludf.DUMMYFUNCTION("""COMPUTED_VALUE"""),"20037XXL")</f>
        <v>20037XXL</v>
      </c>
      <c r="G1785" s="165">
        <f>IFERROR(__xludf.DUMMYFUNCTION("""COMPUTED_VALUE"""),1236.0)</f>
        <v>1236</v>
      </c>
    </row>
    <row r="1786" ht="15.75" customHeight="1">
      <c r="A1786" s="133">
        <f>IFERROR(__xludf.DUMMYFUNCTION("""COMPUTED_VALUE"""),20037.0)</f>
        <v>20037</v>
      </c>
      <c r="B1786" s="164">
        <f>IFERROR(__xludf.DUMMYFUNCTION("""COMPUTED_VALUE"""),9862271.0)</f>
        <v>9862271</v>
      </c>
      <c r="C1786" s="164" t="str">
        <f>IFERROR(__xludf.DUMMYFUNCTION("""COMPUTED_VALUE"""),"9862271XXXL")</f>
        <v>9862271XXXL</v>
      </c>
      <c r="D1786" s="133" t="str">
        <f>IFERROR(__xludf.DUMMYFUNCTION("""COMPUTED_VALUE"""),"Мужской свитер с оленями")</f>
        <v>Мужской свитер с оленями</v>
      </c>
      <c r="E1786" s="133" t="str">
        <f>IFERROR(__xludf.DUMMYFUNCTION("""COMPUTED_VALUE"""),"XXXL")</f>
        <v>XXXL</v>
      </c>
      <c r="F1786" s="133" t="str">
        <f>IFERROR(__xludf.DUMMYFUNCTION("""COMPUTED_VALUE"""),"20037XXXL")</f>
        <v>20037XXXL</v>
      </c>
      <c r="G1786" s="165">
        <f>IFERROR(__xludf.DUMMYFUNCTION("""COMPUTED_VALUE"""),1236.0)</f>
        <v>1236</v>
      </c>
    </row>
    <row r="1787" ht="15.75" customHeight="1">
      <c r="A1787" s="133">
        <f>IFERROR(__xludf.DUMMYFUNCTION("""COMPUTED_VALUE"""),20038.0)</f>
        <v>20038</v>
      </c>
      <c r="B1787" s="164">
        <f>IFERROR(__xludf.DUMMYFUNCTION("""COMPUTED_VALUE"""),1.0133476E7)</f>
        <v>10133476</v>
      </c>
      <c r="C1787" s="164" t="str">
        <f>IFERROR(__xludf.DUMMYFUNCTION("""COMPUTED_VALUE"""),"10133476S")</f>
        <v>10133476S</v>
      </c>
      <c r="D1787" s="133" t="str">
        <f>IFERROR(__xludf.DUMMYFUNCTION("""COMPUTED_VALUE"""),"Мужской свитер с оленями")</f>
        <v>Мужской свитер с оленями</v>
      </c>
      <c r="E1787" s="133" t="str">
        <f>IFERROR(__xludf.DUMMYFUNCTION("""COMPUTED_VALUE"""),"S")</f>
        <v>S</v>
      </c>
      <c r="F1787" s="133" t="str">
        <f>IFERROR(__xludf.DUMMYFUNCTION("""COMPUTED_VALUE"""),"20038S")</f>
        <v>20038S</v>
      </c>
      <c r="G1787" s="165">
        <f>IFERROR(__xludf.DUMMYFUNCTION("""COMPUTED_VALUE"""),1236.0)</f>
        <v>1236</v>
      </c>
    </row>
    <row r="1788" ht="15.75" customHeight="1">
      <c r="A1788" s="133">
        <f>IFERROR(__xludf.DUMMYFUNCTION("""COMPUTED_VALUE"""),20038.0)</f>
        <v>20038</v>
      </c>
      <c r="B1788" s="164">
        <f>IFERROR(__xludf.DUMMYFUNCTION("""COMPUTED_VALUE"""),1.0133476E7)</f>
        <v>10133476</v>
      </c>
      <c r="C1788" s="164" t="str">
        <f>IFERROR(__xludf.DUMMYFUNCTION("""COMPUTED_VALUE"""),"10133476M")</f>
        <v>10133476M</v>
      </c>
      <c r="D1788" s="133" t="str">
        <f>IFERROR(__xludf.DUMMYFUNCTION("""COMPUTED_VALUE"""),"Мужской свитер с оленями")</f>
        <v>Мужской свитер с оленями</v>
      </c>
      <c r="E1788" s="133" t="str">
        <f>IFERROR(__xludf.DUMMYFUNCTION("""COMPUTED_VALUE"""),"M")</f>
        <v>M</v>
      </c>
      <c r="F1788" s="133" t="str">
        <f>IFERROR(__xludf.DUMMYFUNCTION("""COMPUTED_VALUE"""),"20038M")</f>
        <v>20038M</v>
      </c>
      <c r="G1788" s="165">
        <f>IFERROR(__xludf.DUMMYFUNCTION("""COMPUTED_VALUE"""),1236.0)</f>
        <v>1236</v>
      </c>
    </row>
    <row r="1789" ht="15.75" customHeight="1">
      <c r="A1789" s="133">
        <f>IFERROR(__xludf.DUMMYFUNCTION("""COMPUTED_VALUE"""),20038.0)</f>
        <v>20038</v>
      </c>
      <c r="B1789" s="164">
        <f>IFERROR(__xludf.DUMMYFUNCTION("""COMPUTED_VALUE"""),1.0133476E7)</f>
        <v>10133476</v>
      </c>
      <c r="C1789" s="164" t="str">
        <f>IFERROR(__xludf.DUMMYFUNCTION("""COMPUTED_VALUE"""),"10133476L")</f>
        <v>10133476L</v>
      </c>
      <c r="D1789" s="133" t="str">
        <f>IFERROR(__xludf.DUMMYFUNCTION("""COMPUTED_VALUE"""),"Мужской свитер с оленями")</f>
        <v>Мужской свитер с оленями</v>
      </c>
      <c r="E1789" s="133" t="str">
        <f>IFERROR(__xludf.DUMMYFUNCTION("""COMPUTED_VALUE"""),"L")</f>
        <v>L</v>
      </c>
      <c r="F1789" s="133" t="str">
        <f>IFERROR(__xludf.DUMMYFUNCTION("""COMPUTED_VALUE"""),"20038L")</f>
        <v>20038L</v>
      </c>
      <c r="G1789" s="165">
        <f>IFERROR(__xludf.DUMMYFUNCTION("""COMPUTED_VALUE"""),1236.0)</f>
        <v>1236</v>
      </c>
    </row>
    <row r="1790" ht="15.75" customHeight="1">
      <c r="A1790" s="133">
        <f>IFERROR(__xludf.DUMMYFUNCTION("""COMPUTED_VALUE"""),20038.0)</f>
        <v>20038</v>
      </c>
      <c r="B1790" s="164">
        <f>IFERROR(__xludf.DUMMYFUNCTION("""COMPUTED_VALUE"""),1.0133476E7)</f>
        <v>10133476</v>
      </c>
      <c r="C1790" s="164" t="str">
        <f>IFERROR(__xludf.DUMMYFUNCTION("""COMPUTED_VALUE"""),"10133476XL")</f>
        <v>10133476XL</v>
      </c>
      <c r="D1790" s="133" t="str">
        <f>IFERROR(__xludf.DUMMYFUNCTION("""COMPUTED_VALUE"""),"Мужской свитер с оленями")</f>
        <v>Мужской свитер с оленями</v>
      </c>
      <c r="E1790" s="133" t="str">
        <f>IFERROR(__xludf.DUMMYFUNCTION("""COMPUTED_VALUE"""),"XL")</f>
        <v>XL</v>
      </c>
      <c r="F1790" s="133" t="str">
        <f>IFERROR(__xludf.DUMMYFUNCTION("""COMPUTED_VALUE"""),"20038XL")</f>
        <v>20038XL</v>
      </c>
      <c r="G1790" s="165">
        <f>IFERROR(__xludf.DUMMYFUNCTION("""COMPUTED_VALUE"""),1236.0)</f>
        <v>1236</v>
      </c>
    </row>
    <row r="1791" ht="15.75" customHeight="1">
      <c r="A1791" s="133">
        <f>IFERROR(__xludf.DUMMYFUNCTION("""COMPUTED_VALUE"""),20038.0)</f>
        <v>20038</v>
      </c>
      <c r="B1791" s="164">
        <f>IFERROR(__xludf.DUMMYFUNCTION("""COMPUTED_VALUE"""),1.0133476E7)</f>
        <v>10133476</v>
      </c>
      <c r="C1791" s="164" t="str">
        <f>IFERROR(__xludf.DUMMYFUNCTION("""COMPUTED_VALUE"""),"10133476XXL")</f>
        <v>10133476XXL</v>
      </c>
      <c r="D1791" s="133" t="str">
        <f>IFERROR(__xludf.DUMMYFUNCTION("""COMPUTED_VALUE"""),"Мужской свитер с оленями")</f>
        <v>Мужской свитер с оленями</v>
      </c>
      <c r="E1791" s="133" t="str">
        <f>IFERROR(__xludf.DUMMYFUNCTION("""COMPUTED_VALUE"""),"XXL")</f>
        <v>XXL</v>
      </c>
      <c r="F1791" s="133" t="str">
        <f>IFERROR(__xludf.DUMMYFUNCTION("""COMPUTED_VALUE"""),"20038XXL")</f>
        <v>20038XXL</v>
      </c>
      <c r="G1791" s="165">
        <f>IFERROR(__xludf.DUMMYFUNCTION("""COMPUTED_VALUE"""),1236.0)</f>
        <v>1236</v>
      </c>
    </row>
    <row r="1792" ht="15.75" customHeight="1">
      <c r="A1792" s="133">
        <f>IFERROR(__xludf.DUMMYFUNCTION("""COMPUTED_VALUE"""),20038.0)</f>
        <v>20038</v>
      </c>
      <c r="B1792" s="164">
        <f>IFERROR(__xludf.DUMMYFUNCTION("""COMPUTED_VALUE"""),1.0133476E7)</f>
        <v>10133476</v>
      </c>
      <c r="C1792" s="164" t="str">
        <f>IFERROR(__xludf.DUMMYFUNCTION("""COMPUTED_VALUE"""),"10133476XXXL")</f>
        <v>10133476XXXL</v>
      </c>
      <c r="D1792" s="133" t="str">
        <f>IFERROR(__xludf.DUMMYFUNCTION("""COMPUTED_VALUE"""),"Мужской свитер с оленями")</f>
        <v>Мужской свитер с оленями</v>
      </c>
      <c r="E1792" s="133" t="str">
        <f>IFERROR(__xludf.DUMMYFUNCTION("""COMPUTED_VALUE"""),"XXXL")</f>
        <v>XXXL</v>
      </c>
      <c r="F1792" s="133" t="str">
        <f>IFERROR(__xludf.DUMMYFUNCTION("""COMPUTED_VALUE"""),"20038XXXL")</f>
        <v>20038XXXL</v>
      </c>
      <c r="G1792" s="165">
        <f>IFERROR(__xludf.DUMMYFUNCTION("""COMPUTED_VALUE"""),1236.0)</f>
        <v>1236</v>
      </c>
    </row>
    <row r="1793" ht="15.75" customHeight="1">
      <c r="A1793" s="133">
        <f>IFERROR(__xludf.DUMMYFUNCTION("""COMPUTED_VALUE"""),20039.0)</f>
        <v>20039</v>
      </c>
      <c r="B1793" s="164">
        <f>IFERROR(__xludf.DUMMYFUNCTION("""COMPUTED_VALUE"""),1.0133477E7)</f>
        <v>10133477</v>
      </c>
      <c r="C1793" s="164" t="str">
        <f>IFERROR(__xludf.DUMMYFUNCTION("""COMPUTED_VALUE"""),"10133477S")</f>
        <v>10133477S</v>
      </c>
      <c r="D1793" s="133" t="str">
        <f>IFERROR(__xludf.DUMMYFUNCTION("""COMPUTED_VALUE"""),"Мужской свитер с оленями")</f>
        <v>Мужской свитер с оленями</v>
      </c>
      <c r="E1793" s="133" t="str">
        <f>IFERROR(__xludf.DUMMYFUNCTION("""COMPUTED_VALUE"""),"S")</f>
        <v>S</v>
      </c>
      <c r="F1793" s="133" t="str">
        <f>IFERROR(__xludf.DUMMYFUNCTION("""COMPUTED_VALUE"""),"20039S")</f>
        <v>20039S</v>
      </c>
      <c r="G1793" s="165">
        <f>IFERROR(__xludf.DUMMYFUNCTION("""COMPUTED_VALUE"""),1236.0)</f>
        <v>1236</v>
      </c>
    </row>
    <row r="1794" ht="15.75" customHeight="1">
      <c r="A1794" s="133">
        <f>IFERROR(__xludf.DUMMYFUNCTION("""COMPUTED_VALUE"""),20039.0)</f>
        <v>20039</v>
      </c>
      <c r="B1794" s="164">
        <f>IFERROR(__xludf.DUMMYFUNCTION("""COMPUTED_VALUE"""),1.0133477E7)</f>
        <v>10133477</v>
      </c>
      <c r="C1794" s="164" t="str">
        <f>IFERROR(__xludf.DUMMYFUNCTION("""COMPUTED_VALUE"""),"10133477M")</f>
        <v>10133477M</v>
      </c>
      <c r="D1794" s="133" t="str">
        <f>IFERROR(__xludf.DUMMYFUNCTION("""COMPUTED_VALUE"""),"Мужской свитер с оленями")</f>
        <v>Мужской свитер с оленями</v>
      </c>
      <c r="E1794" s="133" t="str">
        <f>IFERROR(__xludf.DUMMYFUNCTION("""COMPUTED_VALUE"""),"M")</f>
        <v>M</v>
      </c>
      <c r="F1794" s="133" t="str">
        <f>IFERROR(__xludf.DUMMYFUNCTION("""COMPUTED_VALUE"""),"20039M")</f>
        <v>20039M</v>
      </c>
      <c r="G1794" s="165">
        <f>IFERROR(__xludf.DUMMYFUNCTION("""COMPUTED_VALUE"""),1236.0)</f>
        <v>1236</v>
      </c>
    </row>
    <row r="1795" ht="15.75" customHeight="1">
      <c r="A1795" s="133">
        <f>IFERROR(__xludf.DUMMYFUNCTION("""COMPUTED_VALUE"""),20039.0)</f>
        <v>20039</v>
      </c>
      <c r="B1795" s="164">
        <f>IFERROR(__xludf.DUMMYFUNCTION("""COMPUTED_VALUE"""),1.0133477E7)</f>
        <v>10133477</v>
      </c>
      <c r="C1795" s="164" t="str">
        <f>IFERROR(__xludf.DUMMYFUNCTION("""COMPUTED_VALUE"""),"10133477L")</f>
        <v>10133477L</v>
      </c>
      <c r="D1795" s="133" t="str">
        <f>IFERROR(__xludf.DUMMYFUNCTION("""COMPUTED_VALUE"""),"Мужской свитер с оленями")</f>
        <v>Мужской свитер с оленями</v>
      </c>
      <c r="E1795" s="133" t="str">
        <f>IFERROR(__xludf.DUMMYFUNCTION("""COMPUTED_VALUE"""),"L")</f>
        <v>L</v>
      </c>
      <c r="F1795" s="133" t="str">
        <f>IFERROR(__xludf.DUMMYFUNCTION("""COMPUTED_VALUE"""),"20039L")</f>
        <v>20039L</v>
      </c>
      <c r="G1795" s="165">
        <f>IFERROR(__xludf.DUMMYFUNCTION("""COMPUTED_VALUE"""),1236.0)</f>
        <v>1236</v>
      </c>
    </row>
    <row r="1796" ht="15.75" customHeight="1">
      <c r="A1796" s="133">
        <f>IFERROR(__xludf.DUMMYFUNCTION("""COMPUTED_VALUE"""),20039.0)</f>
        <v>20039</v>
      </c>
      <c r="B1796" s="164">
        <f>IFERROR(__xludf.DUMMYFUNCTION("""COMPUTED_VALUE"""),1.0133477E7)</f>
        <v>10133477</v>
      </c>
      <c r="C1796" s="164" t="str">
        <f>IFERROR(__xludf.DUMMYFUNCTION("""COMPUTED_VALUE"""),"10133477XL")</f>
        <v>10133477XL</v>
      </c>
      <c r="D1796" s="133" t="str">
        <f>IFERROR(__xludf.DUMMYFUNCTION("""COMPUTED_VALUE"""),"Мужской свитер с оленями")</f>
        <v>Мужской свитер с оленями</v>
      </c>
      <c r="E1796" s="133" t="str">
        <f>IFERROR(__xludf.DUMMYFUNCTION("""COMPUTED_VALUE"""),"XL")</f>
        <v>XL</v>
      </c>
      <c r="F1796" s="133" t="str">
        <f>IFERROR(__xludf.DUMMYFUNCTION("""COMPUTED_VALUE"""),"20039XL")</f>
        <v>20039XL</v>
      </c>
      <c r="G1796" s="165">
        <f>IFERROR(__xludf.DUMMYFUNCTION("""COMPUTED_VALUE"""),1236.0)</f>
        <v>1236</v>
      </c>
    </row>
    <row r="1797" ht="15.75" customHeight="1">
      <c r="A1797" s="133">
        <f>IFERROR(__xludf.DUMMYFUNCTION("""COMPUTED_VALUE"""),20039.0)</f>
        <v>20039</v>
      </c>
      <c r="B1797" s="164">
        <f>IFERROR(__xludf.DUMMYFUNCTION("""COMPUTED_VALUE"""),1.0133477E7)</f>
        <v>10133477</v>
      </c>
      <c r="C1797" s="164" t="str">
        <f>IFERROR(__xludf.DUMMYFUNCTION("""COMPUTED_VALUE"""),"10133477XXL")</f>
        <v>10133477XXL</v>
      </c>
      <c r="D1797" s="133" t="str">
        <f>IFERROR(__xludf.DUMMYFUNCTION("""COMPUTED_VALUE"""),"Мужской свитер с оленями")</f>
        <v>Мужской свитер с оленями</v>
      </c>
      <c r="E1797" s="133" t="str">
        <f>IFERROR(__xludf.DUMMYFUNCTION("""COMPUTED_VALUE"""),"XXL")</f>
        <v>XXL</v>
      </c>
      <c r="F1797" s="133" t="str">
        <f>IFERROR(__xludf.DUMMYFUNCTION("""COMPUTED_VALUE"""),"20039XXL")</f>
        <v>20039XXL</v>
      </c>
      <c r="G1797" s="165">
        <f>IFERROR(__xludf.DUMMYFUNCTION("""COMPUTED_VALUE"""),1236.0)</f>
        <v>1236</v>
      </c>
    </row>
    <row r="1798" ht="15.75" customHeight="1">
      <c r="A1798" s="133">
        <f>IFERROR(__xludf.DUMMYFUNCTION("""COMPUTED_VALUE"""),20039.0)</f>
        <v>20039</v>
      </c>
      <c r="B1798" s="164">
        <f>IFERROR(__xludf.DUMMYFUNCTION("""COMPUTED_VALUE"""),1.0133477E7)</f>
        <v>10133477</v>
      </c>
      <c r="C1798" s="164" t="str">
        <f>IFERROR(__xludf.DUMMYFUNCTION("""COMPUTED_VALUE"""),"10133477XXXL")</f>
        <v>10133477XXXL</v>
      </c>
      <c r="D1798" s="133" t="str">
        <f>IFERROR(__xludf.DUMMYFUNCTION("""COMPUTED_VALUE"""),"Мужской свитер с оленями")</f>
        <v>Мужской свитер с оленями</v>
      </c>
      <c r="E1798" s="133" t="str">
        <f>IFERROR(__xludf.DUMMYFUNCTION("""COMPUTED_VALUE"""),"XXXL")</f>
        <v>XXXL</v>
      </c>
      <c r="F1798" s="133" t="str">
        <f>IFERROR(__xludf.DUMMYFUNCTION("""COMPUTED_VALUE"""),"20039XXXL")</f>
        <v>20039XXXL</v>
      </c>
      <c r="G1798" s="165">
        <f>IFERROR(__xludf.DUMMYFUNCTION("""COMPUTED_VALUE"""),1236.0)</f>
        <v>1236</v>
      </c>
    </row>
    <row r="1799" ht="15.75" customHeight="1">
      <c r="A1799" s="133">
        <f>IFERROR(__xludf.DUMMYFUNCTION("""COMPUTED_VALUE"""),20040.0)</f>
        <v>20040</v>
      </c>
      <c r="B1799" s="164">
        <f>IFERROR(__xludf.DUMMYFUNCTION("""COMPUTED_VALUE"""),1.004148E7)</f>
        <v>10041480</v>
      </c>
      <c r="C1799" s="164" t="str">
        <f>IFERROR(__xludf.DUMMYFUNCTION("""COMPUTED_VALUE"""),"10041480S")</f>
        <v>10041480S</v>
      </c>
      <c r="D1799" s="133" t="str">
        <f>IFERROR(__xludf.DUMMYFUNCTION("""COMPUTED_VALUE"""),"Мужской свитер с оленями")</f>
        <v>Мужской свитер с оленями</v>
      </c>
      <c r="E1799" s="133" t="str">
        <f>IFERROR(__xludf.DUMMYFUNCTION("""COMPUTED_VALUE"""),"S")</f>
        <v>S</v>
      </c>
      <c r="F1799" s="133" t="str">
        <f>IFERROR(__xludf.DUMMYFUNCTION("""COMPUTED_VALUE"""),"20040S")</f>
        <v>20040S</v>
      </c>
      <c r="G1799" s="165">
        <f>IFERROR(__xludf.DUMMYFUNCTION("""COMPUTED_VALUE"""),1236.0)</f>
        <v>1236</v>
      </c>
    </row>
    <row r="1800" ht="15.75" customHeight="1">
      <c r="A1800" s="133">
        <f>IFERROR(__xludf.DUMMYFUNCTION("""COMPUTED_VALUE"""),20040.0)</f>
        <v>20040</v>
      </c>
      <c r="B1800" s="164">
        <f>IFERROR(__xludf.DUMMYFUNCTION("""COMPUTED_VALUE"""),1.004148E7)</f>
        <v>10041480</v>
      </c>
      <c r="C1800" s="164" t="str">
        <f>IFERROR(__xludf.DUMMYFUNCTION("""COMPUTED_VALUE"""),"10041480M")</f>
        <v>10041480M</v>
      </c>
      <c r="D1800" s="133" t="str">
        <f>IFERROR(__xludf.DUMMYFUNCTION("""COMPUTED_VALUE"""),"Мужской свитер с оленями")</f>
        <v>Мужской свитер с оленями</v>
      </c>
      <c r="E1800" s="133" t="str">
        <f>IFERROR(__xludf.DUMMYFUNCTION("""COMPUTED_VALUE"""),"M")</f>
        <v>M</v>
      </c>
      <c r="F1800" s="133" t="str">
        <f>IFERROR(__xludf.DUMMYFUNCTION("""COMPUTED_VALUE"""),"20040M")</f>
        <v>20040M</v>
      </c>
      <c r="G1800" s="165">
        <f>IFERROR(__xludf.DUMMYFUNCTION("""COMPUTED_VALUE"""),1236.0)</f>
        <v>1236</v>
      </c>
    </row>
    <row r="1801" ht="15.75" customHeight="1">
      <c r="A1801" s="133">
        <f>IFERROR(__xludf.DUMMYFUNCTION("""COMPUTED_VALUE"""),20040.0)</f>
        <v>20040</v>
      </c>
      <c r="B1801" s="164">
        <f>IFERROR(__xludf.DUMMYFUNCTION("""COMPUTED_VALUE"""),1.004148E7)</f>
        <v>10041480</v>
      </c>
      <c r="C1801" s="164" t="str">
        <f>IFERROR(__xludf.DUMMYFUNCTION("""COMPUTED_VALUE"""),"10041480L")</f>
        <v>10041480L</v>
      </c>
      <c r="D1801" s="133" t="str">
        <f>IFERROR(__xludf.DUMMYFUNCTION("""COMPUTED_VALUE"""),"Мужской свитер с оленями")</f>
        <v>Мужской свитер с оленями</v>
      </c>
      <c r="E1801" s="133" t="str">
        <f>IFERROR(__xludf.DUMMYFUNCTION("""COMPUTED_VALUE"""),"L")</f>
        <v>L</v>
      </c>
      <c r="F1801" s="133" t="str">
        <f>IFERROR(__xludf.DUMMYFUNCTION("""COMPUTED_VALUE"""),"20040L")</f>
        <v>20040L</v>
      </c>
      <c r="G1801" s="165">
        <f>IFERROR(__xludf.DUMMYFUNCTION("""COMPUTED_VALUE"""),1236.0)</f>
        <v>1236</v>
      </c>
    </row>
    <row r="1802" ht="15.75" customHeight="1">
      <c r="A1802" s="133">
        <f>IFERROR(__xludf.DUMMYFUNCTION("""COMPUTED_VALUE"""),20040.0)</f>
        <v>20040</v>
      </c>
      <c r="B1802" s="164">
        <f>IFERROR(__xludf.DUMMYFUNCTION("""COMPUTED_VALUE"""),1.004148E7)</f>
        <v>10041480</v>
      </c>
      <c r="C1802" s="164" t="str">
        <f>IFERROR(__xludf.DUMMYFUNCTION("""COMPUTED_VALUE"""),"10041480XL")</f>
        <v>10041480XL</v>
      </c>
      <c r="D1802" s="133" t="str">
        <f>IFERROR(__xludf.DUMMYFUNCTION("""COMPUTED_VALUE"""),"Мужской свитер с оленями")</f>
        <v>Мужской свитер с оленями</v>
      </c>
      <c r="E1802" s="133" t="str">
        <f>IFERROR(__xludf.DUMMYFUNCTION("""COMPUTED_VALUE"""),"XL")</f>
        <v>XL</v>
      </c>
      <c r="F1802" s="133" t="str">
        <f>IFERROR(__xludf.DUMMYFUNCTION("""COMPUTED_VALUE"""),"20040XL")</f>
        <v>20040XL</v>
      </c>
      <c r="G1802" s="165">
        <f>IFERROR(__xludf.DUMMYFUNCTION("""COMPUTED_VALUE"""),1236.0)</f>
        <v>1236</v>
      </c>
    </row>
    <row r="1803" ht="15.75" customHeight="1">
      <c r="A1803" s="133">
        <f>IFERROR(__xludf.DUMMYFUNCTION("""COMPUTED_VALUE"""),20040.0)</f>
        <v>20040</v>
      </c>
      <c r="B1803" s="164">
        <f>IFERROR(__xludf.DUMMYFUNCTION("""COMPUTED_VALUE"""),1.004148E7)</f>
        <v>10041480</v>
      </c>
      <c r="C1803" s="164" t="str">
        <f>IFERROR(__xludf.DUMMYFUNCTION("""COMPUTED_VALUE"""),"10041480XXL")</f>
        <v>10041480XXL</v>
      </c>
      <c r="D1803" s="133" t="str">
        <f>IFERROR(__xludf.DUMMYFUNCTION("""COMPUTED_VALUE"""),"Мужской свитер с оленями")</f>
        <v>Мужской свитер с оленями</v>
      </c>
      <c r="E1803" s="133" t="str">
        <f>IFERROR(__xludf.DUMMYFUNCTION("""COMPUTED_VALUE"""),"XXL")</f>
        <v>XXL</v>
      </c>
      <c r="F1803" s="133" t="str">
        <f>IFERROR(__xludf.DUMMYFUNCTION("""COMPUTED_VALUE"""),"20040XXL")</f>
        <v>20040XXL</v>
      </c>
      <c r="G1803" s="165">
        <f>IFERROR(__xludf.DUMMYFUNCTION("""COMPUTED_VALUE"""),1236.0)</f>
        <v>1236</v>
      </c>
    </row>
    <row r="1804" ht="15.75" customHeight="1">
      <c r="A1804" s="133">
        <f>IFERROR(__xludf.DUMMYFUNCTION("""COMPUTED_VALUE"""),20040.0)</f>
        <v>20040</v>
      </c>
      <c r="B1804" s="164">
        <f>IFERROR(__xludf.DUMMYFUNCTION("""COMPUTED_VALUE"""),1.004148E7)</f>
        <v>10041480</v>
      </c>
      <c r="C1804" s="164" t="str">
        <f>IFERROR(__xludf.DUMMYFUNCTION("""COMPUTED_VALUE"""),"10041480XXXL")</f>
        <v>10041480XXXL</v>
      </c>
      <c r="D1804" s="133" t="str">
        <f>IFERROR(__xludf.DUMMYFUNCTION("""COMPUTED_VALUE"""),"Мужской свитер с оленями")</f>
        <v>Мужской свитер с оленями</v>
      </c>
      <c r="E1804" s="133" t="str">
        <f>IFERROR(__xludf.DUMMYFUNCTION("""COMPUTED_VALUE"""),"XXXL")</f>
        <v>XXXL</v>
      </c>
      <c r="F1804" s="133" t="str">
        <f>IFERROR(__xludf.DUMMYFUNCTION("""COMPUTED_VALUE"""),"20040XXXL")</f>
        <v>20040XXXL</v>
      </c>
      <c r="G1804" s="165">
        <f>IFERROR(__xludf.DUMMYFUNCTION("""COMPUTED_VALUE"""),1236.0)</f>
        <v>1236</v>
      </c>
    </row>
    <row r="1805" ht="15.75" customHeight="1">
      <c r="A1805" s="133">
        <f>IFERROR(__xludf.DUMMYFUNCTION("""COMPUTED_VALUE"""),20041.0)</f>
        <v>20041</v>
      </c>
      <c r="B1805" s="164">
        <f>IFERROR(__xludf.DUMMYFUNCTION("""COMPUTED_VALUE"""),1.0041481E7)</f>
        <v>10041481</v>
      </c>
      <c r="C1805" s="164" t="str">
        <f>IFERROR(__xludf.DUMMYFUNCTION("""COMPUTED_VALUE"""),"10041481S")</f>
        <v>10041481S</v>
      </c>
      <c r="D1805" s="133" t="str">
        <f>IFERROR(__xludf.DUMMYFUNCTION("""COMPUTED_VALUE"""),"Мужской свитер с оленями")</f>
        <v>Мужской свитер с оленями</v>
      </c>
      <c r="E1805" s="133" t="str">
        <f>IFERROR(__xludf.DUMMYFUNCTION("""COMPUTED_VALUE"""),"S")</f>
        <v>S</v>
      </c>
      <c r="F1805" s="133" t="str">
        <f>IFERROR(__xludf.DUMMYFUNCTION("""COMPUTED_VALUE"""),"20041S")</f>
        <v>20041S</v>
      </c>
      <c r="G1805" s="165">
        <f>IFERROR(__xludf.DUMMYFUNCTION("""COMPUTED_VALUE"""),1236.0)</f>
        <v>1236</v>
      </c>
    </row>
    <row r="1806" ht="15.75" customHeight="1">
      <c r="A1806" s="133">
        <f>IFERROR(__xludf.DUMMYFUNCTION("""COMPUTED_VALUE"""),20041.0)</f>
        <v>20041</v>
      </c>
      <c r="B1806" s="164">
        <f>IFERROR(__xludf.DUMMYFUNCTION("""COMPUTED_VALUE"""),1.0041481E7)</f>
        <v>10041481</v>
      </c>
      <c r="C1806" s="164" t="str">
        <f>IFERROR(__xludf.DUMMYFUNCTION("""COMPUTED_VALUE"""),"10041481M")</f>
        <v>10041481M</v>
      </c>
      <c r="D1806" s="133" t="str">
        <f>IFERROR(__xludf.DUMMYFUNCTION("""COMPUTED_VALUE"""),"Мужской свитер с оленями")</f>
        <v>Мужской свитер с оленями</v>
      </c>
      <c r="E1806" s="133" t="str">
        <f>IFERROR(__xludf.DUMMYFUNCTION("""COMPUTED_VALUE"""),"M")</f>
        <v>M</v>
      </c>
      <c r="F1806" s="133" t="str">
        <f>IFERROR(__xludf.DUMMYFUNCTION("""COMPUTED_VALUE"""),"20041M")</f>
        <v>20041M</v>
      </c>
      <c r="G1806" s="165">
        <f>IFERROR(__xludf.DUMMYFUNCTION("""COMPUTED_VALUE"""),1236.0)</f>
        <v>1236</v>
      </c>
    </row>
    <row r="1807" ht="15.75" customHeight="1">
      <c r="A1807" s="133">
        <f>IFERROR(__xludf.DUMMYFUNCTION("""COMPUTED_VALUE"""),20041.0)</f>
        <v>20041</v>
      </c>
      <c r="B1807" s="164">
        <f>IFERROR(__xludf.DUMMYFUNCTION("""COMPUTED_VALUE"""),1.0041481E7)</f>
        <v>10041481</v>
      </c>
      <c r="C1807" s="164" t="str">
        <f>IFERROR(__xludf.DUMMYFUNCTION("""COMPUTED_VALUE"""),"10041481L")</f>
        <v>10041481L</v>
      </c>
      <c r="D1807" s="133" t="str">
        <f>IFERROR(__xludf.DUMMYFUNCTION("""COMPUTED_VALUE"""),"Мужской свитер с оленями")</f>
        <v>Мужской свитер с оленями</v>
      </c>
      <c r="E1807" s="133" t="str">
        <f>IFERROR(__xludf.DUMMYFUNCTION("""COMPUTED_VALUE"""),"L")</f>
        <v>L</v>
      </c>
      <c r="F1807" s="133" t="str">
        <f>IFERROR(__xludf.DUMMYFUNCTION("""COMPUTED_VALUE"""),"20041L")</f>
        <v>20041L</v>
      </c>
      <c r="G1807" s="165">
        <f>IFERROR(__xludf.DUMMYFUNCTION("""COMPUTED_VALUE"""),1236.0)</f>
        <v>1236</v>
      </c>
    </row>
    <row r="1808" ht="15.75" customHeight="1">
      <c r="A1808" s="133">
        <f>IFERROR(__xludf.DUMMYFUNCTION("""COMPUTED_VALUE"""),20041.0)</f>
        <v>20041</v>
      </c>
      <c r="B1808" s="164">
        <f>IFERROR(__xludf.DUMMYFUNCTION("""COMPUTED_VALUE"""),1.0041481E7)</f>
        <v>10041481</v>
      </c>
      <c r="C1808" s="164" t="str">
        <f>IFERROR(__xludf.DUMMYFUNCTION("""COMPUTED_VALUE"""),"10041481XL")</f>
        <v>10041481XL</v>
      </c>
      <c r="D1808" s="133" t="str">
        <f>IFERROR(__xludf.DUMMYFUNCTION("""COMPUTED_VALUE"""),"Мужской свитер с оленями")</f>
        <v>Мужской свитер с оленями</v>
      </c>
      <c r="E1808" s="133" t="str">
        <f>IFERROR(__xludf.DUMMYFUNCTION("""COMPUTED_VALUE"""),"XL")</f>
        <v>XL</v>
      </c>
      <c r="F1808" s="133" t="str">
        <f>IFERROR(__xludf.DUMMYFUNCTION("""COMPUTED_VALUE"""),"20041XL")</f>
        <v>20041XL</v>
      </c>
      <c r="G1808" s="165">
        <f>IFERROR(__xludf.DUMMYFUNCTION("""COMPUTED_VALUE"""),1236.0)</f>
        <v>1236</v>
      </c>
    </row>
    <row r="1809" ht="15.75" customHeight="1">
      <c r="A1809" s="133">
        <f>IFERROR(__xludf.DUMMYFUNCTION("""COMPUTED_VALUE"""),20041.0)</f>
        <v>20041</v>
      </c>
      <c r="B1809" s="164">
        <f>IFERROR(__xludf.DUMMYFUNCTION("""COMPUTED_VALUE"""),1.0041481E7)</f>
        <v>10041481</v>
      </c>
      <c r="C1809" s="164" t="str">
        <f>IFERROR(__xludf.DUMMYFUNCTION("""COMPUTED_VALUE"""),"10041481XXL")</f>
        <v>10041481XXL</v>
      </c>
      <c r="D1809" s="133" t="str">
        <f>IFERROR(__xludf.DUMMYFUNCTION("""COMPUTED_VALUE"""),"Мужской свитер с оленями")</f>
        <v>Мужской свитер с оленями</v>
      </c>
      <c r="E1809" s="133" t="str">
        <f>IFERROR(__xludf.DUMMYFUNCTION("""COMPUTED_VALUE"""),"XXL")</f>
        <v>XXL</v>
      </c>
      <c r="F1809" s="133" t="str">
        <f>IFERROR(__xludf.DUMMYFUNCTION("""COMPUTED_VALUE"""),"20041XXL")</f>
        <v>20041XXL</v>
      </c>
      <c r="G1809" s="165">
        <f>IFERROR(__xludf.DUMMYFUNCTION("""COMPUTED_VALUE"""),1236.0)</f>
        <v>1236</v>
      </c>
    </row>
    <row r="1810" ht="15.75" customHeight="1">
      <c r="A1810" s="133">
        <f>IFERROR(__xludf.DUMMYFUNCTION("""COMPUTED_VALUE"""),20041.0)</f>
        <v>20041</v>
      </c>
      <c r="B1810" s="164">
        <f>IFERROR(__xludf.DUMMYFUNCTION("""COMPUTED_VALUE"""),1.0041481E7)</f>
        <v>10041481</v>
      </c>
      <c r="C1810" s="164" t="str">
        <f>IFERROR(__xludf.DUMMYFUNCTION("""COMPUTED_VALUE"""),"10041481XXXL")</f>
        <v>10041481XXXL</v>
      </c>
      <c r="D1810" s="133" t="str">
        <f>IFERROR(__xludf.DUMMYFUNCTION("""COMPUTED_VALUE"""),"Мужской свитер с оленями")</f>
        <v>Мужской свитер с оленями</v>
      </c>
      <c r="E1810" s="133" t="str">
        <f>IFERROR(__xludf.DUMMYFUNCTION("""COMPUTED_VALUE"""),"XXXL")</f>
        <v>XXXL</v>
      </c>
      <c r="F1810" s="133" t="str">
        <f>IFERROR(__xludf.DUMMYFUNCTION("""COMPUTED_VALUE"""),"20041XXXL")</f>
        <v>20041XXXL</v>
      </c>
      <c r="G1810" s="165">
        <f>IFERROR(__xludf.DUMMYFUNCTION("""COMPUTED_VALUE"""),1236.0)</f>
        <v>1236</v>
      </c>
    </row>
    <row r="1811" ht="15.75" customHeight="1">
      <c r="A1811" s="133">
        <f>IFERROR(__xludf.DUMMYFUNCTION("""COMPUTED_VALUE"""),20042.0)</f>
        <v>20042</v>
      </c>
      <c r="B1811" s="164">
        <f>IFERROR(__xludf.DUMMYFUNCTION("""COMPUTED_VALUE"""),1.0041482E7)</f>
        <v>10041482</v>
      </c>
      <c r="C1811" s="164" t="str">
        <f>IFERROR(__xludf.DUMMYFUNCTION("""COMPUTED_VALUE"""),"10041482S")</f>
        <v>10041482S</v>
      </c>
      <c r="D1811" s="133" t="str">
        <f>IFERROR(__xludf.DUMMYFUNCTION("""COMPUTED_VALUE"""),"Мужской свитер с оленями")</f>
        <v>Мужской свитер с оленями</v>
      </c>
      <c r="E1811" s="133" t="str">
        <f>IFERROR(__xludf.DUMMYFUNCTION("""COMPUTED_VALUE"""),"S")</f>
        <v>S</v>
      </c>
      <c r="F1811" s="133" t="str">
        <f>IFERROR(__xludf.DUMMYFUNCTION("""COMPUTED_VALUE"""),"20042S")</f>
        <v>20042S</v>
      </c>
      <c r="G1811" s="165">
        <f>IFERROR(__xludf.DUMMYFUNCTION("""COMPUTED_VALUE"""),1236.0)</f>
        <v>1236</v>
      </c>
    </row>
    <row r="1812" ht="15.75" customHeight="1">
      <c r="A1812" s="133">
        <f>IFERROR(__xludf.DUMMYFUNCTION("""COMPUTED_VALUE"""),20042.0)</f>
        <v>20042</v>
      </c>
      <c r="B1812" s="164">
        <f>IFERROR(__xludf.DUMMYFUNCTION("""COMPUTED_VALUE"""),1.0041482E7)</f>
        <v>10041482</v>
      </c>
      <c r="C1812" s="164" t="str">
        <f>IFERROR(__xludf.DUMMYFUNCTION("""COMPUTED_VALUE"""),"10041482M")</f>
        <v>10041482M</v>
      </c>
      <c r="D1812" s="133" t="str">
        <f>IFERROR(__xludf.DUMMYFUNCTION("""COMPUTED_VALUE"""),"Мужской свитер с оленями")</f>
        <v>Мужской свитер с оленями</v>
      </c>
      <c r="E1812" s="133" t="str">
        <f>IFERROR(__xludf.DUMMYFUNCTION("""COMPUTED_VALUE"""),"M")</f>
        <v>M</v>
      </c>
      <c r="F1812" s="133" t="str">
        <f>IFERROR(__xludf.DUMMYFUNCTION("""COMPUTED_VALUE"""),"20042M")</f>
        <v>20042M</v>
      </c>
      <c r="G1812" s="165">
        <f>IFERROR(__xludf.DUMMYFUNCTION("""COMPUTED_VALUE"""),1236.0)</f>
        <v>1236</v>
      </c>
    </row>
    <row r="1813" ht="15.75" customHeight="1">
      <c r="A1813" s="133">
        <f>IFERROR(__xludf.DUMMYFUNCTION("""COMPUTED_VALUE"""),20042.0)</f>
        <v>20042</v>
      </c>
      <c r="B1813" s="164">
        <f>IFERROR(__xludf.DUMMYFUNCTION("""COMPUTED_VALUE"""),1.0041482E7)</f>
        <v>10041482</v>
      </c>
      <c r="C1813" s="164" t="str">
        <f>IFERROR(__xludf.DUMMYFUNCTION("""COMPUTED_VALUE"""),"10041482L")</f>
        <v>10041482L</v>
      </c>
      <c r="D1813" s="133" t="str">
        <f>IFERROR(__xludf.DUMMYFUNCTION("""COMPUTED_VALUE"""),"Мужской свитер с оленями")</f>
        <v>Мужской свитер с оленями</v>
      </c>
      <c r="E1813" s="133" t="str">
        <f>IFERROR(__xludf.DUMMYFUNCTION("""COMPUTED_VALUE"""),"L")</f>
        <v>L</v>
      </c>
      <c r="F1813" s="133" t="str">
        <f>IFERROR(__xludf.DUMMYFUNCTION("""COMPUTED_VALUE"""),"20042L")</f>
        <v>20042L</v>
      </c>
      <c r="G1813" s="165">
        <f>IFERROR(__xludf.DUMMYFUNCTION("""COMPUTED_VALUE"""),1236.0)</f>
        <v>1236</v>
      </c>
    </row>
    <row r="1814" ht="15.75" customHeight="1">
      <c r="A1814" s="133">
        <f>IFERROR(__xludf.DUMMYFUNCTION("""COMPUTED_VALUE"""),20042.0)</f>
        <v>20042</v>
      </c>
      <c r="B1814" s="164">
        <f>IFERROR(__xludf.DUMMYFUNCTION("""COMPUTED_VALUE"""),1.0041482E7)</f>
        <v>10041482</v>
      </c>
      <c r="C1814" s="164" t="str">
        <f>IFERROR(__xludf.DUMMYFUNCTION("""COMPUTED_VALUE"""),"10041482XL")</f>
        <v>10041482XL</v>
      </c>
      <c r="D1814" s="133" t="str">
        <f>IFERROR(__xludf.DUMMYFUNCTION("""COMPUTED_VALUE"""),"Мужской свитер с оленями")</f>
        <v>Мужской свитер с оленями</v>
      </c>
      <c r="E1814" s="133" t="str">
        <f>IFERROR(__xludf.DUMMYFUNCTION("""COMPUTED_VALUE"""),"XL")</f>
        <v>XL</v>
      </c>
      <c r="F1814" s="133" t="str">
        <f>IFERROR(__xludf.DUMMYFUNCTION("""COMPUTED_VALUE"""),"20042XL")</f>
        <v>20042XL</v>
      </c>
      <c r="G1814" s="165">
        <f>IFERROR(__xludf.DUMMYFUNCTION("""COMPUTED_VALUE"""),1236.0)</f>
        <v>1236</v>
      </c>
    </row>
    <row r="1815" ht="15.75" customHeight="1">
      <c r="A1815" s="133">
        <f>IFERROR(__xludf.DUMMYFUNCTION("""COMPUTED_VALUE"""),20042.0)</f>
        <v>20042</v>
      </c>
      <c r="B1815" s="164">
        <f>IFERROR(__xludf.DUMMYFUNCTION("""COMPUTED_VALUE"""),1.0041482E7)</f>
        <v>10041482</v>
      </c>
      <c r="C1815" s="164" t="str">
        <f>IFERROR(__xludf.DUMMYFUNCTION("""COMPUTED_VALUE"""),"10041482XXL")</f>
        <v>10041482XXL</v>
      </c>
      <c r="D1815" s="133" t="str">
        <f>IFERROR(__xludf.DUMMYFUNCTION("""COMPUTED_VALUE"""),"Мужской свитер с оленями")</f>
        <v>Мужской свитер с оленями</v>
      </c>
      <c r="E1815" s="133" t="str">
        <f>IFERROR(__xludf.DUMMYFUNCTION("""COMPUTED_VALUE"""),"XXL")</f>
        <v>XXL</v>
      </c>
      <c r="F1815" s="133" t="str">
        <f>IFERROR(__xludf.DUMMYFUNCTION("""COMPUTED_VALUE"""),"20042XXL")</f>
        <v>20042XXL</v>
      </c>
      <c r="G1815" s="165">
        <f>IFERROR(__xludf.DUMMYFUNCTION("""COMPUTED_VALUE"""),1236.0)</f>
        <v>1236</v>
      </c>
    </row>
    <row r="1816" ht="15.75" customHeight="1">
      <c r="A1816" s="133">
        <f>IFERROR(__xludf.DUMMYFUNCTION("""COMPUTED_VALUE"""),20042.0)</f>
        <v>20042</v>
      </c>
      <c r="B1816" s="164">
        <f>IFERROR(__xludf.DUMMYFUNCTION("""COMPUTED_VALUE"""),1.0041482E7)</f>
        <v>10041482</v>
      </c>
      <c r="C1816" s="164" t="str">
        <f>IFERROR(__xludf.DUMMYFUNCTION("""COMPUTED_VALUE"""),"10041482XXXL")</f>
        <v>10041482XXXL</v>
      </c>
      <c r="D1816" s="133" t="str">
        <f>IFERROR(__xludf.DUMMYFUNCTION("""COMPUTED_VALUE"""),"Мужской свитер с оленями")</f>
        <v>Мужской свитер с оленями</v>
      </c>
      <c r="E1816" s="133" t="str">
        <f>IFERROR(__xludf.DUMMYFUNCTION("""COMPUTED_VALUE"""),"XXXL")</f>
        <v>XXXL</v>
      </c>
      <c r="F1816" s="133" t="str">
        <f>IFERROR(__xludf.DUMMYFUNCTION("""COMPUTED_VALUE"""),"20042XXXL")</f>
        <v>20042XXXL</v>
      </c>
      <c r="G1816" s="165">
        <f>IFERROR(__xludf.DUMMYFUNCTION("""COMPUTED_VALUE"""),1236.0)</f>
        <v>1236</v>
      </c>
    </row>
    <row r="1817" ht="15.75" customHeight="1">
      <c r="A1817" s="133">
        <f>IFERROR(__xludf.DUMMYFUNCTION("""COMPUTED_VALUE"""),20043.0)</f>
        <v>20043</v>
      </c>
      <c r="B1817" s="164">
        <f>IFERROR(__xludf.DUMMYFUNCTION("""COMPUTED_VALUE"""),9866912.0)</f>
        <v>9866912</v>
      </c>
      <c r="C1817" s="164" t="str">
        <f>IFERROR(__xludf.DUMMYFUNCTION("""COMPUTED_VALUE"""),"9866912S")</f>
        <v>9866912S</v>
      </c>
      <c r="D1817" s="133" t="str">
        <f>IFERROR(__xludf.DUMMYFUNCTION("""COMPUTED_VALUE"""),"Мужской свитер с оленями")</f>
        <v>Мужской свитер с оленями</v>
      </c>
      <c r="E1817" s="133" t="str">
        <f>IFERROR(__xludf.DUMMYFUNCTION("""COMPUTED_VALUE"""),"S")</f>
        <v>S</v>
      </c>
      <c r="F1817" s="133" t="str">
        <f>IFERROR(__xludf.DUMMYFUNCTION("""COMPUTED_VALUE"""),"20043S")</f>
        <v>20043S</v>
      </c>
      <c r="G1817" s="165">
        <f>IFERROR(__xludf.DUMMYFUNCTION("""COMPUTED_VALUE"""),1236.0)</f>
        <v>1236</v>
      </c>
    </row>
    <row r="1818" ht="15.75" customHeight="1">
      <c r="A1818" s="133">
        <f>IFERROR(__xludf.DUMMYFUNCTION("""COMPUTED_VALUE"""),20043.0)</f>
        <v>20043</v>
      </c>
      <c r="B1818" s="164">
        <f>IFERROR(__xludf.DUMMYFUNCTION("""COMPUTED_VALUE"""),9866912.0)</f>
        <v>9866912</v>
      </c>
      <c r="C1818" s="164" t="str">
        <f>IFERROR(__xludf.DUMMYFUNCTION("""COMPUTED_VALUE"""),"9866912M")</f>
        <v>9866912M</v>
      </c>
      <c r="D1818" s="133" t="str">
        <f>IFERROR(__xludf.DUMMYFUNCTION("""COMPUTED_VALUE"""),"Мужской свитер с оленями")</f>
        <v>Мужской свитер с оленями</v>
      </c>
      <c r="E1818" s="133" t="str">
        <f>IFERROR(__xludf.DUMMYFUNCTION("""COMPUTED_VALUE"""),"M")</f>
        <v>M</v>
      </c>
      <c r="F1818" s="133" t="str">
        <f>IFERROR(__xludf.DUMMYFUNCTION("""COMPUTED_VALUE"""),"20043M")</f>
        <v>20043M</v>
      </c>
      <c r="G1818" s="165">
        <f>IFERROR(__xludf.DUMMYFUNCTION("""COMPUTED_VALUE"""),1236.0)</f>
        <v>1236</v>
      </c>
    </row>
    <row r="1819" ht="15.75" customHeight="1">
      <c r="A1819" s="133">
        <f>IFERROR(__xludf.DUMMYFUNCTION("""COMPUTED_VALUE"""),20043.0)</f>
        <v>20043</v>
      </c>
      <c r="B1819" s="164">
        <f>IFERROR(__xludf.DUMMYFUNCTION("""COMPUTED_VALUE"""),9866912.0)</f>
        <v>9866912</v>
      </c>
      <c r="C1819" s="164" t="str">
        <f>IFERROR(__xludf.DUMMYFUNCTION("""COMPUTED_VALUE"""),"9866912L")</f>
        <v>9866912L</v>
      </c>
      <c r="D1819" s="133" t="str">
        <f>IFERROR(__xludf.DUMMYFUNCTION("""COMPUTED_VALUE"""),"Мужской свитер с оленями")</f>
        <v>Мужской свитер с оленями</v>
      </c>
      <c r="E1819" s="133" t="str">
        <f>IFERROR(__xludf.DUMMYFUNCTION("""COMPUTED_VALUE"""),"L")</f>
        <v>L</v>
      </c>
      <c r="F1819" s="133" t="str">
        <f>IFERROR(__xludf.DUMMYFUNCTION("""COMPUTED_VALUE"""),"20043L")</f>
        <v>20043L</v>
      </c>
      <c r="G1819" s="165">
        <f>IFERROR(__xludf.DUMMYFUNCTION("""COMPUTED_VALUE"""),1236.0)</f>
        <v>1236</v>
      </c>
    </row>
    <row r="1820" ht="15.75" customHeight="1">
      <c r="A1820" s="133">
        <f>IFERROR(__xludf.DUMMYFUNCTION("""COMPUTED_VALUE"""),20043.0)</f>
        <v>20043</v>
      </c>
      <c r="B1820" s="164">
        <f>IFERROR(__xludf.DUMMYFUNCTION("""COMPUTED_VALUE"""),9866912.0)</f>
        <v>9866912</v>
      </c>
      <c r="C1820" s="164" t="str">
        <f>IFERROR(__xludf.DUMMYFUNCTION("""COMPUTED_VALUE"""),"9866912XL")</f>
        <v>9866912XL</v>
      </c>
      <c r="D1820" s="133" t="str">
        <f>IFERROR(__xludf.DUMMYFUNCTION("""COMPUTED_VALUE"""),"Мужской свитер с оленями")</f>
        <v>Мужской свитер с оленями</v>
      </c>
      <c r="E1820" s="133" t="str">
        <f>IFERROR(__xludf.DUMMYFUNCTION("""COMPUTED_VALUE"""),"XL")</f>
        <v>XL</v>
      </c>
      <c r="F1820" s="133" t="str">
        <f>IFERROR(__xludf.DUMMYFUNCTION("""COMPUTED_VALUE"""),"20043XL")</f>
        <v>20043XL</v>
      </c>
      <c r="G1820" s="165">
        <f>IFERROR(__xludf.DUMMYFUNCTION("""COMPUTED_VALUE"""),1236.0)</f>
        <v>1236</v>
      </c>
    </row>
    <row r="1821" ht="15.75" customHeight="1">
      <c r="A1821" s="133">
        <f>IFERROR(__xludf.DUMMYFUNCTION("""COMPUTED_VALUE"""),20043.0)</f>
        <v>20043</v>
      </c>
      <c r="B1821" s="164">
        <f>IFERROR(__xludf.DUMMYFUNCTION("""COMPUTED_VALUE"""),9866912.0)</f>
        <v>9866912</v>
      </c>
      <c r="C1821" s="164" t="str">
        <f>IFERROR(__xludf.DUMMYFUNCTION("""COMPUTED_VALUE"""),"9866912XXL")</f>
        <v>9866912XXL</v>
      </c>
      <c r="D1821" s="133" t="str">
        <f>IFERROR(__xludf.DUMMYFUNCTION("""COMPUTED_VALUE"""),"Мужской свитер с оленями")</f>
        <v>Мужской свитер с оленями</v>
      </c>
      <c r="E1821" s="133" t="str">
        <f>IFERROR(__xludf.DUMMYFUNCTION("""COMPUTED_VALUE"""),"XXL")</f>
        <v>XXL</v>
      </c>
      <c r="F1821" s="133" t="str">
        <f>IFERROR(__xludf.DUMMYFUNCTION("""COMPUTED_VALUE"""),"20043XXL")</f>
        <v>20043XXL</v>
      </c>
      <c r="G1821" s="165">
        <f>IFERROR(__xludf.DUMMYFUNCTION("""COMPUTED_VALUE"""),1236.0)</f>
        <v>1236</v>
      </c>
    </row>
    <row r="1822" ht="15.75" customHeight="1">
      <c r="A1822" s="133">
        <f>IFERROR(__xludf.DUMMYFUNCTION("""COMPUTED_VALUE"""),20043.0)</f>
        <v>20043</v>
      </c>
      <c r="B1822" s="164">
        <f>IFERROR(__xludf.DUMMYFUNCTION("""COMPUTED_VALUE"""),9866912.0)</f>
        <v>9866912</v>
      </c>
      <c r="C1822" s="164" t="str">
        <f>IFERROR(__xludf.DUMMYFUNCTION("""COMPUTED_VALUE"""),"9866912XXXL")</f>
        <v>9866912XXXL</v>
      </c>
      <c r="D1822" s="133" t="str">
        <f>IFERROR(__xludf.DUMMYFUNCTION("""COMPUTED_VALUE"""),"Мужской свитер с оленями")</f>
        <v>Мужской свитер с оленями</v>
      </c>
      <c r="E1822" s="133" t="str">
        <f>IFERROR(__xludf.DUMMYFUNCTION("""COMPUTED_VALUE"""),"XXXL")</f>
        <v>XXXL</v>
      </c>
      <c r="F1822" s="133" t="str">
        <f>IFERROR(__xludf.DUMMYFUNCTION("""COMPUTED_VALUE"""),"20043XXXL")</f>
        <v>20043XXXL</v>
      </c>
      <c r="G1822" s="165">
        <f>IFERROR(__xludf.DUMMYFUNCTION("""COMPUTED_VALUE"""),1236.0)</f>
        <v>1236</v>
      </c>
    </row>
    <row r="1823" ht="15.75" customHeight="1">
      <c r="A1823" s="133">
        <f>IFERROR(__xludf.DUMMYFUNCTION("""COMPUTED_VALUE"""),20044.0)</f>
        <v>20044</v>
      </c>
      <c r="B1823" s="164">
        <f>IFERROR(__xludf.DUMMYFUNCTION("""COMPUTED_VALUE"""),1.0041483E7)</f>
        <v>10041483</v>
      </c>
      <c r="C1823" s="164" t="str">
        <f>IFERROR(__xludf.DUMMYFUNCTION("""COMPUTED_VALUE"""),"10041483S")</f>
        <v>10041483S</v>
      </c>
      <c r="D1823" s="133" t="str">
        <f>IFERROR(__xludf.DUMMYFUNCTION("""COMPUTED_VALUE"""),"Мужской свитер с оленями")</f>
        <v>Мужской свитер с оленями</v>
      </c>
      <c r="E1823" s="133" t="str">
        <f>IFERROR(__xludf.DUMMYFUNCTION("""COMPUTED_VALUE"""),"S")</f>
        <v>S</v>
      </c>
      <c r="F1823" s="133" t="str">
        <f>IFERROR(__xludf.DUMMYFUNCTION("""COMPUTED_VALUE"""),"20044S")</f>
        <v>20044S</v>
      </c>
      <c r="G1823" s="165">
        <f>IFERROR(__xludf.DUMMYFUNCTION("""COMPUTED_VALUE"""),1236.0)</f>
        <v>1236</v>
      </c>
    </row>
    <row r="1824" ht="15.75" customHeight="1">
      <c r="A1824" s="133">
        <f>IFERROR(__xludf.DUMMYFUNCTION("""COMPUTED_VALUE"""),20044.0)</f>
        <v>20044</v>
      </c>
      <c r="B1824" s="164">
        <f>IFERROR(__xludf.DUMMYFUNCTION("""COMPUTED_VALUE"""),1.0041483E7)</f>
        <v>10041483</v>
      </c>
      <c r="C1824" s="164" t="str">
        <f>IFERROR(__xludf.DUMMYFUNCTION("""COMPUTED_VALUE"""),"10041483M")</f>
        <v>10041483M</v>
      </c>
      <c r="D1824" s="133" t="str">
        <f>IFERROR(__xludf.DUMMYFUNCTION("""COMPUTED_VALUE"""),"Мужской свитер с оленями")</f>
        <v>Мужской свитер с оленями</v>
      </c>
      <c r="E1824" s="133" t="str">
        <f>IFERROR(__xludf.DUMMYFUNCTION("""COMPUTED_VALUE"""),"M")</f>
        <v>M</v>
      </c>
      <c r="F1824" s="133" t="str">
        <f>IFERROR(__xludf.DUMMYFUNCTION("""COMPUTED_VALUE"""),"20044M")</f>
        <v>20044M</v>
      </c>
      <c r="G1824" s="165">
        <f>IFERROR(__xludf.DUMMYFUNCTION("""COMPUTED_VALUE"""),1236.0)</f>
        <v>1236</v>
      </c>
    </row>
    <row r="1825" ht="15.75" customHeight="1">
      <c r="A1825" s="133">
        <f>IFERROR(__xludf.DUMMYFUNCTION("""COMPUTED_VALUE"""),20044.0)</f>
        <v>20044</v>
      </c>
      <c r="B1825" s="164">
        <f>IFERROR(__xludf.DUMMYFUNCTION("""COMPUTED_VALUE"""),1.0041483E7)</f>
        <v>10041483</v>
      </c>
      <c r="C1825" s="164" t="str">
        <f>IFERROR(__xludf.DUMMYFUNCTION("""COMPUTED_VALUE"""),"10041483L")</f>
        <v>10041483L</v>
      </c>
      <c r="D1825" s="133" t="str">
        <f>IFERROR(__xludf.DUMMYFUNCTION("""COMPUTED_VALUE"""),"Мужской свитер с оленями")</f>
        <v>Мужской свитер с оленями</v>
      </c>
      <c r="E1825" s="133" t="str">
        <f>IFERROR(__xludf.DUMMYFUNCTION("""COMPUTED_VALUE"""),"L")</f>
        <v>L</v>
      </c>
      <c r="F1825" s="133" t="str">
        <f>IFERROR(__xludf.DUMMYFUNCTION("""COMPUTED_VALUE"""),"20044L")</f>
        <v>20044L</v>
      </c>
      <c r="G1825" s="165">
        <f>IFERROR(__xludf.DUMMYFUNCTION("""COMPUTED_VALUE"""),1236.0)</f>
        <v>1236</v>
      </c>
    </row>
    <row r="1826" ht="15.75" customHeight="1">
      <c r="A1826" s="133">
        <f>IFERROR(__xludf.DUMMYFUNCTION("""COMPUTED_VALUE"""),20044.0)</f>
        <v>20044</v>
      </c>
      <c r="B1826" s="164">
        <f>IFERROR(__xludf.DUMMYFUNCTION("""COMPUTED_VALUE"""),1.0041483E7)</f>
        <v>10041483</v>
      </c>
      <c r="C1826" s="164" t="str">
        <f>IFERROR(__xludf.DUMMYFUNCTION("""COMPUTED_VALUE"""),"10041483XL")</f>
        <v>10041483XL</v>
      </c>
      <c r="D1826" s="133" t="str">
        <f>IFERROR(__xludf.DUMMYFUNCTION("""COMPUTED_VALUE"""),"Мужской свитер с оленями")</f>
        <v>Мужской свитер с оленями</v>
      </c>
      <c r="E1826" s="133" t="str">
        <f>IFERROR(__xludf.DUMMYFUNCTION("""COMPUTED_VALUE"""),"XL")</f>
        <v>XL</v>
      </c>
      <c r="F1826" s="133" t="str">
        <f>IFERROR(__xludf.DUMMYFUNCTION("""COMPUTED_VALUE"""),"20044XL")</f>
        <v>20044XL</v>
      </c>
      <c r="G1826" s="165">
        <f>IFERROR(__xludf.DUMMYFUNCTION("""COMPUTED_VALUE"""),1236.0)</f>
        <v>1236</v>
      </c>
    </row>
    <row r="1827" ht="15.75" customHeight="1">
      <c r="A1827" s="133">
        <f>IFERROR(__xludf.DUMMYFUNCTION("""COMPUTED_VALUE"""),20044.0)</f>
        <v>20044</v>
      </c>
      <c r="B1827" s="164">
        <f>IFERROR(__xludf.DUMMYFUNCTION("""COMPUTED_VALUE"""),1.0041483E7)</f>
        <v>10041483</v>
      </c>
      <c r="C1827" s="164" t="str">
        <f>IFERROR(__xludf.DUMMYFUNCTION("""COMPUTED_VALUE"""),"10041483XXL")</f>
        <v>10041483XXL</v>
      </c>
      <c r="D1827" s="133" t="str">
        <f>IFERROR(__xludf.DUMMYFUNCTION("""COMPUTED_VALUE"""),"Мужской свитер с оленями")</f>
        <v>Мужской свитер с оленями</v>
      </c>
      <c r="E1827" s="133" t="str">
        <f>IFERROR(__xludf.DUMMYFUNCTION("""COMPUTED_VALUE"""),"XXL")</f>
        <v>XXL</v>
      </c>
      <c r="F1827" s="133" t="str">
        <f>IFERROR(__xludf.DUMMYFUNCTION("""COMPUTED_VALUE"""),"20044XXL")</f>
        <v>20044XXL</v>
      </c>
      <c r="G1827" s="165">
        <f>IFERROR(__xludf.DUMMYFUNCTION("""COMPUTED_VALUE"""),1236.0)</f>
        <v>1236</v>
      </c>
    </row>
    <row r="1828" ht="15.75" customHeight="1">
      <c r="A1828" s="133">
        <f>IFERROR(__xludf.DUMMYFUNCTION("""COMPUTED_VALUE"""),20044.0)</f>
        <v>20044</v>
      </c>
      <c r="B1828" s="164">
        <f>IFERROR(__xludf.DUMMYFUNCTION("""COMPUTED_VALUE"""),1.0041483E7)</f>
        <v>10041483</v>
      </c>
      <c r="C1828" s="164" t="str">
        <f>IFERROR(__xludf.DUMMYFUNCTION("""COMPUTED_VALUE"""),"10041483XXXL")</f>
        <v>10041483XXXL</v>
      </c>
      <c r="D1828" s="133" t="str">
        <f>IFERROR(__xludf.DUMMYFUNCTION("""COMPUTED_VALUE"""),"Мужской свитер с оленями")</f>
        <v>Мужской свитер с оленями</v>
      </c>
      <c r="E1828" s="133" t="str">
        <f>IFERROR(__xludf.DUMMYFUNCTION("""COMPUTED_VALUE"""),"XXXL")</f>
        <v>XXXL</v>
      </c>
      <c r="F1828" s="133" t="str">
        <f>IFERROR(__xludf.DUMMYFUNCTION("""COMPUTED_VALUE"""),"20044XXXL")</f>
        <v>20044XXXL</v>
      </c>
      <c r="G1828" s="165">
        <f>IFERROR(__xludf.DUMMYFUNCTION("""COMPUTED_VALUE"""),1236.0)</f>
        <v>1236</v>
      </c>
    </row>
    <row r="1829" ht="15.75" customHeight="1">
      <c r="A1829" s="133">
        <f>IFERROR(__xludf.DUMMYFUNCTION("""COMPUTED_VALUE"""),73001.0)</f>
        <v>73001</v>
      </c>
      <c r="B1829" s="164">
        <f>IFERROR(__xludf.DUMMYFUNCTION("""COMPUTED_VALUE"""),8953892.0)</f>
        <v>8953892</v>
      </c>
      <c r="C1829" s="164" t="str">
        <f>IFERROR(__xludf.DUMMYFUNCTION("""COMPUTED_VALUE"""),"895389254-58")</f>
        <v>895389254-58</v>
      </c>
      <c r="D1829" s="133" t="str">
        <f>IFERROR(__xludf.DUMMYFUNCTION("""COMPUTED_VALUE"""),"Комплект Шапка/шарф")</f>
        <v>Комплект Шапка/шарф</v>
      </c>
      <c r="E1829" s="133" t="str">
        <f>IFERROR(__xludf.DUMMYFUNCTION("""COMPUTED_VALUE"""),"54-58")</f>
        <v>54-58</v>
      </c>
      <c r="F1829" s="133" t="str">
        <f>IFERROR(__xludf.DUMMYFUNCTION("""COMPUTED_VALUE"""),"7300154-58")</f>
        <v>7300154-58</v>
      </c>
      <c r="G1829" s="165">
        <f>IFERROR(__xludf.DUMMYFUNCTION("""COMPUTED_VALUE"""),694.0)</f>
        <v>694</v>
      </c>
    </row>
    <row r="1830" ht="15.75" customHeight="1">
      <c r="A1830" s="133">
        <f>IFERROR(__xludf.DUMMYFUNCTION("""COMPUTED_VALUE"""),73005.0)</f>
        <v>73005</v>
      </c>
      <c r="B1830" s="164">
        <f>IFERROR(__xludf.DUMMYFUNCTION("""COMPUTED_VALUE"""),8953893.0)</f>
        <v>8953893</v>
      </c>
      <c r="C1830" s="164" t="str">
        <f>IFERROR(__xludf.DUMMYFUNCTION("""COMPUTED_VALUE"""),"895389354-58")</f>
        <v>895389354-58</v>
      </c>
      <c r="D1830" s="133" t="str">
        <f>IFERROR(__xludf.DUMMYFUNCTION("""COMPUTED_VALUE"""),"Комплект Шапка/шарф")</f>
        <v>Комплект Шапка/шарф</v>
      </c>
      <c r="E1830" s="133" t="str">
        <f>IFERROR(__xludf.DUMMYFUNCTION("""COMPUTED_VALUE"""),"54-58")</f>
        <v>54-58</v>
      </c>
      <c r="F1830" s="133" t="str">
        <f>IFERROR(__xludf.DUMMYFUNCTION("""COMPUTED_VALUE"""),"7300554-58")</f>
        <v>7300554-58</v>
      </c>
      <c r="G1830" s="165">
        <f>IFERROR(__xludf.DUMMYFUNCTION("""COMPUTED_VALUE"""),694.0)</f>
        <v>694</v>
      </c>
    </row>
    <row r="1831" ht="15.75" customHeight="1">
      <c r="A1831" s="133">
        <f>IFERROR(__xludf.DUMMYFUNCTION("""COMPUTED_VALUE"""),73010.0)</f>
        <v>73010</v>
      </c>
      <c r="B1831" s="164">
        <f>IFERROR(__xludf.DUMMYFUNCTION("""COMPUTED_VALUE"""),8953894.0)</f>
        <v>8953894</v>
      </c>
      <c r="C1831" s="164" t="str">
        <f>IFERROR(__xludf.DUMMYFUNCTION("""COMPUTED_VALUE"""),"895389454-58")</f>
        <v>895389454-58</v>
      </c>
      <c r="D1831" s="133" t="str">
        <f>IFERROR(__xludf.DUMMYFUNCTION("""COMPUTED_VALUE"""),"Комплект Шапка/шарф")</f>
        <v>Комплект Шапка/шарф</v>
      </c>
      <c r="E1831" s="133" t="str">
        <f>IFERROR(__xludf.DUMMYFUNCTION("""COMPUTED_VALUE"""),"54-58")</f>
        <v>54-58</v>
      </c>
      <c r="F1831" s="133" t="str">
        <f>IFERROR(__xludf.DUMMYFUNCTION("""COMPUTED_VALUE"""),"7301054-58")</f>
        <v>7301054-58</v>
      </c>
      <c r="G1831" s="165">
        <f>IFERROR(__xludf.DUMMYFUNCTION("""COMPUTED_VALUE"""),694.0)</f>
        <v>694</v>
      </c>
    </row>
    <row r="1832" ht="15.75" customHeight="1">
      <c r="A1832" s="133">
        <f>IFERROR(__xludf.DUMMYFUNCTION("""COMPUTED_VALUE"""),73011.0)</f>
        <v>73011</v>
      </c>
      <c r="B1832" s="164">
        <f>IFERROR(__xludf.DUMMYFUNCTION("""COMPUTED_VALUE"""),9087355.0)</f>
        <v>9087355</v>
      </c>
      <c r="C1832" s="164" t="str">
        <f>IFERROR(__xludf.DUMMYFUNCTION("""COMPUTED_VALUE"""),"908735554-58")</f>
        <v>908735554-58</v>
      </c>
      <c r="D1832" s="133" t="str">
        <f>IFERROR(__xludf.DUMMYFUNCTION("""COMPUTED_VALUE"""),"Комплект Шапка/шарф")</f>
        <v>Комплект Шапка/шарф</v>
      </c>
      <c r="E1832" s="133" t="str">
        <f>IFERROR(__xludf.DUMMYFUNCTION("""COMPUTED_VALUE"""),"54-58")</f>
        <v>54-58</v>
      </c>
      <c r="F1832" s="133" t="str">
        <f>IFERROR(__xludf.DUMMYFUNCTION("""COMPUTED_VALUE"""),"7301154-58")</f>
        <v>7301154-58</v>
      </c>
      <c r="G1832" s="165">
        <f>IFERROR(__xludf.DUMMYFUNCTION("""COMPUTED_VALUE"""),694.0)</f>
        <v>694</v>
      </c>
    </row>
    <row r="1833" ht="15.75" customHeight="1">
      <c r="A1833" s="133">
        <f>IFERROR(__xludf.DUMMYFUNCTION("""COMPUTED_VALUE"""),73012.0)</f>
        <v>73012</v>
      </c>
      <c r="B1833" s="164">
        <f>IFERROR(__xludf.DUMMYFUNCTION("""COMPUTED_VALUE"""),1.0285938E7)</f>
        <v>10285938</v>
      </c>
      <c r="C1833" s="164" t="str">
        <f>IFERROR(__xludf.DUMMYFUNCTION("""COMPUTED_VALUE"""),"1028593854-58")</f>
        <v>1028593854-58</v>
      </c>
      <c r="D1833" s="133" t="str">
        <f>IFERROR(__xludf.DUMMYFUNCTION("""COMPUTED_VALUE"""),"Комплект Шапка/шарф")</f>
        <v>Комплект Шапка/шарф</v>
      </c>
      <c r="E1833" s="133" t="str">
        <f>IFERROR(__xludf.DUMMYFUNCTION("""COMPUTED_VALUE"""),"54-58")</f>
        <v>54-58</v>
      </c>
      <c r="F1833" s="133" t="str">
        <f>IFERROR(__xludf.DUMMYFUNCTION("""COMPUTED_VALUE"""),"7301254-58")</f>
        <v>7301254-58</v>
      </c>
      <c r="G1833" s="165">
        <f>IFERROR(__xludf.DUMMYFUNCTION("""COMPUTED_VALUE"""),694.0)</f>
        <v>694</v>
      </c>
    </row>
    <row r="1834" ht="15.75" customHeight="1">
      <c r="A1834" s="133">
        <f>IFERROR(__xludf.DUMMYFUNCTION("""COMPUTED_VALUE"""),73013.0)</f>
        <v>73013</v>
      </c>
      <c r="B1834" s="164">
        <f>IFERROR(__xludf.DUMMYFUNCTION("""COMPUTED_VALUE"""),1.0285939E7)</f>
        <v>10285939</v>
      </c>
      <c r="C1834" s="164" t="str">
        <f>IFERROR(__xludf.DUMMYFUNCTION("""COMPUTED_VALUE"""),"1028593954-58")</f>
        <v>1028593954-58</v>
      </c>
      <c r="D1834" s="133" t="str">
        <f>IFERROR(__xludf.DUMMYFUNCTION("""COMPUTED_VALUE"""),"Комплект Шапка/шарф")</f>
        <v>Комплект Шапка/шарф</v>
      </c>
      <c r="E1834" s="133" t="str">
        <f>IFERROR(__xludf.DUMMYFUNCTION("""COMPUTED_VALUE"""),"54-58")</f>
        <v>54-58</v>
      </c>
      <c r="F1834" s="133" t="str">
        <f>IFERROR(__xludf.DUMMYFUNCTION("""COMPUTED_VALUE"""),"7301354-58")</f>
        <v>7301354-58</v>
      </c>
      <c r="G1834" s="165">
        <f>IFERROR(__xludf.DUMMYFUNCTION("""COMPUTED_VALUE"""),694.0)</f>
        <v>694</v>
      </c>
    </row>
    <row r="1835" ht="15.75" customHeight="1">
      <c r="A1835" s="133">
        <f>IFERROR(__xludf.DUMMYFUNCTION("""COMPUTED_VALUE"""),80001.0)</f>
        <v>80001</v>
      </c>
      <c r="B1835" s="164">
        <f>IFERROR(__xludf.DUMMYFUNCTION("""COMPUTED_VALUE"""),8953895.0)</f>
        <v>8953895</v>
      </c>
      <c r="C1835" s="164" t="str">
        <f>IFERROR(__xludf.DUMMYFUNCTION("""COMPUTED_VALUE"""),"89538950")</f>
        <v>89538950</v>
      </c>
      <c r="D1835" s="133" t="str">
        <f>IFERROR(__xludf.DUMMYFUNCTION("""COMPUTED_VALUE"""),"Шарф с оленями")</f>
        <v>Шарф с оленями</v>
      </c>
      <c r="E1835" s="133">
        <f>IFERROR(__xludf.DUMMYFUNCTION("""COMPUTED_VALUE"""),0.0)</f>
        <v>0</v>
      </c>
      <c r="F1835" s="133">
        <f>IFERROR(__xludf.DUMMYFUNCTION("""COMPUTED_VALUE"""),800010.0)</f>
        <v>800010</v>
      </c>
      <c r="G1835" s="165">
        <f>IFERROR(__xludf.DUMMYFUNCTION("""COMPUTED_VALUE"""),443.0)</f>
        <v>443</v>
      </c>
    </row>
    <row r="1836" ht="15.75" customHeight="1">
      <c r="A1836" s="133">
        <f>IFERROR(__xludf.DUMMYFUNCTION("""COMPUTED_VALUE"""),80002.0)</f>
        <v>80002</v>
      </c>
      <c r="B1836" s="164">
        <f>IFERROR(__xludf.DUMMYFUNCTION("""COMPUTED_VALUE"""),8953896.0)</f>
        <v>8953896</v>
      </c>
      <c r="C1836" s="164" t="str">
        <f>IFERROR(__xludf.DUMMYFUNCTION("""COMPUTED_VALUE"""),"89538960")</f>
        <v>89538960</v>
      </c>
      <c r="D1836" s="133" t="str">
        <f>IFERROR(__xludf.DUMMYFUNCTION("""COMPUTED_VALUE"""),"Шарф с оленями")</f>
        <v>Шарф с оленями</v>
      </c>
      <c r="E1836" s="133">
        <f>IFERROR(__xludf.DUMMYFUNCTION("""COMPUTED_VALUE"""),0.0)</f>
        <v>0</v>
      </c>
      <c r="F1836" s="133">
        <f>IFERROR(__xludf.DUMMYFUNCTION("""COMPUTED_VALUE"""),800020.0)</f>
        <v>800020</v>
      </c>
      <c r="G1836" s="165">
        <f>IFERROR(__xludf.DUMMYFUNCTION("""COMPUTED_VALUE"""),443.0)</f>
        <v>443</v>
      </c>
    </row>
    <row r="1837" ht="15.75" customHeight="1">
      <c r="A1837" s="133">
        <f>IFERROR(__xludf.DUMMYFUNCTION("""COMPUTED_VALUE"""),80005.0)</f>
        <v>80005</v>
      </c>
      <c r="B1837" s="164">
        <f>IFERROR(__xludf.DUMMYFUNCTION("""COMPUTED_VALUE"""),8953897.0)</f>
        <v>8953897</v>
      </c>
      <c r="C1837" s="164" t="str">
        <f>IFERROR(__xludf.DUMMYFUNCTION("""COMPUTED_VALUE"""),"89538970")</f>
        <v>89538970</v>
      </c>
      <c r="D1837" s="133" t="str">
        <f>IFERROR(__xludf.DUMMYFUNCTION("""COMPUTED_VALUE"""),"Шарф с оленями")</f>
        <v>Шарф с оленями</v>
      </c>
      <c r="E1837" s="133">
        <f>IFERROR(__xludf.DUMMYFUNCTION("""COMPUTED_VALUE"""),0.0)</f>
        <v>0</v>
      </c>
      <c r="F1837" s="133">
        <f>IFERROR(__xludf.DUMMYFUNCTION("""COMPUTED_VALUE"""),800050.0)</f>
        <v>800050</v>
      </c>
      <c r="G1837" s="165">
        <f>IFERROR(__xludf.DUMMYFUNCTION("""COMPUTED_VALUE"""),443.0)</f>
        <v>443</v>
      </c>
    </row>
    <row r="1838" ht="15.75" customHeight="1">
      <c r="A1838" s="133">
        <f>IFERROR(__xludf.DUMMYFUNCTION("""COMPUTED_VALUE"""),80006.0)</f>
        <v>80006</v>
      </c>
      <c r="B1838" s="164">
        <f>IFERROR(__xludf.DUMMYFUNCTION("""COMPUTED_VALUE"""),8953898.0)</f>
        <v>8953898</v>
      </c>
      <c r="C1838" s="164" t="str">
        <f>IFERROR(__xludf.DUMMYFUNCTION("""COMPUTED_VALUE"""),"89538980")</f>
        <v>89538980</v>
      </c>
      <c r="D1838" s="133" t="str">
        <f>IFERROR(__xludf.DUMMYFUNCTION("""COMPUTED_VALUE"""),"Шарф со скандинавскими снежинками")</f>
        <v>Шарф со скандинавскими снежинками</v>
      </c>
      <c r="E1838" s="133">
        <f>IFERROR(__xludf.DUMMYFUNCTION("""COMPUTED_VALUE"""),0.0)</f>
        <v>0</v>
      </c>
      <c r="F1838" s="133">
        <f>IFERROR(__xludf.DUMMYFUNCTION("""COMPUTED_VALUE"""),800060.0)</f>
        <v>800060</v>
      </c>
      <c r="G1838" s="165">
        <f>IFERROR(__xludf.DUMMYFUNCTION("""COMPUTED_VALUE"""),443.0)</f>
        <v>443</v>
      </c>
    </row>
    <row r="1839" ht="15.75" customHeight="1">
      <c r="A1839" s="133">
        <f>IFERROR(__xludf.DUMMYFUNCTION("""COMPUTED_VALUE"""),80007.0)</f>
        <v>80007</v>
      </c>
      <c r="B1839" s="164">
        <f>IFERROR(__xludf.DUMMYFUNCTION("""COMPUTED_VALUE"""),8953899.0)</f>
        <v>8953899</v>
      </c>
      <c r="C1839" s="164" t="str">
        <f>IFERROR(__xludf.DUMMYFUNCTION("""COMPUTED_VALUE"""),"89538990")</f>
        <v>89538990</v>
      </c>
      <c r="D1839" s="133" t="str">
        <f>IFERROR(__xludf.DUMMYFUNCTION("""COMPUTED_VALUE"""),"Шарф со скандинавскими снежинками")</f>
        <v>Шарф со скандинавскими снежинками</v>
      </c>
      <c r="E1839" s="133">
        <f>IFERROR(__xludf.DUMMYFUNCTION("""COMPUTED_VALUE"""),0.0)</f>
        <v>0</v>
      </c>
      <c r="F1839" s="133">
        <f>IFERROR(__xludf.DUMMYFUNCTION("""COMPUTED_VALUE"""),800070.0)</f>
        <v>800070</v>
      </c>
      <c r="G1839" s="165">
        <f>IFERROR(__xludf.DUMMYFUNCTION("""COMPUTED_VALUE"""),443.0)</f>
        <v>443</v>
      </c>
    </row>
    <row r="1840" ht="15.75" customHeight="1">
      <c r="A1840" s="133">
        <f>IFERROR(__xludf.DUMMYFUNCTION("""COMPUTED_VALUE"""),80008.0)</f>
        <v>80008</v>
      </c>
      <c r="B1840" s="164">
        <f>IFERROR(__xludf.DUMMYFUNCTION("""COMPUTED_VALUE"""),1.5840105E7)</f>
        <v>15840105</v>
      </c>
      <c r="C1840" s="164" t="str">
        <f>IFERROR(__xludf.DUMMYFUNCTION("""COMPUTED_VALUE"""),"158401050")</f>
        <v>158401050</v>
      </c>
      <c r="D1840" s="133" t="str">
        <f>IFERROR(__xludf.DUMMYFUNCTION("""COMPUTED_VALUE"""),"Шарф со скандинавскими снежинками")</f>
        <v>Шарф со скандинавскими снежинками</v>
      </c>
      <c r="E1840" s="133">
        <f>IFERROR(__xludf.DUMMYFUNCTION("""COMPUTED_VALUE"""),0.0)</f>
        <v>0</v>
      </c>
      <c r="F1840" s="133">
        <f>IFERROR(__xludf.DUMMYFUNCTION("""COMPUTED_VALUE"""),800080.0)</f>
        <v>800080</v>
      </c>
      <c r="G1840" s="165">
        <f>IFERROR(__xludf.DUMMYFUNCTION("""COMPUTED_VALUE"""),443.0)</f>
        <v>443</v>
      </c>
    </row>
    <row r="1841" ht="15.75" customHeight="1">
      <c r="A1841" s="133">
        <f>IFERROR(__xludf.DUMMYFUNCTION("""COMPUTED_VALUE"""),80010.0)</f>
        <v>80010</v>
      </c>
      <c r="B1841" s="164">
        <f>IFERROR(__xludf.DUMMYFUNCTION("""COMPUTED_VALUE"""),8953900.0)</f>
        <v>8953900</v>
      </c>
      <c r="C1841" s="164" t="str">
        <f>IFERROR(__xludf.DUMMYFUNCTION("""COMPUTED_VALUE"""),"89539000")</f>
        <v>89539000</v>
      </c>
      <c r="D1841" s="133" t="str">
        <f>IFERROR(__xludf.DUMMYFUNCTION("""COMPUTED_VALUE"""),"Шарф со скандинавскими снежинками")</f>
        <v>Шарф со скандинавскими снежинками</v>
      </c>
      <c r="E1841" s="133">
        <f>IFERROR(__xludf.DUMMYFUNCTION("""COMPUTED_VALUE"""),0.0)</f>
        <v>0</v>
      </c>
      <c r="F1841" s="133">
        <f>IFERROR(__xludf.DUMMYFUNCTION("""COMPUTED_VALUE"""),800100.0)</f>
        <v>800100</v>
      </c>
      <c r="G1841" s="165">
        <f>IFERROR(__xludf.DUMMYFUNCTION("""COMPUTED_VALUE"""),443.0)</f>
        <v>443</v>
      </c>
    </row>
    <row r="1842" ht="15.75" customHeight="1">
      <c r="A1842" s="133">
        <f>IFERROR(__xludf.DUMMYFUNCTION("""COMPUTED_VALUE"""),90001.0)</f>
        <v>90001</v>
      </c>
      <c r="B1842" s="164">
        <f>IFERROR(__xludf.DUMMYFUNCTION("""COMPUTED_VALUE"""),8953901.0)</f>
        <v>8953901</v>
      </c>
      <c r="C1842" s="164" t="str">
        <f>IFERROR(__xludf.DUMMYFUNCTION("""COMPUTED_VALUE"""),"895390152-56")</f>
        <v>895390152-56</v>
      </c>
      <c r="D1842" s="133" t="str">
        <f>IFERROR(__xludf.DUMMYFUNCTION("""COMPUTED_VALUE"""),"Шапка с оленями")</f>
        <v>Шапка с оленями</v>
      </c>
      <c r="E1842" s="133" t="str">
        <f>IFERROR(__xludf.DUMMYFUNCTION("""COMPUTED_VALUE"""),"52-56")</f>
        <v>52-56</v>
      </c>
      <c r="F1842" s="133" t="str">
        <f>IFERROR(__xludf.DUMMYFUNCTION("""COMPUTED_VALUE"""),"9000152-56")</f>
        <v>9000152-56</v>
      </c>
      <c r="G1842" s="165">
        <f>IFERROR(__xludf.DUMMYFUNCTION("""COMPUTED_VALUE"""),251.0)</f>
        <v>251</v>
      </c>
    </row>
    <row r="1843" ht="15.75" customHeight="1">
      <c r="A1843" s="133">
        <f>IFERROR(__xludf.DUMMYFUNCTION("""COMPUTED_VALUE"""),90002.0)</f>
        <v>90002</v>
      </c>
      <c r="B1843" s="164">
        <f>IFERROR(__xludf.DUMMYFUNCTION("""COMPUTED_VALUE"""),1.5861089E7)</f>
        <v>15861089</v>
      </c>
      <c r="C1843" s="164" t="str">
        <f>IFERROR(__xludf.DUMMYFUNCTION("""COMPUTED_VALUE"""),"1586108952-56")</f>
        <v>1586108952-56</v>
      </c>
      <c r="D1843" s="133" t="str">
        <f>IFERROR(__xludf.DUMMYFUNCTION("""COMPUTED_VALUE"""),"Шапка с оленями")</f>
        <v>Шапка с оленями</v>
      </c>
      <c r="E1843" s="133" t="str">
        <f>IFERROR(__xludf.DUMMYFUNCTION("""COMPUTED_VALUE"""),"52-56")</f>
        <v>52-56</v>
      </c>
      <c r="F1843" s="133" t="str">
        <f>IFERROR(__xludf.DUMMYFUNCTION("""COMPUTED_VALUE"""),"9000252-56")</f>
        <v>9000252-56</v>
      </c>
      <c r="G1843" s="165">
        <f>IFERROR(__xludf.DUMMYFUNCTION("""COMPUTED_VALUE"""),251.0)</f>
        <v>251</v>
      </c>
    </row>
    <row r="1844" ht="15.75" customHeight="1">
      <c r="A1844" s="133">
        <f>IFERROR(__xludf.DUMMYFUNCTION("""COMPUTED_VALUE"""),90005.0)</f>
        <v>90005</v>
      </c>
      <c r="B1844" s="164">
        <f>IFERROR(__xludf.DUMMYFUNCTION("""COMPUTED_VALUE"""),8953902.0)</f>
        <v>8953902</v>
      </c>
      <c r="C1844" s="164" t="str">
        <f>IFERROR(__xludf.DUMMYFUNCTION("""COMPUTED_VALUE"""),"895390252-56")</f>
        <v>895390252-56</v>
      </c>
      <c r="D1844" s="133" t="str">
        <f>IFERROR(__xludf.DUMMYFUNCTION("""COMPUTED_VALUE"""),"Шапка с оленями")</f>
        <v>Шапка с оленями</v>
      </c>
      <c r="E1844" s="133" t="str">
        <f>IFERROR(__xludf.DUMMYFUNCTION("""COMPUTED_VALUE"""),"52-56")</f>
        <v>52-56</v>
      </c>
      <c r="F1844" s="133" t="str">
        <f>IFERROR(__xludf.DUMMYFUNCTION("""COMPUTED_VALUE"""),"9000552-56")</f>
        <v>9000552-56</v>
      </c>
      <c r="G1844" s="165">
        <f>IFERROR(__xludf.DUMMYFUNCTION("""COMPUTED_VALUE"""),251.0)</f>
        <v>251</v>
      </c>
    </row>
    <row r="1845" ht="15.75" customHeight="1">
      <c r="A1845" s="133">
        <f>IFERROR(__xludf.DUMMYFUNCTION("""COMPUTED_VALUE"""),90006.0)</f>
        <v>90006</v>
      </c>
      <c r="B1845" s="164">
        <f>IFERROR(__xludf.DUMMYFUNCTION("""COMPUTED_VALUE"""),9087356.0)</f>
        <v>9087356</v>
      </c>
      <c r="C1845" s="164" t="str">
        <f>IFERROR(__xludf.DUMMYFUNCTION("""COMPUTED_VALUE"""),"908735652-56")</f>
        <v>908735652-56</v>
      </c>
      <c r="D1845" s="133" t="str">
        <f>IFERROR(__xludf.DUMMYFUNCTION("""COMPUTED_VALUE"""),"Шапка со скандинавскими снежинками")</f>
        <v>Шапка со скандинавскими снежинками</v>
      </c>
      <c r="E1845" s="133" t="str">
        <f>IFERROR(__xludf.DUMMYFUNCTION("""COMPUTED_VALUE"""),"52-56")</f>
        <v>52-56</v>
      </c>
      <c r="F1845" s="133" t="str">
        <f>IFERROR(__xludf.DUMMYFUNCTION("""COMPUTED_VALUE"""),"9000652-56")</f>
        <v>9000652-56</v>
      </c>
      <c r="G1845" s="165">
        <f>IFERROR(__xludf.DUMMYFUNCTION("""COMPUTED_VALUE"""),251.0)</f>
        <v>251</v>
      </c>
    </row>
    <row r="1846" ht="15.75" customHeight="1">
      <c r="A1846" s="133">
        <f>IFERROR(__xludf.DUMMYFUNCTION("""COMPUTED_VALUE"""),90007.0)</f>
        <v>90007</v>
      </c>
      <c r="B1846" s="164">
        <f>IFERROR(__xludf.DUMMYFUNCTION("""COMPUTED_VALUE"""),1.5841751E7)</f>
        <v>15841751</v>
      </c>
      <c r="C1846" s="164" t="str">
        <f>IFERROR(__xludf.DUMMYFUNCTION("""COMPUTED_VALUE"""),"1584175152-56")</f>
        <v>1584175152-56</v>
      </c>
      <c r="D1846" s="133" t="str">
        <f>IFERROR(__xludf.DUMMYFUNCTION("""COMPUTED_VALUE"""),"Шапка со скандинавскими снежинками")</f>
        <v>Шапка со скандинавскими снежинками</v>
      </c>
      <c r="E1846" s="133" t="str">
        <f>IFERROR(__xludf.DUMMYFUNCTION("""COMPUTED_VALUE"""),"52-56")</f>
        <v>52-56</v>
      </c>
      <c r="F1846" s="133" t="str">
        <f>IFERROR(__xludf.DUMMYFUNCTION("""COMPUTED_VALUE"""),"9000752-56")</f>
        <v>9000752-56</v>
      </c>
      <c r="G1846" s="165">
        <f>IFERROR(__xludf.DUMMYFUNCTION("""COMPUTED_VALUE"""),251.0)</f>
        <v>251</v>
      </c>
    </row>
    <row r="1847" ht="15.75" customHeight="1">
      <c r="A1847" s="133">
        <f>IFERROR(__xludf.DUMMYFUNCTION("""COMPUTED_VALUE"""),90009.0)</f>
        <v>90009</v>
      </c>
      <c r="B1847" s="164">
        <f>IFERROR(__xludf.DUMMYFUNCTION("""COMPUTED_VALUE"""),1.5841752E7)</f>
        <v>15841752</v>
      </c>
      <c r="C1847" s="164" t="str">
        <f>IFERROR(__xludf.DUMMYFUNCTION("""COMPUTED_VALUE"""),"1584175252-56")</f>
        <v>1584175252-56</v>
      </c>
      <c r="D1847" s="133" t="str">
        <f>IFERROR(__xludf.DUMMYFUNCTION("""COMPUTED_VALUE"""),"Шапка со скандинавскими снежинками")</f>
        <v>Шапка со скандинавскими снежинками</v>
      </c>
      <c r="E1847" s="133" t="str">
        <f>IFERROR(__xludf.DUMMYFUNCTION("""COMPUTED_VALUE"""),"52-56")</f>
        <v>52-56</v>
      </c>
      <c r="F1847" s="133" t="str">
        <f>IFERROR(__xludf.DUMMYFUNCTION("""COMPUTED_VALUE"""),"9000952-56")</f>
        <v>9000952-56</v>
      </c>
      <c r="G1847" s="165">
        <f>IFERROR(__xludf.DUMMYFUNCTION("""COMPUTED_VALUE"""),251.0)</f>
        <v>251</v>
      </c>
    </row>
    <row r="1848" ht="15.75" customHeight="1">
      <c r="A1848" s="133">
        <f>IFERROR(__xludf.DUMMYFUNCTION("""COMPUTED_VALUE"""),90010.0)</f>
        <v>90010</v>
      </c>
      <c r="B1848" s="164">
        <f>IFERROR(__xludf.DUMMYFUNCTION("""COMPUTED_VALUE"""),8953903.0)</f>
        <v>8953903</v>
      </c>
      <c r="C1848" s="164" t="str">
        <f>IFERROR(__xludf.DUMMYFUNCTION("""COMPUTED_VALUE"""),"895390352-56")</f>
        <v>895390352-56</v>
      </c>
      <c r="D1848" s="133" t="str">
        <f>IFERROR(__xludf.DUMMYFUNCTION("""COMPUTED_VALUE"""),"Шарф со скандинавскими снежинками")</f>
        <v>Шарф со скандинавскими снежинками</v>
      </c>
      <c r="E1848" s="133" t="str">
        <f>IFERROR(__xludf.DUMMYFUNCTION("""COMPUTED_VALUE"""),"52-56")</f>
        <v>52-56</v>
      </c>
      <c r="F1848" s="133" t="str">
        <f>IFERROR(__xludf.DUMMYFUNCTION("""COMPUTED_VALUE"""),"9001052-56")</f>
        <v>9001052-56</v>
      </c>
      <c r="G1848" s="165">
        <f>IFERROR(__xludf.DUMMYFUNCTION("""COMPUTED_VALUE"""),251.0)</f>
        <v>251</v>
      </c>
    </row>
    <row r="1849" ht="15.75" customHeight="1">
      <c r="A1849" s="133">
        <f>IFERROR(__xludf.DUMMYFUNCTION("""COMPUTED_VALUE"""),60001.0)</f>
        <v>60001</v>
      </c>
      <c r="B1849" s="164">
        <f>IFERROR(__xludf.DUMMYFUNCTION("""COMPUTED_VALUE"""),8870590.0)</f>
        <v>8870590</v>
      </c>
      <c r="C1849" s="164" t="str">
        <f>IFERROR(__xludf.DUMMYFUNCTION("""COMPUTED_VALUE"""),"88705900")</f>
        <v>88705900</v>
      </c>
      <c r="D1849" s="133" t="str">
        <f>IFERROR(__xludf.DUMMYFUNCTION("""COMPUTED_VALUE"""),"Шарф с оленями")</f>
        <v>Шарф с оленями</v>
      </c>
      <c r="E1849" s="133">
        <f>IFERROR(__xludf.DUMMYFUNCTION("""COMPUTED_VALUE"""),0.0)</f>
        <v>0</v>
      </c>
      <c r="F1849" s="133">
        <f>IFERROR(__xludf.DUMMYFUNCTION("""COMPUTED_VALUE"""),600010.0)</f>
        <v>600010</v>
      </c>
      <c r="G1849" s="165">
        <f>IFERROR(__xludf.DUMMYFUNCTION("""COMPUTED_VALUE"""),443.0)</f>
        <v>443</v>
      </c>
    </row>
    <row r="1850" ht="15.75" customHeight="1">
      <c r="A1850" s="133">
        <f>IFERROR(__xludf.DUMMYFUNCTION("""COMPUTED_VALUE"""),60002.0)</f>
        <v>60002</v>
      </c>
      <c r="B1850" s="164">
        <f>IFERROR(__xludf.DUMMYFUNCTION("""COMPUTED_VALUE"""),8870591.0)</f>
        <v>8870591</v>
      </c>
      <c r="C1850" s="164" t="str">
        <f>IFERROR(__xludf.DUMMYFUNCTION("""COMPUTED_VALUE"""),"88705910")</f>
        <v>88705910</v>
      </c>
      <c r="D1850" s="133" t="str">
        <f>IFERROR(__xludf.DUMMYFUNCTION("""COMPUTED_VALUE"""),"Шарф с оленями")</f>
        <v>Шарф с оленями</v>
      </c>
      <c r="E1850" s="133">
        <f>IFERROR(__xludf.DUMMYFUNCTION("""COMPUTED_VALUE"""),0.0)</f>
        <v>0</v>
      </c>
      <c r="F1850" s="133">
        <f>IFERROR(__xludf.DUMMYFUNCTION("""COMPUTED_VALUE"""),600020.0)</f>
        <v>600020</v>
      </c>
      <c r="G1850" s="165">
        <f>IFERROR(__xludf.DUMMYFUNCTION("""COMPUTED_VALUE"""),443.0)</f>
        <v>443</v>
      </c>
    </row>
    <row r="1851" ht="15.75" customHeight="1">
      <c r="A1851" s="133">
        <f>IFERROR(__xludf.DUMMYFUNCTION("""COMPUTED_VALUE"""),60005.0)</f>
        <v>60005</v>
      </c>
      <c r="B1851" s="164">
        <f>IFERROR(__xludf.DUMMYFUNCTION("""COMPUTED_VALUE"""),8870592.0)</f>
        <v>8870592</v>
      </c>
      <c r="C1851" s="164" t="str">
        <f>IFERROR(__xludf.DUMMYFUNCTION("""COMPUTED_VALUE"""),"88705920")</f>
        <v>88705920</v>
      </c>
      <c r="D1851" s="133" t="str">
        <f>IFERROR(__xludf.DUMMYFUNCTION("""COMPUTED_VALUE"""),"Шарф с оленями")</f>
        <v>Шарф с оленями</v>
      </c>
      <c r="E1851" s="133">
        <f>IFERROR(__xludf.DUMMYFUNCTION("""COMPUTED_VALUE"""),0.0)</f>
        <v>0</v>
      </c>
      <c r="F1851" s="133">
        <f>IFERROR(__xludf.DUMMYFUNCTION("""COMPUTED_VALUE"""),600050.0)</f>
        <v>600050</v>
      </c>
      <c r="G1851" s="165">
        <f>IFERROR(__xludf.DUMMYFUNCTION("""COMPUTED_VALUE"""),443.0)</f>
        <v>443</v>
      </c>
    </row>
    <row r="1852" ht="15.75" customHeight="1">
      <c r="A1852" s="133">
        <f>IFERROR(__xludf.DUMMYFUNCTION("""COMPUTED_VALUE"""),60006.0)</f>
        <v>60006</v>
      </c>
      <c r="B1852" s="164">
        <f>IFERROR(__xludf.DUMMYFUNCTION("""COMPUTED_VALUE"""),8870593.0)</f>
        <v>8870593</v>
      </c>
      <c r="C1852" s="164" t="str">
        <f>IFERROR(__xludf.DUMMYFUNCTION("""COMPUTED_VALUE"""),"88705930")</f>
        <v>88705930</v>
      </c>
      <c r="D1852" s="133" t="str">
        <f>IFERROR(__xludf.DUMMYFUNCTION("""COMPUTED_VALUE"""),"Шарф со скандинавскими снежинками")</f>
        <v>Шарф со скандинавскими снежинками</v>
      </c>
      <c r="E1852" s="133">
        <f>IFERROR(__xludf.DUMMYFUNCTION("""COMPUTED_VALUE"""),0.0)</f>
        <v>0</v>
      </c>
      <c r="F1852" s="133">
        <f>IFERROR(__xludf.DUMMYFUNCTION("""COMPUTED_VALUE"""),600060.0)</f>
        <v>600060</v>
      </c>
      <c r="G1852" s="165">
        <f>IFERROR(__xludf.DUMMYFUNCTION("""COMPUTED_VALUE"""),443.0)</f>
        <v>443</v>
      </c>
    </row>
    <row r="1853" ht="15.75" customHeight="1">
      <c r="A1853" s="133">
        <f>IFERROR(__xludf.DUMMYFUNCTION("""COMPUTED_VALUE"""),60007.0)</f>
        <v>60007</v>
      </c>
      <c r="B1853" s="164">
        <f>IFERROR(__xludf.DUMMYFUNCTION("""COMPUTED_VALUE"""),8870594.0)</f>
        <v>8870594</v>
      </c>
      <c r="C1853" s="164" t="str">
        <f>IFERROR(__xludf.DUMMYFUNCTION("""COMPUTED_VALUE"""),"88705940")</f>
        <v>88705940</v>
      </c>
      <c r="D1853" s="133" t="str">
        <f>IFERROR(__xludf.DUMMYFUNCTION("""COMPUTED_VALUE"""),"Шарф со скандинавскими снежинками")</f>
        <v>Шарф со скандинавскими снежинками</v>
      </c>
      <c r="E1853" s="133">
        <f>IFERROR(__xludf.DUMMYFUNCTION("""COMPUTED_VALUE"""),0.0)</f>
        <v>0</v>
      </c>
      <c r="F1853" s="133">
        <f>IFERROR(__xludf.DUMMYFUNCTION("""COMPUTED_VALUE"""),600070.0)</f>
        <v>600070</v>
      </c>
      <c r="G1853" s="165">
        <f>IFERROR(__xludf.DUMMYFUNCTION("""COMPUTED_VALUE"""),443.0)</f>
        <v>443</v>
      </c>
    </row>
    <row r="1854" ht="15.75" customHeight="1">
      <c r="A1854" s="133">
        <f>IFERROR(__xludf.DUMMYFUNCTION("""COMPUTED_VALUE"""),60008.0)</f>
        <v>60008</v>
      </c>
      <c r="B1854" s="164">
        <f>IFERROR(__xludf.DUMMYFUNCTION("""COMPUTED_VALUE"""),1.5841972E7)</f>
        <v>15841972</v>
      </c>
      <c r="C1854" s="164" t="str">
        <f>IFERROR(__xludf.DUMMYFUNCTION("""COMPUTED_VALUE"""),"158419720")</f>
        <v>158419720</v>
      </c>
      <c r="D1854" s="133" t="str">
        <f>IFERROR(__xludf.DUMMYFUNCTION("""COMPUTED_VALUE"""),"Шарф со скандинавскими снежинками")</f>
        <v>Шарф со скандинавскими снежинками</v>
      </c>
      <c r="E1854" s="133">
        <f>IFERROR(__xludf.DUMMYFUNCTION("""COMPUTED_VALUE"""),0.0)</f>
        <v>0</v>
      </c>
      <c r="F1854" s="133">
        <f>IFERROR(__xludf.DUMMYFUNCTION("""COMPUTED_VALUE"""),600080.0)</f>
        <v>600080</v>
      </c>
      <c r="G1854" s="165">
        <f>IFERROR(__xludf.DUMMYFUNCTION("""COMPUTED_VALUE"""),443.0)</f>
        <v>443</v>
      </c>
    </row>
    <row r="1855" ht="15.75" customHeight="1">
      <c r="A1855" s="133">
        <f>IFERROR(__xludf.DUMMYFUNCTION("""COMPUTED_VALUE"""),60010.0)</f>
        <v>60010</v>
      </c>
      <c r="B1855" s="164">
        <f>IFERROR(__xludf.DUMMYFUNCTION("""COMPUTED_VALUE"""),8870595.0)</f>
        <v>8870595</v>
      </c>
      <c r="C1855" s="164" t="str">
        <f>IFERROR(__xludf.DUMMYFUNCTION("""COMPUTED_VALUE"""),"88705950")</f>
        <v>88705950</v>
      </c>
      <c r="D1855" s="133" t="str">
        <f>IFERROR(__xludf.DUMMYFUNCTION("""COMPUTED_VALUE"""),"Шарф со скандинавскими снежинками")</f>
        <v>Шарф со скандинавскими снежинками</v>
      </c>
      <c r="E1855" s="133">
        <f>IFERROR(__xludf.DUMMYFUNCTION("""COMPUTED_VALUE"""),0.0)</f>
        <v>0</v>
      </c>
      <c r="F1855" s="133">
        <f>IFERROR(__xludf.DUMMYFUNCTION("""COMPUTED_VALUE"""),600100.0)</f>
        <v>600100</v>
      </c>
      <c r="G1855" s="165">
        <f>IFERROR(__xludf.DUMMYFUNCTION("""COMPUTED_VALUE"""),443.0)</f>
        <v>443</v>
      </c>
    </row>
    <row r="1856" ht="15.75" customHeight="1">
      <c r="A1856" s="133">
        <f>IFERROR(__xludf.DUMMYFUNCTION("""COMPUTED_VALUE"""),70001.0)</f>
        <v>70001</v>
      </c>
      <c r="B1856" s="164">
        <f>IFERROR(__xludf.DUMMYFUNCTION("""COMPUTED_VALUE"""),8870602.0)</f>
        <v>8870602</v>
      </c>
      <c r="C1856" s="164" t="str">
        <f>IFERROR(__xludf.DUMMYFUNCTION("""COMPUTED_VALUE"""),"887060254-58")</f>
        <v>887060254-58</v>
      </c>
      <c r="D1856" s="133" t="str">
        <f>IFERROR(__xludf.DUMMYFUNCTION("""COMPUTED_VALUE"""),"Шапка с оленями")</f>
        <v>Шапка с оленями</v>
      </c>
      <c r="E1856" s="133" t="str">
        <f>IFERROR(__xludf.DUMMYFUNCTION("""COMPUTED_VALUE"""),"54-58")</f>
        <v>54-58</v>
      </c>
      <c r="F1856" s="133" t="str">
        <f>IFERROR(__xludf.DUMMYFUNCTION("""COMPUTED_VALUE"""),"7000154-58")</f>
        <v>7000154-58</v>
      </c>
      <c r="G1856" s="165">
        <f>IFERROR(__xludf.DUMMYFUNCTION("""COMPUTED_VALUE"""),251.0)</f>
        <v>251</v>
      </c>
    </row>
    <row r="1857" ht="15.75" customHeight="1">
      <c r="A1857" s="133">
        <f>IFERROR(__xludf.DUMMYFUNCTION("""COMPUTED_VALUE"""),70002.0)</f>
        <v>70002</v>
      </c>
      <c r="B1857" s="164">
        <f>IFERROR(__xludf.DUMMYFUNCTION("""COMPUTED_VALUE"""),1.5841749E7)</f>
        <v>15841749</v>
      </c>
      <c r="C1857" s="164" t="str">
        <f>IFERROR(__xludf.DUMMYFUNCTION("""COMPUTED_VALUE"""),"1584174954-58")</f>
        <v>1584174954-58</v>
      </c>
      <c r="D1857" s="133" t="str">
        <f>IFERROR(__xludf.DUMMYFUNCTION("""COMPUTED_VALUE"""),"Шапка с оленями")</f>
        <v>Шапка с оленями</v>
      </c>
      <c r="E1857" s="133" t="str">
        <f>IFERROR(__xludf.DUMMYFUNCTION("""COMPUTED_VALUE"""),"54-58")</f>
        <v>54-58</v>
      </c>
      <c r="F1857" s="133" t="str">
        <f>IFERROR(__xludf.DUMMYFUNCTION("""COMPUTED_VALUE"""),"7000254-58")</f>
        <v>7000254-58</v>
      </c>
      <c r="G1857" s="165">
        <f>IFERROR(__xludf.DUMMYFUNCTION("""COMPUTED_VALUE"""),251.0)</f>
        <v>251</v>
      </c>
    </row>
    <row r="1858" ht="15.75" customHeight="1">
      <c r="A1858" s="133">
        <f>IFERROR(__xludf.DUMMYFUNCTION("""COMPUTED_VALUE"""),70005.0)</f>
        <v>70005</v>
      </c>
      <c r="B1858" s="164">
        <f>IFERROR(__xludf.DUMMYFUNCTION("""COMPUTED_VALUE"""),8870603.0)</f>
        <v>8870603</v>
      </c>
      <c r="C1858" s="164" t="str">
        <f>IFERROR(__xludf.DUMMYFUNCTION("""COMPUTED_VALUE"""),"887060354-58")</f>
        <v>887060354-58</v>
      </c>
      <c r="D1858" s="133" t="str">
        <f>IFERROR(__xludf.DUMMYFUNCTION("""COMPUTED_VALUE"""),"Шапка с оленями")</f>
        <v>Шапка с оленями</v>
      </c>
      <c r="E1858" s="133" t="str">
        <f>IFERROR(__xludf.DUMMYFUNCTION("""COMPUTED_VALUE"""),"54-58")</f>
        <v>54-58</v>
      </c>
      <c r="F1858" s="133" t="str">
        <f>IFERROR(__xludf.DUMMYFUNCTION("""COMPUTED_VALUE"""),"7000554-58")</f>
        <v>7000554-58</v>
      </c>
      <c r="G1858" s="165">
        <f>IFERROR(__xludf.DUMMYFUNCTION("""COMPUTED_VALUE"""),251.0)</f>
        <v>251</v>
      </c>
    </row>
    <row r="1859" ht="15.75" customHeight="1">
      <c r="A1859" s="133">
        <f>IFERROR(__xludf.DUMMYFUNCTION("""COMPUTED_VALUE"""),70006.0)</f>
        <v>70006</v>
      </c>
      <c r="B1859" s="164">
        <f>IFERROR(__xludf.DUMMYFUNCTION("""COMPUTED_VALUE"""),9087353.0)</f>
        <v>9087353</v>
      </c>
      <c r="C1859" s="164" t="str">
        <f>IFERROR(__xludf.DUMMYFUNCTION("""COMPUTED_VALUE"""),"908735356-58")</f>
        <v>908735356-58</v>
      </c>
      <c r="D1859" s="133" t="str">
        <f>IFERROR(__xludf.DUMMYFUNCTION("""COMPUTED_VALUE"""),"Шапка со скандинавскими снежинками")</f>
        <v>Шапка со скандинавскими снежинками</v>
      </c>
      <c r="E1859" s="133" t="str">
        <f>IFERROR(__xludf.DUMMYFUNCTION("""COMPUTED_VALUE"""),"56-58")</f>
        <v>56-58</v>
      </c>
      <c r="F1859" s="133" t="str">
        <f>IFERROR(__xludf.DUMMYFUNCTION("""COMPUTED_VALUE"""),"7000656-58")</f>
        <v>7000656-58</v>
      </c>
      <c r="G1859" s="165">
        <f>IFERROR(__xludf.DUMMYFUNCTION("""COMPUTED_VALUE"""),251.0)</f>
        <v>251</v>
      </c>
    </row>
    <row r="1860" ht="15.75" customHeight="1">
      <c r="A1860" s="133">
        <f>IFERROR(__xludf.DUMMYFUNCTION("""COMPUTED_VALUE"""),70007.0)</f>
        <v>70007</v>
      </c>
      <c r="B1860" s="164">
        <f>IFERROR(__xludf.DUMMYFUNCTION("""COMPUTED_VALUE"""),1.584175E7)</f>
        <v>15841750</v>
      </c>
      <c r="C1860" s="164" t="str">
        <f>IFERROR(__xludf.DUMMYFUNCTION("""COMPUTED_VALUE"""),"1584175054-58")</f>
        <v>1584175054-58</v>
      </c>
      <c r="D1860" s="133" t="str">
        <f>IFERROR(__xludf.DUMMYFUNCTION("""COMPUTED_VALUE"""),"Шапка со скандинавскими снежинками")</f>
        <v>Шапка со скандинавскими снежинками</v>
      </c>
      <c r="E1860" s="133" t="str">
        <f>IFERROR(__xludf.DUMMYFUNCTION("""COMPUTED_VALUE"""),"54-58")</f>
        <v>54-58</v>
      </c>
      <c r="F1860" s="133" t="str">
        <f>IFERROR(__xludf.DUMMYFUNCTION("""COMPUTED_VALUE"""),"7000754-58")</f>
        <v>7000754-58</v>
      </c>
      <c r="G1860" s="165">
        <f>IFERROR(__xludf.DUMMYFUNCTION("""COMPUTED_VALUE"""),251.0)</f>
        <v>251</v>
      </c>
    </row>
    <row r="1861" ht="15.75" customHeight="1">
      <c r="A1861" s="133">
        <f>IFERROR(__xludf.DUMMYFUNCTION("""COMPUTED_VALUE"""),70010.0)</f>
        <v>70010</v>
      </c>
      <c r="B1861" s="164">
        <f>IFERROR(__xludf.DUMMYFUNCTION("""COMPUTED_VALUE"""),8870604.0)</f>
        <v>8870604</v>
      </c>
      <c r="C1861" s="164" t="str">
        <f>IFERROR(__xludf.DUMMYFUNCTION("""COMPUTED_VALUE"""),"887060454-58")</f>
        <v>887060454-58</v>
      </c>
      <c r="D1861" s="133" t="str">
        <f>IFERROR(__xludf.DUMMYFUNCTION("""COMPUTED_VALUE"""),"Шапка со скандинавскими снежинками")</f>
        <v>Шапка со скандинавскими снежинками</v>
      </c>
      <c r="E1861" s="133" t="str">
        <f>IFERROR(__xludf.DUMMYFUNCTION("""COMPUTED_VALUE"""),"54-58")</f>
        <v>54-58</v>
      </c>
      <c r="F1861" s="133" t="str">
        <f>IFERROR(__xludf.DUMMYFUNCTION("""COMPUTED_VALUE"""),"7001054-58")</f>
        <v>7001054-58</v>
      </c>
      <c r="G1861" s="165">
        <f>IFERROR(__xludf.DUMMYFUNCTION("""COMPUTED_VALUE"""),251.0)</f>
        <v>251</v>
      </c>
    </row>
    <row r="1862" ht="15.75" customHeight="1">
      <c r="A1862" s="133">
        <f>IFERROR(__xludf.DUMMYFUNCTION("""COMPUTED_VALUE"""),72001.0)</f>
        <v>72001</v>
      </c>
      <c r="B1862" s="164">
        <f>IFERROR(__xludf.DUMMYFUNCTION("""COMPUTED_VALUE"""),8953889.0)</f>
        <v>8953889</v>
      </c>
      <c r="C1862" s="164" t="str">
        <f>IFERROR(__xludf.DUMMYFUNCTION("""COMPUTED_VALUE"""),"895388954-58")</f>
        <v>895388954-58</v>
      </c>
      <c r="D1862" s="133" t="str">
        <f>IFERROR(__xludf.DUMMYFUNCTION("""COMPUTED_VALUE"""),"Комплект Шапка/шарф")</f>
        <v>Комплект Шапка/шарф</v>
      </c>
      <c r="E1862" s="133" t="str">
        <f>IFERROR(__xludf.DUMMYFUNCTION("""COMPUTED_VALUE"""),"54-58")</f>
        <v>54-58</v>
      </c>
      <c r="F1862" s="133" t="str">
        <f>IFERROR(__xludf.DUMMYFUNCTION("""COMPUTED_VALUE"""),"7200154-58")</f>
        <v>7200154-58</v>
      </c>
      <c r="G1862" s="165">
        <f>IFERROR(__xludf.DUMMYFUNCTION("""COMPUTED_VALUE"""),694.0)</f>
        <v>694</v>
      </c>
    </row>
    <row r="1863" ht="15.75" customHeight="1">
      <c r="A1863" s="133">
        <f>IFERROR(__xludf.DUMMYFUNCTION("""COMPUTED_VALUE"""),72005.0)</f>
        <v>72005</v>
      </c>
      <c r="B1863" s="164">
        <f>IFERROR(__xludf.DUMMYFUNCTION("""COMPUTED_VALUE"""),8953890.0)</f>
        <v>8953890</v>
      </c>
      <c r="C1863" s="164" t="str">
        <f>IFERROR(__xludf.DUMMYFUNCTION("""COMPUTED_VALUE"""),"895389054-58")</f>
        <v>895389054-58</v>
      </c>
      <c r="D1863" s="133" t="str">
        <f>IFERROR(__xludf.DUMMYFUNCTION("""COMPUTED_VALUE"""),"Комплект Шапка/шарф")</f>
        <v>Комплект Шапка/шарф</v>
      </c>
      <c r="E1863" s="133" t="str">
        <f>IFERROR(__xludf.DUMMYFUNCTION("""COMPUTED_VALUE"""),"54-58")</f>
        <v>54-58</v>
      </c>
      <c r="F1863" s="133" t="str">
        <f>IFERROR(__xludf.DUMMYFUNCTION("""COMPUTED_VALUE"""),"7200554-58")</f>
        <v>7200554-58</v>
      </c>
      <c r="G1863" s="165">
        <f>IFERROR(__xludf.DUMMYFUNCTION("""COMPUTED_VALUE"""),694.0)</f>
        <v>694</v>
      </c>
    </row>
    <row r="1864" ht="15.75" customHeight="1">
      <c r="A1864" s="133">
        <f>IFERROR(__xludf.DUMMYFUNCTION("""COMPUTED_VALUE"""),72010.0)</f>
        <v>72010</v>
      </c>
      <c r="B1864" s="164">
        <f>IFERROR(__xludf.DUMMYFUNCTION("""COMPUTED_VALUE"""),8953891.0)</f>
        <v>8953891</v>
      </c>
      <c r="C1864" s="164" t="str">
        <f>IFERROR(__xludf.DUMMYFUNCTION("""COMPUTED_VALUE"""),"895389154-58")</f>
        <v>895389154-58</v>
      </c>
      <c r="D1864" s="133" t="str">
        <f>IFERROR(__xludf.DUMMYFUNCTION("""COMPUTED_VALUE"""),"Комплект Шапка/шарф")</f>
        <v>Комплект Шапка/шарф</v>
      </c>
      <c r="E1864" s="133" t="str">
        <f>IFERROR(__xludf.DUMMYFUNCTION("""COMPUTED_VALUE"""),"54-58")</f>
        <v>54-58</v>
      </c>
      <c r="F1864" s="133" t="str">
        <f>IFERROR(__xludf.DUMMYFUNCTION("""COMPUTED_VALUE"""),"7201054-58")</f>
        <v>7201054-58</v>
      </c>
      <c r="G1864" s="165">
        <f>IFERROR(__xludf.DUMMYFUNCTION("""COMPUTED_VALUE"""),694.0)</f>
        <v>694</v>
      </c>
    </row>
    <row r="1865" ht="15.75" customHeight="1">
      <c r="A1865" s="133">
        <f>IFERROR(__xludf.DUMMYFUNCTION("""COMPUTED_VALUE"""),72011.0)</f>
        <v>72011</v>
      </c>
      <c r="B1865" s="164">
        <f>IFERROR(__xludf.DUMMYFUNCTION("""COMPUTED_VALUE"""),9087354.0)</f>
        <v>9087354</v>
      </c>
      <c r="C1865" s="164" t="str">
        <f>IFERROR(__xludf.DUMMYFUNCTION("""COMPUTED_VALUE"""),"908735454-58")</f>
        <v>908735454-58</v>
      </c>
      <c r="D1865" s="133" t="str">
        <f>IFERROR(__xludf.DUMMYFUNCTION("""COMPUTED_VALUE"""),"Комплект Шапка/шарф")</f>
        <v>Комплект Шапка/шарф</v>
      </c>
      <c r="E1865" s="133" t="str">
        <f>IFERROR(__xludf.DUMMYFUNCTION("""COMPUTED_VALUE"""),"54-58")</f>
        <v>54-58</v>
      </c>
      <c r="F1865" s="133" t="str">
        <f>IFERROR(__xludf.DUMMYFUNCTION("""COMPUTED_VALUE"""),"7201154-58")</f>
        <v>7201154-58</v>
      </c>
      <c r="G1865" s="165">
        <f>IFERROR(__xludf.DUMMYFUNCTION("""COMPUTED_VALUE"""),694.0)</f>
        <v>694</v>
      </c>
    </row>
    <row r="1866" ht="15.75" customHeight="1">
      <c r="A1866" s="133">
        <f>IFERROR(__xludf.DUMMYFUNCTION("""COMPUTED_VALUE"""),72012.0)</f>
        <v>72012</v>
      </c>
      <c r="B1866" s="164">
        <f>IFERROR(__xludf.DUMMYFUNCTION("""COMPUTED_VALUE"""),1.0285936E7)</f>
        <v>10285936</v>
      </c>
      <c r="C1866" s="164" t="str">
        <f>IFERROR(__xludf.DUMMYFUNCTION("""COMPUTED_VALUE"""),"1028593654-58")</f>
        <v>1028593654-58</v>
      </c>
      <c r="D1866" s="133" t="str">
        <f>IFERROR(__xludf.DUMMYFUNCTION("""COMPUTED_VALUE"""),"Комплект Шапка/шарф")</f>
        <v>Комплект Шапка/шарф</v>
      </c>
      <c r="E1866" s="133" t="str">
        <f>IFERROR(__xludf.DUMMYFUNCTION("""COMPUTED_VALUE"""),"54-58")</f>
        <v>54-58</v>
      </c>
      <c r="F1866" s="133" t="str">
        <f>IFERROR(__xludf.DUMMYFUNCTION("""COMPUTED_VALUE"""),"7201254-58")</f>
        <v>7201254-58</v>
      </c>
      <c r="G1866" s="165">
        <f>IFERROR(__xludf.DUMMYFUNCTION("""COMPUTED_VALUE"""),694.0)</f>
        <v>694</v>
      </c>
    </row>
    <row r="1867" ht="15.75" customHeight="1">
      <c r="A1867" s="133">
        <f>IFERROR(__xludf.DUMMYFUNCTION("""COMPUTED_VALUE"""),72013.0)</f>
        <v>72013</v>
      </c>
      <c r="B1867" s="164">
        <f>IFERROR(__xludf.DUMMYFUNCTION("""COMPUTED_VALUE"""),1.0285937E7)</f>
        <v>10285937</v>
      </c>
      <c r="C1867" s="164" t="str">
        <f>IFERROR(__xludf.DUMMYFUNCTION("""COMPUTED_VALUE"""),"1028593754-58")</f>
        <v>1028593754-58</v>
      </c>
      <c r="D1867" s="133" t="str">
        <f>IFERROR(__xludf.DUMMYFUNCTION("""COMPUTED_VALUE"""),"Комплект Шапка/шарф")</f>
        <v>Комплект Шапка/шарф</v>
      </c>
      <c r="E1867" s="133" t="str">
        <f>IFERROR(__xludf.DUMMYFUNCTION("""COMPUTED_VALUE"""),"54-58")</f>
        <v>54-58</v>
      </c>
      <c r="F1867" s="133" t="str">
        <f>IFERROR(__xludf.DUMMYFUNCTION("""COMPUTED_VALUE"""),"7201354-58")</f>
        <v>7201354-58</v>
      </c>
      <c r="G1867" s="165">
        <f>IFERROR(__xludf.DUMMYFUNCTION("""COMPUTED_VALUE"""),694.0)</f>
        <v>694</v>
      </c>
    </row>
    <row r="1868" ht="15.75" customHeight="1">
      <c r="A1868" s="133">
        <f>IFERROR(__xludf.DUMMYFUNCTION("""COMPUTED_VALUE"""),61001.0)</f>
        <v>61001</v>
      </c>
      <c r="B1868" s="164">
        <f>IFERROR(__xludf.DUMMYFUNCTION("""COMPUTED_VALUE"""),8870596.0)</f>
        <v>8870596</v>
      </c>
      <c r="C1868" s="164" t="str">
        <f>IFERROR(__xludf.DUMMYFUNCTION("""COMPUTED_VALUE"""),"8870596125х14")</f>
        <v>8870596125х14</v>
      </c>
      <c r="D1868" s="133" t="str">
        <f>IFERROR(__xludf.DUMMYFUNCTION("""COMPUTED_VALUE"""),"Шарф с оленями")</f>
        <v>Шарф с оленями</v>
      </c>
      <c r="E1868" s="133" t="str">
        <f>IFERROR(__xludf.DUMMYFUNCTION("""COMPUTED_VALUE"""),"125х14")</f>
        <v>125х14</v>
      </c>
      <c r="F1868" s="133" t="str">
        <f>IFERROR(__xludf.DUMMYFUNCTION("""COMPUTED_VALUE"""),"61001125х14")</f>
        <v>61001125х14</v>
      </c>
      <c r="G1868" s="165">
        <f>IFERROR(__xludf.DUMMYFUNCTION("""COMPUTED_VALUE"""),443.0)</f>
        <v>443</v>
      </c>
    </row>
    <row r="1869" ht="15.75" customHeight="1">
      <c r="A1869" s="133">
        <f>IFERROR(__xludf.DUMMYFUNCTION("""COMPUTED_VALUE"""),61002.0)</f>
        <v>61002</v>
      </c>
      <c r="B1869" s="164">
        <f>IFERROR(__xludf.DUMMYFUNCTION("""COMPUTED_VALUE"""),8870597.0)</f>
        <v>8870597</v>
      </c>
      <c r="C1869" s="164" t="str">
        <f>IFERROR(__xludf.DUMMYFUNCTION("""COMPUTED_VALUE"""),"8870597125х14")</f>
        <v>8870597125х14</v>
      </c>
      <c r="D1869" s="133" t="str">
        <f>IFERROR(__xludf.DUMMYFUNCTION("""COMPUTED_VALUE"""),"Шарф с оленями")</f>
        <v>Шарф с оленями</v>
      </c>
      <c r="E1869" s="133" t="str">
        <f>IFERROR(__xludf.DUMMYFUNCTION("""COMPUTED_VALUE"""),"125х14")</f>
        <v>125х14</v>
      </c>
      <c r="F1869" s="133" t="str">
        <f>IFERROR(__xludf.DUMMYFUNCTION("""COMPUTED_VALUE"""),"61002125х14")</f>
        <v>61002125х14</v>
      </c>
      <c r="G1869" s="165">
        <f>IFERROR(__xludf.DUMMYFUNCTION("""COMPUTED_VALUE"""),443.0)</f>
        <v>443</v>
      </c>
    </row>
    <row r="1870" ht="15.75" customHeight="1">
      <c r="A1870" s="133">
        <f>IFERROR(__xludf.DUMMYFUNCTION("""COMPUTED_VALUE"""),61005.0)</f>
        <v>61005</v>
      </c>
      <c r="B1870" s="164">
        <f>IFERROR(__xludf.DUMMYFUNCTION("""COMPUTED_VALUE"""),8870598.0)</f>
        <v>8870598</v>
      </c>
      <c r="C1870" s="164" t="str">
        <f>IFERROR(__xludf.DUMMYFUNCTION("""COMPUTED_VALUE"""),"8870598125х14")</f>
        <v>8870598125х14</v>
      </c>
      <c r="D1870" s="133" t="str">
        <f>IFERROR(__xludf.DUMMYFUNCTION("""COMPUTED_VALUE"""),"Шарф с оленями")</f>
        <v>Шарф с оленями</v>
      </c>
      <c r="E1870" s="133" t="str">
        <f>IFERROR(__xludf.DUMMYFUNCTION("""COMPUTED_VALUE"""),"125х14")</f>
        <v>125х14</v>
      </c>
      <c r="F1870" s="133" t="str">
        <f>IFERROR(__xludf.DUMMYFUNCTION("""COMPUTED_VALUE"""),"61005125х14")</f>
        <v>61005125х14</v>
      </c>
      <c r="G1870" s="165">
        <f>IFERROR(__xludf.DUMMYFUNCTION("""COMPUTED_VALUE"""),443.0)</f>
        <v>443</v>
      </c>
    </row>
    <row r="1871" ht="15.75" customHeight="1">
      <c r="A1871" s="133">
        <f>IFERROR(__xludf.DUMMYFUNCTION("""COMPUTED_VALUE"""),61006.0)</f>
        <v>61006</v>
      </c>
      <c r="B1871" s="164">
        <f>IFERROR(__xludf.DUMMYFUNCTION("""COMPUTED_VALUE"""),8870599.0)</f>
        <v>8870599</v>
      </c>
      <c r="C1871" s="164" t="str">
        <f>IFERROR(__xludf.DUMMYFUNCTION("""COMPUTED_VALUE"""),"88705990")</f>
        <v>88705990</v>
      </c>
      <c r="D1871" s="133" t="str">
        <f>IFERROR(__xludf.DUMMYFUNCTION("""COMPUTED_VALUE"""),"Шарф со скандинавскими снежинками")</f>
        <v>Шарф со скандинавскими снежинками</v>
      </c>
      <c r="E1871" s="133">
        <f>IFERROR(__xludf.DUMMYFUNCTION("""COMPUTED_VALUE"""),0.0)</f>
        <v>0</v>
      </c>
      <c r="F1871" s="133">
        <f>IFERROR(__xludf.DUMMYFUNCTION("""COMPUTED_VALUE"""),610060.0)</f>
        <v>610060</v>
      </c>
      <c r="G1871" s="165">
        <f>IFERROR(__xludf.DUMMYFUNCTION("""COMPUTED_VALUE"""),443.0)</f>
        <v>443</v>
      </c>
    </row>
    <row r="1872" ht="15.75" customHeight="1">
      <c r="A1872" s="133">
        <f>IFERROR(__xludf.DUMMYFUNCTION("""COMPUTED_VALUE"""),61007.0)</f>
        <v>61007</v>
      </c>
      <c r="B1872" s="164">
        <f>IFERROR(__xludf.DUMMYFUNCTION("""COMPUTED_VALUE"""),8870600.0)</f>
        <v>8870600</v>
      </c>
      <c r="C1872" s="164" t="str">
        <f>IFERROR(__xludf.DUMMYFUNCTION("""COMPUTED_VALUE"""),"88706000")</f>
        <v>88706000</v>
      </c>
      <c r="D1872" s="133" t="str">
        <f>IFERROR(__xludf.DUMMYFUNCTION("""COMPUTED_VALUE"""),"Шарф со скандинавскими снежинками")</f>
        <v>Шарф со скандинавскими снежинками</v>
      </c>
      <c r="E1872" s="133">
        <f>IFERROR(__xludf.DUMMYFUNCTION("""COMPUTED_VALUE"""),0.0)</f>
        <v>0</v>
      </c>
      <c r="F1872" s="133">
        <f>IFERROR(__xludf.DUMMYFUNCTION("""COMPUTED_VALUE"""),610070.0)</f>
        <v>610070</v>
      </c>
      <c r="G1872" s="165">
        <f>IFERROR(__xludf.DUMMYFUNCTION("""COMPUTED_VALUE"""),443.0)</f>
        <v>443</v>
      </c>
    </row>
    <row r="1873" ht="15.75" customHeight="1">
      <c r="A1873" s="133">
        <f>IFERROR(__xludf.DUMMYFUNCTION("""COMPUTED_VALUE"""),61010.0)</f>
        <v>61010</v>
      </c>
      <c r="B1873" s="164">
        <f>IFERROR(__xludf.DUMMYFUNCTION("""COMPUTED_VALUE"""),8870601.0)</f>
        <v>8870601</v>
      </c>
      <c r="C1873" s="164" t="str">
        <f>IFERROR(__xludf.DUMMYFUNCTION("""COMPUTED_VALUE"""),"88706010")</f>
        <v>88706010</v>
      </c>
      <c r="D1873" s="133" t="str">
        <f>IFERROR(__xludf.DUMMYFUNCTION("""COMPUTED_VALUE"""),"Шарф со скандинавскими снежинками")</f>
        <v>Шарф со скандинавскими снежинками</v>
      </c>
      <c r="E1873" s="133">
        <f>IFERROR(__xludf.DUMMYFUNCTION("""COMPUTED_VALUE"""),0.0)</f>
        <v>0</v>
      </c>
      <c r="F1873" s="133">
        <f>IFERROR(__xludf.DUMMYFUNCTION("""COMPUTED_VALUE"""),610100.0)</f>
        <v>610100</v>
      </c>
      <c r="G1873" s="165">
        <f>IFERROR(__xludf.DUMMYFUNCTION("""COMPUTED_VALUE"""),443.0)</f>
        <v>443</v>
      </c>
    </row>
    <row r="1874" ht="15.75" customHeight="1">
      <c r="A1874" s="133">
        <f>IFERROR(__xludf.DUMMYFUNCTION("""COMPUTED_VALUE"""),62001.0)</f>
        <v>62001</v>
      </c>
      <c r="B1874" s="164">
        <f>IFERROR(__xludf.DUMMYFUNCTION("""COMPUTED_VALUE"""),8953887.0)</f>
        <v>8953887</v>
      </c>
      <c r="C1874" s="164" t="str">
        <f>IFERROR(__xludf.DUMMYFUNCTION("""COMPUTED_VALUE"""),"895388749-53")</f>
        <v>895388749-53</v>
      </c>
      <c r="D1874" s="133" t="str">
        <f>IFERROR(__xludf.DUMMYFUNCTION("""COMPUTED_VALUE"""),"Комплект Шапка/шарф")</f>
        <v>Комплект Шапка/шарф</v>
      </c>
      <c r="E1874" s="133" t="str">
        <f>IFERROR(__xludf.DUMMYFUNCTION("""COMPUTED_VALUE"""),"49-53")</f>
        <v>49-53</v>
      </c>
      <c r="F1874" s="133" t="str">
        <f>IFERROR(__xludf.DUMMYFUNCTION("""COMPUTED_VALUE"""),"6200149-53")</f>
        <v>6200149-53</v>
      </c>
      <c r="G1874" s="165">
        <f>IFERROR(__xludf.DUMMYFUNCTION("""COMPUTED_VALUE"""),479.0)</f>
        <v>479</v>
      </c>
    </row>
    <row r="1875" ht="15.75" customHeight="1">
      <c r="A1875" s="133">
        <f>IFERROR(__xludf.DUMMYFUNCTION("""COMPUTED_VALUE"""),63001.0)</f>
        <v>63001</v>
      </c>
      <c r="B1875" s="164">
        <f>IFERROR(__xludf.DUMMYFUNCTION("""COMPUTED_VALUE"""),8953888.0)</f>
        <v>8953888</v>
      </c>
      <c r="C1875" s="164" t="str">
        <f>IFERROR(__xludf.DUMMYFUNCTION("""COMPUTED_VALUE"""),"895388849-53")</f>
        <v>895388849-53</v>
      </c>
      <c r="D1875" s="133" t="str">
        <f>IFERROR(__xludf.DUMMYFUNCTION("""COMPUTED_VALUE"""),"Комплект Шапка/шарф")</f>
        <v>Комплект Шапка/шарф</v>
      </c>
      <c r="E1875" s="133" t="str">
        <f>IFERROR(__xludf.DUMMYFUNCTION("""COMPUTED_VALUE"""),"49-53")</f>
        <v>49-53</v>
      </c>
      <c r="F1875" s="133" t="str">
        <f>IFERROR(__xludf.DUMMYFUNCTION("""COMPUTED_VALUE"""),"6300149-53")</f>
        <v>6300149-53</v>
      </c>
      <c r="G1875" s="165">
        <f>IFERROR(__xludf.DUMMYFUNCTION("""COMPUTED_VALUE"""),479.0)</f>
        <v>479</v>
      </c>
    </row>
    <row r="1876" ht="15.75" customHeight="1">
      <c r="A1876" s="133">
        <f>IFERROR(__xludf.DUMMYFUNCTION("""COMPUTED_VALUE"""),71001.0)</f>
        <v>71001</v>
      </c>
      <c r="B1876" s="164">
        <f>IFERROR(__xludf.DUMMYFUNCTION("""COMPUTED_VALUE"""),8870605.0)</f>
        <v>8870605</v>
      </c>
      <c r="C1876" s="164" t="str">
        <f>IFERROR(__xludf.DUMMYFUNCTION("""COMPUTED_VALUE"""),"887060549-53")</f>
        <v>887060549-53</v>
      </c>
      <c r="D1876" s="133" t="str">
        <f>IFERROR(__xludf.DUMMYFUNCTION("""COMPUTED_VALUE"""),"Шапка с оленями")</f>
        <v>Шапка с оленями</v>
      </c>
      <c r="E1876" s="133" t="str">
        <f>IFERROR(__xludf.DUMMYFUNCTION("""COMPUTED_VALUE"""),"49-53")</f>
        <v>49-53</v>
      </c>
      <c r="F1876" s="133" t="str">
        <f>IFERROR(__xludf.DUMMYFUNCTION("""COMPUTED_VALUE"""),"7100149-53")</f>
        <v>7100149-53</v>
      </c>
      <c r="G1876" s="165">
        <f>IFERROR(__xludf.DUMMYFUNCTION("""COMPUTED_VALUE"""),251.0)</f>
        <v>251</v>
      </c>
    </row>
    <row r="1877" ht="15.75" customHeight="1">
      <c r="A1877" s="133">
        <f>IFERROR(__xludf.DUMMYFUNCTION("""COMPUTED_VALUE"""),71006.0)</f>
        <v>71006</v>
      </c>
      <c r="B1877" s="164">
        <f>IFERROR(__xludf.DUMMYFUNCTION("""COMPUTED_VALUE"""),8870606.0)</f>
        <v>8870606</v>
      </c>
      <c r="C1877" s="164" t="str">
        <f>IFERROR(__xludf.DUMMYFUNCTION("""COMPUTED_VALUE"""),"887060649-53")</f>
        <v>887060649-53</v>
      </c>
      <c r="D1877" s="133" t="str">
        <f>IFERROR(__xludf.DUMMYFUNCTION("""COMPUTED_VALUE"""),"Шапка со скандинавскими снежинками")</f>
        <v>Шапка со скандинавскими снежинками</v>
      </c>
      <c r="E1877" s="133" t="str">
        <f>IFERROR(__xludf.DUMMYFUNCTION("""COMPUTED_VALUE"""),"49-53")</f>
        <v>49-53</v>
      </c>
      <c r="F1877" s="133" t="str">
        <f>IFERROR(__xludf.DUMMYFUNCTION("""COMPUTED_VALUE"""),"7100649-53")</f>
        <v>7100649-53</v>
      </c>
      <c r="G1877" s="165">
        <f>IFERROR(__xludf.DUMMYFUNCTION("""COMPUTED_VALUE"""),251.0)</f>
        <v>251</v>
      </c>
    </row>
    <row r="1878" ht="15.75" customHeight="1">
      <c r="A1878" s="133">
        <f>IFERROR(__xludf.DUMMYFUNCTION("""COMPUTED_VALUE"""),8.300183001E9)</f>
        <v>8300183001</v>
      </c>
      <c r="B1878" s="164">
        <f>IFERROR(__xludf.DUMMYFUNCTION("""COMPUTED_VALUE"""),1.5861088E7)</f>
        <v>15861088</v>
      </c>
      <c r="C1878" s="164" t="str">
        <f>IFERROR(__xludf.DUMMYFUNCTION("""COMPUTED_VALUE"""),"1586108820х6,5 см.")</f>
        <v>1586108820х6,5 см.</v>
      </c>
      <c r="D1878" s="133" t="str">
        <f>IFERROR(__xludf.DUMMYFUNCTION("""COMPUTED_VALUE"""),"Варежки с оленями")</f>
        <v>Варежки с оленями</v>
      </c>
      <c r="E1878" s="133" t="str">
        <f>IFERROR(__xludf.DUMMYFUNCTION("""COMPUTED_VALUE"""),"20х6,5 см.")</f>
        <v>20х6,5 см.</v>
      </c>
      <c r="F1878" s="133" t="str">
        <f>IFERROR(__xludf.DUMMYFUNCTION("""COMPUTED_VALUE"""),"8300120х6,5 см.")</f>
        <v>8300120х6,5 см.</v>
      </c>
      <c r="G1878" s="165">
        <f>IFERROR(__xludf.DUMMYFUNCTION("""COMPUTED_VALUE"""),337.0)</f>
        <v>337</v>
      </c>
    </row>
    <row r="1879" ht="15.75" customHeight="1">
      <c r="A1879" s="133">
        <f>IFERROR(__xludf.DUMMYFUNCTION("""COMPUTED_VALUE"""),900013.0)</f>
        <v>900013</v>
      </c>
      <c r="B1879" s="164">
        <f>IFERROR(__xludf.DUMMYFUNCTION("""COMPUTED_VALUE"""),1.0058815E7)</f>
        <v>10058815</v>
      </c>
      <c r="C1879" s="164" t="str">
        <f>IFERROR(__xludf.DUMMYFUNCTION("""COMPUTED_VALUE"""),"100588150")</f>
        <v>100588150</v>
      </c>
      <c r="D1879" s="133" t="str">
        <f>IFERROR(__xludf.DUMMYFUNCTION("""COMPUTED_VALUE"""),"Плед с оленями")</f>
        <v>Плед с оленями</v>
      </c>
      <c r="E1879" s="133">
        <f>IFERROR(__xludf.DUMMYFUNCTION("""COMPUTED_VALUE"""),0.0)</f>
        <v>0</v>
      </c>
      <c r="F1879" s="133">
        <f>IFERROR(__xludf.DUMMYFUNCTION("""COMPUTED_VALUE"""),9000130.0)</f>
        <v>9000130</v>
      </c>
      <c r="G1879" s="165">
        <f>IFERROR(__xludf.DUMMYFUNCTION("""COMPUTED_VALUE"""),1273.0)</f>
        <v>1273</v>
      </c>
    </row>
    <row r="1880" ht="15.75" customHeight="1">
      <c r="A1880" s="133">
        <f>IFERROR(__xludf.DUMMYFUNCTION("""COMPUTED_VALUE"""),900014.0)</f>
        <v>900014</v>
      </c>
      <c r="B1880" s="164">
        <f>IFERROR(__xludf.DUMMYFUNCTION("""COMPUTED_VALUE"""),1.0058816E7)</f>
        <v>10058816</v>
      </c>
      <c r="C1880" s="164" t="str">
        <f>IFERROR(__xludf.DUMMYFUNCTION("""COMPUTED_VALUE"""),"100588160")</f>
        <v>100588160</v>
      </c>
      <c r="D1880" s="133" t="str">
        <f>IFERROR(__xludf.DUMMYFUNCTION("""COMPUTED_VALUE"""),"Плед с оленями")</f>
        <v>Плед с оленями</v>
      </c>
      <c r="E1880" s="133">
        <f>IFERROR(__xludf.DUMMYFUNCTION("""COMPUTED_VALUE"""),0.0)</f>
        <v>0</v>
      </c>
      <c r="F1880" s="133">
        <f>IFERROR(__xludf.DUMMYFUNCTION("""COMPUTED_VALUE"""),9000140.0)</f>
        <v>9000140</v>
      </c>
      <c r="G1880" s="165">
        <f>IFERROR(__xludf.DUMMYFUNCTION("""COMPUTED_VALUE"""),1273.0)</f>
        <v>1273</v>
      </c>
    </row>
    <row r="1881" ht="15.75" customHeight="1">
      <c r="A1881" s="133">
        <f>IFERROR(__xludf.DUMMYFUNCTION("""COMPUTED_VALUE"""),900016.0)</f>
        <v>900016</v>
      </c>
      <c r="B1881" s="164">
        <f>IFERROR(__xludf.DUMMYFUNCTION("""COMPUTED_VALUE"""),1.0058817E7)</f>
        <v>10058817</v>
      </c>
      <c r="C1881" s="164" t="str">
        <f>IFERROR(__xludf.DUMMYFUNCTION("""COMPUTED_VALUE"""),"100588170")</f>
        <v>100588170</v>
      </c>
      <c r="D1881" s="133" t="str">
        <f>IFERROR(__xludf.DUMMYFUNCTION("""COMPUTED_VALUE"""),"Плед с оленями")</f>
        <v>Плед с оленями</v>
      </c>
      <c r="E1881" s="133">
        <f>IFERROR(__xludf.DUMMYFUNCTION("""COMPUTED_VALUE"""),0.0)</f>
        <v>0</v>
      </c>
      <c r="F1881" s="133">
        <f>IFERROR(__xludf.DUMMYFUNCTION("""COMPUTED_VALUE"""),9000160.0)</f>
        <v>9000160</v>
      </c>
      <c r="G1881" s="165">
        <f>IFERROR(__xludf.DUMMYFUNCTION("""COMPUTED_VALUE"""),1273.0)</f>
        <v>1273</v>
      </c>
    </row>
    <row r="1882" ht="15.75" customHeight="1">
      <c r="A1882" s="133">
        <f>IFERROR(__xludf.DUMMYFUNCTION("""COMPUTED_VALUE"""),900017.0)</f>
        <v>900017</v>
      </c>
      <c r="B1882" s="164">
        <f>IFERROR(__xludf.DUMMYFUNCTION("""COMPUTED_VALUE"""),1.0058818E7)</f>
        <v>10058818</v>
      </c>
      <c r="C1882" s="164" t="str">
        <f>IFERROR(__xludf.DUMMYFUNCTION("""COMPUTED_VALUE"""),"100588180")</f>
        <v>100588180</v>
      </c>
      <c r="D1882" s="133" t="str">
        <f>IFERROR(__xludf.DUMMYFUNCTION("""COMPUTED_VALUE"""),"Плед с оленями")</f>
        <v>Плед с оленями</v>
      </c>
      <c r="E1882" s="133">
        <f>IFERROR(__xludf.DUMMYFUNCTION("""COMPUTED_VALUE"""),0.0)</f>
        <v>0</v>
      </c>
      <c r="F1882" s="133">
        <f>IFERROR(__xludf.DUMMYFUNCTION("""COMPUTED_VALUE"""),9000170.0)</f>
        <v>9000170</v>
      </c>
      <c r="G1882" s="165">
        <f>IFERROR(__xludf.DUMMYFUNCTION("""COMPUTED_VALUE"""),1273.0)</f>
        <v>1273</v>
      </c>
    </row>
    <row r="1883" ht="15.75" customHeight="1">
      <c r="A1883" s="133">
        <f>IFERROR(__xludf.DUMMYFUNCTION("""COMPUTED_VALUE"""),900018.0)</f>
        <v>900018</v>
      </c>
      <c r="B1883" s="164">
        <f>IFERROR(__xludf.DUMMYFUNCTION("""COMPUTED_VALUE"""),1.0058819E7)</f>
        <v>10058819</v>
      </c>
      <c r="C1883" s="164" t="str">
        <f>IFERROR(__xludf.DUMMYFUNCTION("""COMPUTED_VALUE"""),"100588190")</f>
        <v>100588190</v>
      </c>
      <c r="D1883" s="133" t="str">
        <f>IFERROR(__xludf.DUMMYFUNCTION("""COMPUTED_VALUE"""),"Плед с совами")</f>
        <v>Плед с совами</v>
      </c>
      <c r="E1883" s="133">
        <f>IFERROR(__xludf.DUMMYFUNCTION("""COMPUTED_VALUE"""),0.0)</f>
        <v>0</v>
      </c>
      <c r="F1883" s="133">
        <f>IFERROR(__xludf.DUMMYFUNCTION("""COMPUTED_VALUE"""),9000180.0)</f>
        <v>9000180</v>
      </c>
      <c r="G1883" s="165">
        <f>IFERROR(__xludf.DUMMYFUNCTION("""COMPUTED_VALUE"""),1273.0)</f>
        <v>1273</v>
      </c>
    </row>
    <row r="1884" ht="15.75" customHeight="1">
      <c r="A1884" s="133">
        <f>IFERROR(__xludf.DUMMYFUNCTION("""COMPUTED_VALUE"""),900019.0)</f>
        <v>900019</v>
      </c>
      <c r="B1884" s="164">
        <f>IFERROR(__xludf.DUMMYFUNCTION("""COMPUTED_VALUE"""),1.005882E7)</f>
        <v>10058820</v>
      </c>
      <c r="C1884" s="164" t="str">
        <f>IFERROR(__xludf.DUMMYFUNCTION("""COMPUTED_VALUE"""),"100588200")</f>
        <v>100588200</v>
      </c>
      <c r="D1884" s="133" t="str">
        <f>IFERROR(__xludf.DUMMYFUNCTION("""COMPUTED_VALUE"""),"Плед с оленями")</f>
        <v>Плед с оленями</v>
      </c>
      <c r="E1884" s="133">
        <f>IFERROR(__xludf.DUMMYFUNCTION("""COMPUTED_VALUE"""),0.0)</f>
        <v>0</v>
      </c>
      <c r="F1884" s="133">
        <f>IFERROR(__xludf.DUMMYFUNCTION("""COMPUTED_VALUE"""),9000190.0)</f>
        <v>9000190</v>
      </c>
      <c r="G1884" s="165">
        <f>IFERROR(__xludf.DUMMYFUNCTION("""COMPUTED_VALUE"""),1273.0)</f>
        <v>1273</v>
      </c>
    </row>
    <row r="1885" ht="15.75" customHeight="1">
      <c r="A1885" s="133">
        <f>IFERROR(__xludf.DUMMYFUNCTION("""COMPUTED_VALUE"""),900020.0)</f>
        <v>900020</v>
      </c>
      <c r="B1885" s="164">
        <f>IFERROR(__xludf.DUMMYFUNCTION("""COMPUTED_VALUE"""),1.0058821E7)</f>
        <v>10058821</v>
      </c>
      <c r="C1885" s="164" t="str">
        <f>IFERROR(__xludf.DUMMYFUNCTION("""COMPUTED_VALUE"""),"100588210")</f>
        <v>100588210</v>
      </c>
      <c r="D1885" s="133" t="str">
        <f>IFERROR(__xludf.DUMMYFUNCTION("""COMPUTED_VALUE"""),"Плед с совами")</f>
        <v>Плед с совами</v>
      </c>
      <c r="E1885" s="133">
        <f>IFERROR(__xludf.DUMMYFUNCTION("""COMPUTED_VALUE"""),0.0)</f>
        <v>0</v>
      </c>
      <c r="F1885" s="133">
        <f>IFERROR(__xludf.DUMMYFUNCTION("""COMPUTED_VALUE"""),9000200.0)</f>
        <v>9000200</v>
      </c>
      <c r="G1885" s="165">
        <f>IFERROR(__xludf.DUMMYFUNCTION("""COMPUTED_VALUE"""),1273.0)</f>
        <v>1273</v>
      </c>
    </row>
    <row r="1886" ht="15.75" customHeight="1">
      <c r="A1886" s="133">
        <f>IFERROR(__xludf.DUMMYFUNCTION("""COMPUTED_VALUE"""),900021.0)</f>
        <v>900021</v>
      </c>
      <c r="B1886" s="164">
        <f>IFERROR(__xludf.DUMMYFUNCTION("""COMPUTED_VALUE"""),1.0058822E7)</f>
        <v>10058822</v>
      </c>
      <c r="C1886" s="164" t="str">
        <f>IFERROR(__xludf.DUMMYFUNCTION("""COMPUTED_VALUE"""),"100588220")</f>
        <v>100588220</v>
      </c>
      <c r="D1886" s="133" t="str">
        <f>IFERROR(__xludf.DUMMYFUNCTION("""COMPUTED_VALUE"""),"Плед с совами")</f>
        <v>Плед с совами</v>
      </c>
      <c r="E1886" s="133">
        <f>IFERROR(__xludf.DUMMYFUNCTION("""COMPUTED_VALUE"""),0.0)</f>
        <v>0</v>
      </c>
      <c r="F1886" s="133">
        <f>IFERROR(__xludf.DUMMYFUNCTION("""COMPUTED_VALUE"""),9000210.0)</f>
        <v>9000210</v>
      </c>
      <c r="G1886" s="165">
        <f>IFERROR(__xludf.DUMMYFUNCTION("""COMPUTED_VALUE"""),1273.0)</f>
        <v>1273</v>
      </c>
    </row>
    <row r="1887" ht="15.75" customHeight="1">
      <c r="A1887" s="133">
        <f>IFERROR(__xludf.DUMMYFUNCTION("""COMPUTED_VALUE"""),900022.0)</f>
        <v>900022</v>
      </c>
      <c r="B1887" s="164">
        <f>IFERROR(__xludf.DUMMYFUNCTION("""COMPUTED_VALUE"""),1.0058823E7)</f>
        <v>10058823</v>
      </c>
      <c r="C1887" s="164" t="str">
        <f>IFERROR(__xludf.DUMMYFUNCTION("""COMPUTED_VALUE"""),"100588230")</f>
        <v>100588230</v>
      </c>
      <c r="D1887" s="133" t="str">
        <f>IFERROR(__xludf.DUMMYFUNCTION("""COMPUTED_VALUE"""),"Плед с совами")</f>
        <v>Плед с совами</v>
      </c>
      <c r="E1887" s="133">
        <f>IFERROR(__xludf.DUMMYFUNCTION("""COMPUTED_VALUE"""),0.0)</f>
        <v>0</v>
      </c>
      <c r="F1887" s="133">
        <f>IFERROR(__xludf.DUMMYFUNCTION("""COMPUTED_VALUE"""),9000220.0)</f>
        <v>9000220</v>
      </c>
      <c r="G1887" s="165">
        <f>IFERROR(__xludf.DUMMYFUNCTION("""COMPUTED_VALUE"""),1273.0)</f>
        <v>1273</v>
      </c>
    </row>
    <row r="1888" ht="15.75" customHeight="1">
      <c r="A1888" s="133">
        <f>IFERROR(__xludf.DUMMYFUNCTION("""COMPUTED_VALUE"""),900023.0)</f>
        <v>900023</v>
      </c>
      <c r="B1888" s="164">
        <f>IFERROR(__xludf.DUMMYFUNCTION("""COMPUTED_VALUE"""),1.0058824E7)</f>
        <v>10058824</v>
      </c>
      <c r="C1888" s="164" t="str">
        <f>IFERROR(__xludf.DUMMYFUNCTION("""COMPUTED_VALUE"""),"100588240")</f>
        <v>100588240</v>
      </c>
      <c r="D1888" s="133" t="str">
        <f>IFERROR(__xludf.DUMMYFUNCTION("""COMPUTED_VALUE"""),"Плед с совами")</f>
        <v>Плед с совами</v>
      </c>
      <c r="E1888" s="133">
        <f>IFERROR(__xludf.DUMMYFUNCTION("""COMPUTED_VALUE"""),0.0)</f>
        <v>0</v>
      </c>
      <c r="F1888" s="133">
        <f>IFERROR(__xludf.DUMMYFUNCTION("""COMPUTED_VALUE"""),9000230.0)</f>
        <v>9000230</v>
      </c>
      <c r="G1888" s="165">
        <f>IFERROR(__xludf.DUMMYFUNCTION("""COMPUTED_VALUE"""),1273.0)</f>
        <v>1273</v>
      </c>
    </row>
    <row r="1889" ht="15.75" customHeight="1">
      <c r="A1889" s="133" t="str">
        <f>IFERROR(__xludf.DUMMYFUNCTION("""COMPUTED_VALUE"""),"PW10056")</f>
        <v>PW10056</v>
      </c>
      <c r="B1889" s="164">
        <f>IFERROR(__xludf.DUMMYFUNCTION("""COMPUTED_VALUE"""),1.0288138E7)</f>
        <v>10288138</v>
      </c>
      <c r="C1889" s="164" t="str">
        <f>IFERROR(__xludf.DUMMYFUNCTION("""COMPUTED_VALUE"""),"10288138XXS")</f>
        <v>10288138XXS</v>
      </c>
      <c r="D1889" s="133" t="str">
        <f>IFERROR(__xludf.DUMMYFUNCTION("""COMPUTED_VALUE"""),"Пижама")</f>
        <v>Пижама</v>
      </c>
      <c r="E1889" s="133" t="str">
        <f>IFERROR(__xludf.DUMMYFUNCTION("""COMPUTED_VALUE"""),"XXS")</f>
        <v>XXS</v>
      </c>
      <c r="F1889" s="133" t="str">
        <f>IFERROR(__xludf.DUMMYFUNCTION("""COMPUTED_VALUE"""),"PW10056XXS")</f>
        <v>PW10056XXS</v>
      </c>
      <c r="G1889" s="165">
        <f>IFERROR(__xludf.DUMMYFUNCTION("""COMPUTED_VALUE"""),1293.0)</f>
        <v>1293</v>
      </c>
    </row>
    <row r="1890" ht="15.75" customHeight="1">
      <c r="A1890" s="133" t="str">
        <f>IFERROR(__xludf.DUMMYFUNCTION("""COMPUTED_VALUE"""),"PW10056")</f>
        <v>PW10056</v>
      </c>
      <c r="B1890" s="164">
        <f>IFERROR(__xludf.DUMMYFUNCTION("""COMPUTED_VALUE"""),1.0288138E7)</f>
        <v>10288138</v>
      </c>
      <c r="C1890" s="164" t="str">
        <f>IFERROR(__xludf.DUMMYFUNCTION("""COMPUTED_VALUE"""),"10288138XS")</f>
        <v>10288138XS</v>
      </c>
      <c r="D1890" s="133" t="str">
        <f>IFERROR(__xludf.DUMMYFUNCTION("""COMPUTED_VALUE"""),"Пижама")</f>
        <v>Пижама</v>
      </c>
      <c r="E1890" s="133" t="str">
        <f>IFERROR(__xludf.DUMMYFUNCTION("""COMPUTED_VALUE"""),"XS")</f>
        <v>XS</v>
      </c>
      <c r="F1890" s="133" t="str">
        <f>IFERROR(__xludf.DUMMYFUNCTION("""COMPUTED_VALUE"""),"PW10056XS")</f>
        <v>PW10056XS</v>
      </c>
      <c r="G1890" s="165">
        <f>IFERROR(__xludf.DUMMYFUNCTION("""COMPUTED_VALUE"""),1293.0)</f>
        <v>1293</v>
      </c>
    </row>
    <row r="1891" ht="15.75" customHeight="1">
      <c r="A1891" s="133" t="str">
        <f>IFERROR(__xludf.DUMMYFUNCTION("""COMPUTED_VALUE"""),"PW10056")</f>
        <v>PW10056</v>
      </c>
      <c r="B1891" s="164">
        <f>IFERROR(__xludf.DUMMYFUNCTION("""COMPUTED_VALUE"""),1.0288138E7)</f>
        <v>10288138</v>
      </c>
      <c r="C1891" s="164" t="str">
        <f>IFERROR(__xludf.DUMMYFUNCTION("""COMPUTED_VALUE"""),"10288138S")</f>
        <v>10288138S</v>
      </c>
      <c r="D1891" s="133" t="str">
        <f>IFERROR(__xludf.DUMMYFUNCTION("""COMPUTED_VALUE"""),"Пижама")</f>
        <v>Пижама</v>
      </c>
      <c r="E1891" s="133" t="str">
        <f>IFERROR(__xludf.DUMMYFUNCTION("""COMPUTED_VALUE"""),"S")</f>
        <v>S</v>
      </c>
      <c r="F1891" s="133" t="str">
        <f>IFERROR(__xludf.DUMMYFUNCTION("""COMPUTED_VALUE"""),"PW10056S")</f>
        <v>PW10056S</v>
      </c>
      <c r="G1891" s="165">
        <f>IFERROR(__xludf.DUMMYFUNCTION("""COMPUTED_VALUE"""),1293.0)</f>
        <v>1293</v>
      </c>
    </row>
    <row r="1892" ht="15.75" customHeight="1">
      <c r="A1892" s="133" t="str">
        <f>IFERROR(__xludf.DUMMYFUNCTION("""COMPUTED_VALUE"""),"PW10056")</f>
        <v>PW10056</v>
      </c>
      <c r="B1892" s="164">
        <f>IFERROR(__xludf.DUMMYFUNCTION("""COMPUTED_VALUE"""),1.0288138E7)</f>
        <v>10288138</v>
      </c>
      <c r="C1892" s="164" t="str">
        <f>IFERROR(__xludf.DUMMYFUNCTION("""COMPUTED_VALUE"""),"10288138M")</f>
        <v>10288138M</v>
      </c>
      <c r="D1892" s="133" t="str">
        <f>IFERROR(__xludf.DUMMYFUNCTION("""COMPUTED_VALUE"""),"Пижама")</f>
        <v>Пижама</v>
      </c>
      <c r="E1892" s="133" t="str">
        <f>IFERROR(__xludf.DUMMYFUNCTION("""COMPUTED_VALUE"""),"M")</f>
        <v>M</v>
      </c>
      <c r="F1892" s="133" t="str">
        <f>IFERROR(__xludf.DUMMYFUNCTION("""COMPUTED_VALUE"""),"PW10056M")</f>
        <v>PW10056M</v>
      </c>
      <c r="G1892" s="165">
        <f>IFERROR(__xludf.DUMMYFUNCTION("""COMPUTED_VALUE"""),1293.0)</f>
        <v>1293</v>
      </c>
    </row>
    <row r="1893" ht="15.75" customHeight="1">
      <c r="A1893" s="133" t="str">
        <f>IFERROR(__xludf.DUMMYFUNCTION("""COMPUTED_VALUE"""),"PW10056")</f>
        <v>PW10056</v>
      </c>
      <c r="B1893" s="164">
        <f>IFERROR(__xludf.DUMMYFUNCTION("""COMPUTED_VALUE"""),1.0288138E7)</f>
        <v>10288138</v>
      </c>
      <c r="C1893" s="164" t="str">
        <f>IFERROR(__xludf.DUMMYFUNCTION("""COMPUTED_VALUE"""),"10288138L")</f>
        <v>10288138L</v>
      </c>
      <c r="D1893" s="133" t="str">
        <f>IFERROR(__xludf.DUMMYFUNCTION("""COMPUTED_VALUE"""),"Пижама")</f>
        <v>Пижама</v>
      </c>
      <c r="E1893" s="133" t="str">
        <f>IFERROR(__xludf.DUMMYFUNCTION("""COMPUTED_VALUE"""),"L")</f>
        <v>L</v>
      </c>
      <c r="F1893" s="133" t="str">
        <f>IFERROR(__xludf.DUMMYFUNCTION("""COMPUTED_VALUE"""),"PW10056L")</f>
        <v>PW10056L</v>
      </c>
      <c r="G1893" s="165">
        <f>IFERROR(__xludf.DUMMYFUNCTION("""COMPUTED_VALUE"""),1293.0)</f>
        <v>1293</v>
      </c>
    </row>
    <row r="1894" ht="15.75" customHeight="1">
      <c r="A1894" s="133" t="str">
        <f>IFERROR(__xludf.DUMMYFUNCTION("""COMPUTED_VALUE"""),"PW10056")</f>
        <v>PW10056</v>
      </c>
      <c r="B1894" s="164">
        <f>IFERROR(__xludf.DUMMYFUNCTION("""COMPUTED_VALUE"""),1.0288138E7)</f>
        <v>10288138</v>
      </c>
      <c r="C1894" s="164" t="str">
        <f>IFERROR(__xludf.DUMMYFUNCTION("""COMPUTED_VALUE"""),"10288138XL")</f>
        <v>10288138XL</v>
      </c>
      <c r="D1894" s="133" t="str">
        <f>IFERROR(__xludf.DUMMYFUNCTION("""COMPUTED_VALUE"""),"Пижама")</f>
        <v>Пижама</v>
      </c>
      <c r="E1894" s="133" t="str">
        <f>IFERROR(__xludf.DUMMYFUNCTION("""COMPUTED_VALUE"""),"XL")</f>
        <v>XL</v>
      </c>
      <c r="F1894" s="133" t="str">
        <f>IFERROR(__xludf.DUMMYFUNCTION("""COMPUTED_VALUE"""),"PW10056XL")</f>
        <v>PW10056XL</v>
      </c>
      <c r="G1894" s="165">
        <f>IFERROR(__xludf.DUMMYFUNCTION("""COMPUTED_VALUE"""),1293.0)</f>
        <v>1293</v>
      </c>
    </row>
    <row r="1895" ht="15.75" customHeight="1">
      <c r="A1895" s="133" t="str">
        <f>IFERROR(__xludf.DUMMYFUNCTION("""COMPUTED_VALUE"""),"PW10057")</f>
        <v>PW10057</v>
      </c>
      <c r="B1895" s="164">
        <f>IFERROR(__xludf.DUMMYFUNCTION("""COMPUTED_VALUE"""),1.0288139E7)</f>
        <v>10288139</v>
      </c>
      <c r="C1895" s="164" t="str">
        <f>IFERROR(__xludf.DUMMYFUNCTION("""COMPUTED_VALUE"""),"10288139XXS")</f>
        <v>10288139XXS</v>
      </c>
      <c r="D1895" s="133" t="str">
        <f>IFERROR(__xludf.DUMMYFUNCTION("""COMPUTED_VALUE"""),"Пижама")</f>
        <v>Пижама</v>
      </c>
      <c r="E1895" s="133" t="str">
        <f>IFERROR(__xludf.DUMMYFUNCTION("""COMPUTED_VALUE"""),"XXS")</f>
        <v>XXS</v>
      </c>
      <c r="F1895" s="133" t="str">
        <f>IFERROR(__xludf.DUMMYFUNCTION("""COMPUTED_VALUE"""),"PW10057XXS")</f>
        <v>PW10057XXS</v>
      </c>
      <c r="G1895" s="165">
        <f>IFERROR(__xludf.DUMMYFUNCTION("""COMPUTED_VALUE"""),1293.0)</f>
        <v>1293</v>
      </c>
    </row>
    <row r="1896" ht="15.75" customHeight="1">
      <c r="A1896" s="133" t="str">
        <f>IFERROR(__xludf.DUMMYFUNCTION("""COMPUTED_VALUE"""),"PW10057")</f>
        <v>PW10057</v>
      </c>
      <c r="B1896" s="164">
        <f>IFERROR(__xludf.DUMMYFUNCTION("""COMPUTED_VALUE"""),1.0288139E7)</f>
        <v>10288139</v>
      </c>
      <c r="C1896" s="164" t="str">
        <f>IFERROR(__xludf.DUMMYFUNCTION("""COMPUTED_VALUE"""),"10288139XS")</f>
        <v>10288139XS</v>
      </c>
      <c r="D1896" s="133" t="str">
        <f>IFERROR(__xludf.DUMMYFUNCTION("""COMPUTED_VALUE"""),"Пижама")</f>
        <v>Пижама</v>
      </c>
      <c r="E1896" s="133" t="str">
        <f>IFERROR(__xludf.DUMMYFUNCTION("""COMPUTED_VALUE"""),"XS")</f>
        <v>XS</v>
      </c>
      <c r="F1896" s="133" t="str">
        <f>IFERROR(__xludf.DUMMYFUNCTION("""COMPUTED_VALUE"""),"PW10057XS")</f>
        <v>PW10057XS</v>
      </c>
      <c r="G1896" s="165">
        <f>IFERROR(__xludf.DUMMYFUNCTION("""COMPUTED_VALUE"""),1293.0)</f>
        <v>1293</v>
      </c>
    </row>
    <row r="1897" ht="15.75" customHeight="1">
      <c r="A1897" s="133" t="str">
        <f>IFERROR(__xludf.DUMMYFUNCTION("""COMPUTED_VALUE"""),"PW10057")</f>
        <v>PW10057</v>
      </c>
      <c r="B1897" s="164">
        <f>IFERROR(__xludf.DUMMYFUNCTION("""COMPUTED_VALUE"""),1.0288139E7)</f>
        <v>10288139</v>
      </c>
      <c r="C1897" s="164" t="str">
        <f>IFERROR(__xludf.DUMMYFUNCTION("""COMPUTED_VALUE"""),"10288139S")</f>
        <v>10288139S</v>
      </c>
      <c r="D1897" s="133" t="str">
        <f>IFERROR(__xludf.DUMMYFUNCTION("""COMPUTED_VALUE"""),"Пижама")</f>
        <v>Пижама</v>
      </c>
      <c r="E1897" s="133" t="str">
        <f>IFERROR(__xludf.DUMMYFUNCTION("""COMPUTED_VALUE"""),"S")</f>
        <v>S</v>
      </c>
      <c r="F1897" s="133" t="str">
        <f>IFERROR(__xludf.DUMMYFUNCTION("""COMPUTED_VALUE"""),"PW10057S")</f>
        <v>PW10057S</v>
      </c>
      <c r="G1897" s="165">
        <f>IFERROR(__xludf.DUMMYFUNCTION("""COMPUTED_VALUE"""),1293.0)</f>
        <v>1293</v>
      </c>
    </row>
    <row r="1898" ht="15.75" customHeight="1">
      <c r="A1898" s="133" t="str">
        <f>IFERROR(__xludf.DUMMYFUNCTION("""COMPUTED_VALUE"""),"PW10057")</f>
        <v>PW10057</v>
      </c>
      <c r="B1898" s="164">
        <f>IFERROR(__xludf.DUMMYFUNCTION("""COMPUTED_VALUE"""),1.0288139E7)</f>
        <v>10288139</v>
      </c>
      <c r="C1898" s="164" t="str">
        <f>IFERROR(__xludf.DUMMYFUNCTION("""COMPUTED_VALUE"""),"10288139M")</f>
        <v>10288139M</v>
      </c>
      <c r="D1898" s="133" t="str">
        <f>IFERROR(__xludf.DUMMYFUNCTION("""COMPUTED_VALUE"""),"Пижама")</f>
        <v>Пижама</v>
      </c>
      <c r="E1898" s="133" t="str">
        <f>IFERROR(__xludf.DUMMYFUNCTION("""COMPUTED_VALUE"""),"M")</f>
        <v>M</v>
      </c>
      <c r="F1898" s="133" t="str">
        <f>IFERROR(__xludf.DUMMYFUNCTION("""COMPUTED_VALUE"""),"PW10057M")</f>
        <v>PW10057M</v>
      </c>
      <c r="G1898" s="165">
        <f>IFERROR(__xludf.DUMMYFUNCTION("""COMPUTED_VALUE"""),1293.0)</f>
        <v>1293</v>
      </c>
    </row>
    <row r="1899" ht="15.75" customHeight="1">
      <c r="A1899" s="133" t="str">
        <f>IFERROR(__xludf.DUMMYFUNCTION("""COMPUTED_VALUE"""),"PW10057")</f>
        <v>PW10057</v>
      </c>
      <c r="B1899" s="164">
        <f>IFERROR(__xludf.DUMMYFUNCTION("""COMPUTED_VALUE"""),1.0288139E7)</f>
        <v>10288139</v>
      </c>
      <c r="C1899" s="164" t="str">
        <f>IFERROR(__xludf.DUMMYFUNCTION("""COMPUTED_VALUE"""),"10288139L")</f>
        <v>10288139L</v>
      </c>
      <c r="D1899" s="133" t="str">
        <f>IFERROR(__xludf.DUMMYFUNCTION("""COMPUTED_VALUE"""),"Пижама")</f>
        <v>Пижама</v>
      </c>
      <c r="E1899" s="133" t="str">
        <f>IFERROR(__xludf.DUMMYFUNCTION("""COMPUTED_VALUE"""),"L")</f>
        <v>L</v>
      </c>
      <c r="F1899" s="133" t="str">
        <f>IFERROR(__xludf.DUMMYFUNCTION("""COMPUTED_VALUE"""),"PW10057L")</f>
        <v>PW10057L</v>
      </c>
      <c r="G1899" s="165">
        <f>IFERROR(__xludf.DUMMYFUNCTION("""COMPUTED_VALUE"""),1293.0)</f>
        <v>1293</v>
      </c>
    </row>
    <row r="1900" ht="15.75" customHeight="1">
      <c r="A1900" s="133" t="str">
        <f>IFERROR(__xludf.DUMMYFUNCTION("""COMPUTED_VALUE"""),"PW10057")</f>
        <v>PW10057</v>
      </c>
      <c r="B1900" s="164">
        <f>IFERROR(__xludf.DUMMYFUNCTION("""COMPUTED_VALUE"""),1.0288139E7)</f>
        <v>10288139</v>
      </c>
      <c r="C1900" s="164" t="str">
        <f>IFERROR(__xludf.DUMMYFUNCTION("""COMPUTED_VALUE"""),"10288139XL")</f>
        <v>10288139XL</v>
      </c>
      <c r="D1900" s="133" t="str">
        <f>IFERROR(__xludf.DUMMYFUNCTION("""COMPUTED_VALUE"""),"Пижама")</f>
        <v>Пижама</v>
      </c>
      <c r="E1900" s="133" t="str">
        <f>IFERROR(__xludf.DUMMYFUNCTION("""COMPUTED_VALUE"""),"XL")</f>
        <v>XL</v>
      </c>
      <c r="F1900" s="133" t="str">
        <f>IFERROR(__xludf.DUMMYFUNCTION("""COMPUTED_VALUE"""),"PW10057XL")</f>
        <v>PW10057XL</v>
      </c>
      <c r="G1900" s="165">
        <f>IFERROR(__xludf.DUMMYFUNCTION("""COMPUTED_VALUE"""),1293.0)</f>
        <v>1293</v>
      </c>
    </row>
    <row r="1901" ht="15.75" customHeight="1">
      <c r="A1901" s="133" t="str">
        <f>IFERROR(__xludf.DUMMYFUNCTION("""COMPUTED_VALUE"""),"PW10058")</f>
        <v>PW10058</v>
      </c>
      <c r="B1901" s="164">
        <f>IFERROR(__xludf.DUMMYFUNCTION("""COMPUTED_VALUE"""),1.028814E7)</f>
        <v>10288140</v>
      </c>
      <c r="C1901" s="164" t="str">
        <f>IFERROR(__xludf.DUMMYFUNCTION("""COMPUTED_VALUE"""),"10288140XXS")</f>
        <v>10288140XXS</v>
      </c>
      <c r="D1901" s="133" t="str">
        <f>IFERROR(__xludf.DUMMYFUNCTION("""COMPUTED_VALUE"""),"Пижама")</f>
        <v>Пижама</v>
      </c>
      <c r="E1901" s="133" t="str">
        <f>IFERROR(__xludf.DUMMYFUNCTION("""COMPUTED_VALUE"""),"XXS")</f>
        <v>XXS</v>
      </c>
      <c r="F1901" s="133" t="str">
        <f>IFERROR(__xludf.DUMMYFUNCTION("""COMPUTED_VALUE"""),"PW10058XXS")</f>
        <v>PW10058XXS</v>
      </c>
      <c r="G1901" s="165">
        <f>IFERROR(__xludf.DUMMYFUNCTION("""COMPUTED_VALUE"""),1293.0)</f>
        <v>1293</v>
      </c>
    </row>
    <row r="1902" ht="15.75" customHeight="1">
      <c r="A1902" s="133" t="str">
        <f>IFERROR(__xludf.DUMMYFUNCTION("""COMPUTED_VALUE"""),"PW10058")</f>
        <v>PW10058</v>
      </c>
      <c r="B1902" s="164">
        <f>IFERROR(__xludf.DUMMYFUNCTION("""COMPUTED_VALUE"""),1.028814E7)</f>
        <v>10288140</v>
      </c>
      <c r="C1902" s="164" t="str">
        <f>IFERROR(__xludf.DUMMYFUNCTION("""COMPUTED_VALUE"""),"10288140XS")</f>
        <v>10288140XS</v>
      </c>
      <c r="D1902" s="133" t="str">
        <f>IFERROR(__xludf.DUMMYFUNCTION("""COMPUTED_VALUE"""),"Пижама")</f>
        <v>Пижама</v>
      </c>
      <c r="E1902" s="133" t="str">
        <f>IFERROR(__xludf.DUMMYFUNCTION("""COMPUTED_VALUE"""),"XS")</f>
        <v>XS</v>
      </c>
      <c r="F1902" s="133" t="str">
        <f>IFERROR(__xludf.DUMMYFUNCTION("""COMPUTED_VALUE"""),"PW10058XS")</f>
        <v>PW10058XS</v>
      </c>
      <c r="G1902" s="165">
        <f>IFERROR(__xludf.DUMMYFUNCTION("""COMPUTED_VALUE"""),1293.0)</f>
        <v>1293</v>
      </c>
    </row>
    <row r="1903" ht="15.75" customHeight="1">
      <c r="A1903" s="133" t="str">
        <f>IFERROR(__xludf.DUMMYFUNCTION("""COMPUTED_VALUE"""),"PW10058")</f>
        <v>PW10058</v>
      </c>
      <c r="B1903" s="164">
        <f>IFERROR(__xludf.DUMMYFUNCTION("""COMPUTED_VALUE"""),1.028814E7)</f>
        <v>10288140</v>
      </c>
      <c r="C1903" s="164" t="str">
        <f>IFERROR(__xludf.DUMMYFUNCTION("""COMPUTED_VALUE"""),"10288140S")</f>
        <v>10288140S</v>
      </c>
      <c r="D1903" s="133" t="str">
        <f>IFERROR(__xludf.DUMMYFUNCTION("""COMPUTED_VALUE"""),"Пижама")</f>
        <v>Пижама</v>
      </c>
      <c r="E1903" s="133" t="str">
        <f>IFERROR(__xludf.DUMMYFUNCTION("""COMPUTED_VALUE"""),"S")</f>
        <v>S</v>
      </c>
      <c r="F1903" s="133" t="str">
        <f>IFERROR(__xludf.DUMMYFUNCTION("""COMPUTED_VALUE"""),"PW10058S")</f>
        <v>PW10058S</v>
      </c>
      <c r="G1903" s="165">
        <f>IFERROR(__xludf.DUMMYFUNCTION("""COMPUTED_VALUE"""),1293.0)</f>
        <v>1293</v>
      </c>
    </row>
    <row r="1904" ht="15.75" customHeight="1">
      <c r="A1904" s="133" t="str">
        <f>IFERROR(__xludf.DUMMYFUNCTION("""COMPUTED_VALUE"""),"PW10058")</f>
        <v>PW10058</v>
      </c>
      <c r="B1904" s="164">
        <f>IFERROR(__xludf.DUMMYFUNCTION("""COMPUTED_VALUE"""),1.028814E7)</f>
        <v>10288140</v>
      </c>
      <c r="C1904" s="164" t="str">
        <f>IFERROR(__xludf.DUMMYFUNCTION("""COMPUTED_VALUE"""),"10288140M")</f>
        <v>10288140M</v>
      </c>
      <c r="D1904" s="133" t="str">
        <f>IFERROR(__xludf.DUMMYFUNCTION("""COMPUTED_VALUE"""),"Пижама")</f>
        <v>Пижама</v>
      </c>
      <c r="E1904" s="133" t="str">
        <f>IFERROR(__xludf.DUMMYFUNCTION("""COMPUTED_VALUE"""),"M")</f>
        <v>M</v>
      </c>
      <c r="F1904" s="133" t="str">
        <f>IFERROR(__xludf.DUMMYFUNCTION("""COMPUTED_VALUE"""),"PW10058M")</f>
        <v>PW10058M</v>
      </c>
      <c r="G1904" s="165">
        <f>IFERROR(__xludf.DUMMYFUNCTION("""COMPUTED_VALUE"""),1293.0)</f>
        <v>1293</v>
      </c>
    </row>
    <row r="1905" ht="15.75" customHeight="1">
      <c r="A1905" s="133" t="str">
        <f>IFERROR(__xludf.DUMMYFUNCTION("""COMPUTED_VALUE"""),"PW10058")</f>
        <v>PW10058</v>
      </c>
      <c r="B1905" s="164">
        <f>IFERROR(__xludf.DUMMYFUNCTION("""COMPUTED_VALUE"""),1.028814E7)</f>
        <v>10288140</v>
      </c>
      <c r="C1905" s="164" t="str">
        <f>IFERROR(__xludf.DUMMYFUNCTION("""COMPUTED_VALUE"""),"10288140L")</f>
        <v>10288140L</v>
      </c>
      <c r="D1905" s="133" t="str">
        <f>IFERROR(__xludf.DUMMYFUNCTION("""COMPUTED_VALUE"""),"Пижама")</f>
        <v>Пижама</v>
      </c>
      <c r="E1905" s="133" t="str">
        <f>IFERROR(__xludf.DUMMYFUNCTION("""COMPUTED_VALUE"""),"L")</f>
        <v>L</v>
      </c>
      <c r="F1905" s="133" t="str">
        <f>IFERROR(__xludf.DUMMYFUNCTION("""COMPUTED_VALUE"""),"PW10058L")</f>
        <v>PW10058L</v>
      </c>
      <c r="G1905" s="165">
        <f>IFERROR(__xludf.DUMMYFUNCTION("""COMPUTED_VALUE"""),1293.0)</f>
        <v>1293</v>
      </c>
    </row>
    <row r="1906" ht="15.75" customHeight="1">
      <c r="A1906" s="133" t="str">
        <f>IFERROR(__xludf.DUMMYFUNCTION("""COMPUTED_VALUE"""),"PW10058")</f>
        <v>PW10058</v>
      </c>
      <c r="B1906" s="164">
        <f>IFERROR(__xludf.DUMMYFUNCTION("""COMPUTED_VALUE"""),1.028814E7)</f>
        <v>10288140</v>
      </c>
      <c r="C1906" s="164" t="str">
        <f>IFERROR(__xludf.DUMMYFUNCTION("""COMPUTED_VALUE"""),"10288140XL")</f>
        <v>10288140XL</v>
      </c>
      <c r="D1906" s="133" t="str">
        <f>IFERROR(__xludf.DUMMYFUNCTION("""COMPUTED_VALUE"""),"Пижама")</f>
        <v>Пижама</v>
      </c>
      <c r="E1906" s="133" t="str">
        <f>IFERROR(__xludf.DUMMYFUNCTION("""COMPUTED_VALUE"""),"XL")</f>
        <v>XL</v>
      </c>
      <c r="F1906" s="133" t="str">
        <f>IFERROR(__xludf.DUMMYFUNCTION("""COMPUTED_VALUE"""),"PW10058XL")</f>
        <v>PW10058XL</v>
      </c>
      <c r="G1906" s="165">
        <f>IFERROR(__xludf.DUMMYFUNCTION("""COMPUTED_VALUE"""),1293.0)</f>
        <v>1293</v>
      </c>
    </row>
    <row r="1907" ht="15.75" customHeight="1">
      <c r="A1907" s="133" t="str">
        <f>IFERROR(__xludf.DUMMYFUNCTION("""COMPUTED_VALUE"""),"PW10059")</f>
        <v>PW10059</v>
      </c>
      <c r="B1907" s="164">
        <f>IFERROR(__xludf.DUMMYFUNCTION("""COMPUTED_VALUE"""),1.0288141E7)</f>
        <v>10288141</v>
      </c>
      <c r="C1907" s="164" t="str">
        <f>IFERROR(__xludf.DUMMYFUNCTION("""COMPUTED_VALUE"""),"10288141XXS")</f>
        <v>10288141XXS</v>
      </c>
      <c r="D1907" s="133" t="str">
        <f>IFERROR(__xludf.DUMMYFUNCTION("""COMPUTED_VALUE"""),"Пижама")</f>
        <v>Пижама</v>
      </c>
      <c r="E1907" s="133" t="str">
        <f>IFERROR(__xludf.DUMMYFUNCTION("""COMPUTED_VALUE"""),"XXS")</f>
        <v>XXS</v>
      </c>
      <c r="F1907" s="133" t="str">
        <f>IFERROR(__xludf.DUMMYFUNCTION("""COMPUTED_VALUE"""),"PW10059XXS")</f>
        <v>PW10059XXS</v>
      </c>
      <c r="G1907" s="165">
        <f>IFERROR(__xludf.DUMMYFUNCTION("""COMPUTED_VALUE"""),1293.0)</f>
        <v>1293</v>
      </c>
    </row>
    <row r="1908" ht="15.75" customHeight="1">
      <c r="A1908" s="133" t="str">
        <f>IFERROR(__xludf.DUMMYFUNCTION("""COMPUTED_VALUE"""),"PW10059")</f>
        <v>PW10059</v>
      </c>
      <c r="B1908" s="164">
        <f>IFERROR(__xludf.DUMMYFUNCTION("""COMPUTED_VALUE"""),1.0288141E7)</f>
        <v>10288141</v>
      </c>
      <c r="C1908" s="164" t="str">
        <f>IFERROR(__xludf.DUMMYFUNCTION("""COMPUTED_VALUE"""),"10288141XS")</f>
        <v>10288141XS</v>
      </c>
      <c r="D1908" s="133" t="str">
        <f>IFERROR(__xludf.DUMMYFUNCTION("""COMPUTED_VALUE"""),"Пижама")</f>
        <v>Пижама</v>
      </c>
      <c r="E1908" s="133" t="str">
        <f>IFERROR(__xludf.DUMMYFUNCTION("""COMPUTED_VALUE"""),"XS")</f>
        <v>XS</v>
      </c>
      <c r="F1908" s="133" t="str">
        <f>IFERROR(__xludf.DUMMYFUNCTION("""COMPUTED_VALUE"""),"PW10059XS")</f>
        <v>PW10059XS</v>
      </c>
      <c r="G1908" s="165">
        <f>IFERROR(__xludf.DUMMYFUNCTION("""COMPUTED_VALUE"""),1293.0)</f>
        <v>1293</v>
      </c>
    </row>
    <row r="1909" ht="15.75" customHeight="1">
      <c r="A1909" s="133" t="str">
        <f>IFERROR(__xludf.DUMMYFUNCTION("""COMPUTED_VALUE"""),"PW10059")</f>
        <v>PW10059</v>
      </c>
      <c r="B1909" s="164">
        <f>IFERROR(__xludf.DUMMYFUNCTION("""COMPUTED_VALUE"""),1.0288141E7)</f>
        <v>10288141</v>
      </c>
      <c r="C1909" s="164" t="str">
        <f>IFERROR(__xludf.DUMMYFUNCTION("""COMPUTED_VALUE"""),"10288141S")</f>
        <v>10288141S</v>
      </c>
      <c r="D1909" s="133" t="str">
        <f>IFERROR(__xludf.DUMMYFUNCTION("""COMPUTED_VALUE"""),"Пижама")</f>
        <v>Пижама</v>
      </c>
      <c r="E1909" s="133" t="str">
        <f>IFERROR(__xludf.DUMMYFUNCTION("""COMPUTED_VALUE"""),"S")</f>
        <v>S</v>
      </c>
      <c r="F1909" s="133" t="str">
        <f>IFERROR(__xludf.DUMMYFUNCTION("""COMPUTED_VALUE"""),"PW10059S")</f>
        <v>PW10059S</v>
      </c>
      <c r="G1909" s="165">
        <f>IFERROR(__xludf.DUMMYFUNCTION("""COMPUTED_VALUE"""),1293.0)</f>
        <v>1293</v>
      </c>
    </row>
    <row r="1910" ht="15.75" customHeight="1">
      <c r="A1910" s="133" t="str">
        <f>IFERROR(__xludf.DUMMYFUNCTION("""COMPUTED_VALUE"""),"PW10059")</f>
        <v>PW10059</v>
      </c>
      <c r="B1910" s="164">
        <f>IFERROR(__xludf.DUMMYFUNCTION("""COMPUTED_VALUE"""),1.0288141E7)</f>
        <v>10288141</v>
      </c>
      <c r="C1910" s="164" t="str">
        <f>IFERROR(__xludf.DUMMYFUNCTION("""COMPUTED_VALUE"""),"10288141M")</f>
        <v>10288141M</v>
      </c>
      <c r="D1910" s="133" t="str">
        <f>IFERROR(__xludf.DUMMYFUNCTION("""COMPUTED_VALUE"""),"Пижама")</f>
        <v>Пижама</v>
      </c>
      <c r="E1910" s="133" t="str">
        <f>IFERROR(__xludf.DUMMYFUNCTION("""COMPUTED_VALUE"""),"M")</f>
        <v>M</v>
      </c>
      <c r="F1910" s="133" t="str">
        <f>IFERROR(__xludf.DUMMYFUNCTION("""COMPUTED_VALUE"""),"PW10059M")</f>
        <v>PW10059M</v>
      </c>
      <c r="G1910" s="165">
        <f>IFERROR(__xludf.DUMMYFUNCTION("""COMPUTED_VALUE"""),1293.0)</f>
        <v>1293</v>
      </c>
    </row>
    <row r="1911" ht="15.75" customHeight="1">
      <c r="A1911" s="133" t="str">
        <f>IFERROR(__xludf.DUMMYFUNCTION("""COMPUTED_VALUE"""),"PW10059")</f>
        <v>PW10059</v>
      </c>
      <c r="B1911" s="164">
        <f>IFERROR(__xludf.DUMMYFUNCTION("""COMPUTED_VALUE"""),1.0288141E7)</f>
        <v>10288141</v>
      </c>
      <c r="C1911" s="164" t="str">
        <f>IFERROR(__xludf.DUMMYFUNCTION("""COMPUTED_VALUE"""),"10288141L")</f>
        <v>10288141L</v>
      </c>
      <c r="D1911" s="133" t="str">
        <f>IFERROR(__xludf.DUMMYFUNCTION("""COMPUTED_VALUE"""),"Пижама")</f>
        <v>Пижама</v>
      </c>
      <c r="E1911" s="133" t="str">
        <f>IFERROR(__xludf.DUMMYFUNCTION("""COMPUTED_VALUE"""),"L")</f>
        <v>L</v>
      </c>
      <c r="F1911" s="133" t="str">
        <f>IFERROR(__xludf.DUMMYFUNCTION("""COMPUTED_VALUE"""),"PW10059L")</f>
        <v>PW10059L</v>
      </c>
      <c r="G1911" s="165">
        <f>IFERROR(__xludf.DUMMYFUNCTION("""COMPUTED_VALUE"""),1293.0)</f>
        <v>1293</v>
      </c>
    </row>
    <row r="1912" ht="15.75" customHeight="1">
      <c r="A1912" s="133" t="str">
        <f>IFERROR(__xludf.DUMMYFUNCTION("""COMPUTED_VALUE"""),"PW10059")</f>
        <v>PW10059</v>
      </c>
      <c r="B1912" s="164">
        <f>IFERROR(__xludf.DUMMYFUNCTION("""COMPUTED_VALUE"""),1.0288141E7)</f>
        <v>10288141</v>
      </c>
      <c r="C1912" s="164" t="str">
        <f>IFERROR(__xludf.DUMMYFUNCTION("""COMPUTED_VALUE"""),"10288141XL")</f>
        <v>10288141XL</v>
      </c>
      <c r="D1912" s="133" t="str">
        <f>IFERROR(__xludf.DUMMYFUNCTION("""COMPUTED_VALUE"""),"Пижама")</f>
        <v>Пижама</v>
      </c>
      <c r="E1912" s="133" t="str">
        <f>IFERROR(__xludf.DUMMYFUNCTION("""COMPUTED_VALUE"""),"XL")</f>
        <v>XL</v>
      </c>
      <c r="F1912" s="133" t="str">
        <f>IFERROR(__xludf.DUMMYFUNCTION("""COMPUTED_VALUE"""),"PW10059XL")</f>
        <v>PW10059XL</v>
      </c>
      <c r="G1912" s="165">
        <f>IFERROR(__xludf.DUMMYFUNCTION("""COMPUTED_VALUE"""),1293.0)</f>
        <v>1293</v>
      </c>
    </row>
    <row r="1913" ht="15.75" customHeight="1">
      <c r="A1913" s="133" t="str">
        <f>IFERROR(__xludf.DUMMYFUNCTION("""COMPUTED_VALUE"""),"PW10060")</f>
        <v>PW10060</v>
      </c>
      <c r="B1913" s="164">
        <f>IFERROR(__xludf.DUMMYFUNCTION("""COMPUTED_VALUE"""),1.0288142E7)</f>
        <v>10288142</v>
      </c>
      <c r="C1913" s="164" t="str">
        <f>IFERROR(__xludf.DUMMYFUNCTION("""COMPUTED_VALUE"""),"10288142XXS")</f>
        <v>10288142XXS</v>
      </c>
      <c r="D1913" s="133" t="str">
        <f>IFERROR(__xludf.DUMMYFUNCTION("""COMPUTED_VALUE"""),"Пижама")</f>
        <v>Пижама</v>
      </c>
      <c r="E1913" s="133" t="str">
        <f>IFERROR(__xludf.DUMMYFUNCTION("""COMPUTED_VALUE"""),"XXS")</f>
        <v>XXS</v>
      </c>
      <c r="F1913" s="133" t="str">
        <f>IFERROR(__xludf.DUMMYFUNCTION("""COMPUTED_VALUE"""),"PW10060XXS")</f>
        <v>PW10060XXS</v>
      </c>
      <c r="G1913" s="165">
        <f>IFERROR(__xludf.DUMMYFUNCTION("""COMPUTED_VALUE"""),1293.0)</f>
        <v>1293</v>
      </c>
    </row>
    <row r="1914" ht="15.75" customHeight="1">
      <c r="A1914" s="133" t="str">
        <f>IFERROR(__xludf.DUMMYFUNCTION("""COMPUTED_VALUE"""),"PW10060")</f>
        <v>PW10060</v>
      </c>
      <c r="B1914" s="164">
        <f>IFERROR(__xludf.DUMMYFUNCTION("""COMPUTED_VALUE"""),1.0288142E7)</f>
        <v>10288142</v>
      </c>
      <c r="C1914" s="164" t="str">
        <f>IFERROR(__xludf.DUMMYFUNCTION("""COMPUTED_VALUE"""),"10288142XS")</f>
        <v>10288142XS</v>
      </c>
      <c r="D1914" s="133" t="str">
        <f>IFERROR(__xludf.DUMMYFUNCTION("""COMPUTED_VALUE"""),"Пижама")</f>
        <v>Пижама</v>
      </c>
      <c r="E1914" s="133" t="str">
        <f>IFERROR(__xludf.DUMMYFUNCTION("""COMPUTED_VALUE"""),"XS")</f>
        <v>XS</v>
      </c>
      <c r="F1914" s="133" t="str">
        <f>IFERROR(__xludf.DUMMYFUNCTION("""COMPUTED_VALUE"""),"PW10060XS")</f>
        <v>PW10060XS</v>
      </c>
      <c r="G1914" s="165">
        <f>IFERROR(__xludf.DUMMYFUNCTION("""COMPUTED_VALUE"""),1293.0)</f>
        <v>1293</v>
      </c>
    </row>
    <row r="1915" ht="15.75" customHeight="1">
      <c r="A1915" s="133" t="str">
        <f>IFERROR(__xludf.DUMMYFUNCTION("""COMPUTED_VALUE"""),"PW10060")</f>
        <v>PW10060</v>
      </c>
      <c r="B1915" s="164">
        <f>IFERROR(__xludf.DUMMYFUNCTION("""COMPUTED_VALUE"""),1.0288142E7)</f>
        <v>10288142</v>
      </c>
      <c r="C1915" s="164" t="str">
        <f>IFERROR(__xludf.DUMMYFUNCTION("""COMPUTED_VALUE"""),"10288142S")</f>
        <v>10288142S</v>
      </c>
      <c r="D1915" s="133" t="str">
        <f>IFERROR(__xludf.DUMMYFUNCTION("""COMPUTED_VALUE"""),"Пижама")</f>
        <v>Пижама</v>
      </c>
      <c r="E1915" s="133" t="str">
        <f>IFERROR(__xludf.DUMMYFUNCTION("""COMPUTED_VALUE"""),"S")</f>
        <v>S</v>
      </c>
      <c r="F1915" s="133" t="str">
        <f>IFERROR(__xludf.DUMMYFUNCTION("""COMPUTED_VALUE"""),"PW10060S")</f>
        <v>PW10060S</v>
      </c>
      <c r="G1915" s="165">
        <f>IFERROR(__xludf.DUMMYFUNCTION("""COMPUTED_VALUE"""),1293.0)</f>
        <v>1293</v>
      </c>
    </row>
    <row r="1916" ht="15.75" customHeight="1">
      <c r="A1916" s="133" t="str">
        <f>IFERROR(__xludf.DUMMYFUNCTION("""COMPUTED_VALUE"""),"PW10060")</f>
        <v>PW10060</v>
      </c>
      <c r="B1916" s="164">
        <f>IFERROR(__xludf.DUMMYFUNCTION("""COMPUTED_VALUE"""),1.0288142E7)</f>
        <v>10288142</v>
      </c>
      <c r="C1916" s="164" t="str">
        <f>IFERROR(__xludf.DUMMYFUNCTION("""COMPUTED_VALUE"""),"10288142M")</f>
        <v>10288142M</v>
      </c>
      <c r="D1916" s="133" t="str">
        <f>IFERROR(__xludf.DUMMYFUNCTION("""COMPUTED_VALUE"""),"Пижама")</f>
        <v>Пижама</v>
      </c>
      <c r="E1916" s="133" t="str">
        <f>IFERROR(__xludf.DUMMYFUNCTION("""COMPUTED_VALUE"""),"M")</f>
        <v>M</v>
      </c>
      <c r="F1916" s="133" t="str">
        <f>IFERROR(__xludf.DUMMYFUNCTION("""COMPUTED_VALUE"""),"PW10060M")</f>
        <v>PW10060M</v>
      </c>
      <c r="G1916" s="165">
        <f>IFERROR(__xludf.DUMMYFUNCTION("""COMPUTED_VALUE"""),1293.0)</f>
        <v>1293</v>
      </c>
    </row>
    <row r="1917" ht="15.75" customHeight="1">
      <c r="A1917" s="133" t="str">
        <f>IFERROR(__xludf.DUMMYFUNCTION("""COMPUTED_VALUE"""),"PW10060")</f>
        <v>PW10060</v>
      </c>
      <c r="B1917" s="164">
        <f>IFERROR(__xludf.DUMMYFUNCTION("""COMPUTED_VALUE"""),1.0288142E7)</f>
        <v>10288142</v>
      </c>
      <c r="C1917" s="164" t="str">
        <f>IFERROR(__xludf.DUMMYFUNCTION("""COMPUTED_VALUE"""),"10288142L")</f>
        <v>10288142L</v>
      </c>
      <c r="D1917" s="133" t="str">
        <f>IFERROR(__xludf.DUMMYFUNCTION("""COMPUTED_VALUE"""),"Пижама")</f>
        <v>Пижама</v>
      </c>
      <c r="E1917" s="133" t="str">
        <f>IFERROR(__xludf.DUMMYFUNCTION("""COMPUTED_VALUE"""),"L")</f>
        <v>L</v>
      </c>
      <c r="F1917" s="133" t="str">
        <f>IFERROR(__xludf.DUMMYFUNCTION("""COMPUTED_VALUE"""),"PW10060L")</f>
        <v>PW10060L</v>
      </c>
      <c r="G1917" s="165">
        <f>IFERROR(__xludf.DUMMYFUNCTION("""COMPUTED_VALUE"""),1293.0)</f>
        <v>1293</v>
      </c>
    </row>
    <row r="1918" ht="15.75" customHeight="1">
      <c r="A1918" s="133" t="str">
        <f>IFERROR(__xludf.DUMMYFUNCTION("""COMPUTED_VALUE"""),"PW10060")</f>
        <v>PW10060</v>
      </c>
      <c r="B1918" s="164">
        <f>IFERROR(__xludf.DUMMYFUNCTION("""COMPUTED_VALUE"""),1.0288142E7)</f>
        <v>10288142</v>
      </c>
      <c r="C1918" s="164" t="str">
        <f>IFERROR(__xludf.DUMMYFUNCTION("""COMPUTED_VALUE"""),"10288142XL")</f>
        <v>10288142XL</v>
      </c>
      <c r="D1918" s="133" t="str">
        <f>IFERROR(__xludf.DUMMYFUNCTION("""COMPUTED_VALUE"""),"Пижама")</f>
        <v>Пижама</v>
      </c>
      <c r="E1918" s="133" t="str">
        <f>IFERROR(__xludf.DUMMYFUNCTION("""COMPUTED_VALUE"""),"XL")</f>
        <v>XL</v>
      </c>
      <c r="F1918" s="133" t="str">
        <f>IFERROR(__xludf.DUMMYFUNCTION("""COMPUTED_VALUE"""),"PW10060XL")</f>
        <v>PW10060XL</v>
      </c>
      <c r="G1918" s="165">
        <f>IFERROR(__xludf.DUMMYFUNCTION("""COMPUTED_VALUE"""),1293.0)</f>
        <v>1293</v>
      </c>
    </row>
    <row r="1919" ht="15.75" customHeight="1">
      <c r="A1919" s="133" t="str">
        <f>IFERROR(__xludf.DUMMYFUNCTION("""COMPUTED_VALUE"""),"PW10061")</f>
        <v>PW10061</v>
      </c>
      <c r="B1919" s="164">
        <f>IFERROR(__xludf.DUMMYFUNCTION("""COMPUTED_VALUE"""),1.0288143E7)</f>
        <v>10288143</v>
      </c>
      <c r="C1919" s="164" t="str">
        <f>IFERROR(__xludf.DUMMYFUNCTION("""COMPUTED_VALUE"""),"10288143XXS")</f>
        <v>10288143XXS</v>
      </c>
      <c r="D1919" s="133" t="str">
        <f>IFERROR(__xludf.DUMMYFUNCTION("""COMPUTED_VALUE"""),"Пижама")</f>
        <v>Пижама</v>
      </c>
      <c r="E1919" s="133" t="str">
        <f>IFERROR(__xludf.DUMMYFUNCTION("""COMPUTED_VALUE"""),"XXS")</f>
        <v>XXS</v>
      </c>
      <c r="F1919" s="133" t="str">
        <f>IFERROR(__xludf.DUMMYFUNCTION("""COMPUTED_VALUE"""),"PW10061XXS")</f>
        <v>PW10061XXS</v>
      </c>
      <c r="G1919" s="165">
        <f>IFERROR(__xludf.DUMMYFUNCTION("""COMPUTED_VALUE"""),1293.0)</f>
        <v>1293</v>
      </c>
    </row>
    <row r="1920" ht="15.75" customHeight="1">
      <c r="A1920" s="133" t="str">
        <f>IFERROR(__xludf.DUMMYFUNCTION("""COMPUTED_VALUE"""),"PW10061")</f>
        <v>PW10061</v>
      </c>
      <c r="B1920" s="164">
        <f>IFERROR(__xludf.DUMMYFUNCTION("""COMPUTED_VALUE"""),1.0288143E7)</f>
        <v>10288143</v>
      </c>
      <c r="C1920" s="164" t="str">
        <f>IFERROR(__xludf.DUMMYFUNCTION("""COMPUTED_VALUE"""),"10288143XS")</f>
        <v>10288143XS</v>
      </c>
      <c r="D1920" s="133" t="str">
        <f>IFERROR(__xludf.DUMMYFUNCTION("""COMPUTED_VALUE"""),"Пижама")</f>
        <v>Пижама</v>
      </c>
      <c r="E1920" s="133" t="str">
        <f>IFERROR(__xludf.DUMMYFUNCTION("""COMPUTED_VALUE"""),"XS")</f>
        <v>XS</v>
      </c>
      <c r="F1920" s="133" t="str">
        <f>IFERROR(__xludf.DUMMYFUNCTION("""COMPUTED_VALUE"""),"PW10061XS")</f>
        <v>PW10061XS</v>
      </c>
      <c r="G1920" s="165">
        <f>IFERROR(__xludf.DUMMYFUNCTION("""COMPUTED_VALUE"""),1293.0)</f>
        <v>1293</v>
      </c>
    </row>
    <row r="1921" ht="15.75" customHeight="1">
      <c r="A1921" s="133" t="str">
        <f>IFERROR(__xludf.DUMMYFUNCTION("""COMPUTED_VALUE"""),"PW10061")</f>
        <v>PW10061</v>
      </c>
      <c r="B1921" s="164">
        <f>IFERROR(__xludf.DUMMYFUNCTION("""COMPUTED_VALUE"""),1.0288143E7)</f>
        <v>10288143</v>
      </c>
      <c r="C1921" s="164" t="str">
        <f>IFERROR(__xludf.DUMMYFUNCTION("""COMPUTED_VALUE"""),"10288143S")</f>
        <v>10288143S</v>
      </c>
      <c r="D1921" s="133" t="str">
        <f>IFERROR(__xludf.DUMMYFUNCTION("""COMPUTED_VALUE"""),"Пижама")</f>
        <v>Пижама</v>
      </c>
      <c r="E1921" s="133" t="str">
        <f>IFERROR(__xludf.DUMMYFUNCTION("""COMPUTED_VALUE"""),"S")</f>
        <v>S</v>
      </c>
      <c r="F1921" s="133" t="str">
        <f>IFERROR(__xludf.DUMMYFUNCTION("""COMPUTED_VALUE"""),"PW10061S")</f>
        <v>PW10061S</v>
      </c>
      <c r="G1921" s="165">
        <f>IFERROR(__xludf.DUMMYFUNCTION("""COMPUTED_VALUE"""),1293.0)</f>
        <v>1293</v>
      </c>
    </row>
    <row r="1922" ht="15.75" customHeight="1">
      <c r="A1922" s="133" t="str">
        <f>IFERROR(__xludf.DUMMYFUNCTION("""COMPUTED_VALUE"""),"PW10061")</f>
        <v>PW10061</v>
      </c>
      <c r="B1922" s="164">
        <f>IFERROR(__xludf.DUMMYFUNCTION("""COMPUTED_VALUE"""),1.0288143E7)</f>
        <v>10288143</v>
      </c>
      <c r="C1922" s="164" t="str">
        <f>IFERROR(__xludf.DUMMYFUNCTION("""COMPUTED_VALUE"""),"10288143M")</f>
        <v>10288143M</v>
      </c>
      <c r="D1922" s="133" t="str">
        <f>IFERROR(__xludf.DUMMYFUNCTION("""COMPUTED_VALUE"""),"Пижама")</f>
        <v>Пижама</v>
      </c>
      <c r="E1922" s="133" t="str">
        <f>IFERROR(__xludf.DUMMYFUNCTION("""COMPUTED_VALUE"""),"M")</f>
        <v>M</v>
      </c>
      <c r="F1922" s="133" t="str">
        <f>IFERROR(__xludf.DUMMYFUNCTION("""COMPUTED_VALUE"""),"PW10061M")</f>
        <v>PW10061M</v>
      </c>
      <c r="G1922" s="165">
        <f>IFERROR(__xludf.DUMMYFUNCTION("""COMPUTED_VALUE"""),1293.0)</f>
        <v>1293</v>
      </c>
    </row>
    <row r="1923" ht="15.75" customHeight="1">
      <c r="A1923" s="133" t="str">
        <f>IFERROR(__xludf.DUMMYFUNCTION("""COMPUTED_VALUE"""),"PW10061")</f>
        <v>PW10061</v>
      </c>
      <c r="B1923" s="164">
        <f>IFERROR(__xludf.DUMMYFUNCTION("""COMPUTED_VALUE"""),1.0288143E7)</f>
        <v>10288143</v>
      </c>
      <c r="C1923" s="164" t="str">
        <f>IFERROR(__xludf.DUMMYFUNCTION("""COMPUTED_VALUE"""),"10288143L")</f>
        <v>10288143L</v>
      </c>
      <c r="D1923" s="133" t="str">
        <f>IFERROR(__xludf.DUMMYFUNCTION("""COMPUTED_VALUE"""),"Пижама")</f>
        <v>Пижама</v>
      </c>
      <c r="E1923" s="133" t="str">
        <f>IFERROR(__xludf.DUMMYFUNCTION("""COMPUTED_VALUE"""),"L")</f>
        <v>L</v>
      </c>
      <c r="F1923" s="133" t="str">
        <f>IFERROR(__xludf.DUMMYFUNCTION("""COMPUTED_VALUE"""),"PW10061L")</f>
        <v>PW10061L</v>
      </c>
      <c r="G1923" s="165">
        <f>IFERROR(__xludf.DUMMYFUNCTION("""COMPUTED_VALUE"""),1293.0)</f>
        <v>1293</v>
      </c>
    </row>
    <row r="1924" ht="15.75" customHeight="1">
      <c r="A1924" s="133" t="str">
        <f>IFERROR(__xludf.DUMMYFUNCTION("""COMPUTED_VALUE"""),"PW10061")</f>
        <v>PW10061</v>
      </c>
      <c r="B1924" s="164">
        <f>IFERROR(__xludf.DUMMYFUNCTION("""COMPUTED_VALUE"""),1.0288143E7)</f>
        <v>10288143</v>
      </c>
      <c r="C1924" s="164" t="str">
        <f>IFERROR(__xludf.DUMMYFUNCTION("""COMPUTED_VALUE"""),"10288143XL")</f>
        <v>10288143XL</v>
      </c>
      <c r="D1924" s="133" t="str">
        <f>IFERROR(__xludf.DUMMYFUNCTION("""COMPUTED_VALUE"""),"Пижама")</f>
        <v>Пижама</v>
      </c>
      <c r="E1924" s="133" t="str">
        <f>IFERROR(__xludf.DUMMYFUNCTION("""COMPUTED_VALUE"""),"XL")</f>
        <v>XL</v>
      </c>
      <c r="F1924" s="133" t="str">
        <f>IFERROR(__xludf.DUMMYFUNCTION("""COMPUTED_VALUE"""),"PW10061XL")</f>
        <v>PW10061XL</v>
      </c>
      <c r="G1924" s="165">
        <f>IFERROR(__xludf.DUMMYFUNCTION("""COMPUTED_VALUE"""),1293.0)</f>
        <v>1293</v>
      </c>
    </row>
    <row r="1925" ht="15.75" customHeight="1">
      <c r="A1925" s="133" t="str">
        <f>IFERROR(__xludf.DUMMYFUNCTION("""COMPUTED_VALUE"""),"PW10062")</f>
        <v>PW10062</v>
      </c>
      <c r="B1925" s="164">
        <f>IFERROR(__xludf.DUMMYFUNCTION("""COMPUTED_VALUE"""),1.0288144E7)</f>
        <v>10288144</v>
      </c>
      <c r="C1925" s="164" t="str">
        <f>IFERROR(__xludf.DUMMYFUNCTION("""COMPUTED_VALUE"""),"10288144XXS")</f>
        <v>10288144XXS</v>
      </c>
      <c r="D1925" s="133" t="str">
        <f>IFERROR(__xludf.DUMMYFUNCTION("""COMPUTED_VALUE"""),"Пижама")</f>
        <v>Пижама</v>
      </c>
      <c r="E1925" s="133" t="str">
        <f>IFERROR(__xludf.DUMMYFUNCTION("""COMPUTED_VALUE"""),"XXS")</f>
        <v>XXS</v>
      </c>
      <c r="F1925" s="133" t="str">
        <f>IFERROR(__xludf.DUMMYFUNCTION("""COMPUTED_VALUE"""),"PW10062XXS")</f>
        <v>PW10062XXS</v>
      </c>
      <c r="G1925" s="165">
        <f>IFERROR(__xludf.DUMMYFUNCTION("""COMPUTED_VALUE"""),1293.0)</f>
        <v>1293</v>
      </c>
    </row>
    <row r="1926" ht="15.75" customHeight="1">
      <c r="A1926" s="133" t="str">
        <f>IFERROR(__xludf.DUMMYFUNCTION("""COMPUTED_VALUE"""),"PW10062")</f>
        <v>PW10062</v>
      </c>
      <c r="B1926" s="164">
        <f>IFERROR(__xludf.DUMMYFUNCTION("""COMPUTED_VALUE"""),1.0288144E7)</f>
        <v>10288144</v>
      </c>
      <c r="C1926" s="164" t="str">
        <f>IFERROR(__xludf.DUMMYFUNCTION("""COMPUTED_VALUE"""),"10288144XS")</f>
        <v>10288144XS</v>
      </c>
      <c r="D1926" s="133" t="str">
        <f>IFERROR(__xludf.DUMMYFUNCTION("""COMPUTED_VALUE"""),"Пижама")</f>
        <v>Пижама</v>
      </c>
      <c r="E1926" s="133" t="str">
        <f>IFERROR(__xludf.DUMMYFUNCTION("""COMPUTED_VALUE"""),"XS")</f>
        <v>XS</v>
      </c>
      <c r="F1926" s="133" t="str">
        <f>IFERROR(__xludf.DUMMYFUNCTION("""COMPUTED_VALUE"""),"PW10062XS")</f>
        <v>PW10062XS</v>
      </c>
      <c r="G1926" s="165">
        <f>IFERROR(__xludf.DUMMYFUNCTION("""COMPUTED_VALUE"""),1293.0)</f>
        <v>1293</v>
      </c>
    </row>
    <row r="1927" ht="15.75" customHeight="1">
      <c r="A1927" s="133" t="str">
        <f>IFERROR(__xludf.DUMMYFUNCTION("""COMPUTED_VALUE"""),"PW10062")</f>
        <v>PW10062</v>
      </c>
      <c r="B1927" s="164">
        <f>IFERROR(__xludf.DUMMYFUNCTION("""COMPUTED_VALUE"""),1.0288144E7)</f>
        <v>10288144</v>
      </c>
      <c r="C1927" s="164" t="str">
        <f>IFERROR(__xludf.DUMMYFUNCTION("""COMPUTED_VALUE"""),"10288144S")</f>
        <v>10288144S</v>
      </c>
      <c r="D1927" s="133" t="str">
        <f>IFERROR(__xludf.DUMMYFUNCTION("""COMPUTED_VALUE"""),"Пижама")</f>
        <v>Пижама</v>
      </c>
      <c r="E1927" s="133" t="str">
        <f>IFERROR(__xludf.DUMMYFUNCTION("""COMPUTED_VALUE"""),"S")</f>
        <v>S</v>
      </c>
      <c r="F1927" s="133" t="str">
        <f>IFERROR(__xludf.DUMMYFUNCTION("""COMPUTED_VALUE"""),"PW10062S")</f>
        <v>PW10062S</v>
      </c>
      <c r="G1927" s="165">
        <f>IFERROR(__xludf.DUMMYFUNCTION("""COMPUTED_VALUE"""),1293.0)</f>
        <v>1293</v>
      </c>
    </row>
    <row r="1928" ht="15.75" customHeight="1">
      <c r="A1928" s="133" t="str">
        <f>IFERROR(__xludf.DUMMYFUNCTION("""COMPUTED_VALUE"""),"PW10062")</f>
        <v>PW10062</v>
      </c>
      <c r="B1928" s="164">
        <f>IFERROR(__xludf.DUMMYFUNCTION("""COMPUTED_VALUE"""),1.0288144E7)</f>
        <v>10288144</v>
      </c>
      <c r="C1928" s="164" t="str">
        <f>IFERROR(__xludf.DUMMYFUNCTION("""COMPUTED_VALUE"""),"10288144M")</f>
        <v>10288144M</v>
      </c>
      <c r="D1928" s="133" t="str">
        <f>IFERROR(__xludf.DUMMYFUNCTION("""COMPUTED_VALUE"""),"Пижама")</f>
        <v>Пижама</v>
      </c>
      <c r="E1928" s="133" t="str">
        <f>IFERROR(__xludf.DUMMYFUNCTION("""COMPUTED_VALUE"""),"M")</f>
        <v>M</v>
      </c>
      <c r="F1928" s="133" t="str">
        <f>IFERROR(__xludf.DUMMYFUNCTION("""COMPUTED_VALUE"""),"PW10062M")</f>
        <v>PW10062M</v>
      </c>
      <c r="G1928" s="165">
        <f>IFERROR(__xludf.DUMMYFUNCTION("""COMPUTED_VALUE"""),1293.0)</f>
        <v>1293</v>
      </c>
    </row>
    <row r="1929" ht="15.75" customHeight="1">
      <c r="A1929" s="133" t="str">
        <f>IFERROR(__xludf.DUMMYFUNCTION("""COMPUTED_VALUE"""),"PW10062")</f>
        <v>PW10062</v>
      </c>
      <c r="B1929" s="164">
        <f>IFERROR(__xludf.DUMMYFUNCTION("""COMPUTED_VALUE"""),1.0288144E7)</f>
        <v>10288144</v>
      </c>
      <c r="C1929" s="164" t="str">
        <f>IFERROR(__xludf.DUMMYFUNCTION("""COMPUTED_VALUE"""),"10288144L")</f>
        <v>10288144L</v>
      </c>
      <c r="D1929" s="133" t="str">
        <f>IFERROR(__xludf.DUMMYFUNCTION("""COMPUTED_VALUE"""),"Пижама")</f>
        <v>Пижама</v>
      </c>
      <c r="E1929" s="133" t="str">
        <f>IFERROR(__xludf.DUMMYFUNCTION("""COMPUTED_VALUE"""),"L")</f>
        <v>L</v>
      </c>
      <c r="F1929" s="133" t="str">
        <f>IFERROR(__xludf.DUMMYFUNCTION("""COMPUTED_VALUE"""),"PW10062L")</f>
        <v>PW10062L</v>
      </c>
      <c r="G1929" s="165">
        <f>IFERROR(__xludf.DUMMYFUNCTION("""COMPUTED_VALUE"""),1293.0)</f>
        <v>1293</v>
      </c>
    </row>
    <row r="1930" ht="15.75" customHeight="1">
      <c r="A1930" s="133" t="str">
        <f>IFERROR(__xludf.DUMMYFUNCTION("""COMPUTED_VALUE"""),"PW10062")</f>
        <v>PW10062</v>
      </c>
      <c r="B1930" s="164">
        <f>IFERROR(__xludf.DUMMYFUNCTION("""COMPUTED_VALUE"""),1.0288144E7)</f>
        <v>10288144</v>
      </c>
      <c r="C1930" s="164" t="str">
        <f>IFERROR(__xludf.DUMMYFUNCTION("""COMPUTED_VALUE"""),"10288144XL")</f>
        <v>10288144XL</v>
      </c>
      <c r="D1930" s="133" t="str">
        <f>IFERROR(__xludf.DUMMYFUNCTION("""COMPUTED_VALUE"""),"Пижама")</f>
        <v>Пижама</v>
      </c>
      <c r="E1930" s="133" t="str">
        <f>IFERROR(__xludf.DUMMYFUNCTION("""COMPUTED_VALUE"""),"XL")</f>
        <v>XL</v>
      </c>
      <c r="F1930" s="133" t="str">
        <f>IFERROR(__xludf.DUMMYFUNCTION("""COMPUTED_VALUE"""),"PW10062XL")</f>
        <v>PW10062XL</v>
      </c>
      <c r="G1930" s="165">
        <f>IFERROR(__xludf.DUMMYFUNCTION("""COMPUTED_VALUE"""),1293.0)</f>
        <v>1293</v>
      </c>
    </row>
    <row r="1931" ht="15.75" customHeight="1">
      <c r="A1931" s="133" t="str">
        <f>IFERROR(__xludf.DUMMYFUNCTION("""COMPUTED_VALUE"""),"PW10063")</f>
        <v>PW10063</v>
      </c>
      <c r="B1931" s="164">
        <f>IFERROR(__xludf.DUMMYFUNCTION("""COMPUTED_VALUE"""),1.0288145E7)</f>
        <v>10288145</v>
      </c>
      <c r="C1931" s="164" t="str">
        <f>IFERROR(__xludf.DUMMYFUNCTION("""COMPUTED_VALUE"""),"10288145XXS")</f>
        <v>10288145XXS</v>
      </c>
      <c r="D1931" s="133" t="str">
        <f>IFERROR(__xludf.DUMMYFUNCTION("""COMPUTED_VALUE"""),"Пижама")</f>
        <v>Пижама</v>
      </c>
      <c r="E1931" s="133" t="str">
        <f>IFERROR(__xludf.DUMMYFUNCTION("""COMPUTED_VALUE"""),"XXS")</f>
        <v>XXS</v>
      </c>
      <c r="F1931" s="133" t="str">
        <f>IFERROR(__xludf.DUMMYFUNCTION("""COMPUTED_VALUE"""),"PW10063XXS")</f>
        <v>PW10063XXS</v>
      </c>
      <c r="G1931" s="165">
        <f>IFERROR(__xludf.DUMMYFUNCTION("""COMPUTED_VALUE"""),1293.0)</f>
        <v>1293</v>
      </c>
    </row>
    <row r="1932" ht="15.75" customHeight="1">
      <c r="A1932" s="133" t="str">
        <f>IFERROR(__xludf.DUMMYFUNCTION("""COMPUTED_VALUE"""),"PW10063")</f>
        <v>PW10063</v>
      </c>
      <c r="B1932" s="164">
        <f>IFERROR(__xludf.DUMMYFUNCTION("""COMPUTED_VALUE"""),1.0288145E7)</f>
        <v>10288145</v>
      </c>
      <c r="C1932" s="164" t="str">
        <f>IFERROR(__xludf.DUMMYFUNCTION("""COMPUTED_VALUE"""),"10288145XS")</f>
        <v>10288145XS</v>
      </c>
      <c r="D1932" s="133" t="str">
        <f>IFERROR(__xludf.DUMMYFUNCTION("""COMPUTED_VALUE"""),"Пижама")</f>
        <v>Пижама</v>
      </c>
      <c r="E1932" s="133" t="str">
        <f>IFERROR(__xludf.DUMMYFUNCTION("""COMPUTED_VALUE"""),"XS")</f>
        <v>XS</v>
      </c>
      <c r="F1932" s="133" t="str">
        <f>IFERROR(__xludf.DUMMYFUNCTION("""COMPUTED_VALUE"""),"PW10063XS")</f>
        <v>PW10063XS</v>
      </c>
      <c r="G1932" s="165">
        <f>IFERROR(__xludf.DUMMYFUNCTION("""COMPUTED_VALUE"""),1293.0)</f>
        <v>1293</v>
      </c>
    </row>
    <row r="1933" ht="15.75" customHeight="1">
      <c r="A1933" s="133" t="str">
        <f>IFERROR(__xludf.DUMMYFUNCTION("""COMPUTED_VALUE"""),"PW10063")</f>
        <v>PW10063</v>
      </c>
      <c r="B1933" s="164">
        <f>IFERROR(__xludf.DUMMYFUNCTION("""COMPUTED_VALUE"""),1.0288145E7)</f>
        <v>10288145</v>
      </c>
      <c r="C1933" s="164" t="str">
        <f>IFERROR(__xludf.DUMMYFUNCTION("""COMPUTED_VALUE"""),"10288145S")</f>
        <v>10288145S</v>
      </c>
      <c r="D1933" s="133" t="str">
        <f>IFERROR(__xludf.DUMMYFUNCTION("""COMPUTED_VALUE"""),"Пижама")</f>
        <v>Пижама</v>
      </c>
      <c r="E1933" s="133" t="str">
        <f>IFERROR(__xludf.DUMMYFUNCTION("""COMPUTED_VALUE"""),"S")</f>
        <v>S</v>
      </c>
      <c r="F1933" s="133" t="str">
        <f>IFERROR(__xludf.DUMMYFUNCTION("""COMPUTED_VALUE"""),"PW10063S")</f>
        <v>PW10063S</v>
      </c>
      <c r="G1933" s="165">
        <f>IFERROR(__xludf.DUMMYFUNCTION("""COMPUTED_VALUE"""),1293.0)</f>
        <v>1293</v>
      </c>
    </row>
    <row r="1934" ht="15.75" customHeight="1">
      <c r="A1934" s="133" t="str">
        <f>IFERROR(__xludf.DUMMYFUNCTION("""COMPUTED_VALUE"""),"PW10063")</f>
        <v>PW10063</v>
      </c>
      <c r="B1934" s="164">
        <f>IFERROR(__xludf.DUMMYFUNCTION("""COMPUTED_VALUE"""),1.0288145E7)</f>
        <v>10288145</v>
      </c>
      <c r="C1934" s="164" t="str">
        <f>IFERROR(__xludf.DUMMYFUNCTION("""COMPUTED_VALUE"""),"10288145M")</f>
        <v>10288145M</v>
      </c>
      <c r="D1934" s="133" t="str">
        <f>IFERROR(__xludf.DUMMYFUNCTION("""COMPUTED_VALUE"""),"Пижама")</f>
        <v>Пижама</v>
      </c>
      <c r="E1934" s="133" t="str">
        <f>IFERROR(__xludf.DUMMYFUNCTION("""COMPUTED_VALUE"""),"M")</f>
        <v>M</v>
      </c>
      <c r="F1934" s="133" t="str">
        <f>IFERROR(__xludf.DUMMYFUNCTION("""COMPUTED_VALUE"""),"PW10063M")</f>
        <v>PW10063M</v>
      </c>
      <c r="G1934" s="165">
        <f>IFERROR(__xludf.DUMMYFUNCTION("""COMPUTED_VALUE"""),1293.0)</f>
        <v>1293</v>
      </c>
    </row>
    <row r="1935" ht="15.75" customHeight="1">
      <c r="A1935" s="133" t="str">
        <f>IFERROR(__xludf.DUMMYFUNCTION("""COMPUTED_VALUE"""),"PW10063")</f>
        <v>PW10063</v>
      </c>
      <c r="B1935" s="164">
        <f>IFERROR(__xludf.DUMMYFUNCTION("""COMPUTED_VALUE"""),1.0288145E7)</f>
        <v>10288145</v>
      </c>
      <c r="C1935" s="164" t="str">
        <f>IFERROR(__xludf.DUMMYFUNCTION("""COMPUTED_VALUE"""),"10288145L")</f>
        <v>10288145L</v>
      </c>
      <c r="D1935" s="133" t="str">
        <f>IFERROR(__xludf.DUMMYFUNCTION("""COMPUTED_VALUE"""),"Пижама")</f>
        <v>Пижама</v>
      </c>
      <c r="E1935" s="133" t="str">
        <f>IFERROR(__xludf.DUMMYFUNCTION("""COMPUTED_VALUE"""),"L")</f>
        <v>L</v>
      </c>
      <c r="F1935" s="133" t="str">
        <f>IFERROR(__xludf.DUMMYFUNCTION("""COMPUTED_VALUE"""),"PW10063L")</f>
        <v>PW10063L</v>
      </c>
      <c r="G1935" s="165">
        <f>IFERROR(__xludf.DUMMYFUNCTION("""COMPUTED_VALUE"""),1293.0)</f>
        <v>1293</v>
      </c>
    </row>
    <row r="1936" ht="15.75" customHeight="1">
      <c r="A1936" s="133" t="str">
        <f>IFERROR(__xludf.DUMMYFUNCTION("""COMPUTED_VALUE"""),"PW10063")</f>
        <v>PW10063</v>
      </c>
      <c r="B1936" s="164">
        <f>IFERROR(__xludf.DUMMYFUNCTION("""COMPUTED_VALUE"""),1.0288145E7)</f>
        <v>10288145</v>
      </c>
      <c r="C1936" s="164" t="str">
        <f>IFERROR(__xludf.DUMMYFUNCTION("""COMPUTED_VALUE"""),"10288145XL")</f>
        <v>10288145XL</v>
      </c>
      <c r="D1936" s="133" t="str">
        <f>IFERROR(__xludf.DUMMYFUNCTION("""COMPUTED_VALUE"""),"Пижама")</f>
        <v>Пижама</v>
      </c>
      <c r="E1936" s="133" t="str">
        <f>IFERROR(__xludf.DUMMYFUNCTION("""COMPUTED_VALUE"""),"XL")</f>
        <v>XL</v>
      </c>
      <c r="F1936" s="133" t="str">
        <f>IFERROR(__xludf.DUMMYFUNCTION("""COMPUTED_VALUE"""),"PW10063XL")</f>
        <v>PW10063XL</v>
      </c>
      <c r="G1936" s="165">
        <f>IFERROR(__xludf.DUMMYFUNCTION("""COMPUTED_VALUE"""),1293.0)</f>
        <v>1293</v>
      </c>
    </row>
    <row r="1937" ht="15.75" customHeight="1">
      <c r="A1937" s="133" t="str">
        <f>IFERROR(__xludf.DUMMYFUNCTION("""COMPUTED_VALUE"""),"PM20045")</f>
        <v>PM20045</v>
      </c>
      <c r="B1937" s="164">
        <f>IFERROR(__xludf.DUMMYFUNCTION("""COMPUTED_VALUE"""),1.028813E7)</f>
        <v>10288130</v>
      </c>
      <c r="C1937" s="164" t="str">
        <f>IFERROR(__xludf.DUMMYFUNCTION("""COMPUTED_VALUE"""),"10288130S")</f>
        <v>10288130S</v>
      </c>
      <c r="D1937" s="133" t="str">
        <f>IFERROR(__xludf.DUMMYFUNCTION("""COMPUTED_VALUE"""),"Пижама")</f>
        <v>Пижама</v>
      </c>
      <c r="E1937" s="133" t="str">
        <f>IFERROR(__xludf.DUMMYFUNCTION("""COMPUTED_VALUE"""),"S")</f>
        <v>S</v>
      </c>
      <c r="F1937" s="133" t="str">
        <f>IFERROR(__xludf.DUMMYFUNCTION("""COMPUTED_VALUE"""),"PM20045S")</f>
        <v>PM20045S</v>
      </c>
      <c r="G1937" s="165">
        <f>IFERROR(__xludf.DUMMYFUNCTION("""COMPUTED_VALUE"""),1293.0)</f>
        <v>1293</v>
      </c>
    </row>
    <row r="1938" ht="15.75" customHeight="1">
      <c r="A1938" s="133" t="str">
        <f>IFERROR(__xludf.DUMMYFUNCTION("""COMPUTED_VALUE"""),"PM20045")</f>
        <v>PM20045</v>
      </c>
      <c r="B1938" s="164">
        <f>IFERROR(__xludf.DUMMYFUNCTION("""COMPUTED_VALUE"""),1.028813E7)</f>
        <v>10288130</v>
      </c>
      <c r="C1938" s="164" t="str">
        <f>IFERROR(__xludf.DUMMYFUNCTION("""COMPUTED_VALUE"""),"10288130M")</f>
        <v>10288130M</v>
      </c>
      <c r="D1938" s="133" t="str">
        <f>IFERROR(__xludf.DUMMYFUNCTION("""COMPUTED_VALUE"""),"Пижама")</f>
        <v>Пижама</v>
      </c>
      <c r="E1938" s="133" t="str">
        <f>IFERROR(__xludf.DUMMYFUNCTION("""COMPUTED_VALUE"""),"M")</f>
        <v>M</v>
      </c>
      <c r="F1938" s="133" t="str">
        <f>IFERROR(__xludf.DUMMYFUNCTION("""COMPUTED_VALUE"""),"PM20045M")</f>
        <v>PM20045M</v>
      </c>
      <c r="G1938" s="165">
        <f>IFERROR(__xludf.DUMMYFUNCTION("""COMPUTED_VALUE"""),1293.0)</f>
        <v>1293</v>
      </c>
    </row>
    <row r="1939" ht="15.75" customHeight="1">
      <c r="A1939" s="133" t="str">
        <f>IFERROR(__xludf.DUMMYFUNCTION("""COMPUTED_VALUE"""),"PM20045")</f>
        <v>PM20045</v>
      </c>
      <c r="B1939" s="164">
        <f>IFERROR(__xludf.DUMMYFUNCTION("""COMPUTED_VALUE"""),1.028813E7)</f>
        <v>10288130</v>
      </c>
      <c r="C1939" s="164" t="str">
        <f>IFERROR(__xludf.DUMMYFUNCTION("""COMPUTED_VALUE"""),"10288130L")</f>
        <v>10288130L</v>
      </c>
      <c r="D1939" s="133" t="str">
        <f>IFERROR(__xludf.DUMMYFUNCTION("""COMPUTED_VALUE"""),"Пижама")</f>
        <v>Пижама</v>
      </c>
      <c r="E1939" s="133" t="str">
        <f>IFERROR(__xludf.DUMMYFUNCTION("""COMPUTED_VALUE"""),"L")</f>
        <v>L</v>
      </c>
      <c r="F1939" s="133" t="str">
        <f>IFERROR(__xludf.DUMMYFUNCTION("""COMPUTED_VALUE"""),"PM20045L")</f>
        <v>PM20045L</v>
      </c>
      <c r="G1939" s="165">
        <f>IFERROR(__xludf.DUMMYFUNCTION("""COMPUTED_VALUE"""),1293.0)</f>
        <v>1293</v>
      </c>
    </row>
    <row r="1940" ht="15.75" customHeight="1">
      <c r="A1940" s="133" t="str">
        <f>IFERROR(__xludf.DUMMYFUNCTION("""COMPUTED_VALUE"""),"PM20045")</f>
        <v>PM20045</v>
      </c>
      <c r="B1940" s="164">
        <f>IFERROR(__xludf.DUMMYFUNCTION("""COMPUTED_VALUE"""),1.028813E7)</f>
        <v>10288130</v>
      </c>
      <c r="C1940" s="164" t="str">
        <f>IFERROR(__xludf.DUMMYFUNCTION("""COMPUTED_VALUE"""),"10288130XL")</f>
        <v>10288130XL</v>
      </c>
      <c r="D1940" s="133" t="str">
        <f>IFERROR(__xludf.DUMMYFUNCTION("""COMPUTED_VALUE"""),"Пижама")</f>
        <v>Пижама</v>
      </c>
      <c r="E1940" s="133" t="str">
        <f>IFERROR(__xludf.DUMMYFUNCTION("""COMPUTED_VALUE"""),"XL")</f>
        <v>XL</v>
      </c>
      <c r="F1940" s="133" t="str">
        <f>IFERROR(__xludf.DUMMYFUNCTION("""COMPUTED_VALUE"""),"PM20045XL")</f>
        <v>PM20045XL</v>
      </c>
      <c r="G1940" s="165">
        <f>IFERROR(__xludf.DUMMYFUNCTION("""COMPUTED_VALUE"""),1293.0)</f>
        <v>1293</v>
      </c>
    </row>
    <row r="1941" ht="15.75" customHeight="1">
      <c r="A1941" s="133" t="str">
        <f>IFERROR(__xludf.DUMMYFUNCTION("""COMPUTED_VALUE"""),"PM20045")</f>
        <v>PM20045</v>
      </c>
      <c r="B1941" s="164">
        <f>IFERROR(__xludf.DUMMYFUNCTION("""COMPUTED_VALUE"""),1.028813E7)</f>
        <v>10288130</v>
      </c>
      <c r="C1941" s="164" t="str">
        <f>IFERROR(__xludf.DUMMYFUNCTION("""COMPUTED_VALUE"""),"10288130XXL")</f>
        <v>10288130XXL</v>
      </c>
      <c r="D1941" s="133" t="str">
        <f>IFERROR(__xludf.DUMMYFUNCTION("""COMPUTED_VALUE"""),"Пижама")</f>
        <v>Пижама</v>
      </c>
      <c r="E1941" s="133" t="str">
        <f>IFERROR(__xludf.DUMMYFUNCTION("""COMPUTED_VALUE"""),"XXL")</f>
        <v>XXL</v>
      </c>
      <c r="F1941" s="133" t="str">
        <f>IFERROR(__xludf.DUMMYFUNCTION("""COMPUTED_VALUE"""),"PM20045XXL")</f>
        <v>PM20045XXL</v>
      </c>
      <c r="G1941" s="165">
        <f>IFERROR(__xludf.DUMMYFUNCTION("""COMPUTED_VALUE"""),1293.0)</f>
        <v>1293</v>
      </c>
    </row>
    <row r="1942" ht="15.75" customHeight="1">
      <c r="A1942" s="133" t="str">
        <f>IFERROR(__xludf.DUMMYFUNCTION("""COMPUTED_VALUE"""),"PM20045")</f>
        <v>PM20045</v>
      </c>
      <c r="B1942" s="164">
        <f>IFERROR(__xludf.DUMMYFUNCTION("""COMPUTED_VALUE"""),1.028813E7)</f>
        <v>10288130</v>
      </c>
      <c r="C1942" s="164" t="str">
        <f>IFERROR(__xludf.DUMMYFUNCTION("""COMPUTED_VALUE"""),"10288130XXXL")</f>
        <v>10288130XXXL</v>
      </c>
      <c r="D1942" s="133" t="str">
        <f>IFERROR(__xludf.DUMMYFUNCTION("""COMPUTED_VALUE"""),"Пижама")</f>
        <v>Пижама</v>
      </c>
      <c r="E1942" s="133" t="str">
        <f>IFERROR(__xludf.DUMMYFUNCTION("""COMPUTED_VALUE"""),"XXXL")</f>
        <v>XXXL</v>
      </c>
      <c r="F1942" s="133" t="str">
        <f>IFERROR(__xludf.DUMMYFUNCTION("""COMPUTED_VALUE"""),"PM20045XXXL")</f>
        <v>PM20045XXXL</v>
      </c>
      <c r="G1942" s="165">
        <f>IFERROR(__xludf.DUMMYFUNCTION("""COMPUTED_VALUE"""),1293.0)</f>
        <v>1293</v>
      </c>
    </row>
    <row r="1943" ht="15.75" customHeight="1">
      <c r="A1943" s="133" t="str">
        <f>IFERROR(__xludf.DUMMYFUNCTION("""COMPUTED_VALUE"""),"PM20046")</f>
        <v>PM20046</v>
      </c>
      <c r="B1943" s="164">
        <f>IFERROR(__xludf.DUMMYFUNCTION("""COMPUTED_VALUE"""),1.0288131E7)</f>
        <v>10288131</v>
      </c>
      <c r="C1943" s="164" t="str">
        <f>IFERROR(__xludf.DUMMYFUNCTION("""COMPUTED_VALUE"""),"10288131S")</f>
        <v>10288131S</v>
      </c>
      <c r="D1943" s="133" t="str">
        <f>IFERROR(__xludf.DUMMYFUNCTION("""COMPUTED_VALUE"""),"Пижама")</f>
        <v>Пижама</v>
      </c>
      <c r="E1943" s="133" t="str">
        <f>IFERROR(__xludf.DUMMYFUNCTION("""COMPUTED_VALUE"""),"S")</f>
        <v>S</v>
      </c>
      <c r="F1943" s="133" t="str">
        <f>IFERROR(__xludf.DUMMYFUNCTION("""COMPUTED_VALUE"""),"PM20046S")</f>
        <v>PM20046S</v>
      </c>
      <c r="G1943" s="165">
        <f>IFERROR(__xludf.DUMMYFUNCTION("""COMPUTED_VALUE"""),1293.0)</f>
        <v>1293</v>
      </c>
    </row>
    <row r="1944" ht="15.75" customHeight="1">
      <c r="A1944" s="133" t="str">
        <f>IFERROR(__xludf.DUMMYFUNCTION("""COMPUTED_VALUE"""),"PM20046")</f>
        <v>PM20046</v>
      </c>
      <c r="B1944" s="164">
        <f>IFERROR(__xludf.DUMMYFUNCTION("""COMPUTED_VALUE"""),1.0288131E7)</f>
        <v>10288131</v>
      </c>
      <c r="C1944" s="164" t="str">
        <f>IFERROR(__xludf.DUMMYFUNCTION("""COMPUTED_VALUE"""),"10288131M")</f>
        <v>10288131M</v>
      </c>
      <c r="D1944" s="133" t="str">
        <f>IFERROR(__xludf.DUMMYFUNCTION("""COMPUTED_VALUE"""),"Пижама")</f>
        <v>Пижама</v>
      </c>
      <c r="E1944" s="133" t="str">
        <f>IFERROR(__xludf.DUMMYFUNCTION("""COMPUTED_VALUE"""),"M")</f>
        <v>M</v>
      </c>
      <c r="F1944" s="133" t="str">
        <f>IFERROR(__xludf.DUMMYFUNCTION("""COMPUTED_VALUE"""),"PM20046M")</f>
        <v>PM20046M</v>
      </c>
      <c r="G1944" s="165">
        <f>IFERROR(__xludf.DUMMYFUNCTION("""COMPUTED_VALUE"""),1293.0)</f>
        <v>1293</v>
      </c>
    </row>
    <row r="1945" ht="15.75" customHeight="1">
      <c r="A1945" s="133" t="str">
        <f>IFERROR(__xludf.DUMMYFUNCTION("""COMPUTED_VALUE"""),"PM20046")</f>
        <v>PM20046</v>
      </c>
      <c r="B1945" s="164">
        <f>IFERROR(__xludf.DUMMYFUNCTION("""COMPUTED_VALUE"""),1.0288131E7)</f>
        <v>10288131</v>
      </c>
      <c r="C1945" s="164" t="str">
        <f>IFERROR(__xludf.DUMMYFUNCTION("""COMPUTED_VALUE"""),"10288131L")</f>
        <v>10288131L</v>
      </c>
      <c r="D1945" s="133" t="str">
        <f>IFERROR(__xludf.DUMMYFUNCTION("""COMPUTED_VALUE"""),"Пижама")</f>
        <v>Пижама</v>
      </c>
      <c r="E1945" s="133" t="str">
        <f>IFERROR(__xludf.DUMMYFUNCTION("""COMPUTED_VALUE"""),"L")</f>
        <v>L</v>
      </c>
      <c r="F1945" s="133" t="str">
        <f>IFERROR(__xludf.DUMMYFUNCTION("""COMPUTED_VALUE"""),"PM20046L")</f>
        <v>PM20046L</v>
      </c>
      <c r="G1945" s="165">
        <f>IFERROR(__xludf.DUMMYFUNCTION("""COMPUTED_VALUE"""),1293.0)</f>
        <v>1293</v>
      </c>
    </row>
    <row r="1946" ht="15.75" customHeight="1">
      <c r="A1946" s="133" t="str">
        <f>IFERROR(__xludf.DUMMYFUNCTION("""COMPUTED_VALUE"""),"PM20046")</f>
        <v>PM20046</v>
      </c>
      <c r="B1946" s="164">
        <f>IFERROR(__xludf.DUMMYFUNCTION("""COMPUTED_VALUE"""),1.0288131E7)</f>
        <v>10288131</v>
      </c>
      <c r="C1946" s="164" t="str">
        <f>IFERROR(__xludf.DUMMYFUNCTION("""COMPUTED_VALUE"""),"10288131XL")</f>
        <v>10288131XL</v>
      </c>
      <c r="D1946" s="133" t="str">
        <f>IFERROR(__xludf.DUMMYFUNCTION("""COMPUTED_VALUE"""),"Пижама")</f>
        <v>Пижама</v>
      </c>
      <c r="E1946" s="133" t="str">
        <f>IFERROR(__xludf.DUMMYFUNCTION("""COMPUTED_VALUE"""),"XL")</f>
        <v>XL</v>
      </c>
      <c r="F1946" s="133" t="str">
        <f>IFERROR(__xludf.DUMMYFUNCTION("""COMPUTED_VALUE"""),"PM20046XL")</f>
        <v>PM20046XL</v>
      </c>
      <c r="G1946" s="165">
        <f>IFERROR(__xludf.DUMMYFUNCTION("""COMPUTED_VALUE"""),1293.0)</f>
        <v>1293</v>
      </c>
    </row>
    <row r="1947" ht="15.75" customHeight="1">
      <c r="A1947" s="133" t="str">
        <f>IFERROR(__xludf.DUMMYFUNCTION("""COMPUTED_VALUE"""),"PM20046")</f>
        <v>PM20046</v>
      </c>
      <c r="B1947" s="164">
        <f>IFERROR(__xludf.DUMMYFUNCTION("""COMPUTED_VALUE"""),1.0288131E7)</f>
        <v>10288131</v>
      </c>
      <c r="C1947" s="164" t="str">
        <f>IFERROR(__xludf.DUMMYFUNCTION("""COMPUTED_VALUE"""),"10288131XXL")</f>
        <v>10288131XXL</v>
      </c>
      <c r="D1947" s="133" t="str">
        <f>IFERROR(__xludf.DUMMYFUNCTION("""COMPUTED_VALUE"""),"Пижама")</f>
        <v>Пижама</v>
      </c>
      <c r="E1947" s="133" t="str">
        <f>IFERROR(__xludf.DUMMYFUNCTION("""COMPUTED_VALUE"""),"XXL")</f>
        <v>XXL</v>
      </c>
      <c r="F1947" s="133" t="str">
        <f>IFERROR(__xludf.DUMMYFUNCTION("""COMPUTED_VALUE"""),"PM20046XXL")</f>
        <v>PM20046XXL</v>
      </c>
      <c r="G1947" s="165">
        <f>IFERROR(__xludf.DUMMYFUNCTION("""COMPUTED_VALUE"""),1293.0)</f>
        <v>1293</v>
      </c>
    </row>
    <row r="1948" ht="15.75" customHeight="1">
      <c r="A1948" s="133" t="str">
        <f>IFERROR(__xludf.DUMMYFUNCTION("""COMPUTED_VALUE"""),"PM20046")</f>
        <v>PM20046</v>
      </c>
      <c r="B1948" s="164">
        <f>IFERROR(__xludf.DUMMYFUNCTION("""COMPUTED_VALUE"""),1.0288131E7)</f>
        <v>10288131</v>
      </c>
      <c r="C1948" s="164" t="str">
        <f>IFERROR(__xludf.DUMMYFUNCTION("""COMPUTED_VALUE"""),"10288131XXXL")</f>
        <v>10288131XXXL</v>
      </c>
      <c r="D1948" s="133" t="str">
        <f>IFERROR(__xludf.DUMMYFUNCTION("""COMPUTED_VALUE"""),"Пижама")</f>
        <v>Пижама</v>
      </c>
      <c r="E1948" s="133" t="str">
        <f>IFERROR(__xludf.DUMMYFUNCTION("""COMPUTED_VALUE"""),"XXXL")</f>
        <v>XXXL</v>
      </c>
      <c r="F1948" s="133" t="str">
        <f>IFERROR(__xludf.DUMMYFUNCTION("""COMPUTED_VALUE"""),"PM20046XXXL")</f>
        <v>PM20046XXXL</v>
      </c>
      <c r="G1948" s="165">
        <f>IFERROR(__xludf.DUMMYFUNCTION("""COMPUTED_VALUE"""),1293.0)</f>
        <v>1293</v>
      </c>
    </row>
    <row r="1949" ht="15.75" customHeight="1">
      <c r="A1949" s="133" t="str">
        <f>IFERROR(__xludf.DUMMYFUNCTION("""COMPUTED_VALUE"""),"PM20047")</f>
        <v>PM20047</v>
      </c>
      <c r="B1949" s="164">
        <f>IFERROR(__xludf.DUMMYFUNCTION("""COMPUTED_VALUE"""),1.0288132E7)</f>
        <v>10288132</v>
      </c>
      <c r="C1949" s="164" t="str">
        <f>IFERROR(__xludf.DUMMYFUNCTION("""COMPUTED_VALUE"""),"10288132S")</f>
        <v>10288132S</v>
      </c>
      <c r="D1949" s="133" t="str">
        <f>IFERROR(__xludf.DUMMYFUNCTION("""COMPUTED_VALUE"""),"Пижама")</f>
        <v>Пижама</v>
      </c>
      <c r="E1949" s="133" t="str">
        <f>IFERROR(__xludf.DUMMYFUNCTION("""COMPUTED_VALUE"""),"S")</f>
        <v>S</v>
      </c>
      <c r="F1949" s="133" t="str">
        <f>IFERROR(__xludf.DUMMYFUNCTION("""COMPUTED_VALUE"""),"PM20047S")</f>
        <v>PM20047S</v>
      </c>
      <c r="G1949" s="165">
        <f>IFERROR(__xludf.DUMMYFUNCTION("""COMPUTED_VALUE"""),1293.0)</f>
        <v>1293</v>
      </c>
    </row>
    <row r="1950" ht="15.75" customHeight="1">
      <c r="A1950" s="133" t="str">
        <f>IFERROR(__xludf.DUMMYFUNCTION("""COMPUTED_VALUE"""),"PM20047")</f>
        <v>PM20047</v>
      </c>
      <c r="B1950" s="164">
        <f>IFERROR(__xludf.DUMMYFUNCTION("""COMPUTED_VALUE"""),1.0288132E7)</f>
        <v>10288132</v>
      </c>
      <c r="C1950" s="164" t="str">
        <f>IFERROR(__xludf.DUMMYFUNCTION("""COMPUTED_VALUE"""),"10288132M")</f>
        <v>10288132M</v>
      </c>
      <c r="D1950" s="133" t="str">
        <f>IFERROR(__xludf.DUMMYFUNCTION("""COMPUTED_VALUE"""),"Пижама")</f>
        <v>Пижама</v>
      </c>
      <c r="E1950" s="133" t="str">
        <f>IFERROR(__xludf.DUMMYFUNCTION("""COMPUTED_VALUE"""),"M")</f>
        <v>M</v>
      </c>
      <c r="F1950" s="133" t="str">
        <f>IFERROR(__xludf.DUMMYFUNCTION("""COMPUTED_VALUE"""),"PM20047M")</f>
        <v>PM20047M</v>
      </c>
      <c r="G1950" s="165">
        <f>IFERROR(__xludf.DUMMYFUNCTION("""COMPUTED_VALUE"""),1293.0)</f>
        <v>1293</v>
      </c>
    </row>
    <row r="1951" ht="15.75" customHeight="1">
      <c r="A1951" s="133" t="str">
        <f>IFERROR(__xludf.DUMMYFUNCTION("""COMPUTED_VALUE"""),"PM20047")</f>
        <v>PM20047</v>
      </c>
      <c r="B1951" s="164">
        <f>IFERROR(__xludf.DUMMYFUNCTION("""COMPUTED_VALUE"""),1.0288132E7)</f>
        <v>10288132</v>
      </c>
      <c r="C1951" s="164" t="str">
        <f>IFERROR(__xludf.DUMMYFUNCTION("""COMPUTED_VALUE"""),"10288132L")</f>
        <v>10288132L</v>
      </c>
      <c r="D1951" s="133" t="str">
        <f>IFERROR(__xludf.DUMMYFUNCTION("""COMPUTED_VALUE"""),"Пижама")</f>
        <v>Пижама</v>
      </c>
      <c r="E1951" s="133" t="str">
        <f>IFERROR(__xludf.DUMMYFUNCTION("""COMPUTED_VALUE"""),"L")</f>
        <v>L</v>
      </c>
      <c r="F1951" s="133" t="str">
        <f>IFERROR(__xludf.DUMMYFUNCTION("""COMPUTED_VALUE"""),"PM20047L")</f>
        <v>PM20047L</v>
      </c>
      <c r="G1951" s="165">
        <f>IFERROR(__xludf.DUMMYFUNCTION("""COMPUTED_VALUE"""),1293.0)</f>
        <v>1293</v>
      </c>
    </row>
    <row r="1952" ht="15.75" customHeight="1">
      <c r="A1952" s="133" t="str">
        <f>IFERROR(__xludf.DUMMYFUNCTION("""COMPUTED_VALUE"""),"PM20047")</f>
        <v>PM20047</v>
      </c>
      <c r="B1952" s="164">
        <f>IFERROR(__xludf.DUMMYFUNCTION("""COMPUTED_VALUE"""),1.0288132E7)</f>
        <v>10288132</v>
      </c>
      <c r="C1952" s="164" t="str">
        <f>IFERROR(__xludf.DUMMYFUNCTION("""COMPUTED_VALUE"""),"10288132XL")</f>
        <v>10288132XL</v>
      </c>
      <c r="D1952" s="133" t="str">
        <f>IFERROR(__xludf.DUMMYFUNCTION("""COMPUTED_VALUE"""),"Пижама")</f>
        <v>Пижама</v>
      </c>
      <c r="E1952" s="133" t="str">
        <f>IFERROR(__xludf.DUMMYFUNCTION("""COMPUTED_VALUE"""),"XL")</f>
        <v>XL</v>
      </c>
      <c r="F1952" s="133" t="str">
        <f>IFERROR(__xludf.DUMMYFUNCTION("""COMPUTED_VALUE"""),"PM20047XL")</f>
        <v>PM20047XL</v>
      </c>
      <c r="G1952" s="165">
        <f>IFERROR(__xludf.DUMMYFUNCTION("""COMPUTED_VALUE"""),1293.0)</f>
        <v>1293</v>
      </c>
    </row>
    <row r="1953" ht="15.75" customHeight="1">
      <c r="A1953" s="133" t="str">
        <f>IFERROR(__xludf.DUMMYFUNCTION("""COMPUTED_VALUE"""),"PM20047")</f>
        <v>PM20047</v>
      </c>
      <c r="B1953" s="164">
        <f>IFERROR(__xludf.DUMMYFUNCTION("""COMPUTED_VALUE"""),1.0288132E7)</f>
        <v>10288132</v>
      </c>
      <c r="C1953" s="164" t="str">
        <f>IFERROR(__xludf.DUMMYFUNCTION("""COMPUTED_VALUE"""),"10288132XXL")</f>
        <v>10288132XXL</v>
      </c>
      <c r="D1953" s="133" t="str">
        <f>IFERROR(__xludf.DUMMYFUNCTION("""COMPUTED_VALUE"""),"Пижама")</f>
        <v>Пижама</v>
      </c>
      <c r="E1953" s="133" t="str">
        <f>IFERROR(__xludf.DUMMYFUNCTION("""COMPUTED_VALUE"""),"XXL")</f>
        <v>XXL</v>
      </c>
      <c r="F1953" s="133" t="str">
        <f>IFERROR(__xludf.DUMMYFUNCTION("""COMPUTED_VALUE"""),"PM20047XXL")</f>
        <v>PM20047XXL</v>
      </c>
      <c r="G1953" s="165">
        <f>IFERROR(__xludf.DUMMYFUNCTION("""COMPUTED_VALUE"""),1293.0)</f>
        <v>1293</v>
      </c>
    </row>
    <row r="1954" ht="15.75" customHeight="1">
      <c r="A1954" s="133" t="str">
        <f>IFERROR(__xludf.DUMMYFUNCTION("""COMPUTED_VALUE"""),"PM20047")</f>
        <v>PM20047</v>
      </c>
      <c r="B1954" s="164">
        <f>IFERROR(__xludf.DUMMYFUNCTION("""COMPUTED_VALUE"""),1.0288132E7)</f>
        <v>10288132</v>
      </c>
      <c r="C1954" s="164" t="str">
        <f>IFERROR(__xludf.DUMMYFUNCTION("""COMPUTED_VALUE"""),"10288132XXXL")</f>
        <v>10288132XXXL</v>
      </c>
      <c r="D1954" s="133" t="str">
        <f>IFERROR(__xludf.DUMMYFUNCTION("""COMPUTED_VALUE"""),"Пижама")</f>
        <v>Пижама</v>
      </c>
      <c r="E1954" s="133" t="str">
        <f>IFERROR(__xludf.DUMMYFUNCTION("""COMPUTED_VALUE"""),"XXXL")</f>
        <v>XXXL</v>
      </c>
      <c r="F1954" s="133" t="str">
        <f>IFERROR(__xludf.DUMMYFUNCTION("""COMPUTED_VALUE"""),"PM20047XXXL")</f>
        <v>PM20047XXXL</v>
      </c>
      <c r="G1954" s="165">
        <f>IFERROR(__xludf.DUMMYFUNCTION("""COMPUTED_VALUE"""),1293.0)</f>
        <v>1293</v>
      </c>
    </row>
    <row r="1955" ht="15.75" customHeight="1">
      <c r="A1955" s="133" t="str">
        <f>IFERROR(__xludf.DUMMYFUNCTION("""COMPUTED_VALUE"""),"PM20048")</f>
        <v>PM20048</v>
      </c>
      <c r="B1955" s="164">
        <f>IFERROR(__xludf.DUMMYFUNCTION("""COMPUTED_VALUE"""),1.0288133E7)</f>
        <v>10288133</v>
      </c>
      <c r="C1955" s="164" t="str">
        <f>IFERROR(__xludf.DUMMYFUNCTION("""COMPUTED_VALUE"""),"10288133S")</f>
        <v>10288133S</v>
      </c>
      <c r="D1955" s="133" t="str">
        <f>IFERROR(__xludf.DUMMYFUNCTION("""COMPUTED_VALUE"""),"Пижама")</f>
        <v>Пижама</v>
      </c>
      <c r="E1955" s="133" t="str">
        <f>IFERROR(__xludf.DUMMYFUNCTION("""COMPUTED_VALUE"""),"S")</f>
        <v>S</v>
      </c>
      <c r="F1955" s="133" t="str">
        <f>IFERROR(__xludf.DUMMYFUNCTION("""COMPUTED_VALUE"""),"PM20048S")</f>
        <v>PM20048S</v>
      </c>
      <c r="G1955" s="165">
        <f>IFERROR(__xludf.DUMMYFUNCTION("""COMPUTED_VALUE"""),1293.0)</f>
        <v>1293</v>
      </c>
    </row>
    <row r="1956" ht="15.75" customHeight="1">
      <c r="A1956" s="133" t="str">
        <f>IFERROR(__xludf.DUMMYFUNCTION("""COMPUTED_VALUE"""),"PM20048")</f>
        <v>PM20048</v>
      </c>
      <c r="B1956" s="164">
        <f>IFERROR(__xludf.DUMMYFUNCTION("""COMPUTED_VALUE"""),1.0288133E7)</f>
        <v>10288133</v>
      </c>
      <c r="C1956" s="164" t="str">
        <f>IFERROR(__xludf.DUMMYFUNCTION("""COMPUTED_VALUE"""),"10288133M")</f>
        <v>10288133M</v>
      </c>
      <c r="D1956" s="133" t="str">
        <f>IFERROR(__xludf.DUMMYFUNCTION("""COMPUTED_VALUE"""),"Пижама")</f>
        <v>Пижама</v>
      </c>
      <c r="E1956" s="133" t="str">
        <f>IFERROR(__xludf.DUMMYFUNCTION("""COMPUTED_VALUE"""),"M")</f>
        <v>M</v>
      </c>
      <c r="F1956" s="133" t="str">
        <f>IFERROR(__xludf.DUMMYFUNCTION("""COMPUTED_VALUE"""),"PM20048M")</f>
        <v>PM20048M</v>
      </c>
      <c r="G1956" s="165">
        <f>IFERROR(__xludf.DUMMYFUNCTION("""COMPUTED_VALUE"""),1293.0)</f>
        <v>1293</v>
      </c>
    </row>
    <row r="1957" ht="15.75" customHeight="1">
      <c r="A1957" s="133" t="str">
        <f>IFERROR(__xludf.DUMMYFUNCTION("""COMPUTED_VALUE"""),"PM20048")</f>
        <v>PM20048</v>
      </c>
      <c r="B1957" s="164">
        <f>IFERROR(__xludf.DUMMYFUNCTION("""COMPUTED_VALUE"""),1.0288133E7)</f>
        <v>10288133</v>
      </c>
      <c r="C1957" s="164" t="str">
        <f>IFERROR(__xludf.DUMMYFUNCTION("""COMPUTED_VALUE"""),"10288133L")</f>
        <v>10288133L</v>
      </c>
      <c r="D1957" s="133" t="str">
        <f>IFERROR(__xludf.DUMMYFUNCTION("""COMPUTED_VALUE"""),"Пижама")</f>
        <v>Пижама</v>
      </c>
      <c r="E1957" s="133" t="str">
        <f>IFERROR(__xludf.DUMMYFUNCTION("""COMPUTED_VALUE"""),"L")</f>
        <v>L</v>
      </c>
      <c r="F1957" s="133" t="str">
        <f>IFERROR(__xludf.DUMMYFUNCTION("""COMPUTED_VALUE"""),"PM20048L")</f>
        <v>PM20048L</v>
      </c>
      <c r="G1957" s="165">
        <f>IFERROR(__xludf.DUMMYFUNCTION("""COMPUTED_VALUE"""),1293.0)</f>
        <v>1293</v>
      </c>
    </row>
    <row r="1958" ht="15.75" customHeight="1">
      <c r="A1958" s="133" t="str">
        <f>IFERROR(__xludf.DUMMYFUNCTION("""COMPUTED_VALUE"""),"PM20048")</f>
        <v>PM20048</v>
      </c>
      <c r="B1958" s="164">
        <f>IFERROR(__xludf.DUMMYFUNCTION("""COMPUTED_VALUE"""),1.0288133E7)</f>
        <v>10288133</v>
      </c>
      <c r="C1958" s="164" t="str">
        <f>IFERROR(__xludf.DUMMYFUNCTION("""COMPUTED_VALUE"""),"10288133XL")</f>
        <v>10288133XL</v>
      </c>
      <c r="D1958" s="133" t="str">
        <f>IFERROR(__xludf.DUMMYFUNCTION("""COMPUTED_VALUE"""),"Пижама")</f>
        <v>Пижама</v>
      </c>
      <c r="E1958" s="133" t="str">
        <f>IFERROR(__xludf.DUMMYFUNCTION("""COMPUTED_VALUE"""),"XL")</f>
        <v>XL</v>
      </c>
      <c r="F1958" s="133" t="str">
        <f>IFERROR(__xludf.DUMMYFUNCTION("""COMPUTED_VALUE"""),"PM20048XL")</f>
        <v>PM20048XL</v>
      </c>
      <c r="G1958" s="165">
        <f>IFERROR(__xludf.DUMMYFUNCTION("""COMPUTED_VALUE"""),1293.0)</f>
        <v>1293</v>
      </c>
    </row>
    <row r="1959" ht="15.75" customHeight="1">
      <c r="A1959" s="133" t="str">
        <f>IFERROR(__xludf.DUMMYFUNCTION("""COMPUTED_VALUE"""),"PM20048")</f>
        <v>PM20048</v>
      </c>
      <c r="B1959" s="164">
        <f>IFERROR(__xludf.DUMMYFUNCTION("""COMPUTED_VALUE"""),1.0288133E7)</f>
        <v>10288133</v>
      </c>
      <c r="C1959" s="164" t="str">
        <f>IFERROR(__xludf.DUMMYFUNCTION("""COMPUTED_VALUE"""),"10288133XXL")</f>
        <v>10288133XXL</v>
      </c>
      <c r="D1959" s="133" t="str">
        <f>IFERROR(__xludf.DUMMYFUNCTION("""COMPUTED_VALUE"""),"Пижама")</f>
        <v>Пижама</v>
      </c>
      <c r="E1959" s="133" t="str">
        <f>IFERROR(__xludf.DUMMYFUNCTION("""COMPUTED_VALUE"""),"XXL")</f>
        <v>XXL</v>
      </c>
      <c r="F1959" s="133" t="str">
        <f>IFERROR(__xludf.DUMMYFUNCTION("""COMPUTED_VALUE"""),"PM20048XXL")</f>
        <v>PM20048XXL</v>
      </c>
      <c r="G1959" s="165">
        <f>IFERROR(__xludf.DUMMYFUNCTION("""COMPUTED_VALUE"""),1293.0)</f>
        <v>1293</v>
      </c>
    </row>
    <row r="1960" ht="15.75" customHeight="1">
      <c r="A1960" s="133" t="str">
        <f>IFERROR(__xludf.DUMMYFUNCTION("""COMPUTED_VALUE"""),"PM20048")</f>
        <v>PM20048</v>
      </c>
      <c r="B1960" s="164">
        <f>IFERROR(__xludf.DUMMYFUNCTION("""COMPUTED_VALUE"""),1.0288133E7)</f>
        <v>10288133</v>
      </c>
      <c r="C1960" s="164" t="str">
        <f>IFERROR(__xludf.DUMMYFUNCTION("""COMPUTED_VALUE"""),"10288133XXXL")</f>
        <v>10288133XXXL</v>
      </c>
      <c r="D1960" s="133" t="str">
        <f>IFERROR(__xludf.DUMMYFUNCTION("""COMPUTED_VALUE"""),"Пижама")</f>
        <v>Пижама</v>
      </c>
      <c r="E1960" s="133" t="str">
        <f>IFERROR(__xludf.DUMMYFUNCTION("""COMPUTED_VALUE"""),"XXXL")</f>
        <v>XXXL</v>
      </c>
      <c r="F1960" s="133" t="str">
        <f>IFERROR(__xludf.DUMMYFUNCTION("""COMPUTED_VALUE"""),"PM20048XXXL")</f>
        <v>PM20048XXXL</v>
      </c>
      <c r="G1960" s="165">
        <f>IFERROR(__xludf.DUMMYFUNCTION("""COMPUTED_VALUE"""),1293.0)</f>
        <v>1293</v>
      </c>
    </row>
    <row r="1961" ht="15.75" customHeight="1">
      <c r="A1961" s="133" t="str">
        <f>IFERROR(__xludf.DUMMYFUNCTION("""COMPUTED_VALUE"""),"PM20049")</f>
        <v>PM20049</v>
      </c>
      <c r="B1961" s="164">
        <f>IFERROR(__xludf.DUMMYFUNCTION("""COMPUTED_VALUE"""),1.0288134E7)</f>
        <v>10288134</v>
      </c>
      <c r="C1961" s="164" t="str">
        <f>IFERROR(__xludf.DUMMYFUNCTION("""COMPUTED_VALUE"""),"10288134S")</f>
        <v>10288134S</v>
      </c>
      <c r="D1961" s="133" t="str">
        <f>IFERROR(__xludf.DUMMYFUNCTION("""COMPUTED_VALUE"""),"Пижама")</f>
        <v>Пижама</v>
      </c>
      <c r="E1961" s="133" t="str">
        <f>IFERROR(__xludf.DUMMYFUNCTION("""COMPUTED_VALUE"""),"S")</f>
        <v>S</v>
      </c>
      <c r="F1961" s="133" t="str">
        <f>IFERROR(__xludf.DUMMYFUNCTION("""COMPUTED_VALUE"""),"PM20049S")</f>
        <v>PM20049S</v>
      </c>
      <c r="G1961" s="165">
        <f>IFERROR(__xludf.DUMMYFUNCTION("""COMPUTED_VALUE"""),1293.0)</f>
        <v>1293</v>
      </c>
    </row>
    <row r="1962" ht="15.75" customHeight="1">
      <c r="A1962" s="133" t="str">
        <f>IFERROR(__xludf.DUMMYFUNCTION("""COMPUTED_VALUE"""),"PM20049")</f>
        <v>PM20049</v>
      </c>
      <c r="B1962" s="164">
        <f>IFERROR(__xludf.DUMMYFUNCTION("""COMPUTED_VALUE"""),1.0288134E7)</f>
        <v>10288134</v>
      </c>
      <c r="C1962" s="164" t="str">
        <f>IFERROR(__xludf.DUMMYFUNCTION("""COMPUTED_VALUE"""),"10288134M")</f>
        <v>10288134M</v>
      </c>
      <c r="D1962" s="133" t="str">
        <f>IFERROR(__xludf.DUMMYFUNCTION("""COMPUTED_VALUE"""),"Пижама")</f>
        <v>Пижама</v>
      </c>
      <c r="E1962" s="133" t="str">
        <f>IFERROR(__xludf.DUMMYFUNCTION("""COMPUTED_VALUE"""),"M")</f>
        <v>M</v>
      </c>
      <c r="F1962" s="133" t="str">
        <f>IFERROR(__xludf.DUMMYFUNCTION("""COMPUTED_VALUE"""),"PM20049M")</f>
        <v>PM20049M</v>
      </c>
      <c r="G1962" s="165">
        <f>IFERROR(__xludf.DUMMYFUNCTION("""COMPUTED_VALUE"""),1293.0)</f>
        <v>1293</v>
      </c>
    </row>
    <row r="1963" ht="15.75" customHeight="1">
      <c r="A1963" s="133" t="str">
        <f>IFERROR(__xludf.DUMMYFUNCTION("""COMPUTED_VALUE"""),"PM20049")</f>
        <v>PM20049</v>
      </c>
      <c r="B1963" s="164">
        <f>IFERROR(__xludf.DUMMYFUNCTION("""COMPUTED_VALUE"""),1.0288134E7)</f>
        <v>10288134</v>
      </c>
      <c r="C1963" s="164" t="str">
        <f>IFERROR(__xludf.DUMMYFUNCTION("""COMPUTED_VALUE"""),"10288134L")</f>
        <v>10288134L</v>
      </c>
      <c r="D1963" s="133" t="str">
        <f>IFERROR(__xludf.DUMMYFUNCTION("""COMPUTED_VALUE"""),"Пижама")</f>
        <v>Пижама</v>
      </c>
      <c r="E1963" s="133" t="str">
        <f>IFERROR(__xludf.DUMMYFUNCTION("""COMPUTED_VALUE"""),"L")</f>
        <v>L</v>
      </c>
      <c r="F1963" s="133" t="str">
        <f>IFERROR(__xludf.DUMMYFUNCTION("""COMPUTED_VALUE"""),"PM20049L")</f>
        <v>PM20049L</v>
      </c>
      <c r="G1963" s="165">
        <f>IFERROR(__xludf.DUMMYFUNCTION("""COMPUTED_VALUE"""),1293.0)</f>
        <v>1293</v>
      </c>
    </row>
    <row r="1964" ht="15.75" customHeight="1">
      <c r="A1964" s="133" t="str">
        <f>IFERROR(__xludf.DUMMYFUNCTION("""COMPUTED_VALUE"""),"PM20049")</f>
        <v>PM20049</v>
      </c>
      <c r="B1964" s="164">
        <f>IFERROR(__xludf.DUMMYFUNCTION("""COMPUTED_VALUE"""),1.0288134E7)</f>
        <v>10288134</v>
      </c>
      <c r="C1964" s="164" t="str">
        <f>IFERROR(__xludf.DUMMYFUNCTION("""COMPUTED_VALUE"""),"10288134XL")</f>
        <v>10288134XL</v>
      </c>
      <c r="D1964" s="133" t="str">
        <f>IFERROR(__xludf.DUMMYFUNCTION("""COMPUTED_VALUE"""),"Пижама")</f>
        <v>Пижама</v>
      </c>
      <c r="E1964" s="133" t="str">
        <f>IFERROR(__xludf.DUMMYFUNCTION("""COMPUTED_VALUE"""),"XL")</f>
        <v>XL</v>
      </c>
      <c r="F1964" s="133" t="str">
        <f>IFERROR(__xludf.DUMMYFUNCTION("""COMPUTED_VALUE"""),"PM20049XL")</f>
        <v>PM20049XL</v>
      </c>
      <c r="G1964" s="165">
        <f>IFERROR(__xludf.DUMMYFUNCTION("""COMPUTED_VALUE"""),1293.0)</f>
        <v>1293</v>
      </c>
    </row>
    <row r="1965" ht="15.75" customHeight="1">
      <c r="A1965" s="133" t="str">
        <f>IFERROR(__xludf.DUMMYFUNCTION("""COMPUTED_VALUE"""),"PM20049")</f>
        <v>PM20049</v>
      </c>
      <c r="B1965" s="164">
        <f>IFERROR(__xludf.DUMMYFUNCTION("""COMPUTED_VALUE"""),1.0288134E7)</f>
        <v>10288134</v>
      </c>
      <c r="C1965" s="164" t="str">
        <f>IFERROR(__xludf.DUMMYFUNCTION("""COMPUTED_VALUE"""),"10288134XXL")</f>
        <v>10288134XXL</v>
      </c>
      <c r="D1965" s="133" t="str">
        <f>IFERROR(__xludf.DUMMYFUNCTION("""COMPUTED_VALUE"""),"Пижама")</f>
        <v>Пижама</v>
      </c>
      <c r="E1965" s="133" t="str">
        <f>IFERROR(__xludf.DUMMYFUNCTION("""COMPUTED_VALUE"""),"XXL")</f>
        <v>XXL</v>
      </c>
      <c r="F1965" s="133" t="str">
        <f>IFERROR(__xludf.DUMMYFUNCTION("""COMPUTED_VALUE"""),"PM20049XXL")</f>
        <v>PM20049XXL</v>
      </c>
      <c r="G1965" s="165">
        <f>IFERROR(__xludf.DUMMYFUNCTION("""COMPUTED_VALUE"""),1293.0)</f>
        <v>1293</v>
      </c>
    </row>
    <row r="1966" ht="15.75" customHeight="1">
      <c r="A1966" s="133" t="str">
        <f>IFERROR(__xludf.DUMMYFUNCTION("""COMPUTED_VALUE"""),"PM20049")</f>
        <v>PM20049</v>
      </c>
      <c r="B1966" s="164">
        <f>IFERROR(__xludf.DUMMYFUNCTION("""COMPUTED_VALUE"""),1.0288134E7)</f>
        <v>10288134</v>
      </c>
      <c r="C1966" s="164" t="str">
        <f>IFERROR(__xludf.DUMMYFUNCTION("""COMPUTED_VALUE"""),"10288134XXXL")</f>
        <v>10288134XXXL</v>
      </c>
      <c r="D1966" s="133" t="str">
        <f>IFERROR(__xludf.DUMMYFUNCTION("""COMPUTED_VALUE"""),"Пижама")</f>
        <v>Пижама</v>
      </c>
      <c r="E1966" s="133" t="str">
        <f>IFERROR(__xludf.DUMMYFUNCTION("""COMPUTED_VALUE"""),"XXXL")</f>
        <v>XXXL</v>
      </c>
      <c r="F1966" s="133" t="str">
        <f>IFERROR(__xludf.DUMMYFUNCTION("""COMPUTED_VALUE"""),"PM20049XXXL")</f>
        <v>PM20049XXXL</v>
      </c>
      <c r="G1966" s="165">
        <f>IFERROR(__xludf.DUMMYFUNCTION("""COMPUTED_VALUE"""),1293.0)</f>
        <v>1293</v>
      </c>
    </row>
    <row r="1967" ht="15.75" customHeight="1">
      <c r="A1967" s="133" t="str">
        <f>IFERROR(__xludf.DUMMYFUNCTION("""COMPUTED_VALUE"""),"PM20050")</f>
        <v>PM20050</v>
      </c>
      <c r="B1967" s="164">
        <f>IFERROR(__xludf.DUMMYFUNCTION("""COMPUTED_VALUE"""),1.0288135E7)</f>
        <v>10288135</v>
      </c>
      <c r="C1967" s="164" t="str">
        <f>IFERROR(__xludf.DUMMYFUNCTION("""COMPUTED_VALUE"""),"10288135S")</f>
        <v>10288135S</v>
      </c>
      <c r="D1967" s="133" t="str">
        <f>IFERROR(__xludf.DUMMYFUNCTION("""COMPUTED_VALUE"""),"Пижама")</f>
        <v>Пижама</v>
      </c>
      <c r="E1967" s="133" t="str">
        <f>IFERROR(__xludf.DUMMYFUNCTION("""COMPUTED_VALUE"""),"S")</f>
        <v>S</v>
      </c>
      <c r="F1967" s="133" t="str">
        <f>IFERROR(__xludf.DUMMYFUNCTION("""COMPUTED_VALUE"""),"PM20050S")</f>
        <v>PM20050S</v>
      </c>
      <c r="G1967" s="165">
        <f>IFERROR(__xludf.DUMMYFUNCTION("""COMPUTED_VALUE"""),1293.0)</f>
        <v>1293</v>
      </c>
    </row>
    <row r="1968" ht="15.75" customHeight="1">
      <c r="A1968" s="133" t="str">
        <f>IFERROR(__xludf.DUMMYFUNCTION("""COMPUTED_VALUE"""),"PM20050")</f>
        <v>PM20050</v>
      </c>
      <c r="B1968" s="164">
        <f>IFERROR(__xludf.DUMMYFUNCTION("""COMPUTED_VALUE"""),1.0288135E7)</f>
        <v>10288135</v>
      </c>
      <c r="C1968" s="164" t="str">
        <f>IFERROR(__xludf.DUMMYFUNCTION("""COMPUTED_VALUE"""),"10288135M")</f>
        <v>10288135M</v>
      </c>
      <c r="D1968" s="133" t="str">
        <f>IFERROR(__xludf.DUMMYFUNCTION("""COMPUTED_VALUE"""),"Пижама")</f>
        <v>Пижама</v>
      </c>
      <c r="E1968" s="133" t="str">
        <f>IFERROR(__xludf.DUMMYFUNCTION("""COMPUTED_VALUE"""),"M")</f>
        <v>M</v>
      </c>
      <c r="F1968" s="133" t="str">
        <f>IFERROR(__xludf.DUMMYFUNCTION("""COMPUTED_VALUE"""),"PM20050M")</f>
        <v>PM20050M</v>
      </c>
      <c r="G1968" s="165">
        <f>IFERROR(__xludf.DUMMYFUNCTION("""COMPUTED_VALUE"""),1293.0)</f>
        <v>1293</v>
      </c>
    </row>
    <row r="1969" ht="15.75" customHeight="1">
      <c r="A1969" s="133" t="str">
        <f>IFERROR(__xludf.DUMMYFUNCTION("""COMPUTED_VALUE"""),"PM20050")</f>
        <v>PM20050</v>
      </c>
      <c r="B1969" s="164">
        <f>IFERROR(__xludf.DUMMYFUNCTION("""COMPUTED_VALUE"""),1.0288135E7)</f>
        <v>10288135</v>
      </c>
      <c r="C1969" s="164" t="str">
        <f>IFERROR(__xludf.DUMMYFUNCTION("""COMPUTED_VALUE"""),"10288135L")</f>
        <v>10288135L</v>
      </c>
      <c r="D1969" s="133" t="str">
        <f>IFERROR(__xludf.DUMMYFUNCTION("""COMPUTED_VALUE"""),"Пижама")</f>
        <v>Пижама</v>
      </c>
      <c r="E1969" s="133" t="str">
        <f>IFERROR(__xludf.DUMMYFUNCTION("""COMPUTED_VALUE"""),"L")</f>
        <v>L</v>
      </c>
      <c r="F1969" s="133" t="str">
        <f>IFERROR(__xludf.DUMMYFUNCTION("""COMPUTED_VALUE"""),"PM20050L")</f>
        <v>PM20050L</v>
      </c>
      <c r="G1969" s="165">
        <f>IFERROR(__xludf.DUMMYFUNCTION("""COMPUTED_VALUE"""),1293.0)</f>
        <v>1293</v>
      </c>
    </row>
    <row r="1970" ht="15.75" customHeight="1">
      <c r="A1970" s="133" t="str">
        <f>IFERROR(__xludf.DUMMYFUNCTION("""COMPUTED_VALUE"""),"PM20050")</f>
        <v>PM20050</v>
      </c>
      <c r="B1970" s="164">
        <f>IFERROR(__xludf.DUMMYFUNCTION("""COMPUTED_VALUE"""),1.0288135E7)</f>
        <v>10288135</v>
      </c>
      <c r="C1970" s="164" t="str">
        <f>IFERROR(__xludf.DUMMYFUNCTION("""COMPUTED_VALUE"""),"10288135XL")</f>
        <v>10288135XL</v>
      </c>
      <c r="D1970" s="133" t="str">
        <f>IFERROR(__xludf.DUMMYFUNCTION("""COMPUTED_VALUE"""),"Пижама")</f>
        <v>Пижама</v>
      </c>
      <c r="E1970" s="133" t="str">
        <f>IFERROR(__xludf.DUMMYFUNCTION("""COMPUTED_VALUE"""),"XL")</f>
        <v>XL</v>
      </c>
      <c r="F1970" s="133" t="str">
        <f>IFERROR(__xludf.DUMMYFUNCTION("""COMPUTED_VALUE"""),"PM20050XL")</f>
        <v>PM20050XL</v>
      </c>
      <c r="G1970" s="165">
        <f>IFERROR(__xludf.DUMMYFUNCTION("""COMPUTED_VALUE"""),1293.0)</f>
        <v>1293</v>
      </c>
    </row>
    <row r="1971" ht="15.75" customHeight="1">
      <c r="A1971" s="133" t="str">
        <f>IFERROR(__xludf.DUMMYFUNCTION("""COMPUTED_VALUE"""),"PM20050")</f>
        <v>PM20050</v>
      </c>
      <c r="B1971" s="164">
        <f>IFERROR(__xludf.DUMMYFUNCTION("""COMPUTED_VALUE"""),1.0288135E7)</f>
        <v>10288135</v>
      </c>
      <c r="C1971" s="164" t="str">
        <f>IFERROR(__xludf.DUMMYFUNCTION("""COMPUTED_VALUE"""),"10288135XXL")</f>
        <v>10288135XXL</v>
      </c>
      <c r="D1971" s="133" t="str">
        <f>IFERROR(__xludf.DUMMYFUNCTION("""COMPUTED_VALUE"""),"Пижама")</f>
        <v>Пижама</v>
      </c>
      <c r="E1971" s="133" t="str">
        <f>IFERROR(__xludf.DUMMYFUNCTION("""COMPUTED_VALUE"""),"XXL")</f>
        <v>XXL</v>
      </c>
      <c r="F1971" s="133" t="str">
        <f>IFERROR(__xludf.DUMMYFUNCTION("""COMPUTED_VALUE"""),"PM20050XXL")</f>
        <v>PM20050XXL</v>
      </c>
      <c r="G1971" s="165">
        <f>IFERROR(__xludf.DUMMYFUNCTION("""COMPUTED_VALUE"""),1293.0)</f>
        <v>1293</v>
      </c>
    </row>
    <row r="1972" ht="15.75" customHeight="1">
      <c r="A1972" s="133" t="str">
        <f>IFERROR(__xludf.DUMMYFUNCTION("""COMPUTED_VALUE"""),"PM20050")</f>
        <v>PM20050</v>
      </c>
      <c r="B1972" s="164">
        <f>IFERROR(__xludf.DUMMYFUNCTION("""COMPUTED_VALUE"""),1.0288135E7)</f>
        <v>10288135</v>
      </c>
      <c r="C1972" s="164" t="str">
        <f>IFERROR(__xludf.DUMMYFUNCTION("""COMPUTED_VALUE"""),"10288135XXXL")</f>
        <v>10288135XXXL</v>
      </c>
      <c r="D1972" s="133" t="str">
        <f>IFERROR(__xludf.DUMMYFUNCTION("""COMPUTED_VALUE"""),"Пижама")</f>
        <v>Пижама</v>
      </c>
      <c r="E1972" s="133" t="str">
        <f>IFERROR(__xludf.DUMMYFUNCTION("""COMPUTED_VALUE"""),"XXXL")</f>
        <v>XXXL</v>
      </c>
      <c r="F1972" s="133" t="str">
        <f>IFERROR(__xludf.DUMMYFUNCTION("""COMPUTED_VALUE"""),"PM20050XXXL")</f>
        <v>PM20050XXXL</v>
      </c>
      <c r="G1972" s="165">
        <f>IFERROR(__xludf.DUMMYFUNCTION("""COMPUTED_VALUE"""),1293.0)</f>
        <v>1293</v>
      </c>
    </row>
    <row r="1973" ht="15.75" customHeight="1">
      <c r="A1973" s="133" t="str">
        <f>IFERROR(__xludf.DUMMYFUNCTION("""COMPUTED_VALUE"""),"PM20051")</f>
        <v>PM20051</v>
      </c>
      <c r="B1973" s="164">
        <f>IFERROR(__xludf.DUMMYFUNCTION("""COMPUTED_VALUE"""),1.0288136E7)</f>
        <v>10288136</v>
      </c>
      <c r="C1973" s="164" t="str">
        <f>IFERROR(__xludf.DUMMYFUNCTION("""COMPUTED_VALUE"""),"10288136S")</f>
        <v>10288136S</v>
      </c>
      <c r="D1973" s="133" t="str">
        <f>IFERROR(__xludf.DUMMYFUNCTION("""COMPUTED_VALUE"""),"Пижама")</f>
        <v>Пижама</v>
      </c>
      <c r="E1973" s="133" t="str">
        <f>IFERROR(__xludf.DUMMYFUNCTION("""COMPUTED_VALUE"""),"S")</f>
        <v>S</v>
      </c>
      <c r="F1973" s="133" t="str">
        <f>IFERROR(__xludf.DUMMYFUNCTION("""COMPUTED_VALUE"""),"PM20051S")</f>
        <v>PM20051S</v>
      </c>
      <c r="G1973" s="165">
        <f>IFERROR(__xludf.DUMMYFUNCTION("""COMPUTED_VALUE"""),1293.0)</f>
        <v>1293</v>
      </c>
    </row>
    <row r="1974" ht="15.75" customHeight="1">
      <c r="A1974" s="133" t="str">
        <f>IFERROR(__xludf.DUMMYFUNCTION("""COMPUTED_VALUE"""),"PM20051")</f>
        <v>PM20051</v>
      </c>
      <c r="B1974" s="164">
        <f>IFERROR(__xludf.DUMMYFUNCTION("""COMPUTED_VALUE"""),1.0288136E7)</f>
        <v>10288136</v>
      </c>
      <c r="C1974" s="164" t="str">
        <f>IFERROR(__xludf.DUMMYFUNCTION("""COMPUTED_VALUE"""),"10288136M")</f>
        <v>10288136M</v>
      </c>
      <c r="D1974" s="133" t="str">
        <f>IFERROR(__xludf.DUMMYFUNCTION("""COMPUTED_VALUE"""),"Пижама")</f>
        <v>Пижама</v>
      </c>
      <c r="E1974" s="133" t="str">
        <f>IFERROR(__xludf.DUMMYFUNCTION("""COMPUTED_VALUE"""),"M")</f>
        <v>M</v>
      </c>
      <c r="F1974" s="133" t="str">
        <f>IFERROR(__xludf.DUMMYFUNCTION("""COMPUTED_VALUE"""),"PM20051M")</f>
        <v>PM20051M</v>
      </c>
      <c r="G1974" s="165">
        <f>IFERROR(__xludf.DUMMYFUNCTION("""COMPUTED_VALUE"""),1293.0)</f>
        <v>1293</v>
      </c>
    </row>
    <row r="1975" ht="15.75" customHeight="1">
      <c r="A1975" s="133" t="str">
        <f>IFERROR(__xludf.DUMMYFUNCTION("""COMPUTED_VALUE"""),"PM20051")</f>
        <v>PM20051</v>
      </c>
      <c r="B1975" s="164">
        <f>IFERROR(__xludf.DUMMYFUNCTION("""COMPUTED_VALUE"""),1.0288136E7)</f>
        <v>10288136</v>
      </c>
      <c r="C1975" s="164" t="str">
        <f>IFERROR(__xludf.DUMMYFUNCTION("""COMPUTED_VALUE"""),"10288136L")</f>
        <v>10288136L</v>
      </c>
      <c r="D1975" s="133" t="str">
        <f>IFERROR(__xludf.DUMMYFUNCTION("""COMPUTED_VALUE"""),"Пижама")</f>
        <v>Пижама</v>
      </c>
      <c r="E1975" s="133" t="str">
        <f>IFERROR(__xludf.DUMMYFUNCTION("""COMPUTED_VALUE"""),"L")</f>
        <v>L</v>
      </c>
      <c r="F1975" s="133" t="str">
        <f>IFERROR(__xludf.DUMMYFUNCTION("""COMPUTED_VALUE"""),"PM20051L")</f>
        <v>PM20051L</v>
      </c>
      <c r="G1975" s="165">
        <f>IFERROR(__xludf.DUMMYFUNCTION("""COMPUTED_VALUE"""),1293.0)</f>
        <v>1293</v>
      </c>
    </row>
    <row r="1976" ht="15.75" customHeight="1">
      <c r="A1976" s="133" t="str">
        <f>IFERROR(__xludf.DUMMYFUNCTION("""COMPUTED_VALUE"""),"PM20051")</f>
        <v>PM20051</v>
      </c>
      <c r="B1976" s="164">
        <f>IFERROR(__xludf.DUMMYFUNCTION("""COMPUTED_VALUE"""),1.0288136E7)</f>
        <v>10288136</v>
      </c>
      <c r="C1976" s="164" t="str">
        <f>IFERROR(__xludf.DUMMYFUNCTION("""COMPUTED_VALUE"""),"10288136XL")</f>
        <v>10288136XL</v>
      </c>
      <c r="D1976" s="133" t="str">
        <f>IFERROR(__xludf.DUMMYFUNCTION("""COMPUTED_VALUE"""),"Пижама")</f>
        <v>Пижама</v>
      </c>
      <c r="E1976" s="133" t="str">
        <f>IFERROR(__xludf.DUMMYFUNCTION("""COMPUTED_VALUE"""),"XL")</f>
        <v>XL</v>
      </c>
      <c r="F1976" s="133" t="str">
        <f>IFERROR(__xludf.DUMMYFUNCTION("""COMPUTED_VALUE"""),"PM20051XL")</f>
        <v>PM20051XL</v>
      </c>
      <c r="G1976" s="165">
        <f>IFERROR(__xludf.DUMMYFUNCTION("""COMPUTED_VALUE"""),1293.0)</f>
        <v>1293</v>
      </c>
    </row>
    <row r="1977" ht="15.75" customHeight="1">
      <c r="A1977" s="133" t="str">
        <f>IFERROR(__xludf.DUMMYFUNCTION("""COMPUTED_VALUE"""),"PM20051")</f>
        <v>PM20051</v>
      </c>
      <c r="B1977" s="164">
        <f>IFERROR(__xludf.DUMMYFUNCTION("""COMPUTED_VALUE"""),1.0288136E7)</f>
        <v>10288136</v>
      </c>
      <c r="C1977" s="164" t="str">
        <f>IFERROR(__xludf.DUMMYFUNCTION("""COMPUTED_VALUE"""),"10288136XXL")</f>
        <v>10288136XXL</v>
      </c>
      <c r="D1977" s="133" t="str">
        <f>IFERROR(__xludf.DUMMYFUNCTION("""COMPUTED_VALUE"""),"Пижама")</f>
        <v>Пижама</v>
      </c>
      <c r="E1977" s="133" t="str">
        <f>IFERROR(__xludf.DUMMYFUNCTION("""COMPUTED_VALUE"""),"XXL")</f>
        <v>XXL</v>
      </c>
      <c r="F1977" s="133" t="str">
        <f>IFERROR(__xludf.DUMMYFUNCTION("""COMPUTED_VALUE"""),"PM20051XXL")</f>
        <v>PM20051XXL</v>
      </c>
      <c r="G1977" s="165">
        <f>IFERROR(__xludf.DUMMYFUNCTION("""COMPUTED_VALUE"""),1293.0)</f>
        <v>1293</v>
      </c>
    </row>
    <row r="1978" ht="15.75" customHeight="1">
      <c r="A1978" s="133" t="str">
        <f>IFERROR(__xludf.DUMMYFUNCTION("""COMPUTED_VALUE"""),"PM20051")</f>
        <v>PM20051</v>
      </c>
      <c r="B1978" s="164">
        <f>IFERROR(__xludf.DUMMYFUNCTION("""COMPUTED_VALUE"""),1.0288136E7)</f>
        <v>10288136</v>
      </c>
      <c r="C1978" s="164" t="str">
        <f>IFERROR(__xludf.DUMMYFUNCTION("""COMPUTED_VALUE"""),"10288136XXXL")</f>
        <v>10288136XXXL</v>
      </c>
      <c r="D1978" s="133" t="str">
        <f>IFERROR(__xludf.DUMMYFUNCTION("""COMPUTED_VALUE"""),"Пижама")</f>
        <v>Пижама</v>
      </c>
      <c r="E1978" s="133" t="str">
        <f>IFERROR(__xludf.DUMMYFUNCTION("""COMPUTED_VALUE"""),"XXXL")</f>
        <v>XXXL</v>
      </c>
      <c r="F1978" s="133" t="str">
        <f>IFERROR(__xludf.DUMMYFUNCTION("""COMPUTED_VALUE"""),"PM20051XXXL")</f>
        <v>PM20051XXXL</v>
      </c>
      <c r="G1978" s="165">
        <f>IFERROR(__xludf.DUMMYFUNCTION("""COMPUTED_VALUE"""),1293.0)</f>
        <v>1293</v>
      </c>
    </row>
    <row r="1979" ht="15.75" customHeight="1">
      <c r="A1979" s="133" t="str">
        <f>IFERROR(__xludf.DUMMYFUNCTION("""COMPUTED_VALUE"""),"PM20052")</f>
        <v>PM20052</v>
      </c>
      <c r="B1979" s="164">
        <f>IFERROR(__xludf.DUMMYFUNCTION("""COMPUTED_VALUE"""),1.0288137E7)</f>
        <v>10288137</v>
      </c>
      <c r="C1979" s="164" t="str">
        <f>IFERROR(__xludf.DUMMYFUNCTION("""COMPUTED_VALUE"""),"10288137S")</f>
        <v>10288137S</v>
      </c>
      <c r="D1979" s="133" t="str">
        <f>IFERROR(__xludf.DUMMYFUNCTION("""COMPUTED_VALUE"""),"Пижама")</f>
        <v>Пижама</v>
      </c>
      <c r="E1979" s="133" t="str">
        <f>IFERROR(__xludf.DUMMYFUNCTION("""COMPUTED_VALUE"""),"S")</f>
        <v>S</v>
      </c>
      <c r="F1979" s="133" t="str">
        <f>IFERROR(__xludf.DUMMYFUNCTION("""COMPUTED_VALUE"""),"PM20052S")</f>
        <v>PM20052S</v>
      </c>
      <c r="G1979" s="165">
        <f>IFERROR(__xludf.DUMMYFUNCTION("""COMPUTED_VALUE"""),1293.0)</f>
        <v>1293</v>
      </c>
    </row>
    <row r="1980" ht="15.75" customHeight="1">
      <c r="A1980" s="133" t="str">
        <f>IFERROR(__xludf.DUMMYFUNCTION("""COMPUTED_VALUE"""),"PM20052")</f>
        <v>PM20052</v>
      </c>
      <c r="B1980" s="164">
        <f>IFERROR(__xludf.DUMMYFUNCTION("""COMPUTED_VALUE"""),1.0288137E7)</f>
        <v>10288137</v>
      </c>
      <c r="C1980" s="164" t="str">
        <f>IFERROR(__xludf.DUMMYFUNCTION("""COMPUTED_VALUE"""),"10288137M")</f>
        <v>10288137M</v>
      </c>
      <c r="D1980" s="133" t="str">
        <f>IFERROR(__xludf.DUMMYFUNCTION("""COMPUTED_VALUE"""),"Пижама")</f>
        <v>Пижама</v>
      </c>
      <c r="E1980" s="133" t="str">
        <f>IFERROR(__xludf.DUMMYFUNCTION("""COMPUTED_VALUE"""),"M")</f>
        <v>M</v>
      </c>
      <c r="F1980" s="133" t="str">
        <f>IFERROR(__xludf.DUMMYFUNCTION("""COMPUTED_VALUE"""),"PM20052M")</f>
        <v>PM20052M</v>
      </c>
      <c r="G1980" s="165">
        <f>IFERROR(__xludf.DUMMYFUNCTION("""COMPUTED_VALUE"""),1293.0)</f>
        <v>1293</v>
      </c>
    </row>
    <row r="1981" ht="15.75" customHeight="1">
      <c r="A1981" s="133" t="str">
        <f>IFERROR(__xludf.DUMMYFUNCTION("""COMPUTED_VALUE"""),"PM20052")</f>
        <v>PM20052</v>
      </c>
      <c r="B1981" s="164">
        <f>IFERROR(__xludf.DUMMYFUNCTION("""COMPUTED_VALUE"""),1.0288137E7)</f>
        <v>10288137</v>
      </c>
      <c r="C1981" s="164" t="str">
        <f>IFERROR(__xludf.DUMMYFUNCTION("""COMPUTED_VALUE"""),"10288137L")</f>
        <v>10288137L</v>
      </c>
      <c r="D1981" s="133" t="str">
        <f>IFERROR(__xludf.DUMMYFUNCTION("""COMPUTED_VALUE"""),"Пижама")</f>
        <v>Пижама</v>
      </c>
      <c r="E1981" s="133" t="str">
        <f>IFERROR(__xludf.DUMMYFUNCTION("""COMPUTED_VALUE"""),"L")</f>
        <v>L</v>
      </c>
      <c r="F1981" s="133" t="str">
        <f>IFERROR(__xludf.DUMMYFUNCTION("""COMPUTED_VALUE"""),"PM20052L")</f>
        <v>PM20052L</v>
      </c>
      <c r="G1981" s="165">
        <f>IFERROR(__xludf.DUMMYFUNCTION("""COMPUTED_VALUE"""),1293.0)</f>
        <v>1293</v>
      </c>
    </row>
    <row r="1982" ht="15.75" customHeight="1">
      <c r="A1982" s="133" t="str">
        <f>IFERROR(__xludf.DUMMYFUNCTION("""COMPUTED_VALUE"""),"PM20052")</f>
        <v>PM20052</v>
      </c>
      <c r="B1982" s="164">
        <f>IFERROR(__xludf.DUMMYFUNCTION("""COMPUTED_VALUE"""),1.0288137E7)</f>
        <v>10288137</v>
      </c>
      <c r="C1982" s="164" t="str">
        <f>IFERROR(__xludf.DUMMYFUNCTION("""COMPUTED_VALUE"""),"10288137XL")</f>
        <v>10288137XL</v>
      </c>
      <c r="D1982" s="133" t="str">
        <f>IFERROR(__xludf.DUMMYFUNCTION("""COMPUTED_VALUE"""),"Пижама")</f>
        <v>Пижама</v>
      </c>
      <c r="E1982" s="133" t="str">
        <f>IFERROR(__xludf.DUMMYFUNCTION("""COMPUTED_VALUE"""),"XL")</f>
        <v>XL</v>
      </c>
      <c r="F1982" s="133" t="str">
        <f>IFERROR(__xludf.DUMMYFUNCTION("""COMPUTED_VALUE"""),"PM20052XL")</f>
        <v>PM20052XL</v>
      </c>
      <c r="G1982" s="165">
        <f>IFERROR(__xludf.DUMMYFUNCTION("""COMPUTED_VALUE"""),1293.0)</f>
        <v>1293</v>
      </c>
    </row>
    <row r="1983" ht="15.75" customHeight="1">
      <c r="A1983" s="133" t="str">
        <f>IFERROR(__xludf.DUMMYFUNCTION("""COMPUTED_VALUE"""),"PM20052")</f>
        <v>PM20052</v>
      </c>
      <c r="B1983" s="164">
        <f>IFERROR(__xludf.DUMMYFUNCTION("""COMPUTED_VALUE"""),1.0288137E7)</f>
        <v>10288137</v>
      </c>
      <c r="C1983" s="164" t="str">
        <f>IFERROR(__xludf.DUMMYFUNCTION("""COMPUTED_VALUE"""),"10288137XXL")</f>
        <v>10288137XXL</v>
      </c>
      <c r="D1983" s="133" t="str">
        <f>IFERROR(__xludf.DUMMYFUNCTION("""COMPUTED_VALUE"""),"Пижама")</f>
        <v>Пижама</v>
      </c>
      <c r="E1983" s="133" t="str">
        <f>IFERROR(__xludf.DUMMYFUNCTION("""COMPUTED_VALUE"""),"XXL")</f>
        <v>XXL</v>
      </c>
      <c r="F1983" s="133" t="str">
        <f>IFERROR(__xludf.DUMMYFUNCTION("""COMPUTED_VALUE"""),"PM20052XXL")</f>
        <v>PM20052XXL</v>
      </c>
      <c r="G1983" s="165">
        <f>IFERROR(__xludf.DUMMYFUNCTION("""COMPUTED_VALUE"""),1293.0)</f>
        <v>1293</v>
      </c>
    </row>
    <row r="1984" ht="15.75" customHeight="1">
      <c r="A1984" s="133" t="str">
        <f>IFERROR(__xludf.DUMMYFUNCTION("""COMPUTED_VALUE"""),"PM20052")</f>
        <v>PM20052</v>
      </c>
      <c r="B1984" s="164">
        <f>IFERROR(__xludf.DUMMYFUNCTION("""COMPUTED_VALUE"""),1.0288137E7)</f>
        <v>10288137</v>
      </c>
      <c r="C1984" s="164" t="str">
        <f>IFERROR(__xludf.DUMMYFUNCTION("""COMPUTED_VALUE"""),"10288137XXXL")</f>
        <v>10288137XXXL</v>
      </c>
      <c r="D1984" s="133" t="str">
        <f>IFERROR(__xludf.DUMMYFUNCTION("""COMPUTED_VALUE"""),"Пижама")</f>
        <v>Пижама</v>
      </c>
      <c r="E1984" s="133" t="str">
        <f>IFERROR(__xludf.DUMMYFUNCTION("""COMPUTED_VALUE"""),"XXXL")</f>
        <v>XXXL</v>
      </c>
      <c r="F1984" s="133" t="str">
        <f>IFERROR(__xludf.DUMMYFUNCTION("""COMPUTED_VALUE"""),"PM20052XXXL")</f>
        <v>PM20052XXXL</v>
      </c>
      <c r="G1984" s="165">
        <f>IFERROR(__xludf.DUMMYFUNCTION("""COMPUTED_VALUE"""),1293.0)</f>
        <v>1293</v>
      </c>
    </row>
    <row r="1985" ht="15.75" customHeight="1">
      <c r="A1985" s="133" t="str">
        <f>IFERROR(__xludf.DUMMYFUNCTION("""COMPUTED_VALUE"""),"PG40089")</f>
        <v>PG40089</v>
      </c>
      <c r="B1985" s="164">
        <f>IFERROR(__xludf.DUMMYFUNCTION("""COMPUTED_VALUE"""),1.0280304E7)</f>
        <v>10280304</v>
      </c>
      <c r="C1985" s="164" t="str">
        <f>IFERROR(__xludf.DUMMYFUNCTION("""COMPUTED_VALUE"""),"1028030498-104")</f>
        <v>1028030498-104</v>
      </c>
      <c r="D1985" s="133" t="str">
        <f>IFERROR(__xludf.DUMMYFUNCTION("""COMPUTED_VALUE"""),"Пижама")</f>
        <v>Пижама</v>
      </c>
      <c r="E1985" s="133" t="str">
        <f>IFERROR(__xludf.DUMMYFUNCTION("""COMPUTED_VALUE"""),"98-104")</f>
        <v>98-104</v>
      </c>
      <c r="F1985" s="133" t="str">
        <f>IFERROR(__xludf.DUMMYFUNCTION("""COMPUTED_VALUE"""),"PG4008998-104")</f>
        <v>PG4008998-104</v>
      </c>
      <c r="G1985" s="165">
        <f>IFERROR(__xludf.DUMMYFUNCTION("""COMPUTED_VALUE"""),786.0)</f>
        <v>786</v>
      </c>
    </row>
    <row r="1986" ht="15.75" customHeight="1">
      <c r="A1986" s="133" t="str">
        <f>IFERROR(__xludf.DUMMYFUNCTION("""COMPUTED_VALUE"""),"PG40089")</f>
        <v>PG40089</v>
      </c>
      <c r="B1986" s="164">
        <f>IFERROR(__xludf.DUMMYFUNCTION("""COMPUTED_VALUE"""),1.0280304E7)</f>
        <v>10280304</v>
      </c>
      <c r="C1986" s="164" t="str">
        <f>IFERROR(__xludf.DUMMYFUNCTION("""COMPUTED_VALUE"""),"10280304110-116")</f>
        <v>10280304110-116</v>
      </c>
      <c r="D1986" s="133" t="str">
        <f>IFERROR(__xludf.DUMMYFUNCTION("""COMPUTED_VALUE"""),"Пижама")</f>
        <v>Пижама</v>
      </c>
      <c r="E1986" s="133" t="str">
        <f>IFERROR(__xludf.DUMMYFUNCTION("""COMPUTED_VALUE"""),"110-116")</f>
        <v>110-116</v>
      </c>
      <c r="F1986" s="133" t="str">
        <f>IFERROR(__xludf.DUMMYFUNCTION("""COMPUTED_VALUE"""),"PG40089110-116")</f>
        <v>PG40089110-116</v>
      </c>
      <c r="G1986" s="165">
        <f>IFERROR(__xludf.DUMMYFUNCTION("""COMPUTED_VALUE"""),786.0)</f>
        <v>786</v>
      </c>
    </row>
    <row r="1987" ht="15.75" customHeight="1">
      <c r="A1987" s="133" t="str">
        <f>IFERROR(__xludf.DUMMYFUNCTION("""COMPUTED_VALUE"""),"PG40089")</f>
        <v>PG40089</v>
      </c>
      <c r="B1987" s="164">
        <f>IFERROR(__xludf.DUMMYFUNCTION("""COMPUTED_VALUE"""),1.0280304E7)</f>
        <v>10280304</v>
      </c>
      <c r="C1987" s="164" t="str">
        <f>IFERROR(__xludf.DUMMYFUNCTION("""COMPUTED_VALUE"""),"10280304122-128")</f>
        <v>10280304122-128</v>
      </c>
      <c r="D1987" s="133" t="str">
        <f>IFERROR(__xludf.DUMMYFUNCTION("""COMPUTED_VALUE"""),"Пижама")</f>
        <v>Пижама</v>
      </c>
      <c r="E1987" s="133" t="str">
        <f>IFERROR(__xludf.DUMMYFUNCTION("""COMPUTED_VALUE"""),"122-128")</f>
        <v>122-128</v>
      </c>
      <c r="F1987" s="133" t="str">
        <f>IFERROR(__xludf.DUMMYFUNCTION("""COMPUTED_VALUE"""),"PG40089122-128")</f>
        <v>PG40089122-128</v>
      </c>
      <c r="G1987" s="165">
        <f>IFERROR(__xludf.DUMMYFUNCTION("""COMPUTED_VALUE"""),786.0)</f>
        <v>786</v>
      </c>
    </row>
    <row r="1988" ht="15.75" customHeight="1">
      <c r="A1988" s="133" t="str">
        <f>IFERROR(__xludf.DUMMYFUNCTION("""COMPUTED_VALUE"""),"PG40089")</f>
        <v>PG40089</v>
      </c>
      <c r="B1988" s="164">
        <f>IFERROR(__xludf.DUMMYFUNCTION("""COMPUTED_VALUE"""),1.0280304E7)</f>
        <v>10280304</v>
      </c>
      <c r="C1988" s="164" t="str">
        <f>IFERROR(__xludf.DUMMYFUNCTION("""COMPUTED_VALUE"""),"10280304134-140")</f>
        <v>10280304134-140</v>
      </c>
      <c r="D1988" s="133" t="str">
        <f>IFERROR(__xludf.DUMMYFUNCTION("""COMPUTED_VALUE"""),"Пижама")</f>
        <v>Пижама</v>
      </c>
      <c r="E1988" s="133" t="str">
        <f>IFERROR(__xludf.DUMMYFUNCTION("""COMPUTED_VALUE"""),"134-140")</f>
        <v>134-140</v>
      </c>
      <c r="F1988" s="133" t="str">
        <f>IFERROR(__xludf.DUMMYFUNCTION("""COMPUTED_VALUE"""),"PG40089134-140")</f>
        <v>PG40089134-140</v>
      </c>
      <c r="G1988" s="165">
        <f>IFERROR(__xludf.DUMMYFUNCTION("""COMPUTED_VALUE"""),786.0)</f>
        <v>786</v>
      </c>
    </row>
    <row r="1989" ht="15.75" customHeight="1">
      <c r="A1989" s="133" t="str">
        <f>IFERROR(__xludf.DUMMYFUNCTION("""COMPUTED_VALUE"""),"PG40089")</f>
        <v>PG40089</v>
      </c>
      <c r="B1989" s="164">
        <f>IFERROR(__xludf.DUMMYFUNCTION("""COMPUTED_VALUE"""),1.0280304E7)</f>
        <v>10280304</v>
      </c>
      <c r="C1989" s="164" t="str">
        <f>IFERROR(__xludf.DUMMYFUNCTION("""COMPUTED_VALUE"""),"10280304140-146")</f>
        <v>10280304140-146</v>
      </c>
      <c r="D1989" s="133" t="str">
        <f>IFERROR(__xludf.DUMMYFUNCTION("""COMPUTED_VALUE"""),"Пижама")</f>
        <v>Пижама</v>
      </c>
      <c r="E1989" s="133" t="str">
        <f>IFERROR(__xludf.DUMMYFUNCTION("""COMPUTED_VALUE"""),"140-146")</f>
        <v>140-146</v>
      </c>
      <c r="F1989" s="133" t="str">
        <f>IFERROR(__xludf.DUMMYFUNCTION("""COMPUTED_VALUE"""),"PG40089140-146")</f>
        <v>PG40089140-146</v>
      </c>
      <c r="G1989" s="165">
        <f>IFERROR(__xludf.DUMMYFUNCTION("""COMPUTED_VALUE"""),786.0)</f>
        <v>786</v>
      </c>
    </row>
    <row r="1990" ht="15.75" customHeight="1">
      <c r="A1990" s="133" t="str">
        <f>IFERROR(__xludf.DUMMYFUNCTION("""COMPUTED_VALUE"""),"PG40090")</f>
        <v>PG40090</v>
      </c>
      <c r="B1990" s="164">
        <f>IFERROR(__xludf.DUMMYFUNCTION("""COMPUTED_VALUE"""),1.0280305E7)</f>
        <v>10280305</v>
      </c>
      <c r="C1990" s="164" t="str">
        <f>IFERROR(__xludf.DUMMYFUNCTION("""COMPUTED_VALUE"""),"1028030598-104")</f>
        <v>1028030598-104</v>
      </c>
      <c r="D1990" s="133" t="str">
        <f>IFERROR(__xludf.DUMMYFUNCTION("""COMPUTED_VALUE"""),"Пижама")</f>
        <v>Пижама</v>
      </c>
      <c r="E1990" s="133" t="str">
        <f>IFERROR(__xludf.DUMMYFUNCTION("""COMPUTED_VALUE"""),"98-104")</f>
        <v>98-104</v>
      </c>
      <c r="F1990" s="133" t="str">
        <f>IFERROR(__xludf.DUMMYFUNCTION("""COMPUTED_VALUE"""),"PG4009098-104")</f>
        <v>PG4009098-104</v>
      </c>
      <c r="G1990" s="165">
        <f>IFERROR(__xludf.DUMMYFUNCTION("""COMPUTED_VALUE"""),786.0)</f>
        <v>786</v>
      </c>
    </row>
    <row r="1991" ht="15.75" customHeight="1">
      <c r="A1991" s="133" t="str">
        <f>IFERROR(__xludf.DUMMYFUNCTION("""COMPUTED_VALUE"""),"PG40090")</f>
        <v>PG40090</v>
      </c>
      <c r="B1991" s="164">
        <f>IFERROR(__xludf.DUMMYFUNCTION("""COMPUTED_VALUE"""),1.0280305E7)</f>
        <v>10280305</v>
      </c>
      <c r="C1991" s="164" t="str">
        <f>IFERROR(__xludf.DUMMYFUNCTION("""COMPUTED_VALUE"""),"10280305110-116")</f>
        <v>10280305110-116</v>
      </c>
      <c r="D1991" s="133" t="str">
        <f>IFERROR(__xludf.DUMMYFUNCTION("""COMPUTED_VALUE"""),"Пижама")</f>
        <v>Пижама</v>
      </c>
      <c r="E1991" s="133" t="str">
        <f>IFERROR(__xludf.DUMMYFUNCTION("""COMPUTED_VALUE"""),"110-116")</f>
        <v>110-116</v>
      </c>
      <c r="F1991" s="133" t="str">
        <f>IFERROR(__xludf.DUMMYFUNCTION("""COMPUTED_VALUE"""),"PG40090110-116")</f>
        <v>PG40090110-116</v>
      </c>
      <c r="G1991" s="165">
        <f>IFERROR(__xludf.DUMMYFUNCTION("""COMPUTED_VALUE"""),786.0)</f>
        <v>786</v>
      </c>
    </row>
    <row r="1992" ht="15.75" customHeight="1">
      <c r="A1992" s="133" t="str">
        <f>IFERROR(__xludf.DUMMYFUNCTION("""COMPUTED_VALUE"""),"PG40090")</f>
        <v>PG40090</v>
      </c>
      <c r="B1992" s="164">
        <f>IFERROR(__xludf.DUMMYFUNCTION("""COMPUTED_VALUE"""),1.0280305E7)</f>
        <v>10280305</v>
      </c>
      <c r="C1992" s="164" t="str">
        <f>IFERROR(__xludf.DUMMYFUNCTION("""COMPUTED_VALUE"""),"10280305122-128")</f>
        <v>10280305122-128</v>
      </c>
      <c r="D1992" s="133" t="str">
        <f>IFERROR(__xludf.DUMMYFUNCTION("""COMPUTED_VALUE"""),"Пижама")</f>
        <v>Пижама</v>
      </c>
      <c r="E1992" s="133" t="str">
        <f>IFERROR(__xludf.DUMMYFUNCTION("""COMPUTED_VALUE"""),"122-128")</f>
        <v>122-128</v>
      </c>
      <c r="F1992" s="133" t="str">
        <f>IFERROR(__xludf.DUMMYFUNCTION("""COMPUTED_VALUE"""),"PG40090122-128")</f>
        <v>PG40090122-128</v>
      </c>
      <c r="G1992" s="165">
        <f>IFERROR(__xludf.DUMMYFUNCTION("""COMPUTED_VALUE"""),786.0)</f>
        <v>786</v>
      </c>
    </row>
    <row r="1993" ht="15.75" customHeight="1">
      <c r="A1993" s="133" t="str">
        <f>IFERROR(__xludf.DUMMYFUNCTION("""COMPUTED_VALUE"""),"PG40090")</f>
        <v>PG40090</v>
      </c>
      <c r="B1993" s="164">
        <f>IFERROR(__xludf.DUMMYFUNCTION("""COMPUTED_VALUE"""),1.0280305E7)</f>
        <v>10280305</v>
      </c>
      <c r="C1993" s="164" t="str">
        <f>IFERROR(__xludf.DUMMYFUNCTION("""COMPUTED_VALUE"""),"10280305134-140")</f>
        <v>10280305134-140</v>
      </c>
      <c r="D1993" s="133" t="str">
        <f>IFERROR(__xludf.DUMMYFUNCTION("""COMPUTED_VALUE"""),"Пижама")</f>
        <v>Пижама</v>
      </c>
      <c r="E1993" s="133" t="str">
        <f>IFERROR(__xludf.DUMMYFUNCTION("""COMPUTED_VALUE"""),"134-140")</f>
        <v>134-140</v>
      </c>
      <c r="F1993" s="133" t="str">
        <f>IFERROR(__xludf.DUMMYFUNCTION("""COMPUTED_VALUE"""),"PG40090134-140")</f>
        <v>PG40090134-140</v>
      </c>
      <c r="G1993" s="165">
        <f>IFERROR(__xludf.DUMMYFUNCTION("""COMPUTED_VALUE"""),786.0)</f>
        <v>786</v>
      </c>
    </row>
    <row r="1994" ht="15.75" customHeight="1">
      <c r="A1994" s="133" t="str">
        <f>IFERROR(__xludf.DUMMYFUNCTION("""COMPUTED_VALUE"""),"PG40090")</f>
        <v>PG40090</v>
      </c>
      <c r="B1994" s="164">
        <f>IFERROR(__xludf.DUMMYFUNCTION("""COMPUTED_VALUE"""),1.0280305E7)</f>
        <v>10280305</v>
      </c>
      <c r="C1994" s="164" t="str">
        <f>IFERROR(__xludf.DUMMYFUNCTION("""COMPUTED_VALUE"""),"10280305140-146")</f>
        <v>10280305140-146</v>
      </c>
      <c r="D1994" s="133" t="str">
        <f>IFERROR(__xludf.DUMMYFUNCTION("""COMPUTED_VALUE"""),"Пижама")</f>
        <v>Пижама</v>
      </c>
      <c r="E1994" s="133" t="str">
        <f>IFERROR(__xludf.DUMMYFUNCTION("""COMPUTED_VALUE"""),"140-146")</f>
        <v>140-146</v>
      </c>
      <c r="F1994" s="133" t="str">
        <f>IFERROR(__xludf.DUMMYFUNCTION("""COMPUTED_VALUE"""),"PG40090140-146")</f>
        <v>PG40090140-146</v>
      </c>
      <c r="G1994" s="165">
        <f>IFERROR(__xludf.DUMMYFUNCTION("""COMPUTED_VALUE"""),786.0)</f>
        <v>786</v>
      </c>
    </row>
    <row r="1995" ht="15.75" customHeight="1">
      <c r="A1995" s="133" t="str">
        <f>IFERROR(__xludf.DUMMYFUNCTION("""COMPUTED_VALUE"""),"PG40091")</f>
        <v>PG40091</v>
      </c>
      <c r="B1995" s="164">
        <f>IFERROR(__xludf.DUMMYFUNCTION("""COMPUTED_VALUE"""),1.0280306E7)</f>
        <v>10280306</v>
      </c>
      <c r="C1995" s="164" t="str">
        <f>IFERROR(__xludf.DUMMYFUNCTION("""COMPUTED_VALUE"""),"1028030698-104")</f>
        <v>1028030698-104</v>
      </c>
      <c r="D1995" s="133" t="str">
        <f>IFERROR(__xludf.DUMMYFUNCTION("""COMPUTED_VALUE"""),"Пижама")</f>
        <v>Пижама</v>
      </c>
      <c r="E1995" s="133" t="str">
        <f>IFERROR(__xludf.DUMMYFUNCTION("""COMPUTED_VALUE"""),"98-104")</f>
        <v>98-104</v>
      </c>
      <c r="F1995" s="133" t="str">
        <f>IFERROR(__xludf.DUMMYFUNCTION("""COMPUTED_VALUE"""),"PG4009198-104")</f>
        <v>PG4009198-104</v>
      </c>
      <c r="G1995" s="165">
        <f>IFERROR(__xludf.DUMMYFUNCTION("""COMPUTED_VALUE"""),786.0)</f>
        <v>786</v>
      </c>
    </row>
    <row r="1996" ht="15.75" customHeight="1">
      <c r="A1996" s="133" t="str">
        <f>IFERROR(__xludf.DUMMYFUNCTION("""COMPUTED_VALUE"""),"PG40091")</f>
        <v>PG40091</v>
      </c>
      <c r="B1996" s="164">
        <f>IFERROR(__xludf.DUMMYFUNCTION("""COMPUTED_VALUE"""),1.0280306E7)</f>
        <v>10280306</v>
      </c>
      <c r="C1996" s="164" t="str">
        <f>IFERROR(__xludf.DUMMYFUNCTION("""COMPUTED_VALUE"""),"10280306110-116")</f>
        <v>10280306110-116</v>
      </c>
      <c r="D1996" s="133" t="str">
        <f>IFERROR(__xludf.DUMMYFUNCTION("""COMPUTED_VALUE"""),"Пижама")</f>
        <v>Пижама</v>
      </c>
      <c r="E1996" s="133" t="str">
        <f>IFERROR(__xludf.DUMMYFUNCTION("""COMPUTED_VALUE"""),"110-116")</f>
        <v>110-116</v>
      </c>
      <c r="F1996" s="133" t="str">
        <f>IFERROR(__xludf.DUMMYFUNCTION("""COMPUTED_VALUE"""),"PG40091110-116")</f>
        <v>PG40091110-116</v>
      </c>
      <c r="G1996" s="165">
        <f>IFERROR(__xludf.DUMMYFUNCTION("""COMPUTED_VALUE"""),786.0)</f>
        <v>786</v>
      </c>
    </row>
    <row r="1997" ht="15.75" customHeight="1">
      <c r="A1997" s="133" t="str">
        <f>IFERROR(__xludf.DUMMYFUNCTION("""COMPUTED_VALUE"""),"PG40091")</f>
        <v>PG40091</v>
      </c>
      <c r="B1997" s="164">
        <f>IFERROR(__xludf.DUMMYFUNCTION("""COMPUTED_VALUE"""),1.0280306E7)</f>
        <v>10280306</v>
      </c>
      <c r="C1997" s="164" t="str">
        <f>IFERROR(__xludf.DUMMYFUNCTION("""COMPUTED_VALUE"""),"10280306122-128")</f>
        <v>10280306122-128</v>
      </c>
      <c r="D1997" s="133" t="str">
        <f>IFERROR(__xludf.DUMMYFUNCTION("""COMPUTED_VALUE"""),"Пижама")</f>
        <v>Пижама</v>
      </c>
      <c r="E1997" s="133" t="str">
        <f>IFERROR(__xludf.DUMMYFUNCTION("""COMPUTED_VALUE"""),"122-128")</f>
        <v>122-128</v>
      </c>
      <c r="F1997" s="133" t="str">
        <f>IFERROR(__xludf.DUMMYFUNCTION("""COMPUTED_VALUE"""),"PG40091122-128")</f>
        <v>PG40091122-128</v>
      </c>
      <c r="G1997" s="165">
        <f>IFERROR(__xludf.DUMMYFUNCTION("""COMPUTED_VALUE"""),786.0)</f>
        <v>786</v>
      </c>
    </row>
    <row r="1998" ht="15.75" customHeight="1">
      <c r="A1998" s="133" t="str">
        <f>IFERROR(__xludf.DUMMYFUNCTION("""COMPUTED_VALUE"""),"PG40091")</f>
        <v>PG40091</v>
      </c>
      <c r="B1998" s="164">
        <f>IFERROR(__xludf.DUMMYFUNCTION("""COMPUTED_VALUE"""),1.0280306E7)</f>
        <v>10280306</v>
      </c>
      <c r="C1998" s="164" t="str">
        <f>IFERROR(__xludf.DUMMYFUNCTION("""COMPUTED_VALUE"""),"10280306134-140")</f>
        <v>10280306134-140</v>
      </c>
      <c r="D1998" s="133" t="str">
        <f>IFERROR(__xludf.DUMMYFUNCTION("""COMPUTED_VALUE"""),"Пижама")</f>
        <v>Пижама</v>
      </c>
      <c r="E1998" s="133" t="str">
        <f>IFERROR(__xludf.DUMMYFUNCTION("""COMPUTED_VALUE"""),"134-140")</f>
        <v>134-140</v>
      </c>
      <c r="F1998" s="133" t="str">
        <f>IFERROR(__xludf.DUMMYFUNCTION("""COMPUTED_VALUE"""),"PG40091134-140")</f>
        <v>PG40091134-140</v>
      </c>
      <c r="G1998" s="165">
        <f>IFERROR(__xludf.DUMMYFUNCTION("""COMPUTED_VALUE"""),786.0)</f>
        <v>786</v>
      </c>
    </row>
    <row r="1999" ht="15.75" customHeight="1">
      <c r="A1999" s="133" t="str">
        <f>IFERROR(__xludf.DUMMYFUNCTION("""COMPUTED_VALUE"""),"PG40091")</f>
        <v>PG40091</v>
      </c>
      <c r="B1999" s="164">
        <f>IFERROR(__xludf.DUMMYFUNCTION("""COMPUTED_VALUE"""),1.0280306E7)</f>
        <v>10280306</v>
      </c>
      <c r="C1999" s="164" t="str">
        <f>IFERROR(__xludf.DUMMYFUNCTION("""COMPUTED_VALUE"""),"10280306140-146")</f>
        <v>10280306140-146</v>
      </c>
      <c r="D1999" s="133" t="str">
        <f>IFERROR(__xludf.DUMMYFUNCTION("""COMPUTED_VALUE"""),"Пижама")</f>
        <v>Пижама</v>
      </c>
      <c r="E1999" s="133" t="str">
        <f>IFERROR(__xludf.DUMMYFUNCTION("""COMPUTED_VALUE"""),"140-146")</f>
        <v>140-146</v>
      </c>
      <c r="F1999" s="133" t="str">
        <f>IFERROR(__xludf.DUMMYFUNCTION("""COMPUTED_VALUE"""),"PG40091140-146")</f>
        <v>PG40091140-146</v>
      </c>
      <c r="G1999" s="165">
        <f>IFERROR(__xludf.DUMMYFUNCTION("""COMPUTED_VALUE"""),786.0)</f>
        <v>786</v>
      </c>
    </row>
    <row r="2000" ht="15.75" customHeight="1">
      <c r="A2000" s="133" t="str">
        <f>IFERROR(__xludf.DUMMYFUNCTION("""COMPUTED_VALUE"""),"PG40092")</f>
        <v>PG40092</v>
      </c>
      <c r="B2000" s="164">
        <f>IFERROR(__xludf.DUMMYFUNCTION("""COMPUTED_VALUE"""),1.0280307E7)</f>
        <v>10280307</v>
      </c>
      <c r="C2000" s="164" t="str">
        <f>IFERROR(__xludf.DUMMYFUNCTION("""COMPUTED_VALUE"""),"1028030798-104")</f>
        <v>1028030798-104</v>
      </c>
      <c r="D2000" s="133" t="str">
        <f>IFERROR(__xludf.DUMMYFUNCTION("""COMPUTED_VALUE"""),"Пижама")</f>
        <v>Пижама</v>
      </c>
      <c r="E2000" s="133" t="str">
        <f>IFERROR(__xludf.DUMMYFUNCTION("""COMPUTED_VALUE"""),"98-104")</f>
        <v>98-104</v>
      </c>
      <c r="F2000" s="133" t="str">
        <f>IFERROR(__xludf.DUMMYFUNCTION("""COMPUTED_VALUE"""),"PG4009298-104")</f>
        <v>PG4009298-104</v>
      </c>
      <c r="G2000" s="165">
        <f>IFERROR(__xludf.DUMMYFUNCTION("""COMPUTED_VALUE"""),786.0)</f>
        <v>786</v>
      </c>
    </row>
    <row r="2001" ht="15.75" customHeight="1">
      <c r="A2001" s="133" t="str">
        <f>IFERROR(__xludf.DUMMYFUNCTION("""COMPUTED_VALUE"""),"PG40092")</f>
        <v>PG40092</v>
      </c>
      <c r="B2001" s="164">
        <f>IFERROR(__xludf.DUMMYFUNCTION("""COMPUTED_VALUE"""),1.0280307E7)</f>
        <v>10280307</v>
      </c>
      <c r="C2001" s="164" t="str">
        <f>IFERROR(__xludf.DUMMYFUNCTION("""COMPUTED_VALUE"""),"10280307110-116")</f>
        <v>10280307110-116</v>
      </c>
      <c r="D2001" s="133" t="str">
        <f>IFERROR(__xludf.DUMMYFUNCTION("""COMPUTED_VALUE"""),"Пижама")</f>
        <v>Пижама</v>
      </c>
      <c r="E2001" s="133" t="str">
        <f>IFERROR(__xludf.DUMMYFUNCTION("""COMPUTED_VALUE"""),"110-116")</f>
        <v>110-116</v>
      </c>
      <c r="F2001" s="133" t="str">
        <f>IFERROR(__xludf.DUMMYFUNCTION("""COMPUTED_VALUE"""),"PG40092110-116")</f>
        <v>PG40092110-116</v>
      </c>
      <c r="G2001" s="165">
        <f>IFERROR(__xludf.DUMMYFUNCTION("""COMPUTED_VALUE"""),786.0)</f>
        <v>786</v>
      </c>
    </row>
    <row r="2002" ht="15.75" customHeight="1">
      <c r="A2002" s="133" t="str">
        <f>IFERROR(__xludf.DUMMYFUNCTION("""COMPUTED_VALUE"""),"PG40092")</f>
        <v>PG40092</v>
      </c>
      <c r="B2002" s="164">
        <f>IFERROR(__xludf.DUMMYFUNCTION("""COMPUTED_VALUE"""),1.0280307E7)</f>
        <v>10280307</v>
      </c>
      <c r="C2002" s="164" t="str">
        <f>IFERROR(__xludf.DUMMYFUNCTION("""COMPUTED_VALUE"""),"10280307122-128")</f>
        <v>10280307122-128</v>
      </c>
      <c r="D2002" s="133" t="str">
        <f>IFERROR(__xludf.DUMMYFUNCTION("""COMPUTED_VALUE"""),"Пижама")</f>
        <v>Пижама</v>
      </c>
      <c r="E2002" s="133" t="str">
        <f>IFERROR(__xludf.DUMMYFUNCTION("""COMPUTED_VALUE"""),"122-128")</f>
        <v>122-128</v>
      </c>
      <c r="F2002" s="133" t="str">
        <f>IFERROR(__xludf.DUMMYFUNCTION("""COMPUTED_VALUE"""),"PG40092122-128")</f>
        <v>PG40092122-128</v>
      </c>
      <c r="G2002" s="165">
        <f>IFERROR(__xludf.DUMMYFUNCTION("""COMPUTED_VALUE"""),786.0)</f>
        <v>786</v>
      </c>
    </row>
    <row r="2003" ht="15.75" customHeight="1">
      <c r="A2003" s="133" t="str">
        <f>IFERROR(__xludf.DUMMYFUNCTION("""COMPUTED_VALUE"""),"PG40092")</f>
        <v>PG40092</v>
      </c>
      <c r="B2003" s="164">
        <f>IFERROR(__xludf.DUMMYFUNCTION("""COMPUTED_VALUE"""),1.0280307E7)</f>
        <v>10280307</v>
      </c>
      <c r="C2003" s="164" t="str">
        <f>IFERROR(__xludf.DUMMYFUNCTION("""COMPUTED_VALUE"""),"10280307134-140")</f>
        <v>10280307134-140</v>
      </c>
      <c r="D2003" s="133" t="str">
        <f>IFERROR(__xludf.DUMMYFUNCTION("""COMPUTED_VALUE"""),"Пижама")</f>
        <v>Пижама</v>
      </c>
      <c r="E2003" s="133" t="str">
        <f>IFERROR(__xludf.DUMMYFUNCTION("""COMPUTED_VALUE"""),"134-140")</f>
        <v>134-140</v>
      </c>
      <c r="F2003" s="133" t="str">
        <f>IFERROR(__xludf.DUMMYFUNCTION("""COMPUTED_VALUE"""),"PG40092134-140")</f>
        <v>PG40092134-140</v>
      </c>
      <c r="G2003" s="165">
        <f>IFERROR(__xludf.DUMMYFUNCTION("""COMPUTED_VALUE"""),786.0)</f>
        <v>786</v>
      </c>
    </row>
    <row r="2004" ht="15.75" customHeight="1">
      <c r="A2004" s="133" t="str">
        <f>IFERROR(__xludf.DUMMYFUNCTION("""COMPUTED_VALUE"""),"PG40092")</f>
        <v>PG40092</v>
      </c>
      <c r="B2004" s="164">
        <f>IFERROR(__xludf.DUMMYFUNCTION("""COMPUTED_VALUE"""),1.0280307E7)</f>
        <v>10280307</v>
      </c>
      <c r="C2004" s="164" t="str">
        <f>IFERROR(__xludf.DUMMYFUNCTION("""COMPUTED_VALUE"""),"10280307140-146")</f>
        <v>10280307140-146</v>
      </c>
      <c r="D2004" s="133" t="str">
        <f>IFERROR(__xludf.DUMMYFUNCTION("""COMPUTED_VALUE"""),"Пижама")</f>
        <v>Пижама</v>
      </c>
      <c r="E2004" s="133" t="str">
        <f>IFERROR(__xludf.DUMMYFUNCTION("""COMPUTED_VALUE"""),"140-146")</f>
        <v>140-146</v>
      </c>
      <c r="F2004" s="133" t="str">
        <f>IFERROR(__xludf.DUMMYFUNCTION("""COMPUTED_VALUE"""),"PG40092140-146")</f>
        <v>PG40092140-146</v>
      </c>
      <c r="G2004" s="165">
        <f>IFERROR(__xludf.DUMMYFUNCTION("""COMPUTED_VALUE"""),786.0)</f>
        <v>786</v>
      </c>
    </row>
    <row r="2005" ht="15.75" customHeight="1">
      <c r="A2005" s="133" t="str">
        <f>IFERROR(__xludf.DUMMYFUNCTION("""COMPUTED_VALUE"""),"PG40093")</f>
        <v>PG40093</v>
      </c>
      <c r="B2005" s="164">
        <f>IFERROR(__xludf.DUMMYFUNCTION("""COMPUTED_VALUE"""),1.0280308E7)</f>
        <v>10280308</v>
      </c>
      <c r="C2005" s="164" t="str">
        <f>IFERROR(__xludf.DUMMYFUNCTION("""COMPUTED_VALUE"""),"1028030898-104")</f>
        <v>1028030898-104</v>
      </c>
      <c r="D2005" s="133" t="str">
        <f>IFERROR(__xludf.DUMMYFUNCTION("""COMPUTED_VALUE"""),"Пижама")</f>
        <v>Пижама</v>
      </c>
      <c r="E2005" s="133" t="str">
        <f>IFERROR(__xludf.DUMMYFUNCTION("""COMPUTED_VALUE"""),"98-104")</f>
        <v>98-104</v>
      </c>
      <c r="F2005" s="133" t="str">
        <f>IFERROR(__xludf.DUMMYFUNCTION("""COMPUTED_VALUE"""),"PG4009398-104")</f>
        <v>PG4009398-104</v>
      </c>
      <c r="G2005" s="165">
        <f>IFERROR(__xludf.DUMMYFUNCTION("""COMPUTED_VALUE"""),786.0)</f>
        <v>786</v>
      </c>
    </row>
    <row r="2006" ht="15.75" customHeight="1">
      <c r="A2006" s="133" t="str">
        <f>IFERROR(__xludf.DUMMYFUNCTION("""COMPUTED_VALUE"""),"PG40093")</f>
        <v>PG40093</v>
      </c>
      <c r="B2006" s="164">
        <f>IFERROR(__xludf.DUMMYFUNCTION("""COMPUTED_VALUE"""),1.0280308E7)</f>
        <v>10280308</v>
      </c>
      <c r="C2006" s="164" t="str">
        <f>IFERROR(__xludf.DUMMYFUNCTION("""COMPUTED_VALUE"""),"10280308110-116")</f>
        <v>10280308110-116</v>
      </c>
      <c r="D2006" s="133" t="str">
        <f>IFERROR(__xludf.DUMMYFUNCTION("""COMPUTED_VALUE"""),"Пижама")</f>
        <v>Пижама</v>
      </c>
      <c r="E2006" s="133" t="str">
        <f>IFERROR(__xludf.DUMMYFUNCTION("""COMPUTED_VALUE"""),"110-116")</f>
        <v>110-116</v>
      </c>
      <c r="F2006" s="133" t="str">
        <f>IFERROR(__xludf.DUMMYFUNCTION("""COMPUTED_VALUE"""),"PG40093110-116")</f>
        <v>PG40093110-116</v>
      </c>
      <c r="G2006" s="165">
        <f>IFERROR(__xludf.DUMMYFUNCTION("""COMPUTED_VALUE"""),786.0)</f>
        <v>786</v>
      </c>
    </row>
    <row r="2007" ht="15.75" customHeight="1">
      <c r="A2007" s="133" t="str">
        <f>IFERROR(__xludf.DUMMYFUNCTION("""COMPUTED_VALUE"""),"PG40093")</f>
        <v>PG40093</v>
      </c>
      <c r="B2007" s="164">
        <f>IFERROR(__xludf.DUMMYFUNCTION("""COMPUTED_VALUE"""),1.0280308E7)</f>
        <v>10280308</v>
      </c>
      <c r="C2007" s="164" t="str">
        <f>IFERROR(__xludf.DUMMYFUNCTION("""COMPUTED_VALUE"""),"10280308122-128")</f>
        <v>10280308122-128</v>
      </c>
      <c r="D2007" s="133" t="str">
        <f>IFERROR(__xludf.DUMMYFUNCTION("""COMPUTED_VALUE"""),"Пижама")</f>
        <v>Пижама</v>
      </c>
      <c r="E2007" s="133" t="str">
        <f>IFERROR(__xludf.DUMMYFUNCTION("""COMPUTED_VALUE"""),"122-128")</f>
        <v>122-128</v>
      </c>
      <c r="F2007" s="133" t="str">
        <f>IFERROR(__xludf.DUMMYFUNCTION("""COMPUTED_VALUE"""),"PG40093122-128")</f>
        <v>PG40093122-128</v>
      </c>
      <c r="G2007" s="165">
        <f>IFERROR(__xludf.DUMMYFUNCTION("""COMPUTED_VALUE"""),786.0)</f>
        <v>786</v>
      </c>
    </row>
    <row r="2008" ht="15.75" customHeight="1">
      <c r="A2008" s="133" t="str">
        <f>IFERROR(__xludf.DUMMYFUNCTION("""COMPUTED_VALUE"""),"PG40093")</f>
        <v>PG40093</v>
      </c>
      <c r="B2008" s="164">
        <f>IFERROR(__xludf.DUMMYFUNCTION("""COMPUTED_VALUE"""),1.0280308E7)</f>
        <v>10280308</v>
      </c>
      <c r="C2008" s="164" t="str">
        <f>IFERROR(__xludf.DUMMYFUNCTION("""COMPUTED_VALUE"""),"10280308134-140")</f>
        <v>10280308134-140</v>
      </c>
      <c r="D2008" s="133" t="str">
        <f>IFERROR(__xludf.DUMMYFUNCTION("""COMPUTED_VALUE"""),"Пижама")</f>
        <v>Пижама</v>
      </c>
      <c r="E2008" s="133" t="str">
        <f>IFERROR(__xludf.DUMMYFUNCTION("""COMPUTED_VALUE"""),"134-140")</f>
        <v>134-140</v>
      </c>
      <c r="F2008" s="133" t="str">
        <f>IFERROR(__xludf.DUMMYFUNCTION("""COMPUTED_VALUE"""),"PG40093134-140")</f>
        <v>PG40093134-140</v>
      </c>
      <c r="G2008" s="165">
        <f>IFERROR(__xludf.DUMMYFUNCTION("""COMPUTED_VALUE"""),786.0)</f>
        <v>786</v>
      </c>
    </row>
    <row r="2009" ht="15.75" customHeight="1">
      <c r="A2009" s="133" t="str">
        <f>IFERROR(__xludf.DUMMYFUNCTION("""COMPUTED_VALUE"""),"PG40093")</f>
        <v>PG40093</v>
      </c>
      <c r="B2009" s="164">
        <f>IFERROR(__xludf.DUMMYFUNCTION("""COMPUTED_VALUE"""),1.0280308E7)</f>
        <v>10280308</v>
      </c>
      <c r="C2009" s="164" t="str">
        <f>IFERROR(__xludf.DUMMYFUNCTION("""COMPUTED_VALUE"""),"10280308140-146")</f>
        <v>10280308140-146</v>
      </c>
      <c r="D2009" s="133" t="str">
        <f>IFERROR(__xludf.DUMMYFUNCTION("""COMPUTED_VALUE"""),"Пижама")</f>
        <v>Пижама</v>
      </c>
      <c r="E2009" s="133" t="str">
        <f>IFERROR(__xludf.DUMMYFUNCTION("""COMPUTED_VALUE"""),"140-146")</f>
        <v>140-146</v>
      </c>
      <c r="F2009" s="133" t="str">
        <f>IFERROR(__xludf.DUMMYFUNCTION("""COMPUTED_VALUE"""),"PG40093140-146")</f>
        <v>PG40093140-146</v>
      </c>
      <c r="G2009" s="165">
        <f>IFERROR(__xludf.DUMMYFUNCTION("""COMPUTED_VALUE"""),786.0)</f>
        <v>786</v>
      </c>
    </row>
    <row r="2010" ht="15.75" customHeight="1">
      <c r="A2010" s="133" t="str">
        <f>IFERROR(__xludf.DUMMYFUNCTION("""COMPUTED_VALUE"""),"PG40094")</f>
        <v>PG40094</v>
      </c>
      <c r="B2010" s="164">
        <f>IFERROR(__xludf.DUMMYFUNCTION("""COMPUTED_VALUE"""),1.0280309E7)</f>
        <v>10280309</v>
      </c>
      <c r="C2010" s="164" t="str">
        <f>IFERROR(__xludf.DUMMYFUNCTION("""COMPUTED_VALUE"""),"1028030998-104")</f>
        <v>1028030998-104</v>
      </c>
      <c r="D2010" s="133" t="str">
        <f>IFERROR(__xludf.DUMMYFUNCTION("""COMPUTED_VALUE"""),"Пижама")</f>
        <v>Пижама</v>
      </c>
      <c r="E2010" s="133" t="str">
        <f>IFERROR(__xludf.DUMMYFUNCTION("""COMPUTED_VALUE"""),"98-104")</f>
        <v>98-104</v>
      </c>
      <c r="F2010" s="133" t="str">
        <f>IFERROR(__xludf.DUMMYFUNCTION("""COMPUTED_VALUE"""),"PG4009498-104")</f>
        <v>PG4009498-104</v>
      </c>
      <c r="G2010" s="165">
        <f>IFERROR(__xludf.DUMMYFUNCTION("""COMPUTED_VALUE"""),786.0)</f>
        <v>786</v>
      </c>
    </row>
    <row r="2011" ht="15.75" customHeight="1">
      <c r="A2011" s="133" t="str">
        <f>IFERROR(__xludf.DUMMYFUNCTION("""COMPUTED_VALUE"""),"PG40094")</f>
        <v>PG40094</v>
      </c>
      <c r="B2011" s="164">
        <f>IFERROR(__xludf.DUMMYFUNCTION("""COMPUTED_VALUE"""),1.0280309E7)</f>
        <v>10280309</v>
      </c>
      <c r="C2011" s="164" t="str">
        <f>IFERROR(__xludf.DUMMYFUNCTION("""COMPUTED_VALUE"""),"10280309110-116")</f>
        <v>10280309110-116</v>
      </c>
      <c r="D2011" s="133" t="str">
        <f>IFERROR(__xludf.DUMMYFUNCTION("""COMPUTED_VALUE"""),"Пижама")</f>
        <v>Пижама</v>
      </c>
      <c r="E2011" s="133" t="str">
        <f>IFERROR(__xludf.DUMMYFUNCTION("""COMPUTED_VALUE"""),"110-116")</f>
        <v>110-116</v>
      </c>
      <c r="F2011" s="133" t="str">
        <f>IFERROR(__xludf.DUMMYFUNCTION("""COMPUTED_VALUE"""),"PG40094110-116")</f>
        <v>PG40094110-116</v>
      </c>
      <c r="G2011" s="165">
        <f>IFERROR(__xludf.DUMMYFUNCTION("""COMPUTED_VALUE"""),786.0)</f>
        <v>786</v>
      </c>
    </row>
    <row r="2012" ht="15.75" customHeight="1">
      <c r="A2012" s="133" t="str">
        <f>IFERROR(__xludf.DUMMYFUNCTION("""COMPUTED_VALUE"""),"PG40094")</f>
        <v>PG40094</v>
      </c>
      <c r="B2012" s="164">
        <f>IFERROR(__xludf.DUMMYFUNCTION("""COMPUTED_VALUE"""),1.0280309E7)</f>
        <v>10280309</v>
      </c>
      <c r="C2012" s="164" t="str">
        <f>IFERROR(__xludf.DUMMYFUNCTION("""COMPUTED_VALUE"""),"10280309122-128")</f>
        <v>10280309122-128</v>
      </c>
      <c r="D2012" s="133" t="str">
        <f>IFERROR(__xludf.DUMMYFUNCTION("""COMPUTED_VALUE"""),"Пижама")</f>
        <v>Пижама</v>
      </c>
      <c r="E2012" s="133" t="str">
        <f>IFERROR(__xludf.DUMMYFUNCTION("""COMPUTED_VALUE"""),"122-128")</f>
        <v>122-128</v>
      </c>
      <c r="F2012" s="133" t="str">
        <f>IFERROR(__xludf.DUMMYFUNCTION("""COMPUTED_VALUE"""),"PG40094122-128")</f>
        <v>PG40094122-128</v>
      </c>
      <c r="G2012" s="165">
        <f>IFERROR(__xludf.DUMMYFUNCTION("""COMPUTED_VALUE"""),786.0)</f>
        <v>786</v>
      </c>
    </row>
    <row r="2013" ht="15.75" customHeight="1">
      <c r="A2013" s="133" t="str">
        <f>IFERROR(__xludf.DUMMYFUNCTION("""COMPUTED_VALUE"""),"PG40094")</f>
        <v>PG40094</v>
      </c>
      <c r="B2013" s="164">
        <f>IFERROR(__xludf.DUMMYFUNCTION("""COMPUTED_VALUE"""),1.0280309E7)</f>
        <v>10280309</v>
      </c>
      <c r="C2013" s="164" t="str">
        <f>IFERROR(__xludf.DUMMYFUNCTION("""COMPUTED_VALUE"""),"10280309134-140")</f>
        <v>10280309134-140</v>
      </c>
      <c r="D2013" s="133" t="str">
        <f>IFERROR(__xludf.DUMMYFUNCTION("""COMPUTED_VALUE"""),"Пижама")</f>
        <v>Пижама</v>
      </c>
      <c r="E2013" s="133" t="str">
        <f>IFERROR(__xludf.DUMMYFUNCTION("""COMPUTED_VALUE"""),"134-140")</f>
        <v>134-140</v>
      </c>
      <c r="F2013" s="133" t="str">
        <f>IFERROR(__xludf.DUMMYFUNCTION("""COMPUTED_VALUE"""),"PG40094134-140")</f>
        <v>PG40094134-140</v>
      </c>
      <c r="G2013" s="165">
        <f>IFERROR(__xludf.DUMMYFUNCTION("""COMPUTED_VALUE"""),786.0)</f>
        <v>786</v>
      </c>
    </row>
    <row r="2014" ht="15.75" customHeight="1">
      <c r="A2014" s="133" t="str">
        <f>IFERROR(__xludf.DUMMYFUNCTION("""COMPUTED_VALUE"""),"PG40094")</f>
        <v>PG40094</v>
      </c>
      <c r="B2014" s="164">
        <f>IFERROR(__xludf.DUMMYFUNCTION("""COMPUTED_VALUE"""),1.0280309E7)</f>
        <v>10280309</v>
      </c>
      <c r="C2014" s="164" t="str">
        <f>IFERROR(__xludf.DUMMYFUNCTION("""COMPUTED_VALUE"""),"10280309140-146")</f>
        <v>10280309140-146</v>
      </c>
      <c r="D2014" s="133" t="str">
        <f>IFERROR(__xludf.DUMMYFUNCTION("""COMPUTED_VALUE"""),"Пижама")</f>
        <v>Пижама</v>
      </c>
      <c r="E2014" s="133" t="str">
        <f>IFERROR(__xludf.DUMMYFUNCTION("""COMPUTED_VALUE"""),"140-146")</f>
        <v>140-146</v>
      </c>
      <c r="F2014" s="133" t="str">
        <f>IFERROR(__xludf.DUMMYFUNCTION("""COMPUTED_VALUE"""),"PG40094140-146")</f>
        <v>PG40094140-146</v>
      </c>
      <c r="G2014" s="165">
        <f>IFERROR(__xludf.DUMMYFUNCTION("""COMPUTED_VALUE"""),786.0)</f>
        <v>786</v>
      </c>
    </row>
    <row r="2015" ht="15.75" customHeight="1">
      <c r="A2015" s="133" t="str">
        <f>IFERROR(__xludf.DUMMYFUNCTION("""COMPUTED_VALUE"""),"PG40095")</f>
        <v>PG40095</v>
      </c>
      <c r="B2015" s="164">
        <f>IFERROR(__xludf.DUMMYFUNCTION("""COMPUTED_VALUE"""),1.028031E7)</f>
        <v>10280310</v>
      </c>
      <c r="C2015" s="164" t="str">
        <f>IFERROR(__xludf.DUMMYFUNCTION("""COMPUTED_VALUE"""),"1028031098-104")</f>
        <v>1028031098-104</v>
      </c>
      <c r="D2015" s="133" t="str">
        <f>IFERROR(__xludf.DUMMYFUNCTION("""COMPUTED_VALUE"""),"Пижама")</f>
        <v>Пижама</v>
      </c>
      <c r="E2015" s="133" t="str">
        <f>IFERROR(__xludf.DUMMYFUNCTION("""COMPUTED_VALUE"""),"98-104")</f>
        <v>98-104</v>
      </c>
      <c r="F2015" s="133" t="str">
        <f>IFERROR(__xludf.DUMMYFUNCTION("""COMPUTED_VALUE"""),"PG4009598-104")</f>
        <v>PG4009598-104</v>
      </c>
      <c r="G2015" s="165">
        <f>IFERROR(__xludf.DUMMYFUNCTION("""COMPUTED_VALUE"""),786.0)</f>
        <v>786</v>
      </c>
    </row>
    <row r="2016" ht="15.75" customHeight="1">
      <c r="A2016" s="133" t="str">
        <f>IFERROR(__xludf.DUMMYFUNCTION("""COMPUTED_VALUE"""),"PG40095")</f>
        <v>PG40095</v>
      </c>
      <c r="B2016" s="164">
        <f>IFERROR(__xludf.DUMMYFUNCTION("""COMPUTED_VALUE"""),1.028031E7)</f>
        <v>10280310</v>
      </c>
      <c r="C2016" s="164" t="str">
        <f>IFERROR(__xludf.DUMMYFUNCTION("""COMPUTED_VALUE"""),"10280310110-116")</f>
        <v>10280310110-116</v>
      </c>
      <c r="D2016" s="133" t="str">
        <f>IFERROR(__xludf.DUMMYFUNCTION("""COMPUTED_VALUE"""),"Пижама")</f>
        <v>Пижама</v>
      </c>
      <c r="E2016" s="133" t="str">
        <f>IFERROR(__xludf.DUMMYFUNCTION("""COMPUTED_VALUE"""),"110-116")</f>
        <v>110-116</v>
      </c>
      <c r="F2016" s="133" t="str">
        <f>IFERROR(__xludf.DUMMYFUNCTION("""COMPUTED_VALUE"""),"PG40095110-116")</f>
        <v>PG40095110-116</v>
      </c>
      <c r="G2016" s="165">
        <f>IFERROR(__xludf.DUMMYFUNCTION("""COMPUTED_VALUE"""),786.0)</f>
        <v>786</v>
      </c>
    </row>
    <row r="2017" ht="15.75" customHeight="1">
      <c r="A2017" s="133" t="str">
        <f>IFERROR(__xludf.DUMMYFUNCTION("""COMPUTED_VALUE"""),"PG40095")</f>
        <v>PG40095</v>
      </c>
      <c r="B2017" s="164">
        <f>IFERROR(__xludf.DUMMYFUNCTION("""COMPUTED_VALUE"""),1.028031E7)</f>
        <v>10280310</v>
      </c>
      <c r="C2017" s="164" t="str">
        <f>IFERROR(__xludf.DUMMYFUNCTION("""COMPUTED_VALUE"""),"10280310122-128")</f>
        <v>10280310122-128</v>
      </c>
      <c r="D2017" s="133" t="str">
        <f>IFERROR(__xludf.DUMMYFUNCTION("""COMPUTED_VALUE"""),"Пижама")</f>
        <v>Пижама</v>
      </c>
      <c r="E2017" s="133" t="str">
        <f>IFERROR(__xludf.DUMMYFUNCTION("""COMPUTED_VALUE"""),"122-128")</f>
        <v>122-128</v>
      </c>
      <c r="F2017" s="133" t="str">
        <f>IFERROR(__xludf.DUMMYFUNCTION("""COMPUTED_VALUE"""),"PG40095122-128")</f>
        <v>PG40095122-128</v>
      </c>
      <c r="G2017" s="165">
        <f>IFERROR(__xludf.DUMMYFUNCTION("""COMPUTED_VALUE"""),786.0)</f>
        <v>786</v>
      </c>
    </row>
    <row r="2018" ht="15.75" customHeight="1">
      <c r="A2018" s="133" t="str">
        <f>IFERROR(__xludf.DUMMYFUNCTION("""COMPUTED_VALUE"""),"PG40095")</f>
        <v>PG40095</v>
      </c>
      <c r="B2018" s="164">
        <f>IFERROR(__xludf.DUMMYFUNCTION("""COMPUTED_VALUE"""),1.028031E7)</f>
        <v>10280310</v>
      </c>
      <c r="C2018" s="164" t="str">
        <f>IFERROR(__xludf.DUMMYFUNCTION("""COMPUTED_VALUE"""),"10280310134-140")</f>
        <v>10280310134-140</v>
      </c>
      <c r="D2018" s="133" t="str">
        <f>IFERROR(__xludf.DUMMYFUNCTION("""COMPUTED_VALUE"""),"Пижама")</f>
        <v>Пижама</v>
      </c>
      <c r="E2018" s="133" t="str">
        <f>IFERROR(__xludf.DUMMYFUNCTION("""COMPUTED_VALUE"""),"134-140")</f>
        <v>134-140</v>
      </c>
      <c r="F2018" s="133" t="str">
        <f>IFERROR(__xludf.DUMMYFUNCTION("""COMPUTED_VALUE"""),"PG40095134-140")</f>
        <v>PG40095134-140</v>
      </c>
      <c r="G2018" s="165">
        <f>IFERROR(__xludf.DUMMYFUNCTION("""COMPUTED_VALUE"""),786.0)</f>
        <v>786</v>
      </c>
    </row>
    <row r="2019" ht="15.75" customHeight="1">
      <c r="A2019" s="133" t="str">
        <f>IFERROR(__xludf.DUMMYFUNCTION("""COMPUTED_VALUE"""),"PG40095")</f>
        <v>PG40095</v>
      </c>
      <c r="B2019" s="164">
        <f>IFERROR(__xludf.DUMMYFUNCTION("""COMPUTED_VALUE"""),1.028031E7)</f>
        <v>10280310</v>
      </c>
      <c r="C2019" s="164" t="str">
        <f>IFERROR(__xludf.DUMMYFUNCTION("""COMPUTED_VALUE"""),"10280310140-146")</f>
        <v>10280310140-146</v>
      </c>
      <c r="D2019" s="133" t="str">
        <f>IFERROR(__xludf.DUMMYFUNCTION("""COMPUTED_VALUE"""),"Пижама")</f>
        <v>Пижама</v>
      </c>
      <c r="E2019" s="133" t="str">
        <f>IFERROR(__xludf.DUMMYFUNCTION("""COMPUTED_VALUE"""),"140-146")</f>
        <v>140-146</v>
      </c>
      <c r="F2019" s="133" t="str">
        <f>IFERROR(__xludf.DUMMYFUNCTION("""COMPUTED_VALUE"""),"PG40095140-146")</f>
        <v>PG40095140-146</v>
      </c>
      <c r="G2019" s="165">
        <f>IFERROR(__xludf.DUMMYFUNCTION("""COMPUTED_VALUE"""),786.0)</f>
        <v>786</v>
      </c>
    </row>
    <row r="2020" ht="15.75" customHeight="1">
      <c r="A2020" s="133" t="str">
        <f>IFERROR(__xludf.DUMMYFUNCTION("""COMPUTED_VALUE"""),"PG40096")</f>
        <v>PG40096</v>
      </c>
      <c r="B2020" s="164">
        <f>IFERROR(__xludf.DUMMYFUNCTION("""COMPUTED_VALUE"""),1.0280311E7)</f>
        <v>10280311</v>
      </c>
      <c r="C2020" s="164" t="str">
        <f>IFERROR(__xludf.DUMMYFUNCTION("""COMPUTED_VALUE"""),"1028031198-104")</f>
        <v>1028031198-104</v>
      </c>
      <c r="D2020" s="133" t="str">
        <f>IFERROR(__xludf.DUMMYFUNCTION("""COMPUTED_VALUE"""),"Пижама")</f>
        <v>Пижама</v>
      </c>
      <c r="E2020" s="133" t="str">
        <f>IFERROR(__xludf.DUMMYFUNCTION("""COMPUTED_VALUE"""),"98-104")</f>
        <v>98-104</v>
      </c>
      <c r="F2020" s="133" t="str">
        <f>IFERROR(__xludf.DUMMYFUNCTION("""COMPUTED_VALUE"""),"PG4009698-104")</f>
        <v>PG4009698-104</v>
      </c>
      <c r="G2020" s="165">
        <f>IFERROR(__xludf.DUMMYFUNCTION("""COMPUTED_VALUE"""),786.0)</f>
        <v>786</v>
      </c>
    </row>
    <row r="2021" ht="15.75" customHeight="1">
      <c r="A2021" s="133" t="str">
        <f>IFERROR(__xludf.DUMMYFUNCTION("""COMPUTED_VALUE"""),"PG40096")</f>
        <v>PG40096</v>
      </c>
      <c r="B2021" s="164">
        <f>IFERROR(__xludf.DUMMYFUNCTION("""COMPUTED_VALUE"""),1.0280311E7)</f>
        <v>10280311</v>
      </c>
      <c r="C2021" s="164" t="str">
        <f>IFERROR(__xludf.DUMMYFUNCTION("""COMPUTED_VALUE"""),"10280311110-116")</f>
        <v>10280311110-116</v>
      </c>
      <c r="D2021" s="133" t="str">
        <f>IFERROR(__xludf.DUMMYFUNCTION("""COMPUTED_VALUE"""),"Пижама")</f>
        <v>Пижама</v>
      </c>
      <c r="E2021" s="133" t="str">
        <f>IFERROR(__xludf.DUMMYFUNCTION("""COMPUTED_VALUE"""),"110-116")</f>
        <v>110-116</v>
      </c>
      <c r="F2021" s="133" t="str">
        <f>IFERROR(__xludf.DUMMYFUNCTION("""COMPUTED_VALUE"""),"PG40096110-116")</f>
        <v>PG40096110-116</v>
      </c>
      <c r="G2021" s="165">
        <f>IFERROR(__xludf.DUMMYFUNCTION("""COMPUTED_VALUE"""),786.0)</f>
        <v>786</v>
      </c>
    </row>
    <row r="2022" ht="15.75" customHeight="1">
      <c r="A2022" s="133" t="str">
        <f>IFERROR(__xludf.DUMMYFUNCTION("""COMPUTED_VALUE"""),"PG40096")</f>
        <v>PG40096</v>
      </c>
      <c r="B2022" s="164">
        <f>IFERROR(__xludf.DUMMYFUNCTION("""COMPUTED_VALUE"""),1.0280311E7)</f>
        <v>10280311</v>
      </c>
      <c r="C2022" s="164" t="str">
        <f>IFERROR(__xludf.DUMMYFUNCTION("""COMPUTED_VALUE"""),"10280311122-128")</f>
        <v>10280311122-128</v>
      </c>
      <c r="D2022" s="133" t="str">
        <f>IFERROR(__xludf.DUMMYFUNCTION("""COMPUTED_VALUE"""),"Пижама")</f>
        <v>Пижама</v>
      </c>
      <c r="E2022" s="133" t="str">
        <f>IFERROR(__xludf.DUMMYFUNCTION("""COMPUTED_VALUE"""),"122-128")</f>
        <v>122-128</v>
      </c>
      <c r="F2022" s="133" t="str">
        <f>IFERROR(__xludf.DUMMYFUNCTION("""COMPUTED_VALUE"""),"PG40096122-128")</f>
        <v>PG40096122-128</v>
      </c>
      <c r="G2022" s="165">
        <f>IFERROR(__xludf.DUMMYFUNCTION("""COMPUTED_VALUE"""),786.0)</f>
        <v>786</v>
      </c>
    </row>
    <row r="2023" ht="15.75" customHeight="1">
      <c r="A2023" s="133" t="str">
        <f>IFERROR(__xludf.DUMMYFUNCTION("""COMPUTED_VALUE"""),"PG40096")</f>
        <v>PG40096</v>
      </c>
      <c r="B2023" s="164">
        <f>IFERROR(__xludf.DUMMYFUNCTION("""COMPUTED_VALUE"""),1.0280311E7)</f>
        <v>10280311</v>
      </c>
      <c r="C2023" s="164" t="str">
        <f>IFERROR(__xludf.DUMMYFUNCTION("""COMPUTED_VALUE"""),"10280311134-140")</f>
        <v>10280311134-140</v>
      </c>
      <c r="D2023" s="133" t="str">
        <f>IFERROR(__xludf.DUMMYFUNCTION("""COMPUTED_VALUE"""),"Пижама")</f>
        <v>Пижама</v>
      </c>
      <c r="E2023" s="133" t="str">
        <f>IFERROR(__xludf.DUMMYFUNCTION("""COMPUTED_VALUE"""),"134-140")</f>
        <v>134-140</v>
      </c>
      <c r="F2023" s="133" t="str">
        <f>IFERROR(__xludf.DUMMYFUNCTION("""COMPUTED_VALUE"""),"PG40096134-140")</f>
        <v>PG40096134-140</v>
      </c>
      <c r="G2023" s="165">
        <f>IFERROR(__xludf.DUMMYFUNCTION("""COMPUTED_VALUE"""),786.0)</f>
        <v>786</v>
      </c>
    </row>
    <row r="2024" ht="15.75" customHeight="1">
      <c r="A2024" s="133" t="str">
        <f>IFERROR(__xludf.DUMMYFUNCTION("""COMPUTED_VALUE"""),"PG40096")</f>
        <v>PG40096</v>
      </c>
      <c r="B2024" s="164">
        <f>IFERROR(__xludf.DUMMYFUNCTION("""COMPUTED_VALUE"""),1.0280311E7)</f>
        <v>10280311</v>
      </c>
      <c r="C2024" s="164" t="str">
        <f>IFERROR(__xludf.DUMMYFUNCTION("""COMPUTED_VALUE"""),"10280311140-146")</f>
        <v>10280311140-146</v>
      </c>
      <c r="D2024" s="133" t="str">
        <f>IFERROR(__xludf.DUMMYFUNCTION("""COMPUTED_VALUE"""),"Пижама")</f>
        <v>Пижама</v>
      </c>
      <c r="E2024" s="133" t="str">
        <f>IFERROR(__xludf.DUMMYFUNCTION("""COMPUTED_VALUE"""),"140-146")</f>
        <v>140-146</v>
      </c>
      <c r="F2024" s="133" t="str">
        <f>IFERROR(__xludf.DUMMYFUNCTION("""COMPUTED_VALUE"""),"PG40096140-146")</f>
        <v>PG40096140-146</v>
      </c>
      <c r="G2024" s="165">
        <f>IFERROR(__xludf.DUMMYFUNCTION("""COMPUTED_VALUE"""),786.0)</f>
        <v>786</v>
      </c>
    </row>
    <row r="2025" ht="15.75" customHeight="1">
      <c r="A2025" s="133" t="str">
        <f>IFERROR(__xludf.DUMMYFUNCTION("""COMPUTED_VALUE"""),"PB40081")</f>
        <v>PB40081</v>
      </c>
      <c r="B2025" s="164">
        <f>IFERROR(__xludf.DUMMYFUNCTION("""COMPUTED_VALUE"""),1.0280296E7)</f>
        <v>10280296</v>
      </c>
      <c r="C2025" s="164" t="str">
        <f>IFERROR(__xludf.DUMMYFUNCTION("""COMPUTED_VALUE"""),"1028029698-104")</f>
        <v>1028029698-104</v>
      </c>
      <c r="D2025" s="133" t="str">
        <f>IFERROR(__xludf.DUMMYFUNCTION("""COMPUTED_VALUE"""),"Пижама")</f>
        <v>Пижама</v>
      </c>
      <c r="E2025" s="133" t="str">
        <f>IFERROR(__xludf.DUMMYFUNCTION("""COMPUTED_VALUE"""),"98-104")</f>
        <v>98-104</v>
      </c>
      <c r="F2025" s="133" t="str">
        <f>IFERROR(__xludf.DUMMYFUNCTION("""COMPUTED_VALUE"""),"PB4008198-104")</f>
        <v>PB4008198-104</v>
      </c>
      <c r="G2025" s="165">
        <f>IFERROR(__xludf.DUMMYFUNCTION("""COMPUTED_VALUE"""),786.0)</f>
        <v>786</v>
      </c>
    </row>
    <row r="2026" ht="15.75" customHeight="1">
      <c r="A2026" s="133" t="str">
        <f>IFERROR(__xludf.DUMMYFUNCTION("""COMPUTED_VALUE"""),"PB40081")</f>
        <v>PB40081</v>
      </c>
      <c r="B2026" s="164">
        <f>IFERROR(__xludf.DUMMYFUNCTION("""COMPUTED_VALUE"""),1.0280296E7)</f>
        <v>10280296</v>
      </c>
      <c r="C2026" s="164" t="str">
        <f>IFERROR(__xludf.DUMMYFUNCTION("""COMPUTED_VALUE"""),"10280296110-116")</f>
        <v>10280296110-116</v>
      </c>
      <c r="D2026" s="133" t="str">
        <f>IFERROR(__xludf.DUMMYFUNCTION("""COMPUTED_VALUE"""),"Пижама")</f>
        <v>Пижама</v>
      </c>
      <c r="E2026" s="133" t="str">
        <f>IFERROR(__xludf.DUMMYFUNCTION("""COMPUTED_VALUE"""),"110-116")</f>
        <v>110-116</v>
      </c>
      <c r="F2026" s="133" t="str">
        <f>IFERROR(__xludf.DUMMYFUNCTION("""COMPUTED_VALUE"""),"PB40081110-116")</f>
        <v>PB40081110-116</v>
      </c>
      <c r="G2026" s="165">
        <f>IFERROR(__xludf.DUMMYFUNCTION("""COMPUTED_VALUE"""),786.0)</f>
        <v>786</v>
      </c>
    </row>
    <row r="2027" ht="15.75" customHeight="1">
      <c r="A2027" s="133" t="str">
        <f>IFERROR(__xludf.DUMMYFUNCTION("""COMPUTED_VALUE"""),"PB40081")</f>
        <v>PB40081</v>
      </c>
      <c r="B2027" s="164">
        <f>IFERROR(__xludf.DUMMYFUNCTION("""COMPUTED_VALUE"""),1.0280296E7)</f>
        <v>10280296</v>
      </c>
      <c r="C2027" s="164" t="str">
        <f>IFERROR(__xludf.DUMMYFUNCTION("""COMPUTED_VALUE"""),"10280296122-128")</f>
        <v>10280296122-128</v>
      </c>
      <c r="D2027" s="133" t="str">
        <f>IFERROR(__xludf.DUMMYFUNCTION("""COMPUTED_VALUE"""),"Пижама")</f>
        <v>Пижама</v>
      </c>
      <c r="E2027" s="133" t="str">
        <f>IFERROR(__xludf.DUMMYFUNCTION("""COMPUTED_VALUE"""),"122-128")</f>
        <v>122-128</v>
      </c>
      <c r="F2027" s="133" t="str">
        <f>IFERROR(__xludf.DUMMYFUNCTION("""COMPUTED_VALUE"""),"PB40081122-128")</f>
        <v>PB40081122-128</v>
      </c>
      <c r="G2027" s="165">
        <f>IFERROR(__xludf.DUMMYFUNCTION("""COMPUTED_VALUE"""),786.0)</f>
        <v>786</v>
      </c>
    </row>
    <row r="2028" ht="15.75" customHeight="1">
      <c r="A2028" s="133" t="str">
        <f>IFERROR(__xludf.DUMMYFUNCTION("""COMPUTED_VALUE"""),"PB40081")</f>
        <v>PB40081</v>
      </c>
      <c r="B2028" s="164">
        <f>IFERROR(__xludf.DUMMYFUNCTION("""COMPUTED_VALUE"""),1.0280296E7)</f>
        <v>10280296</v>
      </c>
      <c r="C2028" s="164" t="str">
        <f>IFERROR(__xludf.DUMMYFUNCTION("""COMPUTED_VALUE"""),"10280296134-140")</f>
        <v>10280296134-140</v>
      </c>
      <c r="D2028" s="133" t="str">
        <f>IFERROR(__xludf.DUMMYFUNCTION("""COMPUTED_VALUE"""),"Пижама")</f>
        <v>Пижама</v>
      </c>
      <c r="E2028" s="133" t="str">
        <f>IFERROR(__xludf.DUMMYFUNCTION("""COMPUTED_VALUE"""),"134-140")</f>
        <v>134-140</v>
      </c>
      <c r="F2028" s="133" t="str">
        <f>IFERROR(__xludf.DUMMYFUNCTION("""COMPUTED_VALUE"""),"PB40081134-140")</f>
        <v>PB40081134-140</v>
      </c>
      <c r="G2028" s="165">
        <f>IFERROR(__xludf.DUMMYFUNCTION("""COMPUTED_VALUE"""),786.0)</f>
        <v>786</v>
      </c>
    </row>
    <row r="2029" ht="15.75" customHeight="1">
      <c r="A2029" s="133" t="str">
        <f>IFERROR(__xludf.DUMMYFUNCTION("""COMPUTED_VALUE"""),"PB40081")</f>
        <v>PB40081</v>
      </c>
      <c r="B2029" s="164">
        <f>IFERROR(__xludf.DUMMYFUNCTION("""COMPUTED_VALUE"""),1.0280296E7)</f>
        <v>10280296</v>
      </c>
      <c r="C2029" s="164" t="str">
        <f>IFERROR(__xludf.DUMMYFUNCTION("""COMPUTED_VALUE"""),"10280296140-146")</f>
        <v>10280296140-146</v>
      </c>
      <c r="D2029" s="133" t="str">
        <f>IFERROR(__xludf.DUMMYFUNCTION("""COMPUTED_VALUE"""),"Пижама")</f>
        <v>Пижама</v>
      </c>
      <c r="E2029" s="133" t="str">
        <f>IFERROR(__xludf.DUMMYFUNCTION("""COMPUTED_VALUE"""),"140-146")</f>
        <v>140-146</v>
      </c>
      <c r="F2029" s="133" t="str">
        <f>IFERROR(__xludf.DUMMYFUNCTION("""COMPUTED_VALUE"""),"PB40081140-146")</f>
        <v>PB40081140-146</v>
      </c>
      <c r="G2029" s="165">
        <f>IFERROR(__xludf.DUMMYFUNCTION("""COMPUTED_VALUE"""),786.0)</f>
        <v>786</v>
      </c>
    </row>
    <row r="2030" ht="15.75" customHeight="1">
      <c r="A2030" s="133" t="str">
        <f>IFERROR(__xludf.DUMMYFUNCTION("""COMPUTED_VALUE"""),"PB40082")</f>
        <v>PB40082</v>
      </c>
      <c r="B2030" s="164">
        <f>IFERROR(__xludf.DUMMYFUNCTION("""COMPUTED_VALUE"""),1.0280297E7)</f>
        <v>10280297</v>
      </c>
      <c r="C2030" s="164" t="str">
        <f>IFERROR(__xludf.DUMMYFUNCTION("""COMPUTED_VALUE"""),"1028029798-104")</f>
        <v>1028029798-104</v>
      </c>
      <c r="D2030" s="133" t="str">
        <f>IFERROR(__xludf.DUMMYFUNCTION("""COMPUTED_VALUE"""),"Пижама")</f>
        <v>Пижама</v>
      </c>
      <c r="E2030" s="133" t="str">
        <f>IFERROR(__xludf.DUMMYFUNCTION("""COMPUTED_VALUE"""),"98-104")</f>
        <v>98-104</v>
      </c>
      <c r="F2030" s="133" t="str">
        <f>IFERROR(__xludf.DUMMYFUNCTION("""COMPUTED_VALUE"""),"PB4008298-104")</f>
        <v>PB4008298-104</v>
      </c>
      <c r="G2030" s="165">
        <f>IFERROR(__xludf.DUMMYFUNCTION("""COMPUTED_VALUE"""),786.0)</f>
        <v>786</v>
      </c>
    </row>
    <row r="2031" ht="15.75" customHeight="1">
      <c r="A2031" s="133" t="str">
        <f>IFERROR(__xludf.DUMMYFUNCTION("""COMPUTED_VALUE"""),"PB40082")</f>
        <v>PB40082</v>
      </c>
      <c r="B2031" s="164">
        <f>IFERROR(__xludf.DUMMYFUNCTION("""COMPUTED_VALUE"""),1.0280297E7)</f>
        <v>10280297</v>
      </c>
      <c r="C2031" s="164" t="str">
        <f>IFERROR(__xludf.DUMMYFUNCTION("""COMPUTED_VALUE"""),"10280297110-116")</f>
        <v>10280297110-116</v>
      </c>
      <c r="D2031" s="133" t="str">
        <f>IFERROR(__xludf.DUMMYFUNCTION("""COMPUTED_VALUE"""),"Пижама")</f>
        <v>Пижама</v>
      </c>
      <c r="E2031" s="133" t="str">
        <f>IFERROR(__xludf.DUMMYFUNCTION("""COMPUTED_VALUE"""),"110-116")</f>
        <v>110-116</v>
      </c>
      <c r="F2031" s="133" t="str">
        <f>IFERROR(__xludf.DUMMYFUNCTION("""COMPUTED_VALUE"""),"PB40082110-116")</f>
        <v>PB40082110-116</v>
      </c>
      <c r="G2031" s="165">
        <f>IFERROR(__xludf.DUMMYFUNCTION("""COMPUTED_VALUE"""),786.0)</f>
        <v>786</v>
      </c>
    </row>
    <row r="2032" ht="15.75" customHeight="1">
      <c r="A2032" s="133" t="str">
        <f>IFERROR(__xludf.DUMMYFUNCTION("""COMPUTED_VALUE"""),"PB40082")</f>
        <v>PB40082</v>
      </c>
      <c r="B2032" s="164">
        <f>IFERROR(__xludf.DUMMYFUNCTION("""COMPUTED_VALUE"""),1.0280297E7)</f>
        <v>10280297</v>
      </c>
      <c r="C2032" s="164" t="str">
        <f>IFERROR(__xludf.DUMMYFUNCTION("""COMPUTED_VALUE"""),"10280297122-128")</f>
        <v>10280297122-128</v>
      </c>
      <c r="D2032" s="133" t="str">
        <f>IFERROR(__xludf.DUMMYFUNCTION("""COMPUTED_VALUE"""),"Пижама")</f>
        <v>Пижама</v>
      </c>
      <c r="E2032" s="133" t="str">
        <f>IFERROR(__xludf.DUMMYFUNCTION("""COMPUTED_VALUE"""),"122-128")</f>
        <v>122-128</v>
      </c>
      <c r="F2032" s="133" t="str">
        <f>IFERROR(__xludf.DUMMYFUNCTION("""COMPUTED_VALUE"""),"PB40082122-128")</f>
        <v>PB40082122-128</v>
      </c>
      <c r="G2032" s="165">
        <f>IFERROR(__xludf.DUMMYFUNCTION("""COMPUTED_VALUE"""),786.0)</f>
        <v>786</v>
      </c>
    </row>
    <row r="2033" ht="15.75" customHeight="1">
      <c r="A2033" s="133" t="str">
        <f>IFERROR(__xludf.DUMMYFUNCTION("""COMPUTED_VALUE"""),"PB40082")</f>
        <v>PB40082</v>
      </c>
      <c r="B2033" s="164">
        <f>IFERROR(__xludf.DUMMYFUNCTION("""COMPUTED_VALUE"""),1.0280297E7)</f>
        <v>10280297</v>
      </c>
      <c r="C2033" s="164" t="str">
        <f>IFERROR(__xludf.DUMMYFUNCTION("""COMPUTED_VALUE"""),"10280297134-140")</f>
        <v>10280297134-140</v>
      </c>
      <c r="D2033" s="133" t="str">
        <f>IFERROR(__xludf.DUMMYFUNCTION("""COMPUTED_VALUE"""),"Пижама")</f>
        <v>Пижама</v>
      </c>
      <c r="E2033" s="133" t="str">
        <f>IFERROR(__xludf.DUMMYFUNCTION("""COMPUTED_VALUE"""),"134-140")</f>
        <v>134-140</v>
      </c>
      <c r="F2033" s="133" t="str">
        <f>IFERROR(__xludf.DUMMYFUNCTION("""COMPUTED_VALUE"""),"PB40082134-140")</f>
        <v>PB40082134-140</v>
      </c>
      <c r="G2033" s="165">
        <f>IFERROR(__xludf.DUMMYFUNCTION("""COMPUTED_VALUE"""),786.0)</f>
        <v>786</v>
      </c>
    </row>
    <row r="2034" ht="15.75" customHeight="1">
      <c r="A2034" s="133" t="str">
        <f>IFERROR(__xludf.DUMMYFUNCTION("""COMPUTED_VALUE"""),"PB40082")</f>
        <v>PB40082</v>
      </c>
      <c r="B2034" s="164">
        <f>IFERROR(__xludf.DUMMYFUNCTION("""COMPUTED_VALUE"""),1.0280297E7)</f>
        <v>10280297</v>
      </c>
      <c r="C2034" s="164" t="str">
        <f>IFERROR(__xludf.DUMMYFUNCTION("""COMPUTED_VALUE"""),"10280297140-146")</f>
        <v>10280297140-146</v>
      </c>
      <c r="D2034" s="133" t="str">
        <f>IFERROR(__xludf.DUMMYFUNCTION("""COMPUTED_VALUE"""),"Пижама")</f>
        <v>Пижама</v>
      </c>
      <c r="E2034" s="133" t="str">
        <f>IFERROR(__xludf.DUMMYFUNCTION("""COMPUTED_VALUE"""),"140-146")</f>
        <v>140-146</v>
      </c>
      <c r="F2034" s="133" t="str">
        <f>IFERROR(__xludf.DUMMYFUNCTION("""COMPUTED_VALUE"""),"PB40082140-146")</f>
        <v>PB40082140-146</v>
      </c>
      <c r="G2034" s="165">
        <f>IFERROR(__xludf.DUMMYFUNCTION("""COMPUTED_VALUE"""),786.0)</f>
        <v>786</v>
      </c>
    </row>
    <row r="2035" ht="15.75" customHeight="1">
      <c r="A2035" s="133" t="str">
        <f>IFERROR(__xludf.DUMMYFUNCTION("""COMPUTED_VALUE"""),"PB40083")</f>
        <v>PB40083</v>
      </c>
      <c r="B2035" s="164">
        <f>IFERROR(__xludf.DUMMYFUNCTION("""COMPUTED_VALUE"""),1.0280298E7)</f>
        <v>10280298</v>
      </c>
      <c r="C2035" s="164" t="str">
        <f>IFERROR(__xludf.DUMMYFUNCTION("""COMPUTED_VALUE"""),"1028029898-104")</f>
        <v>1028029898-104</v>
      </c>
      <c r="D2035" s="133" t="str">
        <f>IFERROR(__xludf.DUMMYFUNCTION("""COMPUTED_VALUE"""),"Пижама")</f>
        <v>Пижама</v>
      </c>
      <c r="E2035" s="133" t="str">
        <f>IFERROR(__xludf.DUMMYFUNCTION("""COMPUTED_VALUE"""),"98-104")</f>
        <v>98-104</v>
      </c>
      <c r="F2035" s="133" t="str">
        <f>IFERROR(__xludf.DUMMYFUNCTION("""COMPUTED_VALUE"""),"PB4008398-104")</f>
        <v>PB4008398-104</v>
      </c>
      <c r="G2035" s="165">
        <f>IFERROR(__xludf.DUMMYFUNCTION("""COMPUTED_VALUE"""),786.0)</f>
        <v>786</v>
      </c>
    </row>
    <row r="2036" ht="15.75" customHeight="1">
      <c r="A2036" s="133" t="str">
        <f>IFERROR(__xludf.DUMMYFUNCTION("""COMPUTED_VALUE"""),"PB40083")</f>
        <v>PB40083</v>
      </c>
      <c r="B2036" s="164">
        <f>IFERROR(__xludf.DUMMYFUNCTION("""COMPUTED_VALUE"""),1.0280298E7)</f>
        <v>10280298</v>
      </c>
      <c r="C2036" s="164" t="str">
        <f>IFERROR(__xludf.DUMMYFUNCTION("""COMPUTED_VALUE"""),"10280298110-116")</f>
        <v>10280298110-116</v>
      </c>
      <c r="D2036" s="133" t="str">
        <f>IFERROR(__xludf.DUMMYFUNCTION("""COMPUTED_VALUE"""),"Пижама")</f>
        <v>Пижама</v>
      </c>
      <c r="E2036" s="133" t="str">
        <f>IFERROR(__xludf.DUMMYFUNCTION("""COMPUTED_VALUE"""),"110-116")</f>
        <v>110-116</v>
      </c>
      <c r="F2036" s="133" t="str">
        <f>IFERROR(__xludf.DUMMYFUNCTION("""COMPUTED_VALUE"""),"PB40083110-116")</f>
        <v>PB40083110-116</v>
      </c>
      <c r="G2036" s="165">
        <f>IFERROR(__xludf.DUMMYFUNCTION("""COMPUTED_VALUE"""),786.0)</f>
        <v>786</v>
      </c>
    </row>
    <row r="2037" ht="15.75" customHeight="1">
      <c r="A2037" s="133" t="str">
        <f>IFERROR(__xludf.DUMMYFUNCTION("""COMPUTED_VALUE"""),"PB40083")</f>
        <v>PB40083</v>
      </c>
      <c r="B2037" s="164">
        <f>IFERROR(__xludf.DUMMYFUNCTION("""COMPUTED_VALUE"""),1.0280298E7)</f>
        <v>10280298</v>
      </c>
      <c r="C2037" s="164" t="str">
        <f>IFERROR(__xludf.DUMMYFUNCTION("""COMPUTED_VALUE"""),"10280298122-128")</f>
        <v>10280298122-128</v>
      </c>
      <c r="D2037" s="133" t="str">
        <f>IFERROR(__xludf.DUMMYFUNCTION("""COMPUTED_VALUE"""),"Пижама")</f>
        <v>Пижама</v>
      </c>
      <c r="E2037" s="133" t="str">
        <f>IFERROR(__xludf.DUMMYFUNCTION("""COMPUTED_VALUE"""),"122-128")</f>
        <v>122-128</v>
      </c>
      <c r="F2037" s="133" t="str">
        <f>IFERROR(__xludf.DUMMYFUNCTION("""COMPUTED_VALUE"""),"PB40083122-128")</f>
        <v>PB40083122-128</v>
      </c>
      <c r="G2037" s="165">
        <f>IFERROR(__xludf.DUMMYFUNCTION("""COMPUTED_VALUE"""),786.0)</f>
        <v>786</v>
      </c>
    </row>
    <row r="2038" ht="15.75" customHeight="1">
      <c r="A2038" s="133" t="str">
        <f>IFERROR(__xludf.DUMMYFUNCTION("""COMPUTED_VALUE"""),"PB40083")</f>
        <v>PB40083</v>
      </c>
      <c r="B2038" s="164">
        <f>IFERROR(__xludf.DUMMYFUNCTION("""COMPUTED_VALUE"""),1.0280298E7)</f>
        <v>10280298</v>
      </c>
      <c r="C2038" s="164" t="str">
        <f>IFERROR(__xludf.DUMMYFUNCTION("""COMPUTED_VALUE"""),"10280298134-140")</f>
        <v>10280298134-140</v>
      </c>
      <c r="D2038" s="133" t="str">
        <f>IFERROR(__xludf.DUMMYFUNCTION("""COMPUTED_VALUE"""),"Пижама")</f>
        <v>Пижама</v>
      </c>
      <c r="E2038" s="133" t="str">
        <f>IFERROR(__xludf.DUMMYFUNCTION("""COMPUTED_VALUE"""),"134-140")</f>
        <v>134-140</v>
      </c>
      <c r="F2038" s="133" t="str">
        <f>IFERROR(__xludf.DUMMYFUNCTION("""COMPUTED_VALUE"""),"PB40083134-140")</f>
        <v>PB40083134-140</v>
      </c>
      <c r="G2038" s="165">
        <f>IFERROR(__xludf.DUMMYFUNCTION("""COMPUTED_VALUE"""),786.0)</f>
        <v>786</v>
      </c>
    </row>
    <row r="2039" ht="15.75" customHeight="1">
      <c r="A2039" s="133" t="str">
        <f>IFERROR(__xludf.DUMMYFUNCTION("""COMPUTED_VALUE"""),"PB40083")</f>
        <v>PB40083</v>
      </c>
      <c r="B2039" s="164">
        <f>IFERROR(__xludf.DUMMYFUNCTION("""COMPUTED_VALUE"""),1.0280298E7)</f>
        <v>10280298</v>
      </c>
      <c r="C2039" s="164" t="str">
        <f>IFERROR(__xludf.DUMMYFUNCTION("""COMPUTED_VALUE"""),"10280298140-146")</f>
        <v>10280298140-146</v>
      </c>
      <c r="D2039" s="133" t="str">
        <f>IFERROR(__xludf.DUMMYFUNCTION("""COMPUTED_VALUE"""),"Пижама")</f>
        <v>Пижама</v>
      </c>
      <c r="E2039" s="133" t="str">
        <f>IFERROR(__xludf.DUMMYFUNCTION("""COMPUTED_VALUE"""),"140-146")</f>
        <v>140-146</v>
      </c>
      <c r="F2039" s="133" t="str">
        <f>IFERROR(__xludf.DUMMYFUNCTION("""COMPUTED_VALUE"""),"PB40083140-146")</f>
        <v>PB40083140-146</v>
      </c>
      <c r="G2039" s="165">
        <f>IFERROR(__xludf.DUMMYFUNCTION("""COMPUTED_VALUE"""),786.0)</f>
        <v>786</v>
      </c>
    </row>
    <row r="2040" ht="15.75" customHeight="1">
      <c r="A2040" s="133" t="str">
        <f>IFERROR(__xludf.DUMMYFUNCTION("""COMPUTED_VALUE"""),"PB40084")</f>
        <v>PB40084</v>
      </c>
      <c r="B2040" s="164">
        <f>IFERROR(__xludf.DUMMYFUNCTION("""COMPUTED_VALUE"""),1.0280299E7)</f>
        <v>10280299</v>
      </c>
      <c r="C2040" s="164" t="str">
        <f>IFERROR(__xludf.DUMMYFUNCTION("""COMPUTED_VALUE"""),"1028029998-104")</f>
        <v>1028029998-104</v>
      </c>
      <c r="D2040" s="133" t="str">
        <f>IFERROR(__xludf.DUMMYFUNCTION("""COMPUTED_VALUE"""),"Пижама")</f>
        <v>Пижама</v>
      </c>
      <c r="E2040" s="133" t="str">
        <f>IFERROR(__xludf.DUMMYFUNCTION("""COMPUTED_VALUE"""),"98-104")</f>
        <v>98-104</v>
      </c>
      <c r="F2040" s="133" t="str">
        <f>IFERROR(__xludf.DUMMYFUNCTION("""COMPUTED_VALUE"""),"PB4008498-104")</f>
        <v>PB4008498-104</v>
      </c>
      <c r="G2040" s="165">
        <f>IFERROR(__xludf.DUMMYFUNCTION("""COMPUTED_VALUE"""),786.0)</f>
        <v>786</v>
      </c>
    </row>
    <row r="2041" ht="15.75" customHeight="1">
      <c r="A2041" s="133" t="str">
        <f>IFERROR(__xludf.DUMMYFUNCTION("""COMPUTED_VALUE"""),"PB40084")</f>
        <v>PB40084</v>
      </c>
      <c r="B2041" s="164">
        <f>IFERROR(__xludf.DUMMYFUNCTION("""COMPUTED_VALUE"""),1.0280299E7)</f>
        <v>10280299</v>
      </c>
      <c r="C2041" s="164" t="str">
        <f>IFERROR(__xludf.DUMMYFUNCTION("""COMPUTED_VALUE"""),"10280299110-116")</f>
        <v>10280299110-116</v>
      </c>
      <c r="D2041" s="133" t="str">
        <f>IFERROR(__xludf.DUMMYFUNCTION("""COMPUTED_VALUE"""),"Пижама")</f>
        <v>Пижама</v>
      </c>
      <c r="E2041" s="133" t="str">
        <f>IFERROR(__xludf.DUMMYFUNCTION("""COMPUTED_VALUE"""),"110-116")</f>
        <v>110-116</v>
      </c>
      <c r="F2041" s="133" t="str">
        <f>IFERROR(__xludf.DUMMYFUNCTION("""COMPUTED_VALUE"""),"PB40084110-116")</f>
        <v>PB40084110-116</v>
      </c>
      <c r="G2041" s="165">
        <f>IFERROR(__xludf.DUMMYFUNCTION("""COMPUTED_VALUE"""),786.0)</f>
        <v>786</v>
      </c>
    </row>
    <row r="2042" ht="15.75" customHeight="1">
      <c r="A2042" s="133" t="str">
        <f>IFERROR(__xludf.DUMMYFUNCTION("""COMPUTED_VALUE"""),"PB40084")</f>
        <v>PB40084</v>
      </c>
      <c r="B2042" s="164">
        <f>IFERROR(__xludf.DUMMYFUNCTION("""COMPUTED_VALUE"""),1.0280299E7)</f>
        <v>10280299</v>
      </c>
      <c r="C2042" s="164" t="str">
        <f>IFERROR(__xludf.DUMMYFUNCTION("""COMPUTED_VALUE"""),"10280299122-128")</f>
        <v>10280299122-128</v>
      </c>
      <c r="D2042" s="133" t="str">
        <f>IFERROR(__xludf.DUMMYFUNCTION("""COMPUTED_VALUE"""),"Пижама")</f>
        <v>Пижама</v>
      </c>
      <c r="E2042" s="133" t="str">
        <f>IFERROR(__xludf.DUMMYFUNCTION("""COMPUTED_VALUE"""),"122-128")</f>
        <v>122-128</v>
      </c>
      <c r="F2042" s="133" t="str">
        <f>IFERROR(__xludf.DUMMYFUNCTION("""COMPUTED_VALUE"""),"PB40084122-128")</f>
        <v>PB40084122-128</v>
      </c>
      <c r="G2042" s="165">
        <f>IFERROR(__xludf.DUMMYFUNCTION("""COMPUTED_VALUE"""),786.0)</f>
        <v>786</v>
      </c>
    </row>
    <row r="2043" ht="15.75" customHeight="1">
      <c r="A2043" s="133" t="str">
        <f>IFERROR(__xludf.DUMMYFUNCTION("""COMPUTED_VALUE"""),"PB40084")</f>
        <v>PB40084</v>
      </c>
      <c r="B2043" s="164">
        <f>IFERROR(__xludf.DUMMYFUNCTION("""COMPUTED_VALUE"""),1.0280299E7)</f>
        <v>10280299</v>
      </c>
      <c r="C2043" s="164" t="str">
        <f>IFERROR(__xludf.DUMMYFUNCTION("""COMPUTED_VALUE"""),"10280299134-140")</f>
        <v>10280299134-140</v>
      </c>
      <c r="D2043" s="133" t="str">
        <f>IFERROR(__xludf.DUMMYFUNCTION("""COMPUTED_VALUE"""),"Пижама")</f>
        <v>Пижама</v>
      </c>
      <c r="E2043" s="133" t="str">
        <f>IFERROR(__xludf.DUMMYFUNCTION("""COMPUTED_VALUE"""),"134-140")</f>
        <v>134-140</v>
      </c>
      <c r="F2043" s="133" t="str">
        <f>IFERROR(__xludf.DUMMYFUNCTION("""COMPUTED_VALUE"""),"PB40084134-140")</f>
        <v>PB40084134-140</v>
      </c>
      <c r="G2043" s="165">
        <f>IFERROR(__xludf.DUMMYFUNCTION("""COMPUTED_VALUE"""),786.0)</f>
        <v>786</v>
      </c>
    </row>
    <row r="2044" ht="15.75" customHeight="1">
      <c r="A2044" s="133" t="str">
        <f>IFERROR(__xludf.DUMMYFUNCTION("""COMPUTED_VALUE"""),"PB40084")</f>
        <v>PB40084</v>
      </c>
      <c r="B2044" s="164">
        <f>IFERROR(__xludf.DUMMYFUNCTION("""COMPUTED_VALUE"""),1.0280299E7)</f>
        <v>10280299</v>
      </c>
      <c r="C2044" s="164" t="str">
        <f>IFERROR(__xludf.DUMMYFUNCTION("""COMPUTED_VALUE"""),"10280299140-146")</f>
        <v>10280299140-146</v>
      </c>
      <c r="D2044" s="133" t="str">
        <f>IFERROR(__xludf.DUMMYFUNCTION("""COMPUTED_VALUE"""),"Пижама")</f>
        <v>Пижама</v>
      </c>
      <c r="E2044" s="133" t="str">
        <f>IFERROR(__xludf.DUMMYFUNCTION("""COMPUTED_VALUE"""),"140-146")</f>
        <v>140-146</v>
      </c>
      <c r="F2044" s="133" t="str">
        <f>IFERROR(__xludf.DUMMYFUNCTION("""COMPUTED_VALUE"""),"PB40084140-146")</f>
        <v>PB40084140-146</v>
      </c>
      <c r="G2044" s="165">
        <f>IFERROR(__xludf.DUMMYFUNCTION("""COMPUTED_VALUE"""),786.0)</f>
        <v>786</v>
      </c>
    </row>
    <row r="2045" ht="15.75" customHeight="1">
      <c r="A2045" s="133" t="str">
        <f>IFERROR(__xludf.DUMMYFUNCTION("""COMPUTED_VALUE"""),"PB40085")</f>
        <v>PB40085</v>
      </c>
      <c r="B2045" s="164">
        <f>IFERROR(__xludf.DUMMYFUNCTION("""COMPUTED_VALUE"""),1.02803E7)</f>
        <v>10280300</v>
      </c>
      <c r="C2045" s="164" t="str">
        <f>IFERROR(__xludf.DUMMYFUNCTION("""COMPUTED_VALUE"""),"1028030098-104")</f>
        <v>1028030098-104</v>
      </c>
      <c r="D2045" s="133" t="str">
        <f>IFERROR(__xludf.DUMMYFUNCTION("""COMPUTED_VALUE"""),"Пижама")</f>
        <v>Пижама</v>
      </c>
      <c r="E2045" s="133" t="str">
        <f>IFERROR(__xludf.DUMMYFUNCTION("""COMPUTED_VALUE"""),"98-104")</f>
        <v>98-104</v>
      </c>
      <c r="F2045" s="133" t="str">
        <f>IFERROR(__xludf.DUMMYFUNCTION("""COMPUTED_VALUE"""),"PB4008598-104")</f>
        <v>PB4008598-104</v>
      </c>
      <c r="G2045" s="165">
        <f>IFERROR(__xludf.DUMMYFUNCTION("""COMPUTED_VALUE"""),786.0)</f>
        <v>786</v>
      </c>
    </row>
    <row r="2046" ht="15.75" customHeight="1">
      <c r="A2046" s="133" t="str">
        <f>IFERROR(__xludf.DUMMYFUNCTION("""COMPUTED_VALUE"""),"PB40085")</f>
        <v>PB40085</v>
      </c>
      <c r="B2046" s="164">
        <f>IFERROR(__xludf.DUMMYFUNCTION("""COMPUTED_VALUE"""),1.02803E7)</f>
        <v>10280300</v>
      </c>
      <c r="C2046" s="164" t="str">
        <f>IFERROR(__xludf.DUMMYFUNCTION("""COMPUTED_VALUE"""),"10280300110-116")</f>
        <v>10280300110-116</v>
      </c>
      <c r="D2046" s="133" t="str">
        <f>IFERROR(__xludf.DUMMYFUNCTION("""COMPUTED_VALUE"""),"Пижама")</f>
        <v>Пижама</v>
      </c>
      <c r="E2046" s="133" t="str">
        <f>IFERROR(__xludf.DUMMYFUNCTION("""COMPUTED_VALUE"""),"110-116")</f>
        <v>110-116</v>
      </c>
      <c r="F2046" s="133" t="str">
        <f>IFERROR(__xludf.DUMMYFUNCTION("""COMPUTED_VALUE"""),"PB40085110-116")</f>
        <v>PB40085110-116</v>
      </c>
      <c r="G2046" s="165">
        <f>IFERROR(__xludf.DUMMYFUNCTION("""COMPUTED_VALUE"""),786.0)</f>
        <v>786</v>
      </c>
    </row>
    <row r="2047" ht="15.75" customHeight="1">
      <c r="A2047" s="133" t="str">
        <f>IFERROR(__xludf.DUMMYFUNCTION("""COMPUTED_VALUE"""),"PB40085")</f>
        <v>PB40085</v>
      </c>
      <c r="B2047" s="164">
        <f>IFERROR(__xludf.DUMMYFUNCTION("""COMPUTED_VALUE"""),1.02803E7)</f>
        <v>10280300</v>
      </c>
      <c r="C2047" s="164" t="str">
        <f>IFERROR(__xludf.DUMMYFUNCTION("""COMPUTED_VALUE"""),"10280300122-128")</f>
        <v>10280300122-128</v>
      </c>
      <c r="D2047" s="133" t="str">
        <f>IFERROR(__xludf.DUMMYFUNCTION("""COMPUTED_VALUE"""),"Пижама")</f>
        <v>Пижама</v>
      </c>
      <c r="E2047" s="133" t="str">
        <f>IFERROR(__xludf.DUMMYFUNCTION("""COMPUTED_VALUE"""),"122-128")</f>
        <v>122-128</v>
      </c>
      <c r="F2047" s="133" t="str">
        <f>IFERROR(__xludf.DUMMYFUNCTION("""COMPUTED_VALUE"""),"PB40085122-128")</f>
        <v>PB40085122-128</v>
      </c>
      <c r="G2047" s="165">
        <f>IFERROR(__xludf.DUMMYFUNCTION("""COMPUTED_VALUE"""),786.0)</f>
        <v>786</v>
      </c>
    </row>
    <row r="2048" ht="15.75" customHeight="1">
      <c r="A2048" s="133" t="str">
        <f>IFERROR(__xludf.DUMMYFUNCTION("""COMPUTED_VALUE"""),"PB40085")</f>
        <v>PB40085</v>
      </c>
      <c r="B2048" s="164">
        <f>IFERROR(__xludf.DUMMYFUNCTION("""COMPUTED_VALUE"""),1.02803E7)</f>
        <v>10280300</v>
      </c>
      <c r="C2048" s="164" t="str">
        <f>IFERROR(__xludf.DUMMYFUNCTION("""COMPUTED_VALUE"""),"10280300134-140")</f>
        <v>10280300134-140</v>
      </c>
      <c r="D2048" s="133" t="str">
        <f>IFERROR(__xludf.DUMMYFUNCTION("""COMPUTED_VALUE"""),"Пижама")</f>
        <v>Пижама</v>
      </c>
      <c r="E2048" s="133" t="str">
        <f>IFERROR(__xludf.DUMMYFUNCTION("""COMPUTED_VALUE"""),"134-140")</f>
        <v>134-140</v>
      </c>
      <c r="F2048" s="133" t="str">
        <f>IFERROR(__xludf.DUMMYFUNCTION("""COMPUTED_VALUE"""),"PB40085134-140")</f>
        <v>PB40085134-140</v>
      </c>
      <c r="G2048" s="165">
        <f>IFERROR(__xludf.DUMMYFUNCTION("""COMPUTED_VALUE"""),786.0)</f>
        <v>786</v>
      </c>
    </row>
    <row r="2049" ht="15.75" customHeight="1">
      <c r="A2049" s="133" t="str">
        <f>IFERROR(__xludf.DUMMYFUNCTION("""COMPUTED_VALUE"""),"PB40085")</f>
        <v>PB40085</v>
      </c>
      <c r="B2049" s="164">
        <f>IFERROR(__xludf.DUMMYFUNCTION("""COMPUTED_VALUE"""),1.02803E7)</f>
        <v>10280300</v>
      </c>
      <c r="C2049" s="164" t="str">
        <f>IFERROR(__xludf.DUMMYFUNCTION("""COMPUTED_VALUE"""),"10280300140-146")</f>
        <v>10280300140-146</v>
      </c>
      <c r="D2049" s="133" t="str">
        <f>IFERROR(__xludf.DUMMYFUNCTION("""COMPUTED_VALUE"""),"Пижама")</f>
        <v>Пижама</v>
      </c>
      <c r="E2049" s="133" t="str">
        <f>IFERROR(__xludf.DUMMYFUNCTION("""COMPUTED_VALUE"""),"140-146")</f>
        <v>140-146</v>
      </c>
      <c r="F2049" s="133" t="str">
        <f>IFERROR(__xludf.DUMMYFUNCTION("""COMPUTED_VALUE"""),"PB40085140-146")</f>
        <v>PB40085140-146</v>
      </c>
      <c r="G2049" s="165">
        <f>IFERROR(__xludf.DUMMYFUNCTION("""COMPUTED_VALUE"""),786.0)</f>
        <v>786</v>
      </c>
    </row>
    <row r="2050" ht="15.75" customHeight="1">
      <c r="A2050" s="133" t="str">
        <f>IFERROR(__xludf.DUMMYFUNCTION("""COMPUTED_VALUE"""),"PB40086")</f>
        <v>PB40086</v>
      </c>
      <c r="B2050" s="164">
        <f>IFERROR(__xludf.DUMMYFUNCTION("""COMPUTED_VALUE"""),1.0280301E7)</f>
        <v>10280301</v>
      </c>
      <c r="C2050" s="164" t="str">
        <f>IFERROR(__xludf.DUMMYFUNCTION("""COMPUTED_VALUE"""),"1028030198-104")</f>
        <v>1028030198-104</v>
      </c>
      <c r="D2050" s="133" t="str">
        <f>IFERROR(__xludf.DUMMYFUNCTION("""COMPUTED_VALUE"""),"Пижама")</f>
        <v>Пижама</v>
      </c>
      <c r="E2050" s="133" t="str">
        <f>IFERROR(__xludf.DUMMYFUNCTION("""COMPUTED_VALUE"""),"98-104")</f>
        <v>98-104</v>
      </c>
      <c r="F2050" s="133" t="str">
        <f>IFERROR(__xludf.DUMMYFUNCTION("""COMPUTED_VALUE"""),"PB4008698-104")</f>
        <v>PB4008698-104</v>
      </c>
      <c r="G2050" s="165">
        <f>IFERROR(__xludf.DUMMYFUNCTION("""COMPUTED_VALUE"""),786.0)</f>
        <v>786</v>
      </c>
    </row>
    <row r="2051" ht="15.75" customHeight="1">
      <c r="A2051" s="133" t="str">
        <f>IFERROR(__xludf.DUMMYFUNCTION("""COMPUTED_VALUE"""),"PB40086")</f>
        <v>PB40086</v>
      </c>
      <c r="B2051" s="164">
        <f>IFERROR(__xludf.DUMMYFUNCTION("""COMPUTED_VALUE"""),1.0280301E7)</f>
        <v>10280301</v>
      </c>
      <c r="C2051" s="164" t="str">
        <f>IFERROR(__xludf.DUMMYFUNCTION("""COMPUTED_VALUE"""),"10280301110-116")</f>
        <v>10280301110-116</v>
      </c>
      <c r="D2051" s="133" t="str">
        <f>IFERROR(__xludf.DUMMYFUNCTION("""COMPUTED_VALUE"""),"Пижама")</f>
        <v>Пижама</v>
      </c>
      <c r="E2051" s="133" t="str">
        <f>IFERROR(__xludf.DUMMYFUNCTION("""COMPUTED_VALUE"""),"110-116")</f>
        <v>110-116</v>
      </c>
      <c r="F2051" s="133" t="str">
        <f>IFERROR(__xludf.DUMMYFUNCTION("""COMPUTED_VALUE"""),"PB40086110-116")</f>
        <v>PB40086110-116</v>
      </c>
      <c r="G2051" s="165">
        <f>IFERROR(__xludf.DUMMYFUNCTION("""COMPUTED_VALUE"""),786.0)</f>
        <v>786</v>
      </c>
    </row>
    <row r="2052" ht="15.75" customHeight="1">
      <c r="A2052" s="133" t="str">
        <f>IFERROR(__xludf.DUMMYFUNCTION("""COMPUTED_VALUE"""),"PB40086")</f>
        <v>PB40086</v>
      </c>
      <c r="B2052" s="164">
        <f>IFERROR(__xludf.DUMMYFUNCTION("""COMPUTED_VALUE"""),1.0280301E7)</f>
        <v>10280301</v>
      </c>
      <c r="C2052" s="164" t="str">
        <f>IFERROR(__xludf.DUMMYFUNCTION("""COMPUTED_VALUE"""),"10280301122-128")</f>
        <v>10280301122-128</v>
      </c>
      <c r="D2052" s="133" t="str">
        <f>IFERROR(__xludf.DUMMYFUNCTION("""COMPUTED_VALUE"""),"Пижама")</f>
        <v>Пижама</v>
      </c>
      <c r="E2052" s="133" t="str">
        <f>IFERROR(__xludf.DUMMYFUNCTION("""COMPUTED_VALUE"""),"122-128")</f>
        <v>122-128</v>
      </c>
      <c r="F2052" s="133" t="str">
        <f>IFERROR(__xludf.DUMMYFUNCTION("""COMPUTED_VALUE"""),"PB40086122-128")</f>
        <v>PB40086122-128</v>
      </c>
      <c r="G2052" s="165">
        <f>IFERROR(__xludf.DUMMYFUNCTION("""COMPUTED_VALUE"""),786.0)</f>
        <v>786</v>
      </c>
    </row>
    <row r="2053" ht="15.75" customHeight="1">
      <c r="A2053" s="133" t="str">
        <f>IFERROR(__xludf.DUMMYFUNCTION("""COMPUTED_VALUE"""),"PB40086")</f>
        <v>PB40086</v>
      </c>
      <c r="B2053" s="164">
        <f>IFERROR(__xludf.DUMMYFUNCTION("""COMPUTED_VALUE"""),1.0280301E7)</f>
        <v>10280301</v>
      </c>
      <c r="C2053" s="164" t="str">
        <f>IFERROR(__xludf.DUMMYFUNCTION("""COMPUTED_VALUE"""),"10280301134-140")</f>
        <v>10280301134-140</v>
      </c>
      <c r="D2053" s="133" t="str">
        <f>IFERROR(__xludf.DUMMYFUNCTION("""COMPUTED_VALUE"""),"Пижама")</f>
        <v>Пижама</v>
      </c>
      <c r="E2053" s="133" t="str">
        <f>IFERROR(__xludf.DUMMYFUNCTION("""COMPUTED_VALUE"""),"134-140")</f>
        <v>134-140</v>
      </c>
      <c r="F2053" s="133" t="str">
        <f>IFERROR(__xludf.DUMMYFUNCTION("""COMPUTED_VALUE"""),"PB40086134-140")</f>
        <v>PB40086134-140</v>
      </c>
      <c r="G2053" s="165">
        <f>IFERROR(__xludf.DUMMYFUNCTION("""COMPUTED_VALUE"""),786.0)</f>
        <v>786</v>
      </c>
    </row>
    <row r="2054" ht="15.75" customHeight="1">
      <c r="A2054" s="133" t="str">
        <f>IFERROR(__xludf.DUMMYFUNCTION("""COMPUTED_VALUE"""),"PB40086")</f>
        <v>PB40086</v>
      </c>
      <c r="B2054" s="164">
        <f>IFERROR(__xludf.DUMMYFUNCTION("""COMPUTED_VALUE"""),1.0280301E7)</f>
        <v>10280301</v>
      </c>
      <c r="C2054" s="164" t="str">
        <f>IFERROR(__xludf.DUMMYFUNCTION("""COMPUTED_VALUE"""),"10280301140-146")</f>
        <v>10280301140-146</v>
      </c>
      <c r="D2054" s="133" t="str">
        <f>IFERROR(__xludf.DUMMYFUNCTION("""COMPUTED_VALUE"""),"Пижама")</f>
        <v>Пижама</v>
      </c>
      <c r="E2054" s="133" t="str">
        <f>IFERROR(__xludf.DUMMYFUNCTION("""COMPUTED_VALUE"""),"140-146")</f>
        <v>140-146</v>
      </c>
      <c r="F2054" s="133" t="str">
        <f>IFERROR(__xludf.DUMMYFUNCTION("""COMPUTED_VALUE"""),"PB40086140-146")</f>
        <v>PB40086140-146</v>
      </c>
      <c r="G2054" s="165">
        <f>IFERROR(__xludf.DUMMYFUNCTION("""COMPUTED_VALUE"""),786.0)</f>
        <v>786</v>
      </c>
    </row>
    <row r="2055" ht="15.75" customHeight="1">
      <c r="A2055" s="133" t="str">
        <f>IFERROR(__xludf.DUMMYFUNCTION("""COMPUTED_VALUE"""),"PB40087")</f>
        <v>PB40087</v>
      </c>
      <c r="B2055" s="164">
        <f>IFERROR(__xludf.DUMMYFUNCTION("""COMPUTED_VALUE"""),1.0280302E7)</f>
        <v>10280302</v>
      </c>
      <c r="C2055" s="164" t="str">
        <f>IFERROR(__xludf.DUMMYFUNCTION("""COMPUTED_VALUE"""),"1028030298-104")</f>
        <v>1028030298-104</v>
      </c>
      <c r="D2055" s="133" t="str">
        <f>IFERROR(__xludf.DUMMYFUNCTION("""COMPUTED_VALUE"""),"Пижама")</f>
        <v>Пижама</v>
      </c>
      <c r="E2055" s="133" t="str">
        <f>IFERROR(__xludf.DUMMYFUNCTION("""COMPUTED_VALUE"""),"98-104")</f>
        <v>98-104</v>
      </c>
      <c r="F2055" s="133" t="str">
        <f>IFERROR(__xludf.DUMMYFUNCTION("""COMPUTED_VALUE"""),"PB4008798-104")</f>
        <v>PB4008798-104</v>
      </c>
      <c r="G2055" s="165">
        <f>IFERROR(__xludf.DUMMYFUNCTION("""COMPUTED_VALUE"""),786.0)</f>
        <v>786</v>
      </c>
    </row>
    <row r="2056" ht="15.75" customHeight="1">
      <c r="A2056" s="133" t="str">
        <f>IFERROR(__xludf.DUMMYFUNCTION("""COMPUTED_VALUE"""),"PB40087")</f>
        <v>PB40087</v>
      </c>
      <c r="B2056" s="164">
        <f>IFERROR(__xludf.DUMMYFUNCTION("""COMPUTED_VALUE"""),1.0280302E7)</f>
        <v>10280302</v>
      </c>
      <c r="C2056" s="164" t="str">
        <f>IFERROR(__xludf.DUMMYFUNCTION("""COMPUTED_VALUE"""),"10280302110-116")</f>
        <v>10280302110-116</v>
      </c>
      <c r="D2056" s="133" t="str">
        <f>IFERROR(__xludf.DUMMYFUNCTION("""COMPUTED_VALUE"""),"Пижама")</f>
        <v>Пижама</v>
      </c>
      <c r="E2056" s="133" t="str">
        <f>IFERROR(__xludf.DUMMYFUNCTION("""COMPUTED_VALUE"""),"110-116")</f>
        <v>110-116</v>
      </c>
      <c r="F2056" s="133" t="str">
        <f>IFERROR(__xludf.DUMMYFUNCTION("""COMPUTED_VALUE"""),"PB40087110-116")</f>
        <v>PB40087110-116</v>
      </c>
      <c r="G2056" s="165">
        <f>IFERROR(__xludf.DUMMYFUNCTION("""COMPUTED_VALUE"""),786.0)</f>
        <v>786</v>
      </c>
    </row>
    <row r="2057" ht="15.75" customHeight="1">
      <c r="A2057" s="133" t="str">
        <f>IFERROR(__xludf.DUMMYFUNCTION("""COMPUTED_VALUE"""),"PB40087")</f>
        <v>PB40087</v>
      </c>
      <c r="B2057" s="164">
        <f>IFERROR(__xludf.DUMMYFUNCTION("""COMPUTED_VALUE"""),1.0280302E7)</f>
        <v>10280302</v>
      </c>
      <c r="C2057" s="164" t="str">
        <f>IFERROR(__xludf.DUMMYFUNCTION("""COMPUTED_VALUE"""),"10280302122-128")</f>
        <v>10280302122-128</v>
      </c>
      <c r="D2057" s="133" t="str">
        <f>IFERROR(__xludf.DUMMYFUNCTION("""COMPUTED_VALUE"""),"Пижама")</f>
        <v>Пижама</v>
      </c>
      <c r="E2057" s="133" t="str">
        <f>IFERROR(__xludf.DUMMYFUNCTION("""COMPUTED_VALUE"""),"122-128")</f>
        <v>122-128</v>
      </c>
      <c r="F2057" s="133" t="str">
        <f>IFERROR(__xludf.DUMMYFUNCTION("""COMPUTED_VALUE"""),"PB40087122-128")</f>
        <v>PB40087122-128</v>
      </c>
      <c r="G2057" s="165">
        <f>IFERROR(__xludf.DUMMYFUNCTION("""COMPUTED_VALUE"""),786.0)</f>
        <v>786</v>
      </c>
    </row>
    <row r="2058" ht="15.75" customHeight="1">
      <c r="A2058" s="133" t="str">
        <f>IFERROR(__xludf.DUMMYFUNCTION("""COMPUTED_VALUE"""),"PB40087")</f>
        <v>PB40087</v>
      </c>
      <c r="B2058" s="164">
        <f>IFERROR(__xludf.DUMMYFUNCTION("""COMPUTED_VALUE"""),1.0280302E7)</f>
        <v>10280302</v>
      </c>
      <c r="C2058" s="164" t="str">
        <f>IFERROR(__xludf.DUMMYFUNCTION("""COMPUTED_VALUE"""),"10280302134-140")</f>
        <v>10280302134-140</v>
      </c>
      <c r="D2058" s="133" t="str">
        <f>IFERROR(__xludf.DUMMYFUNCTION("""COMPUTED_VALUE"""),"Пижама")</f>
        <v>Пижама</v>
      </c>
      <c r="E2058" s="133" t="str">
        <f>IFERROR(__xludf.DUMMYFUNCTION("""COMPUTED_VALUE"""),"134-140")</f>
        <v>134-140</v>
      </c>
      <c r="F2058" s="133" t="str">
        <f>IFERROR(__xludf.DUMMYFUNCTION("""COMPUTED_VALUE"""),"PB40087134-140")</f>
        <v>PB40087134-140</v>
      </c>
      <c r="G2058" s="165">
        <f>IFERROR(__xludf.DUMMYFUNCTION("""COMPUTED_VALUE"""),786.0)</f>
        <v>786</v>
      </c>
    </row>
    <row r="2059" ht="15.75" customHeight="1">
      <c r="A2059" s="133" t="str">
        <f>IFERROR(__xludf.DUMMYFUNCTION("""COMPUTED_VALUE"""),"PB40087")</f>
        <v>PB40087</v>
      </c>
      <c r="B2059" s="164">
        <f>IFERROR(__xludf.DUMMYFUNCTION("""COMPUTED_VALUE"""),1.0280302E7)</f>
        <v>10280302</v>
      </c>
      <c r="C2059" s="164" t="str">
        <f>IFERROR(__xludf.DUMMYFUNCTION("""COMPUTED_VALUE"""),"10280302140-146")</f>
        <v>10280302140-146</v>
      </c>
      <c r="D2059" s="133" t="str">
        <f>IFERROR(__xludf.DUMMYFUNCTION("""COMPUTED_VALUE"""),"Пижама")</f>
        <v>Пижама</v>
      </c>
      <c r="E2059" s="133" t="str">
        <f>IFERROR(__xludf.DUMMYFUNCTION("""COMPUTED_VALUE"""),"140-146")</f>
        <v>140-146</v>
      </c>
      <c r="F2059" s="133" t="str">
        <f>IFERROR(__xludf.DUMMYFUNCTION("""COMPUTED_VALUE"""),"PB40087140-146")</f>
        <v>PB40087140-146</v>
      </c>
      <c r="G2059" s="165">
        <f>IFERROR(__xludf.DUMMYFUNCTION("""COMPUTED_VALUE"""),786.0)</f>
        <v>786</v>
      </c>
    </row>
    <row r="2060" ht="15.75" customHeight="1">
      <c r="A2060" s="133" t="str">
        <f>IFERROR(__xludf.DUMMYFUNCTION("""COMPUTED_VALUE"""),"PB40088")</f>
        <v>PB40088</v>
      </c>
      <c r="B2060" s="164">
        <f>IFERROR(__xludf.DUMMYFUNCTION("""COMPUTED_VALUE"""),1.0280303E7)</f>
        <v>10280303</v>
      </c>
      <c r="C2060" s="164" t="str">
        <f>IFERROR(__xludf.DUMMYFUNCTION("""COMPUTED_VALUE"""),"1028030398-104")</f>
        <v>1028030398-104</v>
      </c>
      <c r="D2060" s="133" t="str">
        <f>IFERROR(__xludf.DUMMYFUNCTION("""COMPUTED_VALUE"""),"Пижама")</f>
        <v>Пижама</v>
      </c>
      <c r="E2060" s="133" t="str">
        <f>IFERROR(__xludf.DUMMYFUNCTION("""COMPUTED_VALUE"""),"98-104")</f>
        <v>98-104</v>
      </c>
      <c r="F2060" s="133" t="str">
        <f>IFERROR(__xludf.DUMMYFUNCTION("""COMPUTED_VALUE"""),"PB4008898-104")</f>
        <v>PB4008898-104</v>
      </c>
      <c r="G2060" s="165">
        <f>IFERROR(__xludf.DUMMYFUNCTION("""COMPUTED_VALUE"""),786.0)</f>
        <v>786</v>
      </c>
    </row>
    <row r="2061" ht="15.75" customHeight="1">
      <c r="A2061" s="133" t="str">
        <f>IFERROR(__xludf.DUMMYFUNCTION("""COMPUTED_VALUE"""),"PB40088")</f>
        <v>PB40088</v>
      </c>
      <c r="B2061" s="164">
        <f>IFERROR(__xludf.DUMMYFUNCTION("""COMPUTED_VALUE"""),1.0280303E7)</f>
        <v>10280303</v>
      </c>
      <c r="C2061" s="164" t="str">
        <f>IFERROR(__xludf.DUMMYFUNCTION("""COMPUTED_VALUE"""),"10280303110-116")</f>
        <v>10280303110-116</v>
      </c>
      <c r="D2061" s="133" t="str">
        <f>IFERROR(__xludf.DUMMYFUNCTION("""COMPUTED_VALUE"""),"Пижама")</f>
        <v>Пижама</v>
      </c>
      <c r="E2061" s="133" t="str">
        <f>IFERROR(__xludf.DUMMYFUNCTION("""COMPUTED_VALUE"""),"110-116")</f>
        <v>110-116</v>
      </c>
      <c r="F2061" s="133" t="str">
        <f>IFERROR(__xludf.DUMMYFUNCTION("""COMPUTED_VALUE"""),"PB40088110-116")</f>
        <v>PB40088110-116</v>
      </c>
      <c r="G2061" s="165">
        <f>IFERROR(__xludf.DUMMYFUNCTION("""COMPUTED_VALUE"""),786.0)</f>
        <v>786</v>
      </c>
    </row>
    <row r="2062" ht="15.75" customHeight="1">
      <c r="A2062" s="133" t="str">
        <f>IFERROR(__xludf.DUMMYFUNCTION("""COMPUTED_VALUE"""),"PB40088")</f>
        <v>PB40088</v>
      </c>
      <c r="B2062" s="164">
        <f>IFERROR(__xludf.DUMMYFUNCTION("""COMPUTED_VALUE"""),1.0280303E7)</f>
        <v>10280303</v>
      </c>
      <c r="C2062" s="164" t="str">
        <f>IFERROR(__xludf.DUMMYFUNCTION("""COMPUTED_VALUE"""),"10280303122-128")</f>
        <v>10280303122-128</v>
      </c>
      <c r="D2062" s="133" t="str">
        <f>IFERROR(__xludf.DUMMYFUNCTION("""COMPUTED_VALUE"""),"Пижама")</f>
        <v>Пижама</v>
      </c>
      <c r="E2062" s="133" t="str">
        <f>IFERROR(__xludf.DUMMYFUNCTION("""COMPUTED_VALUE"""),"122-128")</f>
        <v>122-128</v>
      </c>
      <c r="F2062" s="133" t="str">
        <f>IFERROR(__xludf.DUMMYFUNCTION("""COMPUTED_VALUE"""),"PB40088122-128")</f>
        <v>PB40088122-128</v>
      </c>
      <c r="G2062" s="165">
        <f>IFERROR(__xludf.DUMMYFUNCTION("""COMPUTED_VALUE"""),786.0)</f>
        <v>786</v>
      </c>
    </row>
    <row r="2063" ht="15.75" customHeight="1">
      <c r="A2063" s="133" t="str">
        <f>IFERROR(__xludf.DUMMYFUNCTION("""COMPUTED_VALUE"""),"PB40088")</f>
        <v>PB40088</v>
      </c>
      <c r="B2063" s="164">
        <f>IFERROR(__xludf.DUMMYFUNCTION("""COMPUTED_VALUE"""),1.0280303E7)</f>
        <v>10280303</v>
      </c>
      <c r="C2063" s="164" t="str">
        <f>IFERROR(__xludf.DUMMYFUNCTION("""COMPUTED_VALUE"""),"10280303134-140")</f>
        <v>10280303134-140</v>
      </c>
      <c r="D2063" s="133" t="str">
        <f>IFERROR(__xludf.DUMMYFUNCTION("""COMPUTED_VALUE"""),"Пижама")</f>
        <v>Пижама</v>
      </c>
      <c r="E2063" s="133" t="str">
        <f>IFERROR(__xludf.DUMMYFUNCTION("""COMPUTED_VALUE"""),"134-140")</f>
        <v>134-140</v>
      </c>
      <c r="F2063" s="133" t="str">
        <f>IFERROR(__xludf.DUMMYFUNCTION("""COMPUTED_VALUE"""),"PB40088134-140")</f>
        <v>PB40088134-140</v>
      </c>
      <c r="G2063" s="165">
        <f>IFERROR(__xludf.DUMMYFUNCTION("""COMPUTED_VALUE"""),786.0)</f>
        <v>786</v>
      </c>
    </row>
    <row r="2064" ht="15.75" customHeight="1">
      <c r="A2064" s="133" t="str">
        <f>IFERROR(__xludf.DUMMYFUNCTION("""COMPUTED_VALUE"""),"PB40088")</f>
        <v>PB40088</v>
      </c>
      <c r="B2064" s="164">
        <f>IFERROR(__xludf.DUMMYFUNCTION("""COMPUTED_VALUE"""),1.0280303E7)</f>
        <v>10280303</v>
      </c>
      <c r="C2064" s="164" t="str">
        <f>IFERROR(__xludf.DUMMYFUNCTION("""COMPUTED_VALUE"""),"10280303140-146")</f>
        <v>10280303140-146</v>
      </c>
      <c r="D2064" s="133" t="str">
        <f>IFERROR(__xludf.DUMMYFUNCTION("""COMPUTED_VALUE"""),"Пижама")</f>
        <v>Пижама</v>
      </c>
      <c r="E2064" s="133" t="str">
        <f>IFERROR(__xludf.DUMMYFUNCTION("""COMPUTED_VALUE"""),"140-146")</f>
        <v>140-146</v>
      </c>
      <c r="F2064" s="133" t="str">
        <f>IFERROR(__xludf.DUMMYFUNCTION("""COMPUTED_VALUE"""),"PB40088140-146")</f>
        <v>PB40088140-146</v>
      </c>
      <c r="G2064" s="165">
        <f>IFERROR(__xludf.DUMMYFUNCTION("""COMPUTED_VALUE"""),786.0)</f>
        <v>786</v>
      </c>
    </row>
    <row r="2065" ht="15.75" customHeight="1">
      <c r="A2065" s="133" t="str">
        <f>IFERROR(__xludf.DUMMYFUNCTION("""COMPUTED_VALUE"""),"TU50151DGW")</f>
        <v>TU50151DGW</v>
      </c>
      <c r="B2065" s="164">
        <f>IFERROR(__xludf.DUMMYFUNCTION("""COMPUTED_VALUE"""),1.6065615E7)</f>
        <v>16065615</v>
      </c>
      <c r="C2065" s="164" t="str">
        <f>IFERROR(__xludf.DUMMYFUNCTION("""COMPUTED_VALUE"""),"1606561542")</f>
        <v>1606561542</v>
      </c>
      <c r="D2065" s="133" t="str">
        <f>IFERROR(__xludf.DUMMYFUNCTION("""COMPUTED_VALUE"""),"Туника")</f>
        <v>Туника</v>
      </c>
      <c r="E2065" s="133">
        <f>IFERROR(__xludf.DUMMYFUNCTION("""COMPUTED_VALUE"""),42.0)</f>
        <v>42</v>
      </c>
      <c r="F2065" s="133" t="str">
        <f>IFERROR(__xludf.DUMMYFUNCTION("""COMPUTED_VALUE"""),"TU50151DGW42")</f>
        <v>TU50151DGW42</v>
      </c>
      <c r="G2065" s="165">
        <f>IFERROR(__xludf.DUMMYFUNCTION("""COMPUTED_VALUE"""),656.0)</f>
        <v>656</v>
      </c>
    </row>
    <row r="2066" ht="15.75" customHeight="1">
      <c r="A2066" s="133" t="str">
        <f>IFERROR(__xludf.DUMMYFUNCTION("""COMPUTED_VALUE"""),"TU50151DGW")</f>
        <v>TU50151DGW</v>
      </c>
      <c r="B2066" s="164">
        <f>IFERROR(__xludf.DUMMYFUNCTION("""COMPUTED_VALUE"""),1.6065615E7)</f>
        <v>16065615</v>
      </c>
      <c r="C2066" s="164" t="str">
        <f>IFERROR(__xludf.DUMMYFUNCTION("""COMPUTED_VALUE"""),"1606561544")</f>
        <v>1606561544</v>
      </c>
      <c r="D2066" s="133" t="str">
        <f>IFERROR(__xludf.DUMMYFUNCTION("""COMPUTED_VALUE"""),"Туника")</f>
        <v>Туника</v>
      </c>
      <c r="E2066" s="133">
        <f>IFERROR(__xludf.DUMMYFUNCTION("""COMPUTED_VALUE"""),44.0)</f>
        <v>44</v>
      </c>
      <c r="F2066" s="133" t="str">
        <f>IFERROR(__xludf.DUMMYFUNCTION("""COMPUTED_VALUE"""),"TU50151DGW44")</f>
        <v>TU50151DGW44</v>
      </c>
      <c r="G2066" s="165">
        <f>IFERROR(__xludf.DUMMYFUNCTION("""COMPUTED_VALUE"""),656.0)</f>
        <v>656</v>
      </c>
    </row>
    <row r="2067" ht="15.75" customHeight="1">
      <c r="A2067" s="133" t="str">
        <f>IFERROR(__xludf.DUMMYFUNCTION("""COMPUTED_VALUE"""),"TU50151DGW")</f>
        <v>TU50151DGW</v>
      </c>
      <c r="B2067" s="164">
        <f>IFERROR(__xludf.DUMMYFUNCTION("""COMPUTED_VALUE"""),1.6065615E7)</f>
        <v>16065615</v>
      </c>
      <c r="C2067" s="164" t="str">
        <f>IFERROR(__xludf.DUMMYFUNCTION("""COMPUTED_VALUE"""),"1606561546")</f>
        <v>1606561546</v>
      </c>
      <c r="D2067" s="133" t="str">
        <f>IFERROR(__xludf.DUMMYFUNCTION("""COMPUTED_VALUE"""),"Туника")</f>
        <v>Туника</v>
      </c>
      <c r="E2067" s="133">
        <f>IFERROR(__xludf.DUMMYFUNCTION("""COMPUTED_VALUE"""),46.0)</f>
        <v>46</v>
      </c>
      <c r="F2067" s="133" t="str">
        <f>IFERROR(__xludf.DUMMYFUNCTION("""COMPUTED_VALUE"""),"TU50151DGW46")</f>
        <v>TU50151DGW46</v>
      </c>
      <c r="G2067" s="165">
        <f>IFERROR(__xludf.DUMMYFUNCTION("""COMPUTED_VALUE"""),656.0)</f>
        <v>656</v>
      </c>
    </row>
    <row r="2068" ht="15.75" customHeight="1">
      <c r="A2068" s="133" t="str">
        <f>IFERROR(__xludf.DUMMYFUNCTION("""COMPUTED_VALUE"""),"TU50151DGW")</f>
        <v>TU50151DGW</v>
      </c>
      <c r="B2068" s="164">
        <f>IFERROR(__xludf.DUMMYFUNCTION("""COMPUTED_VALUE"""),1.6065615E7)</f>
        <v>16065615</v>
      </c>
      <c r="C2068" s="164" t="str">
        <f>IFERROR(__xludf.DUMMYFUNCTION("""COMPUTED_VALUE"""),"1606561548")</f>
        <v>1606561548</v>
      </c>
      <c r="D2068" s="133" t="str">
        <f>IFERROR(__xludf.DUMMYFUNCTION("""COMPUTED_VALUE"""),"Туника")</f>
        <v>Туника</v>
      </c>
      <c r="E2068" s="133">
        <f>IFERROR(__xludf.DUMMYFUNCTION("""COMPUTED_VALUE"""),48.0)</f>
        <v>48</v>
      </c>
      <c r="F2068" s="133" t="str">
        <f>IFERROR(__xludf.DUMMYFUNCTION("""COMPUTED_VALUE"""),"TU50151DGW48")</f>
        <v>TU50151DGW48</v>
      </c>
      <c r="G2068" s="165">
        <f>IFERROR(__xludf.DUMMYFUNCTION("""COMPUTED_VALUE"""),656.0)</f>
        <v>656</v>
      </c>
    </row>
    <row r="2069" ht="15.75" customHeight="1">
      <c r="A2069" s="133" t="str">
        <f>IFERROR(__xludf.DUMMYFUNCTION("""COMPUTED_VALUE"""),"TU50151DGW")</f>
        <v>TU50151DGW</v>
      </c>
      <c r="B2069" s="164">
        <f>IFERROR(__xludf.DUMMYFUNCTION("""COMPUTED_VALUE"""),1.6065615E7)</f>
        <v>16065615</v>
      </c>
      <c r="C2069" s="164" t="str">
        <f>IFERROR(__xludf.DUMMYFUNCTION("""COMPUTED_VALUE"""),"1606561550")</f>
        <v>1606561550</v>
      </c>
      <c r="D2069" s="133" t="str">
        <f>IFERROR(__xludf.DUMMYFUNCTION("""COMPUTED_VALUE"""),"Туника")</f>
        <v>Туника</v>
      </c>
      <c r="E2069" s="133">
        <f>IFERROR(__xludf.DUMMYFUNCTION("""COMPUTED_VALUE"""),50.0)</f>
        <v>50</v>
      </c>
      <c r="F2069" s="133" t="str">
        <f>IFERROR(__xludf.DUMMYFUNCTION("""COMPUTED_VALUE"""),"TU50151DGW50")</f>
        <v>TU50151DGW50</v>
      </c>
      <c r="G2069" s="165">
        <f>IFERROR(__xludf.DUMMYFUNCTION("""COMPUTED_VALUE"""),656.0)</f>
        <v>656</v>
      </c>
    </row>
    <row r="2070" ht="15.75" customHeight="1">
      <c r="A2070" s="133" t="str">
        <f>IFERROR(__xludf.DUMMYFUNCTION("""COMPUTED_VALUE"""),"TU50151DGW")</f>
        <v>TU50151DGW</v>
      </c>
      <c r="B2070" s="164">
        <f>IFERROR(__xludf.DUMMYFUNCTION("""COMPUTED_VALUE"""),1.6065615E7)</f>
        <v>16065615</v>
      </c>
      <c r="C2070" s="164" t="str">
        <f>IFERROR(__xludf.DUMMYFUNCTION("""COMPUTED_VALUE"""),"1606561552")</f>
        <v>1606561552</v>
      </c>
      <c r="D2070" s="133" t="str">
        <f>IFERROR(__xludf.DUMMYFUNCTION("""COMPUTED_VALUE"""),"Туника")</f>
        <v>Туника</v>
      </c>
      <c r="E2070" s="133">
        <f>IFERROR(__xludf.DUMMYFUNCTION("""COMPUTED_VALUE"""),52.0)</f>
        <v>52</v>
      </c>
      <c r="F2070" s="133" t="str">
        <f>IFERROR(__xludf.DUMMYFUNCTION("""COMPUTED_VALUE"""),"TU50151DGW52")</f>
        <v>TU50151DGW52</v>
      </c>
      <c r="G2070" s="165">
        <f>IFERROR(__xludf.DUMMYFUNCTION("""COMPUTED_VALUE"""),656.0)</f>
        <v>656</v>
      </c>
    </row>
    <row r="2071" ht="15.75" customHeight="1">
      <c r="A2071" s="133" t="str">
        <f>IFERROR(__xludf.DUMMYFUNCTION("""COMPUTED_VALUE"""),"TU50151DGW")</f>
        <v>TU50151DGW</v>
      </c>
      <c r="B2071" s="164">
        <f>IFERROR(__xludf.DUMMYFUNCTION("""COMPUTED_VALUE"""),1.6065615E7)</f>
        <v>16065615</v>
      </c>
      <c r="C2071" s="164" t="str">
        <f>IFERROR(__xludf.DUMMYFUNCTION("""COMPUTED_VALUE"""),"1606561554")</f>
        <v>1606561554</v>
      </c>
      <c r="D2071" s="133" t="str">
        <f>IFERROR(__xludf.DUMMYFUNCTION("""COMPUTED_VALUE"""),"Туника")</f>
        <v>Туника</v>
      </c>
      <c r="E2071" s="133">
        <f>IFERROR(__xludf.DUMMYFUNCTION("""COMPUTED_VALUE"""),54.0)</f>
        <v>54</v>
      </c>
      <c r="F2071" s="133" t="str">
        <f>IFERROR(__xludf.DUMMYFUNCTION("""COMPUTED_VALUE"""),"TU50151DGW54")</f>
        <v>TU50151DGW54</v>
      </c>
      <c r="G2071" s="165">
        <f>IFERROR(__xludf.DUMMYFUNCTION("""COMPUTED_VALUE"""),656.0)</f>
        <v>656</v>
      </c>
    </row>
    <row r="2072" ht="15.75" customHeight="1">
      <c r="A2072" s="133" t="str">
        <f>IFERROR(__xludf.DUMMYFUNCTION("""COMPUTED_VALUE"""),"SV40368SLW")</f>
        <v>SV40368SLW</v>
      </c>
      <c r="B2072" s="164">
        <f>IFERROR(__xludf.DUMMYFUNCTION("""COMPUTED_VALUE"""),1.6784332E7)</f>
        <v>16784332</v>
      </c>
      <c r="C2072" s="164" t="str">
        <f>IFERROR(__xludf.DUMMYFUNCTION("""COMPUTED_VALUE"""),"1678433240-54")</f>
        <v>1678433240-54</v>
      </c>
      <c r="D2072" s="133" t="str">
        <f>IFERROR(__xludf.DUMMYFUNCTION("""COMPUTED_VALUE"""),"Свитшот ")</f>
        <v>Свитшот </v>
      </c>
      <c r="E2072" s="133" t="str">
        <f>IFERROR(__xludf.DUMMYFUNCTION("""COMPUTED_VALUE"""),"40-54")</f>
        <v>40-54</v>
      </c>
      <c r="F2072" s="133" t="str">
        <f>IFERROR(__xludf.DUMMYFUNCTION("""COMPUTED_VALUE"""),"SV40368SLW40-54")</f>
        <v>SV40368SLW40-54</v>
      </c>
      <c r="G2072" s="165">
        <f>IFERROR(__xludf.DUMMYFUNCTION("""COMPUTED_VALUE"""),693.0)</f>
        <v>693</v>
      </c>
    </row>
    <row r="2073" ht="15.75" customHeight="1">
      <c r="A2073" s="133" t="str">
        <f>IFERROR(__xludf.DUMMYFUNCTION("""COMPUTED_VALUE"""),"SV40365SLW")</f>
        <v>SV40365SLW</v>
      </c>
      <c r="B2073" s="164">
        <f>IFERROR(__xludf.DUMMYFUNCTION("""COMPUTED_VALUE"""),1.6851018E7)</f>
        <v>16851018</v>
      </c>
      <c r="C2073" s="164" t="str">
        <f>IFERROR(__xludf.DUMMYFUNCTION("""COMPUTED_VALUE"""),"1685101840-54")</f>
        <v>1685101840-54</v>
      </c>
      <c r="D2073" s="133" t="str">
        <f>IFERROR(__xludf.DUMMYFUNCTION("""COMPUTED_VALUE"""),"Свитшот ")</f>
        <v>Свитшот </v>
      </c>
      <c r="E2073" s="133" t="str">
        <f>IFERROR(__xludf.DUMMYFUNCTION("""COMPUTED_VALUE"""),"40-54")</f>
        <v>40-54</v>
      </c>
      <c r="F2073" s="133" t="str">
        <f>IFERROR(__xludf.DUMMYFUNCTION("""COMPUTED_VALUE"""),"SV40365SLW40-54")</f>
        <v>SV40365SLW40-54</v>
      </c>
      <c r="G2073" s="165">
        <f>IFERROR(__xludf.DUMMYFUNCTION("""COMPUTED_VALUE"""),586.0)</f>
        <v>586</v>
      </c>
    </row>
    <row r="2074" ht="15.75" customHeight="1">
      <c r="A2074" s="133" t="str">
        <f>IFERROR(__xludf.DUMMYFUNCTION("""COMPUTED_VALUE"""),"SV40369SLM")</f>
        <v>SV40369SLM</v>
      </c>
      <c r="B2074" s="164">
        <f>IFERROR(__xludf.DUMMYFUNCTION("""COMPUTED_VALUE"""),1.6851019E7)</f>
        <v>16851019</v>
      </c>
      <c r="C2074" s="164" t="str">
        <f>IFERROR(__xludf.DUMMYFUNCTION("""COMPUTED_VALUE"""),"1685101946-52")</f>
        <v>1685101946-52</v>
      </c>
      <c r="D2074" s="133" t="str">
        <f>IFERROR(__xludf.DUMMYFUNCTION("""COMPUTED_VALUE"""),"Свитшот ")</f>
        <v>Свитшот </v>
      </c>
      <c r="E2074" s="133" t="str">
        <f>IFERROR(__xludf.DUMMYFUNCTION("""COMPUTED_VALUE"""),"46-52")</f>
        <v>46-52</v>
      </c>
      <c r="F2074" s="133" t="str">
        <f>IFERROR(__xludf.DUMMYFUNCTION("""COMPUTED_VALUE"""),"SV40369SLM46-52")</f>
        <v>SV40369SLM46-52</v>
      </c>
      <c r="G2074" s="165">
        <f>IFERROR(__xludf.DUMMYFUNCTION("""COMPUTED_VALUE"""),629.0)</f>
        <v>629</v>
      </c>
    </row>
    <row r="2075" ht="15.75" customHeight="1">
      <c r="A2075" s="133" t="str">
        <f>IFERROR(__xludf.DUMMYFUNCTION("""COMPUTED_VALUE"""),"KO40371SLW")</f>
        <v>KO40371SLW</v>
      </c>
      <c r="B2075" s="164">
        <f>IFERROR(__xludf.DUMMYFUNCTION("""COMPUTED_VALUE"""),1.6962867E7)</f>
        <v>16962867</v>
      </c>
      <c r="C2075" s="164" t="str">
        <f>IFERROR(__xludf.DUMMYFUNCTION("""COMPUTED_VALUE"""),"16962867S")</f>
        <v>16962867S</v>
      </c>
      <c r="D2075" s="133" t="str">
        <f>IFERROR(__xludf.DUMMYFUNCTION("""COMPUTED_VALUE"""),"Костюм")</f>
        <v>Костюм</v>
      </c>
      <c r="E2075" s="133" t="str">
        <f>IFERROR(__xludf.DUMMYFUNCTION("""COMPUTED_VALUE"""),"S")</f>
        <v>S</v>
      </c>
      <c r="F2075" s="133" t="str">
        <f>IFERROR(__xludf.DUMMYFUNCTION("""COMPUTED_VALUE"""),"KO40371SLWS")</f>
        <v>KO40371SLWS</v>
      </c>
      <c r="G2075" s="165">
        <f>IFERROR(__xludf.DUMMYFUNCTION("""COMPUTED_VALUE"""),1435.0)</f>
        <v>1435</v>
      </c>
    </row>
    <row r="2076" ht="15.75" customHeight="1">
      <c r="A2076" s="133" t="str">
        <f>IFERROR(__xludf.DUMMYFUNCTION("""COMPUTED_VALUE"""),"KO40371SLW")</f>
        <v>KO40371SLW</v>
      </c>
      <c r="B2076" s="164">
        <f>IFERROR(__xludf.DUMMYFUNCTION("""COMPUTED_VALUE"""),1.6962867E7)</f>
        <v>16962867</v>
      </c>
      <c r="C2076" s="164" t="str">
        <f>IFERROR(__xludf.DUMMYFUNCTION("""COMPUTED_VALUE"""),"16962867M")</f>
        <v>16962867M</v>
      </c>
      <c r="D2076" s="133" t="str">
        <f>IFERROR(__xludf.DUMMYFUNCTION("""COMPUTED_VALUE"""),"Костюм")</f>
        <v>Костюм</v>
      </c>
      <c r="E2076" s="133" t="str">
        <f>IFERROR(__xludf.DUMMYFUNCTION("""COMPUTED_VALUE"""),"M")</f>
        <v>M</v>
      </c>
      <c r="F2076" s="133" t="str">
        <f>IFERROR(__xludf.DUMMYFUNCTION("""COMPUTED_VALUE"""),"KO40371SLWM")</f>
        <v>KO40371SLWM</v>
      </c>
      <c r="G2076" s="165">
        <f>IFERROR(__xludf.DUMMYFUNCTION("""COMPUTED_VALUE"""),1435.0)</f>
        <v>1435</v>
      </c>
    </row>
    <row r="2077" ht="15.75" customHeight="1">
      <c r="A2077" s="133" t="str">
        <f>IFERROR(__xludf.DUMMYFUNCTION("""COMPUTED_VALUE"""),"KO40371SLW")</f>
        <v>KO40371SLW</v>
      </c>
      <c r="B2077" s="164">
        <f>IFERROR(__xludf.DUMMYFUNCTION("""COMPUTED_VALUE"""),1.6962867E7)</f>
        <v>16962867</v>
      </c>
      <c r="C2077" s="164" t="str">
        <f>IFERROR(__xludf.DUMMYFUNCTION("""COMPUTED_VALUE"""),"16962867L")</f>
        <v>16962867L</v>
      </c>
      <c r="D2077" s="133" t="str">
        <f>IFERROR(__xludf.DUMMYFUNCTION("""COMPUTED_VALUE"""),"Костюм")</f>
        <v>Костюм</v>
      </c>
      <c r="E2077" s="133" t="str">
        <f>IFERROR(__xludf.DUMMYFUNCTION("""COMPUTED_VALUE"""),"L")</f>
        <v>L</v>
      </c>
      <c r="F2077" s="133" t="str">
        <f>IFERROR(__xludf.DUMMYFUNCTION("""COMPUTED_VALUE"""),"KO40371SLWL")</f>
        <v>KO40371SLWL</v>
      </c>
      <c r="G2077" s="165">
        <f>IFERROR(__xludf.DUMMYFUNCTION("""COMPUTED_VALUE"""),1435.0)</f>
        <v>1435</v>
      </c>
    </row>
    <row r="2078" ht="15.75" customHeight="1">
      <c r="A2078" s="133" t="str">
        <f>IFERROR(__xludf.DUMMYFUNCTION("""COMPUTED_VALUE"""),"KO40371SLW")</f>
        <v>KO40371SLW</v>
      </c>
      <c r="B2078" s="164">
        <f>IFERROR(__xludf.DUMMYFUNCTION("""COMPUTED_VALUE"""),1.6962867E7)</f>
        <v>16962867</v>
      </c>
      <c r="C2078" s="164" t="str">
        <f>IFERROR(__xludf.DUMMYFUNCTION("""COMPUTED_VALUE"""),"16962867XL")</f>
        <v>16962867XL</v>
      </c>
      <c r="D2078" s="133" t="str">
        <f>IFERROR(__xludf.DUMMYFUNCTION("""COMPUTED_VALUE"""),"Костюм")</f>
        <v>Костюм</v>
      </c>
      <c r="E2078" s="133" t="str">
        <f>IFERROR(__xludf.DUMMYFUNCTION("""COMPUTED_VALUE"""),"XL")</f>
        <v>XL</v>
      </c>
      <c r="F2078" s="133" t="str">
        <f>IFERROR(__xludf.DUMMYFUNCTION("""COMPUTED_VALUE"""),"KO40371SLWXL")</f>
        <v>KO40371SLWXL</v>
      </c>
      <c r="G2078" s="165">
        <f>IFERROR(__xludf.DUMMYFUNCTION("""COMPUTED_VALUE"""),1435.0)</f>
        <v>1435</v>
      </c>
    </row>
    <row r="2079" ht="15.75" customHeight="1">
      <c r="A2079" s="133" t="str">
        <f>IFERROR(__xludf.DUMMYFUNCTION("""COMPUTED_VALUE"""),"KO40385SLW")</f>
        <v>KO40385SLW</v>
      </c>
      <c r="B2079" s="164" t="str">
        <f>IFERROR(__xludf.DUMMYFUNCTION("""COMPUTED_VALUE"""),"16963758")</f>
        <v>16963758</v>
      </c>
      <c r="C2079" s="164" t="str">
        <f>IFERROR(__xludf.DUMMYFUNCTION("""COMPUTED_VALUE"""),"16963758S")</f>
        <v>16963758S</v>
      </c>
      <c r="D2079" s="133" t="str">
        <f>IFERROR(__xludf.DUMMYFUNCTION("""COMPUTED_VALUE"""),"Костюм")</f>
        <v>Костюм</v>
      </c>
      <c r="E2079" s="133" t="str">
        <f>IFERROR(__xludf.DUMMYFUNCTION("""COMPUTED_VALUE"""),"S")</f>
        <v>S</v>
      </c>
      <c r="F2079" s="133" t="str">
        <f>IFERROR(__xludf.DUMMYFUNCTION("""COMPUTED_VALUE"""),"KO40385SLWS")</f>
        <v>KO40385SLWS</v>
      </c>
      <c r="G2079" s="165">
        <f>IFERROR(__xludf.DUMMYFUNCTION("""COMPUTED_VALUE"""),1405.0)</f>
        <v>1405</v>
      </c>
    </row>
    <row r="2080" ht="15.75" customHeight="1">
      <c r="A2080" s="133" t="str">
        <f>IFERROR(__xludf.DUMMYFUNCTION("""COMPUTED_VALUE"""),"KO40385SLW")</f>
        <v>KO40385SLW</v>
      </c>
      <c r="B2080" s="164" t="str">
        <f>IFERROR(__xludf.DUMMYFUNCTION("""COMPUTED_VALUE"""),"16963758")</f>
        <v>16963758</v>
      </c>
      <c r="C2080" s="164" t="str">
        <f>IFERROR(__xludf.DUMMYFUNCTION("""COMPUTED_VALUE"""),"16963758M")</f>
        <v>16963758M</v>
      </c>
      <c r="D2080" s="133" t="str">
        <f>IFERROR(__xludf.DUMMYFUNCTION("""COMPUTED_VALUE"""),"Костюм")</f>
        <v>Костюм</v>
      </c>
      <c r="E2080" s="133" t="str">
        <f>IFERROR(__xludf.DUMMYFUNCTION("""COMPUTED_VALUE"""),"M")</f>
        <v>M</v>
      </c>
      <c r="F2080" s="133" t="str">
        <f>IFERROR(__xludf.DUMMYFUNCTION("""COMPUTED_VALUE"""),"KO40385SLWM")</f>
        <v>KO40385SLWM</v>
      </c>
      <c r="G2080" s="165">
        <f>IFERROR(__xludf.DUMMYFUNCTION("""COMPUTED_VALUE"""),1405.0)</f>
        <v>1405</v>
      </c>
    </row>
    <row r="2081" ht="15.75" customHeight="1">
      <c r="A2081" s="133" t="str">
        <f>IFERROR(__xludf.DUMMYFUNCTION("""COMPUTED_VALUE"""),"KO40385SLW")</f>
        <v>KO40385SLW</v>
      </c>
      <c r="B2081" s="164" t="str">
        <f>IFERROR(__xludf.DUMMYFUNCTION("""COMPUTED_VALUE"""),"16963758")</f>
        <v>16963758</v>
      </c>
      <c r="C2081" s="164" t="str">
        <f>IFERROR(__xludf.DUMMYFUNCTION("""COMPUTED_VALUE"""),"16963758L")</f>
        <v>16963758L</v>
      </c>
      <c r="D2081" s="133" t="str">
        <f>IFERROR(__xludf.DUMMYFUNCTION("""COMPUTED_VALUE"""),"Костюм")</f>
        <v>Костюм</v>
      </c>
      <c r="E2081" s="133" t="str">
        <f>IFERROR(__xludf.DUMMYFUNCTION("""COMPUTED_VALUE"""),"L")</f>
        <v>L</v>
      </c>
      <c r="F2081" s="133" t="str">
        <f>IFERROR(__xludf.DUMMYFUNCTION("""COMPUTED_VALUE"""),"KO40385SLWL")</f>
        <v>KO40385SLWL</v>
      </c>
      <c r="G2081" s="165">
        <f>IFERROR(__xludf.DUMMYFUNCTION("""COMPUTED_VALUE"""),1405.0)</f>
        <v>1405</v>
      </c>
    </row>
    <row r="2082" ht="15.75" customHeight="1">
      <c r="A2082" s="133" t="str">
        <f>IFERROR(__xludf.DUMMYFUNCTION("""COMPUTED_VALUE"""),"KO40385SLW")</f>
        <v>KO40385SLW</v>
      </c>
      <c r="B2082" s="164" t="str">
        <f>IFERROR(__xludf.DUMMYFUNCTION("""COMPUTED_VALUE"""),"16963758")</f>
        <v>16963758</v>
      </c>
      <c r="C2082" s="164" t="str">
        <f>IFERROR(__xludf.DUMMYFUNCTION("""COMPUTED_VALUE"""),"16963758XL")</f>
        <v>16963758XL</v>
      </c>
      <c r="D2082" s="133" t="str">
        <f>IFERROR(__xludf.DUMMYFUNCTION("""COMPUTED_VALUE"""),"Костюм")</f>
        <v>Костюм</v>
      </c>
      <c r="E2082" s="133" t="str">
        <f>IFERROR(__xludf.DUMMYFUNCTION("""COMPUTED_VALUE"""),"XL")</f>
        <v>XL</v>
      </c>
      <c r="F2082" s="133" t="str">
        <f>IFERROR(__xludf.DUMMYFUNCTION("""COMPUTED_VALUE"""),"KO40385SLWXL")</f>
        <v>KO40385SLWXL</v>
      </c>
      <c r="G2082" s="165">
        <f>IFERROR(__xludf.DUMMYFUNCTION("""COMPUTED_VALUE"""),1405.0)</f>
        <v>1405</v>
      </c>
    </row>
    <row r="2083" ht="15.75" customHeight="1">
      <c r="A2083" s="133" t="str">
        <f>IFERROR(__xludf.DUMMYFUNCTION("""COMPUTED_VALUE"""),"KO40387SLM")</f>
        <v>KO40387SLM</v>
      </c>
      <c r="B2083" s="164">
        <f>IFERROR(__xludf.DUMMYFUNCTION("""COMPUTED_VALUE"""),1.696376E7)</f>
        <v>16963760</v>
      </c>
      <c r="C2083" s="164" t="str">
        <f>IFERROR(__xludf.DUMMYFUNCTION("""COMPUTED_VALUE"""),"16963760S")</f>
        <v>16963760S</v>
      </c>
      <c r="D2083" s="133" t="str">
        <f>IFERROR(__xludf.DUMMYFUNCTION("""COMPUTED_VALUE"""),"Костюм")</f>
        <v>Костюм</v>
      </c>
      <c r="E2083" s="133" t="str">
        <f>IFERROR(__xludf.DUMMYFUNCTION("""COMPUTED_VALUE"""),"S")</f>
        <v>S</v>
      </c>
      <c r="F2083" s="133" t="str">
        <f>IFERROR(__xludf.DUMMYFUNCTION("""COMPUTED_VALUE"""),"KO40387SLMS")</f>
        <v>KO40387SLMS</v>
      </c>
      <c r="G2083" s="165">
        <f>IFERROR(__xludf.DUMMYFUNCTION("""COMPUTED_VALUE"""),1448.0)</f>
        <v>1448</v>
      </c>
    </row>
    <row r="2084" ht="15.75" customHeight="1">
      <c r="A2084" s="133" t="str">
        <f>IFERROR(__xludf.DUMMYFUNCTION("""COMPUTED_VALUE"""),"KO40387SLM")</f>
        <v>KO40387SLM</v>
      </c>
      <c r="B2084" s="164">
        <f>IFERROR(__xludf.DUMMYFUNCTION("""COMPUTED_VALUE"""),1.696376E7)</f>
        <v>16963760</v>
      </c>
      <c r="C2084" s="164" t="str">
        <f>IFERROR(__xludf.DUMMYFUNCTION("""COMPUTED_VALUE"""),"16963760M")</f>
        <v>16963760M</v>
      </c>
      <c r="D2084" s="133" t="str">
        <f>IFERROR(__xludf.DUMMYFUNCTION("""COMPUTED_VALUE"""),"Костюм")</f>
        <v>Костюм</v>
      </c>
      <c r="E2084" s="133" t="str">
        <f>IFERROR(__xludf.DUMMYFUNCTION("""COMPUTED_VALUE"""),"M")</f>
        <v>M</v>
      </c>
      <c r="F2084" s="133" t="str">
        <f>IFERROR(__xludf.DUMMYFUNCTION("""COMPUTED_VALUE"""),"KO40387SLMM")</f>
        <v>KO40387SLMM</v>
      </c>
      <c r="G2084" s="165">
        <f>IFERROR(__xludf.DUMMYFUNCTION("""COMPUTED_VALUE"""),1448.0)</f>
        <v>1448</v>
      </c>
    </row>
    <row r="2085" ht="15.75" customHeight="1">
      <c r="A2085" s="133" t="str">
        <f>IFERROR(__xludf.DUMMYFUNCTION("""COMPUTED_VALUE"""),"KO40387SLM")</f>
        <v>KO40387SLM</v>
      </c>
      <c r="B2085" s="164">
        <f>IFERROR(__xludf.DUMMYFUNCTION("""COMPUTED_VALUE"""),1.696376E7)</f>
        <v>16963760</v>
      </c>
      <c r="C2085" s="164" t="str">
        <f>IFERROR(__xludf.DUMMYFUNCTION("""COMPUTED_VALUE"""),"16963760L")</f>
        <v>16963760L</v>
      </c>
      <c r="D2085" s="133" t="str">
        <f>IFERROR(__xludf.DUMMYFUNCTION("""COMPUTED_VALUE"""),"Костюм")</f>
        <v>Костюм</v>
      </c>
      <c r="E2085" s="133" t="str">
        <f>IFERROR(__xludf.DUMMYFUNCTION("""COMPUTED_VALUE"""),"L")</f>
        <v>L</v>
      </c>
      <c r="F2085" s="133" t="str">
        <f>IFERROR(__xludf.DUMMYFUNCTION("""COMPUTED_VALUE"""),"KO40387SLML")</f>
        <v>KO40387SLML</v>
      </c>
      <c r="G2085" s="165">
        <f>IFERROR(__xludf.DUMMYFUNCTION("""COMPUTED_VALUE"""),1448.0)</f>
        <v>1448</v>
      </c>
    </row>
    <row r="2086" ht="15.75" customHeight="1">
      <c r="A2086" s="133" t="str">
        <f>IFERROR(__xludf.DUMMYFUNCTION("""COMPUTED_VALUE"""),"KO40387SLM")</f>
        <v>KO40387SLM</v>
      </c>
      <c r="B2086" s="164">
        <f>IFERROR(__xludf.DUMMYFUNCTION("""COMPUTED_VALUE"""),1.696376E7)</f>
        <v>16963760</v>
      </c>
      <c r="C2086" s="164" t="str">
        <f>IFERROR(__xludf.DUMMYFUNCTION("""COMPUTED_VALUE"""),"16963760XL")</f>
        <v>16963760XL</v>
      </c>
      <c r="D2086" s="133" t="str">
        <f>IFERROR(__xludf.DUMMYFUNCTION("""COMPUTED_VALUE"""),"Костюм")</f>
        <v>Костюм</v>
      </c>
      <c r="E2086" s="133" t="str">
        <f>IFERROR(__xludf.DUMMYFUNCTION("""COMPUTED_VALUE"""),"XL")</f>
        <v>XL</v>
      </c>
      <c r="F2086" s="133" t="str">
        <f>IFERROR(__xludf.DUMMYFUNCTION("""COMPUTED_VALUE"""),"KO40387SLMXL")</f>
        <v>KO40387SLMXL</v>
      </c>
      <c r="G2086" s="165">
        <f>IFERROR(__xludf.DUMMYFUNCTION("""COMPUTED_VALUE"""),1448.0)</f>
        <v>1448</v>
      </c>
    </row>
    <row r="2087" ht="15.75" customHeight="1">
      <c r="A2087" s="133" t="str">
        <f>IFERROR(__xludf.DUMMYFUNCTION("""COMPUTED_VALUE"""),"KO40386SLM")</f>
        <v>KO40386SLM</v>
      </c>
      <c r="B2087" s="164">
        <f>IFERROR(__xludf.DUMMYFUNCTION("""COMPUTED_VALUE"""),1.6963759E7)</f>
        <v>16963759</v>
      </c>
      <c r="C2087" s="164" t="str">
        <f>IFERROR(__xludf.DUMMYFUNCTION("""COMPUTED_VALUE"""),"16963759S")</f>
        <v>16963759S</v>
      </c>
      <c r="D2087" s="133" t="str">
        <f>IFERROR(__xludf.DUMMYFUNCTION("""COMPUTED_VALUE"""),"Костюм")</f>
        <v>Костюм</v>
      </c>
      <c r="E2087" s="133" t="str">
        <f>IFERROR(__xludf.DUMMYFUNCTION("""COMPUTED_VALUE"""),"S")</f>
        <v>S</v>
      </c>
      <c r="F2087" s="133" t="str">
        <f>IFERROR(__xludf.DUMMYFUNCTION("""COMPUTED_VALUE"""),"KO40386SLMS")</f>
        <v>KO40386SLMS</v>
      </c>
      <c r="G2087" s="165">
        <f>IFERROR(__xludf.DUMMYFUNCTION("""COMPUTED_VALUE"""),1402.0)</f>
        <v>1402</v>
      </c>
    </row>
    <row r="2088" ht="15.75" customHeight="1">
      <c r="A2088" s="133" t="str">
        <f>IFERROR(__xludf.DUMMYFUNCTION("""COMPUTED_VALUE"""),"KO40386SLM")</f>
        <v>KO40386SLM</v>
      </c>
      <c r="B2088" s="164">
        <f>IFERROR(__xludf.DUMMYFUNCTION("""COMPUTED_VALUE"""),1.6963759E7)</f>
        <v>16963759</v>
      </c>
      <c r="C2088" s="164" t="str">
        <f>IFERROR(__xludf.DUMMYFUNCTION("""COMPUTED_VALUE"""),"16963759M")</f>
        <v>16963759M</v>
      </c>
      <c r="D2088" s="133" t="str">
        <f>IFERROR(__xludf.DUMMYFUNCTION("""COMPUTED_VALUE"""),"Костюм")</f>
        <v>Костюм</v>
      </c>
      <c r="E2088" s="133" t="str">
        <f>IFERROR(__xludf.DUMMYFUNCTION("""COMPUTED_VALUE"""),"M")</f>
        <v>M</v>
      </c>
      <c r="F2088" s="133" t="str">
        <f>IFERROR(__xludf.DUMMYFUNCTION("""COMPUTED_VALUE"""),"KO40386SLMM")</f>
        <v>KO40386SLMM</v>
      </c>
      <c r="G2088" s="165">
        <f>IFERROR(__xludf.DUMMYFUNCTION("""COMPUTED_VALUE"""),1402.0)</f>
        <v>1402</v>
      </c>
    </row>
    <row r="2089" ht="15.75" customHeight="1">
      <c r="A2089" s="133" t="str">
        <f>IFERROR(__xludf.DUMMYFUNCTION("""COMPUTED_VALUE"""),"KO40386SLM")</f>
        <v>KO40386SLM</v>
      </c>
      <c r="B2089" s="164">
        <f>IFERROR(__xludf.DUMMYFUNCTION("""COMPUTED_VALUE"""),1.6963759E7)</f>
        <v>16963759</v>
      </c>
      <c r="C2089" s="164" t="str">
        <f>IFERROR(__xludf.DUMMYFUNCTION("""COMPUTED_VALUE"""),"16963759L")</f>
        <v>16963759L</v>
      </c>
      <c r="D2089" s="133" t="str">
        <f>IFERROR(__xludf.DUMMYFUNCTION("""COMPUTED_VALUE"""),"Костюм")</f>
        <v>Костюм</v>
      </c>
      <c r="E2089" s="133" t="str">
        <f>IFERROR(__xludf.DUMMYFUNCTION("""COMPUTED_VALUE"""),"L")</f>
        <v>L</v>
      </c>
      <c r="F2089" s="133" t="str">
        <f>IFERROR(__xludf.DUMMYFUNCTION("""COMPUTED_VALUE"""),"KO40386SLML")</f>
        <v>KO40386SLML</v>
      </c>
      <c r="G2089" s="165">
        <f>IFERROR(__xludf.DUMMYFUNCTION("""COMPUTED_VALUE"""),1402.0)</f>
        <v>1402</v>
      </c>
    </row>
    <row r="2090" ht="15.75" customHeight="1">
      <c r="A2090" s="133" t="str">
        <f>IFERROR(__xludf.DUMMYFUNCTION("""COMPUTED_VALUE"""),"KO40386SLM")</f>
        <v>KO40386SLM</v>
      </c>
      <c r="B2090" s="164">
        <f>IFERROR(__xludf.DUMMYFUNCTION("""COMPUTED_VALUE"""),1.6963759E7)</f>
        <v>16963759</v>
      </c>
      <c r="C2090" s="164" t="str">
        <f>IFERROR(__xludf.DUMMYFUNCTION("""COMPUTED_VALUE"""),"16963759XL")</f>
        <v>16963759XL</v>
      </c>
      <c r="D2090" s="133" t="str">
        <f>IFERROR(__xludf.DUMMYFUNCTION("""COMPUTED_VALUE"""),"Костюм")</f>
        <v>Костюм</v>
      </c>
      <c r="E2090" s="133" t="str">
        <f>IFERROR(__xludf.DUMMYFUNCTION("""COMPUTED_VALUE"""),"XL")</f>
        <v>XL</v>
      </c>
      <c r="F2090" s="133" t="str">
        <f>IFERROR(__xludf.DUMMYFUNCTION("""COMPUTED_VALUE"""),"KO40386SLMXL")</f>
        <v>KO40386SLMXL</v>
      </c>
      <c r="G2090" s="165">
        <f>IFERROR(__xludf.DUMMYFUNCTION("""COMPUTED_VALUE"""),1402.0)</f>
        <v>1402</v>
      </c>
    </row>
    <row r="2091" ht="15.75" customHeight="1">
      <c r="A2091" s="133" t="str">
        <f>IFERROR(__xludf.DUMMYFUNCTION("""COMPUTED_VALUE"""),"PL50154DGW")</f>
        <v>PL50154DGW</v>
      </c>
      <c r="B2091" s="164">
        <f>IFERROR(__xludf.DUMMYFUNCTION("""COMPUTED_VALUE"""),1.694248E7)</f>
        <v>16942480</v>
      </c>
      <c r="C2091" s="164" t="str">
        <f>IFERROR(__xludf.DUMMYFUNCTION("""COMPUTED_VALUE"""),"1694248042")</f>
        <v>1694248042</v>
      </c>
      <c r="D2091" s="133" t="str">
        <f>IFERROR(__xludf.DUMMYFUNCTION("""COMPUTED_VALUE"""),"Платье")</f>
        <v>Платье</v>
      </c>
      <c r="E2091" s="133">
        <f>IFERROR(__xludf.DUMMYFUNCTION("""COMPUTED_VALUE"""),42.0)</f>
        <v>42</v>
      </c>
      <c r="F2091" s="133" t="str">
        <f>IFERROR(__xludf.DUMMYFUNCTION("""COMPUTED_VALUE"""),"PL50154DGW42")</f>
        <v>PL50154DGW42</v>
      </c>
      <c r="G2091" s="165">
        <f>IFERROR(__xludf.DUMMYFUNCTION("""COMPUTED_VALUE"""),685.0)</f>
        <v>685</v>
      </c>
    </row>
    <row r="2092" ht="15.75" customHeight="1">
      <c r="A2092" s="133" t="str">
        <f>IFERROR(__xludf.DUMMYFUNCTION("""COMPUTED_VALUE"""),"PL50154DGW")</f>
        <v>PL50154DGW</v>
      </c>
      <c r="B2092" s="164">
        <f>IFERROR(__xludf.DUMMYFUNCTION("""COMPUTED_VALUE"""),1.694248E7)</f>
        <v>16942480</v>
      </c>
      <c r="C2092" s="164" t="str">
        <f>IFERROR(__xludf.DUMMYFUNCTION("""COMPUTED_VALUE"""),"1694248044")</f>
        <v>1694248044</v>
      </c>
      <c r="D2092" s="133" t="str">
        <f>IFERROR(__xludf.DUMMYFUNCTION("""COMPUTED_VALUE"""),"Платье")</f>
        <v>Платье</v>
      </c>
      <c r="E2092" s="133">
        <f>IFERROR(__xludf.DUMMYFUNCTION("""COMPUTED_VALUE"""),44.0)</f>
        <v>44</v>
      </c>
      <c r="F2092" s="133" t="str">
        <f>IFERROR(__xludf.DUMMYFUNCTION("""COMPUTED_VALUE"""),"PL50154DGW44")</f>
        <v>PL50154DGW44</v>
      </c>
      <c r="G2092" s="165">
        <f>IFERROR(__xludf.DUMMYFUNCTION("""COMPUTED_VALUE"""),685.0)</f>
        <v>685</v>
      </c>
    </row>
    <row r="2093" ht="15.75" customHeight="1">
      <c r="A2093" s="133" t="str">
        <f>IFERROR(__xludf.DUMMYFUNCTION("""COMPUTED_VALUE"""),"PL50154DGW")</f>
        <v>PL50154DGW</v>
      </c>
      <c r="B2093" s="164">
        <f>IFERROR(__xludf.DUMMYFUNCTION("""COMPUTED_VALUE"""),1.694248E7)</f>
        <v>16942480</v>
      </c>
      <c r="C2093" s="164" t="str">
        <f>IFERROR(__xludf.DUMMYFUNCTION("""COMPUTED_VALUE"""),"1694248046")</f>
        <v>1694248046</v>
      </c>
      <c r="D2093" s="133" t="str">
        <f>IFERROR(__xludf.DUMMYFUNCTION("""COMPUTED_VALUE"""),"Платье")</f>
        <v>Платье</v>
      </c>
      <c r="E2093" s="133">
        <f>IFERROR(__xludf.DUMMYFUNCTION("""COMPUTED_VALUE"""),46.0)</f>
        <v>46</v>
      </c>
      <c r="F2093" s="133" t="str">
        <f>IFERROR(__xludf.DUMMYFUNCTION("""COMPUTED_VALUE"""),"PL50154DGW46")</f>
        <v>PL50154DGW46</v>
      </c>
      <c r="G2093" s="165">
        <f>IFERROR(__xludf.DUMMYFUNCTION("""COMPUTED_VALUE"""),685.0)</f>
        <v>685</v>
      </c>
    </row>
    <row r="2094" ht="15.75" customHeight="1">
      <c r="A2094" s="133" t="str">
        <f>IFERROR(__xludf.DUMMYFUNCTION("""COMPUTED_VALUE"""),"PL50154DGW")</f>
        <v>PL50154DGW</v>
      </c>
      <c r="B2094" s="164">
        <f>IFERROR(__xludf.DUMMYFUNCTION("""COMPUTED_VALUE"""),1.694248E7)</f>
        <v>16942480</v>
      </c>
      <c r="C2094" s="164" t="str">
        <f>IFERROR(__xludf.DUMMYFUNCTION("""COMPUTED_VALUE"""),"1694248048")</f>
        <v>1694248048</v>
      </c>
      <c r="D2094" s="133" t="str">
        <f>IFERROR(__xludf.DUMMYFUNCTION("""COMPUTED_VALUE"""),"Платье")</f>
        <v>Платье</v>
      </c>
      <c r="E2094" s="133">
        <f>IFERROR(__xludf.DUMMYFUNCTION("""COMPUTED_VALUE"""),48.0)</f>
        <v>48</v>
      </c>
      <c r="F2094" s="133" t="str">
        <f>IFERROR(__xludf.DUMMYFUNCTION("""COMPUTED_VALUE"""),"PL50154DGW48")</f>
        <v>PL50154DGW48</v>
      </c>
      <c r="G2094" s="165">
        <f>IFERROR(__xludf.DUMMYFUNCTION("""COMPUTED_VALUE"""),685.0)</f>
        <v>685</v>
      </c>
    </row>
    <row r="2095" ht="15.75" customHeight="1">
      <c r="A2095" s="133" t="str">
        <f>IFERROR(__xludf.DUMMYFUNCTION("""COMPUTED_VALUE"""),"PL50154DGW")</f>
        <v>PL50154DGW</v>
      </c>
      <c r="B2095" s="164">
        <f>IFERROR(__xludf.DUMMYFUNCTION("""COMPUTED_VALUE"""),1.694248E7)</f>
        <v>16942480</v>
      </c>
      <c r="C2095" s="164" t="str">
        <f>IFERROR(__xludf.DUMMYFUNCTION("""COMPUTED_VALUE"""),"1694248050")</f>
        <v>1694248050</v>
      </c>
      <c r="D2095" s="133" t="str">
        <f>IFERROR(__xludf.DUMMYFUNCTION("""COMPUTED_VALUE"""),"Платье")</f>
        <v>Платье</v>
      </c>
      <c r="E2095" s="133">
        <f>IFERROR(__xludf.DUMMYFUNCTION("""COMPUTED_VALUE"""),50.0)</f>
        <v>50</v>
      </c>
      <c r="F2095" s="133" t="str">
        <f>IFERROR(__xludf.DUMMYFUNCTION("""COMPUTED_VALUE"""),"PL50154DGW50")</f>
        <v>PL50154DGW50</v>
      </c>
      <c r="G2095" s="165">
        <f>IFERROR(__xludf.DUMMYFUNCTION("""COMPUTED_VALUE"""),685.0)</f>
        <v>685</v>
      </c>
    </row>
    <row r="2096" ht="15.75" customHeight="1">
      <c r="A2096" s="133" t="str">
        <f>IFERROR(__xludf.DUMMYFUNCTION("""COMPUTED_VALUE"""),"PL50154DGW")</f>
        <v>PL50154DGW</v>
      </c>
      <c r="B2096" s="164">
        <f>IFERROR(__xludf.DUMMYFUNCTION("""COMPUTED_VALUE"""),1.694248E7)</f>
        <v>16942480</v>
      </c>
      <c r="C2096" s="164" t="str">
        <f>IFERROR(__xludf.DUMMYFUNCTION("""COMPUTED_VALUE"""),"1694248052")</f>
        <v>1694248052</v>
      </c>
      <c r="D2096" s="133" t="str">
        <f>IFERROR(__xludf.DUMMYFUNCTION("""COMPUTED_VALUE"""),"Платье")</f>
        <v>Платье</v>
      </c>
      <c r="E2096" s="133">
        <f>IFERROR(__xludf.DUMMYFUNCTION("""COMPUTED_VALUE"""),52.0)</f>
        <v>52</v>
      </c>
      <c r="F2096" s="133" t="str">
        <f>IFERROR(__xludf.DUMMYFUNCTION("""COMPUTED_VALUE"""),"PL50154DGW52")</f>
        <v>PL50154DGW52</v>
      </c>
      <c r="G2096" s="165">
        <f>IFERROR(__xludf.DUMMYFUNCTION("""COMPUTED_VALUE"""),685.0)</f>
        <v>685</v>
      </c>
    </row>
    <row r="2097" ht="15.75" customHeight="1">
      <c r="A2097" s="133" t="str">
        <f>IFERROR(__xludf.DUMMYFUNCTION("""COMPUTED_VALUE"""),"PL50154DGW")</f>
        <v>PL50154DGW</v>
      </c>
      <c r="B2097" s="164">
        <f>IFERROR(__xludf.DUMMYFUNCTION("""COMPUTED_VALUE"""),1.694248E7)</f>
        <v>16942480</v>
      </c>
      <c r="C2097" s="164" t="str">
        <f>IFERROR(__xludf.DUMMYFUNCTION("""COMPUTED_VALUE"""),"1694248054")</f>
        <v>1694248054</v>
      </c>
      <c r="D2097" s="133" t="str">
        <f>IFERROR(__xludf.DUMMYFUNCTION("""COMPUTED_VALUE"""),"Платье")</f>
        <v>Платье</v>
      </c>
      <c r="E2097" s="133">
        <f>IFERROR(__xludf.DUMMYFUNCTION("""COMPUTED_VALUE"""),54.0)</f>
        <v>54</v>
      </c>
      <c r="F2097" s="133" t="str">
        <f>IFERROR(__xludf.DUMMYFUNCTION("""COMPUTED_VALUE"""),"PL50154DGW54")</f>
        <v>PL50154DGW54</v>
      </c>
      <c r="G2097" s="165">
        <f>IFERROR(__xludf.DUMMYFUNCTION("""COMPUTED_VALUE"""),685.0)</f>
        <v>685</v>
      </c>
    </row>
    <row r="2098" ht="15.75" customHeight="1">
      <c r="A2098" s="133" t="str">
        <f>IFERROR(__xludf.DUMMYFUNCTION("""COMPUTED_VALUE"""),"PL50155DGW")</f>
        <v>PL50155DGW</v>
      </c>
      <c r="B2098" s="164">
        <f>IFERROR(__xludf.DUMMYFUNCTION("""COMPUTED_VALUE"""),1.6942481E7)</f>
        <v>16942481</v>
      </c>
      <c r="C2098" s="164" t="str">
        <f>IFERROR(__xludf.DUMMYFUNCTION("""COMPUTED_VALUE"""),"1694248142")</f>
        <v>1694248142</v>
      </c>
      <c r="D2098" s="133" t="str">
        <f>IFERROR(__xludf.DUMMYFUNCTION("""COMPUTED_VALUE"""),"Платье")</f>
        <v>Платье</v>
      </c>
      <c r="E2098" s="133">
        <f>IFERROR(__xludf.DUMMYFUNCTION("""COMPUTED_VALUE"""),42.0)</f>
        <v>42</v>
      </c>
      <c r="F2098" s="133" t="str">
        <f>IFERROR(__xludf.DUMMYFUNCTION("""COMPUTED_VALUE"""),"PL50155DGW42")</f>
        <v>PL50155DGW42</v>
      </c>
      <c r="G2098" s="165">
        <f>IFERROR(__xludf.DUMMYFUNCTION("""COMPUTED_VALUE"""),672.0)</f>
        <v>672</v>
      </c>
    </row>
    <row r="2099" ht="15.75" customHeight="1">
      <c r="A2099" s="133" t="str">
        <f>IFERROR(__xludf.DUMMYFUNCTION("""COMPUTED_VALUE"""),"PL50155DGW")</f>
        <v>PL50155DGW</v>
      </c>
      <c r="B2099" s="164">
        <f>IFERROR(__xludf.DUMMYFUNCTION("""COMPUTED_VALUE"""),1.6942481E7)</f>
        <v>16942481</v>
      </c>
      <c r="C2099" s="164" t="str">
        <f>IFERROR(__xludf.DUMMYFUNCTION("""COMPUTED_VALUE"""),"1694248144")</f>
        <v>1694248144</v>
      </c>
      <c r="D2099" s="133" t="str">
        <f>IFERROR(__xludf.DUMMYFUNCTION("""COMPUTED_VALUE"""),"Платье")</f>
        <v>Платье</v>
      </c>
      <c r="E2099" s="133">
        <f>IFERROR(__xludf.DUMMYFUNCTION("""COMPUTED_VALUE"""),44.0)</f>
        <v>44</v>
      </c>
      <c r="F2099" s="133" t="str">
        <f>IFERROR(__xludf.DUMMYFUNCTION("""COMPUTED_VALUE"""),"PL50155DGW44")</f>
        <v>PL50155DGW44</v>
      </c>
      <c r="G2099" s="165">
        <f>IFERROR(__xludf.DUMMYFUNCTION("""COMPUTED_VALUE"""),672.0)</f>
        <v>672</v>
      </c>
    </row>
    <row r="2100" ht="15.75" customHeight="1">
      <c r="A2100" s="133" t="str">
        <f>IFERROR(__xludf.DUMMYFUNCTION("""COMPUTED_VALUE"""),"PL50155DGW")</f>
        <v>PL50155DGW</v>
      </c>
      <c r="B2100" s="164">
        <f>IFERROR(__xludf.DUMMYFUNCTION("""COMPUTED_VALUE"""),1.6942481E7)</f>
        <v>16942481</v>
      </c>
      <c r="C2100" s="164" t="str">
        <f>IFERROR(__xludf.DUMMYFUNCTION("""COMPUTED_VALUE"""),"1694248146")</f>
        <v>1694248146</v>
      </c>
      <c r="D2100" s="133" t="str">
        <f>IFERROR(__xludf.DUMMYFUNCTION("""COMPUTED_VALUE"""),"Платье")</f>
        <v>Платье</v>
      </c>
      <c r="E2100" s="133">
        <f>IFERROR(__xludf.DUMMYFUNCTION("""COMPUTED_VALUE"""),46.0)</f>
        <v>46</v>
      </c>
      <c r="F2100" s="133" t="str">
        <f>IFERROR(__xludf.DUMMYFUNCTION("""COMPUTED_VALUE"""),"PL50155DGW46")</f>
        <v>PL50155DGW46</v>
      </c>
      <c r="G2100" s="165">
        <f>IFERROR(__xludf.DUMMYFUNCTION("""COMPUTED_VALUE"""),672.0)</f>
        <v>672</v>
      </c>
    </row>
    <row r="2101" ht="15.75" customHeight="1">
      <c r="A2101" s="133" t="str">
        <f>IFERROR(__xludf.DUMMYFUNCTION("""COMPUTED_VALUE"""),"PL50155DGW")</f>
        <v>PL50155DGW</v>
      </c>
      <c r="B2101" s="164">
        <f>IFERROR(__xludf.DUMMYFUNCTION("""COMPUTED_VALUE"""),1.6942481E7)</f>
        <v>16942481</v>
      </c>
      <c r="C2101" s="164" t="str">
        <f>IFERROR(__xludf.DUMMYFUNCTION("""COMPUTED_VALUE"""),"1694248148")</f>
        <v>1694248148</v>
      </c>
      <c r="D2101" s="133" t="str">
        <f>IFERROR(__xludf.DUMMYFUNCTION("""COMPUTED_VALUE"""),"Платье")</f>
        <v>Платье</v>
      </c>
      <c r="E2101" s="133">
        <f>IFERROR(__xludf.DUMMYFUNCTION("""COMPUTED_VALUE"""),48.0)</f>
        <v>48</v>
      </c>
      <c r="F2101" s="133" t="str">
        <f>IFERROR(__xludf.DUMMYFUNCTION("""COMPUTED_VALUE"""),"PL50155DGW48")</f>
        <v>PL50155DGW48</v>
      </c>
      <c r="G2101" s="165">
        <f>IFERROR(__xludf.DUMMYFUNCTION("""COMPUTED_VALUE"""),672.0)</f>
        <v>672</v>
      </c>
    </row>
    <row r="2102" ht="15.75" customHeight="1">
      <c r="A2102" s="133" t="str">
        <f>IFERROR(__xludf.DUMMYFUNCTION("""COMPUTED_VALUE"""),"PL50155DGW")</f>
        <v>PL50155DGW</v>
      </c>
      <c r="B2102" s="164">
        <f>IFERROR(__xludf.DUMMYFUNCTION("""COMPUTED_VALUE"""),1.6942481E7)</f>
        <v>16942481</v>
      </c>
      <c r="C2102" s="164" t="str">
        <f>IFERROR(__xludf.DUMMYFUNCTION("""COMPUTED_VALUE"""),"1694248150")</f>
        <v>1694248150</v>
      </c>
      <c r="D2102" s="133" t="str">
        <f>IFERROR(__xludf.DUMMYFUNCTION("""COMPUTED_VALUE"""),"Платье")</f>
        <v>Платье</v>
      </c>
      <c r="E2102" s="133">
        <f>IFERROR(__xludf.DUMMYFUNCTION("""COMPUTED_VALUE"""),50.0)</f>
        <v>50</v>
      </c>
      <c r="F2102" s="133" t="str">
        <f>IFERROR(__xludf.DUMMYFUNCTION("""COMPUTED_VALUE"""),"PL50155DGW50")</f>
        <v>PL50155DGW50</v>
      </c>
      <c r="G2102" s="165">
        <f>IFERROR(__xludf.DUMMYFUNCTION("""COMPUTED_VALUE"""),672.0)</f>
        <v>672</v>
      </c>
    </row>
    <row r="2103" ht="15.75" customHeight="1">
      <c r="A2103" s="133" t="str">
        <f>IFERROR(__xludf.DUMMYFUNCTION("""COMPUTED_VALUE"""),"PL50155DGW")</f>
        <v>PL50155DGW</v>
      </c>
      <c r="B2103" s="164">
        <f>IFERROR(__xludf.DUMMYFUNCTION("""COMPUTED_VALUE"""),1.6942481E7)</f>
        <v>16942481</v>
      </c>
      <c r="C2103" s="164" t="str">
        <f>IFERROR(__xludf.DUMMYFUNCTION("""COMPUTED_VALUE"""),"1694248152")</f>
        <v>1694248152</v>
      </c>
      <c r="D2103" s="133" t="str">
        <f>IFERROR(__xludf.DUMMYFUNCTION("""COMPUTED_VALUE"""),"Платье")</f>
        <v>Платье</v>
      </c>
      <c r="E2103" s="133">
        <f>IFERROR(__xludf.DUMMYFUNCTION("""COMPUTED_VALUE"""),52.0)</f>
        <v>52</v>
      </c>
      <c r="F2103" s="133" t="str">
        <f>IFERROR(__xludf.DUMMYFUNCTION("""COMPUTED_VALUE"""),"PL50155DGW52")</f>
        <v>PL50155DGW52</v>
      </c>
      <c r="G2103" s="165">
        <f>IFERROR(__xludf.DUMMYFUNCTION("""COMPUTED_VALUE"""),672.0)</f>
        <v>672</v>
      </c>
    </row>
    <row r="2104" ht="15.75" customHeight="1">
      <c r="A2104" s="133" t="str">
        <f>IFERROR(__xludf.DUMMYFUNCTION("""COMPUTED_VALUE"""),"PL50155DGW")</f>
        <v>PL50155DGW</v>
      </c>
      <c r="B2104" s="164">
        <f>IFERROR(__xludf.DUMMYFUNCTION("""COMPUTED_VALUE"""),1.6942481E7)</f>
        <v>16942481</v>
      </c>
      <c r="C2104" s="164" t="str">
        <f>IFERROR(__xludf.DUMMYFUNCTION("""COMPUTED_VALUE"""),"1694248154")</f>
        <v>1694248154</v>
      </c>
      <c r="D2104" s="133" t="str">
        <f>IFERROR(__xludf.DUMMYFUNCTION("""COMPUTED_VALUE"""),"Платье")</f>
        <v>Платье</v>
      </c>
      <c r="E2104" s="133">
        <f>IFERROR(__xludf.DUMMYFUNCTION("""COMPUTED_VALUE"""),54.0)</f>
        <v>54</v>
      </c>
      <c r="F2104" s="133" t="str">
        <f>IFERROR(__xludf.DUMMYFUNCTION("""COMPUTED_VALUE"""),"PL50155DGW54")</f>
        <v>PL50155DGW54</v>
      </c>
      <c r="G2104" s="165">
        <f>IFERROR(__xludf.DUMMYFUNCTION("""COMPUTED_VALUE"""),672.0)</f>
        <v>672</v>
      </c>
    </row>
    <row r="2105" ht="15.75" customHeight="1">
      <c r="A2105" s="133" t="str">
        <f>IFERROR(__xludf.DUMMYFUNCTION("""COMPUTED_VALUE"""),"10619BLW")</f>
        <v>10619BLW</v>
      </c>
      <c r="B2105" s="164">
        <f>IFERROR(__xludf.DUMMYFUNCTION("""COMPUTED_VALUE"""),9032945.0)</f>
        <v>9032945</v>
      </c>
      <c r="C2105" s="164" t="str">
        <f>IFERROR(__xludf.DUMMYFUNCTION("""COMPUTED_VALUE"""),"9032945XXS- 42")</f>
        <v>9032945XXS- 42</v>
      </c>
      <c r="D2105" s="133" t="str">
        <f>IFERROR(__xludf.DUMMYFUNCTION("""COMPUTED_VALUE"""),"Женский свитер. Олени в лесу с горлом")</f>
        <v>Женский свитер. Олени в лесу с горлом</v>
      </c>
      <c r="E2105" s="133" t="str">
        <f>IFERROR(__xludf.DUMMYFUNCTION("""COMPUTED_VALUE"""),"XXS- 42")</f>
        <v>XXS- 42</v>
      </c>
      <c r="F2105" s="133" t="str">
        <f>IFERROR(__xludf.DUMMYFUNCTION("""COMPUTED_VALUE"""),"10619BLWXXS- 42")</f>
        <v>10619BLWXXS- 42</v>
      </c>
      <c r="G2105" s="165">
        <f>IFERROR(__xludf.DUMMYFUNCTION("""COMPUTED_VALUE"""),1020.0)</f>
        <v>1020</v>
      </c>
    </row>
    <row r="2106" ht="15.75" customHeight="1">
      <c r="A2106" s="133" t="str">
        <f>IFERROR(__xludf.DUMMYFUNCTION("""COMPUTED_VALUE"""),"10619BLW")</f>
        <v>10619BLW</v>
      </c>
      <c r="B2106" s="164">
        <f>IFERROR(__xludf.DUMMYFUNCTION("""COMPUTED_VALUE"""),9032945.0)</f>
        <v>9032945</v>
      </c>
      <c r="C2106" s="164" t="str">
        <f>IFERROR(__xludf.DUMMYFUNCTION("""COMPUTED_VALUE"""),"9032945ХS - 44")</f>
        <v>9032945ХS - 44</v>
      </c>
      <c r="D2106" s="133" t="str">
        <f>IFERROR(__xludf.DUMMYFUNCTION("""COMPUTED_VALUE"""),"Женский свитер. Олени в лесу с горлом")</f>
        <v>Женский свитер. Олени в лесу с горлом</v>
      </c>
      <c r="E2106" s="133" t="str">
        <f>IFERROR(__xludf.DUMMYFUNCTION("""COMPUTED_VALUE"""),"ХS - 44")</f>
        <v>ХS - 44</v>
      </c>
      <c r="F2106" s="133" t="str">
        <f>IFERROR(__xludf.DUMMYFUNCTION("""COMPUTED_VALUE"""),"10619BLWХS - 44")</f>
        <v>10619BLWХS - 44</v>
      </c>
      <c r="G2106" s="165">
        <f>IFERROR(__xludf.DUMMYFUNCTION("""COMPUTED_VALUE"""),1020.0)</f>
        <v>1020</v>
      </c>
    </row>
    <row r="2107" ht="15.75" customHeight="1">
      <c r="A2107" s="133" t="str">
        <f>IFERROR(__xludf.DUMMYFUNCTION("""COMPUTED_VALUE"""),"10619BLW")</f>
        <v>10619BLW</v>
      </c>
      <c r="B2107" s="164">
        <f>IFERROR(__xludf.DUMMYFUNCTION("""COMPUTED_VALUE"""),9032945.0)</f>
        <v>9032945</v>
      </c>
      <c r="C2107" s="164" t="str">
        <f>IFERROR(__xludf.DUMMYFUNCTION("""COMPUTED_VALUE"""),"9032945S - 46")</f>
        <v>9032945S - 46</v>
      </c>
      <c r="D2107" s="133" t="str">
        <f>IFERROR(__xludf.DUMMYFUNCTION("""COMPUTED_VALUE"""),"Женский свитер. Олени в лесу с горлом")</f>
        <v>Женский свитер. Олени в лесу с горлом</v>
      </c>
      <c r="E2107" s="133" t="str">
        <f>IFERROR(__xludf.DUMMYFUNCTION("""COMPUTED_VALUE"""),"S - 46")</f>
        <v>S - 46</v>
      </c>
      <c r="F2107" s="133" t="str">
        <f>IFERROR(__xludf.DUMMYFUNCTION("""COMPUTED_VALUE"""),"10619BLWS - 46")</f>
        <v>10619BLWS - 46</v>
      </c>
      <c r="G2107" s="165">
        <f>IFERROR(__xludf.DUMMYFUNCTION("""COMPUTED_VALUE"""),1020.0)</f>
        <v>1020</v>
      </c>
    </row>
    <row r="2108" ht="15.75" customHeight="1">
      <c r="A2108" s="133" t="str">
        <f>IFERROR(__xludf.DUMMYFUNCTION("""COMPUTED_VALUE"""),"10619BLW")</f>
        <v>10619BLW</v>
      </c>
      <c r="B2108" s="164">
        <f>IFERROR(__xludf.DUMMYFUNCTION("""COMPUTED_VALUE"""),9032945.0)</f>
        <v>9032945</v>
      </c>
      <c r="C2108" s="164" t="str">
        <f>IFERROR(__xludf.DUMMYFUNCTION("""COMPUTED_VALUE"""),"9032945M - 48")</f>
        <v>9032945M - 48</v>
      </c>
      <c r="D2108" s="133" t="str">
        <f>IFERROR(__xludf.DUMMYFUNCTION("""COMPUTED_VALUE"""),"Женский свитер. Олени в лесу с горлом")</f>
        <v>Женский свитер. Олени в лесу с горлом</v>
      </c>
      <c r="E2108" s="133" t="str">
        <f>IFERROR(__xludf.DUMMYFUNCTION("""COMPUTED_VALUE"""),"M - 48")</f>
        <v>M - 48</v>
      </c>
      <c r="F2108" s="133" t="str">
        <f>IFERROR(__xludf.DUMMYFUNCTION("""COMPUTED_VALUE"""),"10619BLWM - 48")</f>
        <v>10619BLWM - 48</v>
      </c>
      <c r="G2108" s="165">
        <f>IFERROR(__xludf.DUMMYFUNCTION("""COMPUTED_VALUE"""),1020.0)</f>
        <v>1020</v>
      </c>
    </row>
    <row r="2109" ht="15.75" customHeight="1">
      <c r="A2109" s="133" t="str">
        <f>IFERROR(__xludf.DUMMYFUNCTION("""COMPUTED_VALUE"""),"10619BLW")</f>
        <v>10619BLW</v>
      </c>
      <c r="B2109" s="164">
        <f>IFERROR(__xludf.DUMMYFUNCTION("""COMPUTED_VALUE"""),9032945.0)</f>
        <v>9032945</v>
      </c>
      <c r="C2109" s="164" t="str">
        <f>IFERROR(__xludf.DUMMYFUNCTION("""COMPUTED_VALUE"""),"9032945L - 50")</f>
        <v>9032945L - 50</v>
      </c>
      <c r="D2109" s="133" t="str">
        <f>IFERROR(__xludf.DUMMYFUNCTION("""COMPUTED_VALUE"""),"Женский свитер. Олени в лесу с горлом")</f>
        <v>Женский свитер. Олени в лесу с горлом</v>
      </c>
      <c r="E2109" s="133" t="str">
        <f>IFERROR(__xludf.DUMMYFUNCTION("""COMPUTED_VALUE"""),"L - 50")</f>
        <v>L - 50</v>
      </c>
      <c r="F2109" s="133" t="str">
        <f>IFERROR(__xludf.DUMMYFUNCTION("""COMPUTED_VALUE"""),"10619BLWL - 50")</f>
        <v>10619BLWL - 50</v>
      </c>
      <c r="G2109" s="165">
        <f>IFERROR(__xludf.DUMMYFUNCTION("""COMPUTED_VALUE"""),1020.0)</f>
        <v>1020</v>
      </c>
    </row>
    <row r="2110" ht="15.75" customHeight="1">
      <c r="A2110" s="133" t="str">
        <f>IFERROR(__xludf.DUMMYFUNCTION("""COMPUTED_VALUE"""),"10619BLW")</f>
        <v>10619BLW</v>
      </c>
      <c r="B2110" s="164">
        <f>IFERROR(__xludf.DUMMYFUNCTION("""COMPUTED_VALUE"""),9032945.0)</f>
        <v>9032945</v>
      </c>
      <c r="C2110" s="164" t="str">
        <f>IFERROR(__xludf.DUMMYFUNCTION("""COMPUTED_VALUE"""),"9032945XL-52")</f>
        <v>9032945XL-52</v>
      </c>
      <c r="D2110" s="133" t="str">
        <f>IFERROR(__xludf.DUMMYFUNCTION("""COMPUTED_VALUE"""),"Женский свитер. Олени в лесу с горлом")</f>
        <v>Женский свитер. Олени в лесу с горлом</v>
      </c>
      <c r="E2110" s="133" t="str">
        <f>IFERROR(__xludf.DUMMYFUNCTION("""COMPUTED_VALUE"""),"XL-52")</f>
        <v>XL-52</v>
      </c>
      <c r="F2110" s="133" t="str">
        <f>IFERROR(__xludf.DUMMYFUNCTION("""COMPUTED_VALUE"""),"10619BLWXL-52")</f>
        <v>10619BLWXL-52</v>
      </c>
      <c r="G2110" s="165">
        <f>IFERROR(__xludf.DUMMYFUNCTION("""COMPUTED_VALUE"""),1020.0)</f>
        <v>1020</v>
      </c>
    </row>
    <row r="2111" ht="15.75" customHeight="1">
      <c r="A2111" s="133" t="str">
        <f>IFERROR(__xludf.DUMMYFUNCTION("""COMPUTED_VALUE"""),"10719BLW")</f>
        <v>10719BLW</v>
      </c>
      <c r="B2111" s="164">
        <f>IFERROR(__xludf.DUMMYFUNCTION("""COMPUTED_VALUE"""),8955718.0)</f>
        <v>8955718</v>
      </c>
      <c r="C2111" s="164" t="str">
        <f>IFERROR(__xludf.DUMMYFUNCTION("""COMPUTED_VALUE"""),"8955718XXS- 42")</f>
        <v>8955718XXS- 42</v>
      </c>
      <c r="D2111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1" s="133" t="str">
        <f>IFERROR(__xludf.DUMMYFUNCTION("""COMPUTED_VALUE"""),"XXS- 42")</f>
        <v>XXS- 42</v>
      </c>
      <c r="F2111" s="133" t="str">
        <f>IFERROR(__xludf.DUMMYFUNCTION("""COMPUTED_VALUE"""),"10719BLWXXS- 42")</f>
        <v>10719BLWXXS- 42</v>
      </c>
      <c r="G2111" s="165">
        <f>IFERROR(__xludf.DUMMYFUNCTION("""COMPUTED_VALUE"""),1020.0)</f>
        <v>1020</v>
      </c>
    </row>
    <row r="2112" ht="15.75" customHeight="1">
      <c r="A2112" s="133" t="str">
        <f>IFERROR(__xludf.DUMMYFUNCTION("""COMPUTED_VALUE"""),"10719BLW")</f>
        <v>10719BLW</v>
      </c>
      <c r="B2112" s="164">
        <f>IFERROR(__xludf.DUMMYFUNCTION("""COMPUTED_VALUE"""),8955718.0)</f>
        <v>8955718</v>
      </c>
      <c r="C2112" s="164" t="str">
        <f>IFERROR(__xludf.DUMMYFUNCTION("""COMPUTED_VALUE"""),"8955718ХS - 44")</f>
        <v>8955718ХS - 44</v>
      </c>
      <c r="D2112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2" s="133" t="str">
        <f>IFERROR(__xludf.DUMMYFUNCTION("""COMPUTED_VALUE"""),"ХS - 44")</f>
        <v>ХS - 44</v>
      </c>
      <c r="F2112" s="133" t="str">
        <f>IFERROR(__xludf.DUMMYFUNCTION("""COMPUTED_VALUE"""),"10719BLWХS - 44")</f>
        <v>10719BLWХS - 44</v>
      </c>
      <c r="G2112" s="165">
        <f>IFERROR(__xludf.DUMMYFUNCTION("""COMPUTED_VALUE"""),1020.0)</f>
        <v>1020</v>
      </c>
    </row>
    <row r="2113" ht="15.75" customHeight="1">
      <c r="A2113" s="133" t="str">
        <f>IFERROR(__xludf.DUMMYFUNCTION("""COMPUTED_VALUE"""),"10719BLW")</f>
        <v>10719BLW</v>
      </c>
      <c r="B2113" s="164">
        <f>IFERROR(__xludf.DUMMYFUNCTION("""COMPUTED_VALUE"""),8955718.0)</f>
        <v>8955718</v>
      </c>
      <c r="C2113" s="164" t="str">
        <f>IFERROR(__xludf.DUMMYFUNCTION("""COMPUTED_VALUE"""),"8955718S - 46")</f>
        <v>8955718S - 46</v>
      </c>
      <c r="D2113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3" s="133" t="str">
        <f>IFERROR(__xludf.DUMMYFUNCTION("""COMPUTED_VALUE"""),"S - 46")</f>
        <v>S - 46</v>
      </c>
      <c r="F2113" s="133" t="str">
        <f>IFERROR(__xludf.DUMMYFUNCTION("""COMPUTED_VALUE"""),"10719BLWS - 46")</f>
        <v>10719BLWS - 46</v>
      </c>
      <c r="G2113" s="165">
        <f>IFERROR(__xludf.DUMMYFUNCTION("""COMPUTED_VALUE"""),1020.0)</f>
        <v>1020</v>
      </c>
    </row>
    <row r="2114" ht="15.75" customHeight="1">
      <c r="A2114" s="133" t="str">
        <f>IFERROR(__xludf.DUMMYFUNCTION("""COMPUTED_VALUE"""),"10719BLW")</f>
        <v>10719BLW</v>
      </c>
      <c r="B2114" s="164">
        <f>IFERROR(__xludf.DUMMYFUNCTION("""COMPUTED_VALUE"""),8955718.0)</f>
        <v>8955718</v>
      </c>
      <c r="C2114" s="164" t="str">
        <f>IFERROR(__xludf.DUMMYFUNCTION("""COMPUTED_VALUE"""),"8955718M - 48")</f>
        <v>8955718M - 48</v>
      </c>
      <c r="D2114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4" s="133" t="str">
        <f>IFERROR(__xludf.DUMMYFUNCTION("""COMPUTED_VALUE"""),"M - 48")</f>
        <v>M - 48</v>
      </c>
      <c r="F2114" s="133" t="str">
        <f>IFERROR(__xludf.DUMMYFUNCTION("""COMPUTED_VALUE"""),"10719BLWM - 48")</f>
        <v>10719BLWM - 48</v>
      </c>
      <c r="G2114" s="165">
        <f>IFERROR(__xludf.DUMMYFUNCTION("""COMPUTED_VALUE"""),1020.0)</f>
        <v>1020</v>
      </c>
    </row>
    <row r="2115" ht="15.75" customHeight="1">
      <c r="A2115" s="133" t="str">
        <f>IFERROR(__xludf.DUMMYFUNCTION("""COMPUTED_VALUE"""),"10719BLW")</f>
        <v>10719BLW</v>
      </c>
      <c r="B2115" s="164">
        <f>IFERROR(__xludf.DUMMYFUNCTION("""COMPUTED_VALUE"""),8955718.0)</f>
        <v>8955718</v>
      </c>
      <c r="C2115" s="164" t="str">
        <f>IFERROR(__xludf.DUMMYFUNCTION("""COMPUTED_VALUE"""),"8955718L - 50")</f>
        <v>8955718L - 50</v>
      </c>
      <c r="D2115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5" s="133" t="str">
        <f>IFERROR(__xludf.DUMMYFUNCTION("""COMPUTED_VALUE"""),"L - 50")</f>
        <v>L - 50</v>
      </c>
      <c r="F2115" s="133" t="str">
        <f>IFERROR(__xludf.DUMMYFUNCTION("""COMPUTED_VALUE"""),"10719BLWL - 50")</f>
        <v>10719BLWL - 50</v>
      </c>
      <c r="G2115" s="165">
        <f>IFERROR(__xludf.DUMMYFUNCTION("""COMPUTED_VALUE"""),1020.0)</f>
        <v>1020</v>
      </c>
    </row>
    <row r="2116" ht="15.75" customHeight="1">
      <c r="A2116" s="133" t="str">
        <f>IFERROR(__xludf.DUMMYFUNCTION("""COMPUTED_VALUE"""),"10719BLW")</f>
        <v>10719BLW</v>
      </c>
      <c r="B2116" s="164">
        <f>IFERROR(__xludf.DUMMYFUNCTION("""COMPUTED_VALUE"""),8955718.0)</f>
        <v>8955718</v>
      </c>
      <c r="C2116" s="164" t="str">
        <f>IFERROR(__xludf.DUMMYFUNCTION("""COMPUTED_VALUE"""),"8955718XL-52")</f>
        <v>8955718XL-52</v>
      </c>
      <c r="D2116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6" s="133" t="str">
        <f>IFERROR(__xludf.DUMMYFUNCTION("""COMPUTED_VALUE"""),"XL-52")</f>
        <v>XL-52</v>
      </c>
      <c r="F2116" s="133" t="str">
        <f>IFERROR(__xludf.DUMMYFUNCTION("""COMPUTED_VALUE"""),"10719BLWXL-52")</f>
        <v>10719BLWXL-52</v>
      </c>
      <c r="G2116" s="165">
        <f>IFERROR(__xludf.DUMMYFUNCTION("""COMPUTED_VALUE"""),1020.0)</f>
        <v>1020</v>
      </c>
    </row>
    <row r="2117" ht="15.75" customHeight="1">
      <c r="A2117" s="133" t="str">
        <f>IFERROR(__xludf.DUMMYFUNCTION("""COMPUTED_VALUE"""),"10819BLW")</f>
        <v>10819BLW</v>
      </c>
      <c r="B2117" s="164">
        <f>IFERROR(__xludf.DUMMYFUNCTION("""COMPUTED_VALUE"""),8955719.0)</f>
        <v>8955719</v>
      </c>
      <c r="C2117" s="164" t="str">
        <f>IFERROR(__xludf.DUMMYFUNCTION("""COMPUTED_VALUE"""),"8955719XXS- 42")</f>
        <v>8955719XXS- 42</v>
      </c>
      <c r="D2117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7" s="133" t="str">
        <f>IFERROR(__xludf.DUMMYFUNCTION("""COMPUTED_VALUE"""),"XXS- 42")</f>
        <v>XXS- 42</v>
      </c>
      <c r="F2117" s="133" t="str">
        <f>IFERROR(__xludf.DUMMYFUNCTION("""COMPUTED_VALUE"""),"10819BLWXXS- 42")</f>
        <v>10819BLWXXS- 42</v>
      </c>
      <c r="G2117" s="165">
        <f>IFERROR(__xludf.DUMMYFUNCTION("""COMPUTED_VALUE"""),1020.0)</f>
        <v>1020</v>
      </c>
    </row>
    <row r="2118" ht="15.75" customHeight="1">
      <c r="A2118" s="133" t="str">
        <f>IFERROR(__xludf.DUMMYFUNCTION("""COMPUTED_VALUE"""),"10819BLW")</f>
        <v>10819BLW</v>
      </c>
      <c r="B2118" s="164">
        <f>IFERROR(__xludf.DUMMYFUNCTION("""COMPUTED_VALUE"""),8955719.0)</f>
        <v>8955719</v>
      </c>
      <c r="C2118" s="164" t="str">
        <f>IFERROR(__xludf.DUMMYFUNCTION("""COMPUTED_VALUE"""),"8955719ХS - 44")</f>
        <v>8955719ХS - 44</v>
      </c>
      <c r="D2118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8" s="133" t="str">
        <f>IFERROR(__xludf.DUMMYFUNCTION("""COMPUTED_VALUE"""),"ХS - 44")</f>
        <v>ХS - 44</v>
      </c>
      <c r="F2118" s="133" t="str">
        <f>IFERROR(__xludf.DUMMYFUNCTION("""COMPUTED_VALUE"""),"10819BLWХS - 44")</f>
        <v>10819BLWХS - 44</v>
      </c>
      <c r="G2118" s="165">
        <f>IFERROR(__xludf.DUMMYFUNCTION("""COMPUTED_VALUE"""),1020.0)</f>
        <v>1020</v>
      </c>
    </row>
    <row r="2119" ht="15.75" customHeight="1">
      <c r="A2119" s="133" t="str">
        <f>IFERROR(__xludf.DUMMYFUNCTION("""COMPUTED_VALUE"""),"10819BLW")</f>
        <v>10819BLW</v>
      </c>
      <c r="B2119" s="164">
        <f>IFERROR(__xludf.DUMMYFUNCTION("""COMPUTED_VALUE"""),8955719.0)</f>
        <v>8955719</v>
      </c>
      <c r="C2119" s="164" t="str">
        <f>IFERROR(__xludf.DUMMYFUNCTION("""COMPUTED_VALUE"""),"8955719S - 46")</f>
        <v>8955719S - 46</v>
      </c>
      <c r="D2119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19" s="133" t="str">
        <f>IFERROR(__xludf.DUMMYFUNCTION("""COMPUTED_VALUE"""),"S - 46")</f>
        <v>S - 46</v>
      </c>
      <c r="F2119" s="133" t="str">
        <f>IFERROR(__xludf.DUMMYFUNCTION("""COMPUTED_VALUE"""),"10819BLWS - 46")</f>
        <v>10819BLWS - 46</v>
      </c>
      <c r="G2119" s="165">
        <f>IFERROR(__xludf.DUMMYFUNCTION("""COMPUTED_VALUE"""),1020.0)</f>
        <v>1020</v>
      </c>
    </row>
    <row r="2120" ht="15.75" customHeight="1">
      <c r="A2120" s="133" t="str">
        <f>IFERROR(__xludf.DUMMYFUNCTION("""COMPUTED_VALUE"""),"10819BLW")</f>
        <v>10819BLW</v>
      </c>
      <c r="B2120" s="164">
        <f>IFERROR(__xludf.DUMMYFUNCTION("""COMPUTED_VALUE"""),8955719.0)</f>
        <v>8955719</v>
      </c>
      <c r="C2120" s="164" t="str">
        <f>IFERROR(__xludf.DUMMYFUNCTION("""COMPUTED_VALUE"""),"8955719M - 48")</f>
        <v>8955719M - 48</v>
      </c>
      <c r="D2120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20" s="133" t="str">
        <f>IFERROR(__xludf.DUMMYFUNCTION("""COMPUTED_VALUE"""),"M - 48")</f>
        <v>M - 48</v>
      </c>
      <c r="F2120" s="133" t="str">
        <f>IFERROR(__xludf.DUMMYFUNCTION("""COMPUTED_VALUE"""),"10819BLWM - 48")</f>
        <v>10819BLWM - 48</v>
      </c>
      <c r="G2120" s="165">
        <f>IFERROR(__xludf.DUMMYFUNCTION("""COMPUTED_VALUE"""),1020.0)</f>
        <v>1020</v>
      </c>
    </row>
    <row r="2121" ht="15.75" customHeight="1">
      <c r="A2121" s="133" t="str">
        <f>IFERROR(__xludf.DUMMYFUNCTION("""COMPUTED_VALUE"""),"10819BLW")</f>
        <v>10819BLW</v>
      </c>
      <c r="B2121" s="164">
        <f>IFERROR(__xludf.DUMMYFUNCTION("""COMPUTED_VALUE"""),8955719.0)</f>
        <v>8955719</v>
      </c>
      <c r="C2121" s="164" t="str">
        <f>IFERROR(__xludf.DUMMYFUNCTION("""COMPUTED_VALUE"""),"8955719L - 50")</f>
        <v>8955719L - 50</v>
      </c>
      <c r="D2121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21" s="133" t="str">
        <f>IFERROR(__xludf.DUMMYFUNCTION("""COMPUTED_VALUE"""),"L - 50")</f>
        <v>L - 50</v>
      </c>
      <c r="F2121" s="133" t="str">
        <f>IFERROR(__xludf.DUMMYFUNCTION("""COMPUTED_VALUE"""),"10819BLWL - 50")</f>
        <v>10819BLWL - 50</v>
      </c>
      <c r="G2121" s="165">
        <f>IFERROR(__xludf.DUMMYFUNCTION("""COMPUTED_VALUE"""),1020.0)</f>
        <v>1020</v>
      </c>
    </row>
    <row r="2122" ht="15.75" customHeight="1">
      <c r="A2122" s="133" t="str">
        <f>IFERROR(__xludf.DUMMYFUNCTION("""COMPUTED_VALUE"""),"10819BLW")</f>
        <v>10819BLW</v>
      </c>
      <c r="B2122" s="164">
        <f>IFERROR(__xludf.DUMMYFUNCTION("""COMPUTED_VALUE"""),8955719.0)</f>
        <v>8955719</v>
      </c>
      <c r="C2122" s="164" t="str">
        <f>IFERROR(__xludf.DUMMYFUNCTION("""COMPUTED_VALUE"""),"8955719XL-52")</f>
        <v>8955719XL-52</v>
      </c>
      <c r="D2122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22" s="133" t="str">
        <f>IFERROR(__xludf.DUMMYFUNCTION("""COMPUTED_VALUE"""),"XL-52")</f>
        <v>XL-52</v>
      </c>
      <c r="F2122" s="133" t="str">
        <f>IFERROR(__xludf.DUMMYFUNCTION("""COMPUTED_VALUE"""),"10819BLWXL-52")</f>
        <v>10819BLWXL-52</v>
      </c>
      <c r="G2122" s="165">
        <f>IFERROR(__xludf.DUMMYFUNCTION("""COMPUTED_VALUE"""),1020.0)</f>
        <v>1020</v>
      </c>
    </row>
    <row r="2123" ht="15.75" customHeight="1">
      <c r="A2123" s="133" t="str">
        <f>IFERROR(__xludf.DUMMYFUNCTION("""COMPUTED_VALUE"""),"10919BLW")</f>
        <v>10919BLW</v>
      </c>
      <c r="B2123" s="164">
        <f>IFERROR(__xludf.DUMMYFUNCTION("""COMPUTED_VALUE"""),9712277.0)</f>
        <v>9712277</v>
      </c>
      <c r="C2123" s="164" t="str">
        <f>IFERROR(__xludf.DUMMYFUNCTION("""COMPUTED_VALUE"""),"9712277XXS- 42")</f>
        <v>9712277XXS- 42</v>
      </c>
      <c r="D2123" s="133" t="str">
        <f>IFERROR(__xludf.DUMMYFUNCTION("""COMPUTED_VALUE"""),"Женский свитер с оленями")</f>
        <v>Женский свитер с оленями</v>
      </c>
      <c r="E2123" s="133" t="str">
        <f>IFERROR(__xludf.DUMMYFUNCTION("""COMPUTED_VALUE"""),"XXS- 42")</f>
        <v>XXS- 42</v>
      </c>
      <c r="F2123" s="133" t="str">
        <f>IFERROR(__xludf.DUMMYFUNCTION("""COMPUTED_VALUE"""),"10919BLWXXS- 42")</f>
        <v>10919BLWXXS- 42</v>
      </c>
      <c r="G2123" s="165">
        <f>IFERROR(__xludf.DUMMYFUNCTION("""COMPUTED_VALUE"""),1020.0)</f>
        <v>1020</v>
      </c>
    </row>
    <row r="2124" ht="15.75" customHeight="1">
      <c r="A2124" s="133" t="str">
        <f>IFERROR(__xludf.DUMMYFUNCTION("""COMPUTED_VALUE"""),"10919BLW")</f>
        <v>10919BLW</v>
      </c>
      <c r="B2124" s="164">
        <f>IFERROR(__xludf.DUMMYFUNCTION("""COMPUTED_VALUE"""),9712277.0)</f>
        <v>9712277</v>
      </c>
      <c r="C2124" s="164" t="str">
        <f>IFERROR(__xludf.DUMMYFUNCTION("""COMPUTED_VALUE"""),"9712277ХS - 44")</f>
        <v>9712277ХS - 44</v>
      </c>
      <c r="D2124" s="133" t="str">
        <f>IFERROR(__xludf.DUMMYFUNCTION("""COMPUTED_VALUE"""),"Женский свитер с оленями")</f>
        <v>Женский свитер с оленями</v>
      </c>
      <c r="E2124" s="133" t="str">
        <f>IFERROR(__xludf.DUMMYFUNCTION("""COMPUTED_VALUE"""),"ХS - 44")</f>
        <v>ХS - 44</v>
      </c>
      <c r="F2124" s="133" t="str">
        <f>IFERROR(__xludf.DUMMYFUNCTION("""COMPUTED_VALUE"""),"10919BLWХS - 44")</f>
        <v>10919BLWХS - 44</v>
      </c>
      <c r="G2124" s="165">
        <f>IFERROR(__xludf.DUMMYFUNCTION("""COMPUTED_VALUE"""),1020.0)</f>
        <v>1020</v>
      </c>
    </row>
    <row r="2125" ht="15.75" customHeight="1">
      <c r="A2125" s="133" t="str">
        <f>IFERROR(__xludf.DUMMYFUNCTION("""COMPUTED_VALUE"""),"10919BLW")</f>
        <v>10919BLW</v>
      </c>
      <c r="B2125" s="164">
        <f>IFERROR(__xludf.DUMMYFUNCTION("""COMPUTED_VALUE"""),9712277.0)</f>
        <v>9712277</v>
      </c>
      <c r="C2125" s="164" t="str">
        <f>IFERROR(__xludf.DUMMYFUNCTION("""COMPUTED_VALUE"""),"9712277S - 46")</f>
        <v>9712277S - 46</v>
      </c>
      <c r="D2125" s="133" t="str">
        <f>IFERROR(__xludf.DUMMYFUNCTION("""COMPUTED_VALUE"""),"Женский свитер с оленями")</f>
        <v>Женский свитер с оленями</v>
      </c>
      <c r="E2125" s="133" t="str">
        <f>IFERROR(__xludf.DUMMYFUNCTION("""COMPUTED_VALUE"""),"S - 46")</f>
        <v>S - 46</v>
      </c>
      <c r="F2125" s="133" t="str">
        <f>IFERROR(__xludf.DUMMYFUNCTION("""COMPUTED_VALUE"""),"10919BLWS - 46")</f>
        <v>10919BLWS - 46</v>
      </c>
      <c r="G2125" s="165">
        <f>IFERROR(__xludf.DUMMYFUNCTION("""COMPUTED_VALUE"""),1020.0)</f>
        <v>1020</v>
      </c>
    </row>
    <row r="2126" ht="15.75" customHeight="1">
      <c r="A2126" s="133" t="str">
        <f>IFERROR(__xludf.DUMMYFUNCTION("""COMPUTED_VALUE"""),"10919BLW")</f>
        <v>10919BLW</v>
      </c>
      <c r="B2126" s="164">
        <f>IFERROR(__xludf.DUMMYFUNCTION("""COMPUTED_VALUE"""),9712277.0)</f>
        <v>9712277</v>
      </c>
      <c r="C2126" s="164" t="str">
        <f>IFERROR(__xludf.DUMMYFUNCTION("""COMPUTED_VALUE"""),"9712277M - 48")</f>
        <v>9712277M - 48</v>
      </c>
      <c r="D2126" s="133" t="str">
        <f>IFERROR(__xludf.DUMMYFUNCTION("""COMPUTED_VALUE"""),"Женский свитер с оленями")</f>
        <v>Женский свитер с оленями</v>
      </c>
      <c r="E2126" s="133" t="str">
        <f>IFERROR(__xludf.DUMMYFUNCTION("""COMPUTED_VALUE"""),"M - 48")</f>
        <v>M - 48</v>
      </c>
      <c r="F2126" s="133" t="str">
        <f>IFERROR(__xludf.DUMMYFUNCTION("""COMPUTED_VALUE"""),"10919BLWM - 48")</f>
        <v>10919BLWM - 48</v>
      </c>
      <c r="G2126" s="165">
        <f>IFERROR(__xludf.DUMMYFUNCTION("""COMPUTED_VALUE"""),1020.0)</f>
        <v>1020</v>
      </c>
    </row>
    <row r="2127" ht="15.75" customHeight="1">
      <c r="A2127" s="133" t="str">
        <f>IFERROR(__xludf.DUMMYFUNCTION("""COMPUTED_VALUE"""),"10919BLW")</f>
        <v>10919BLW</v>
      </c>
      <c r="B2127" s="164">
        <f>IFERROR(__xludf.DUMMYFUNCTION("""COMPUTED_VALUE"""),9712277.0)</f>
        <v>9712277</v>
      </c>
      <c r="C2127" s="164" t="str">
        <f>IFERROR(__xludf.DUMMYFUNCTION("""COMPUTED_VALUE"""),"9712277L - 50")</f>
        <v>9712277L - 50</v>
      </c>
      <c r="D2127" s="133" t="str">
        <f>IFERROR(__xludf.DUMMYFUNCTION("""COMPUTED_VALUE"""),"Женский свитер с оленями")</f>
        <v>Женский свитер с оленями</v>
      </c>
      <c r="E2127" s="133" t="str">
        <f>IFERROR(__xludf.DUMMYFUNCTION("""COMPUTED_VALUE"""),"L - 50")</f>
        <v>L - 50</v>
      </c>
      <c r="F2127" s="133" t="str">
        <f>IFERROR(__xludf.DUMMYFUNCTION("""COMPUTED_VALUE"""),"10919BLWL - 50")</f>
        <v>10919BLWL - 50</v>
      </c>
      <c r="G2127" s="165">
        <f>IFERROR(__xludf.DUMMYFUNCTION("""COMPUTED_VALUE"""),1020.0)</f>
        <v>1020</v>
      </c>
    </row>
    <row r="2128" ht="15.75" customHeight="1">
      <c r="A2128" s="133" t="str">
        <f>IFERROR(__xludf.DUMMYFUNCTION("""COMPUTED_VALUE"""),"10919BLW")</f>
        <v>10919BLW</v>
      </c>
      <c r="B2128" s="164">
        <f>IFERROR(__xludf.DUMMYFUNCTION("""COMPUTED_VALUE"""),9712277.0)</f>
        <v>9712277</v>
      </c>
      <c r="C2128" s="164" t="str">
        <f>IFERROR(__xludf.DUMMYFUNCTION("""COMPUTED_VALUE"""),"9712277XL-52")</f>
        <v>9712277XL-52</v>
      </c>
      <c r="D2128" s="133" t="str">
        <f>IFERROR(__xludf.DUMMYFUNCTION("""COMPUTED_VALUE"""),"Женский свитер с оленями")</f>
        <v>Женский свитер с оленями</v>
      </c>
      <c r="E2128" s="133" t="str">
        <f>IFERROR(__xludf.DUMMYFUNCTION("""COMPUTED_VALUE"""),"XL-52")</f>
        <v>XL-52</v>
      </c>
      <c r="F2128" s="133" t="str">
        <f>IFERROR(__xludf.DUMMYFUNCTION("""COMPUTED_VALUE"""),"10919BLWXL-52")</f>
        <v>10919BLWXL-52</v>
      </c>
      <c r="G2128" s="165">
        <f>IFERROR(__xludf.DUMMYFUNCTION("""COMPUTED_VALUE"""),1020.0)</f>
        <v>1020</v>
      </c>
    </row>
    <row r="2129" ht="15.75" customHeight="1">
      <c r="A2129" s="133" t="str">
        <f>IFERROR(__xludf.DUMMYFUNCTION("""COMPUTED_VALUE"""),"10919BLW")</f>
        <v>10919BLW</v>
      </c>
      <c r="B2129" s="164">
        <f>IFERROR(__xludf.DUMMYFUNCTION("""COMPUTED_VALUE"""),9712277.0)</f>
        <v>9712277</v>
      </c>
      <c r="C2129" s="164" t="str">
        <f>IFERROR(__xludf.DUMMYFUNCTION("""COMPUTED_VALUE"""),"9712277XXL - 54")</f>
        <v>9712277XXL - 54</v>
      </c>
      <c r="D2129" s="133" t="str">
        <f>IFERROR(__xludf.DUMMYFUNCTION("""COMPUTED_VALUE"""),"Женский свитер с оленями")</f>
        <v>Женский свитер с оленями</v>
      </c>
      <c r="E2129" s="133" t="str">
        <f>IFERROR(__xludf.DUMMYFUNCTION("""COMPUTED_VALUE"""),"XXL - 54")</f>
        <v>XXL - 54</v>
      </c>
      <c r="F2129" s="133" t="str">
        <f>IFERROR(__xludf.DUMMYFUNCTION("""COMPUTED_VALUE"""),"10919BLWXXL - 54")</f>
        <v>10919BLWXXL - 54</v>
      </c>
      <c r="G2129" s="165">
        <f>IFERROR(__xludf.DUMMYFUNCTION("""COMPUTED_VALUE"""),1020.0)</f>
        <v>1020</v>
      </c>
    </row>
    <row r="2130" ht="15.75" customHeight="1">
      <c r="A2130" s="133" t="str">
        <f>IFERROR(__xludf.DUMMYFUNCTION("""COMPUTED_VALUE"""),"11019BLW")</f>
        <v>11019BLW</v>
      </c>
      <c r="B2130" s="164">
        <f>IFERROR(__xludf.DUMMYFUNCTION("""COMPUTED_VALUE"""),9716112.0)</f>
        <v>9716112</v>
      </c>
      <c r="C2130" s="164" t="str">
        <f>IFERROR(__xludf.DUMMYFUNCTION("""COMPUTED_VALUE"""),"9716112XXS- 42")</f>
        <v>9716112XXS- 42</v>
      </c>
      <c r="D2130" s="133" t="str">
        <f>IFERROR(__xludf.DUMMYFUNCTION("""COMPUTED_VALUE"""),"Женский свитер с оленями")</f>
        <v>Женский свитер с оленями</v>
      </c>
      <c r="E2130" s="133" t="str">
        <f>IFERROR(__xludf.DUMMYFUNCTION("""COMPUTED_VALUE"""),"XXS- 42")</f>
        <v>XXS- 42</v>
      </c>
      <c r="F2130" s="133" t="str">
        <f>IFERROR(__xludf.DUMMYFUNCTION("""COMPUTED_VALUE"""),"11019BLWXXS- 42")</f>
        <v>11019BLWXXS- 42</v>
      </c>
      <c r="G2130" s="165">
        <f>IFERROR(__xludf.DUMMYFUNCTION("""COMPUTED_VALUE"""),916.0)</f>
        <v>916</v>
      </c>
    </row>
    <row r="2131" ht="15.75" customHeight="1">
      <c r="A2131" s="133" t="str">
        <f>IFERROR(__xludf.DUMMYFUNCTION("""COMPUTED_VALUE"""),"11019BLW")</f>
        <v>11019BLW</v>
      </c>
      <c r="B2131" s="164">
        <f>IFERROR(__xludf.DUMMYFUNCTION("""COMPUTED_VALUE"""),9716112.0)</f>
        <v>9716112</v>
      </c>
      <c r="C2131" s="164" t="str">
        <f>IFERROR(__xludf.DUMMYFUNCTION("""COMPUTED_VALUE"""),"9716112ХS")</f>
        <v>9716112ХS</v>
      </c>
      <c r="D2131" s="133" t="str">
        <f>IFERROR(__xludf.DUMMYFUNCTION("""COMPUTED_VALUE"""),"Женский свитер с оленями")</f>
        <v>Женский свитер с оленями</v>
      </c>
      <c r="E2131" s="133" t="str">
        <f>IFERROR(__xludf.DUMMYFUNCTION("""COMPUTED_VALUE"""),"ХS")</f>
        <v>ХS</v>
      </c>
      <c r="F2131" s="133" t="str">
        <f>IFERROR(__xludf.DUMMYFUNCTION("""COMPUTED_VALUE"""),"11019BLWХS")</f>
        <v>11019BLWХS</v>
      </c>
      <c r="G2131" s="165">
        <f>IFERROR(__xludf.DUMMYFUNCTION("""COMPUTED_VALUE"""),916.0)</f>
        <v>916</v>
      </c>
    </row>
    <row r="2132" ht="15.75" customHeight="1">
      <c r="A2132" s="133" t="str">
        <f>IFERROR(__xludf.DUMMYFUNCTION("""COMPUTED_VALUE"""),"11019BLW")</f>
        <v>11019BLW</v>
      </c>
      <c r="B2132" s="164">
        <f>IFERROR(__xludf.DUMMYFUNCTION("""COMPUTED_VALUE"""),9716112.0)</f>
        <v>9716112</v>
      </c>
      <c r="C2132" s="164" t="str">
        <f>IFERROR(__xludf.DUMMYFUNCTION("""COMPUTED_VALUE"""),"9716112S")</f>
        <v>9716112S</v>
      </c>
      <c r="D2132" s="133" t="str">
        <f>IFERROR(__xludf.DUMMYFUNCTION("""COMPUTED_VALUE"""),"Женский свитер с оленями")</f>
        <v>Женский свитер с оленями</v>
      </c>
      <c r="E2132" s="133" t="str">
        <f>IFERROR(__xludf.DUMMYFUNCTION("""COMPUTED_VALUE"""),"S")</f>
        <v>S</v>
      </c>
      <c r="F2132" s="133" t="str">
        <f>IFERROR(__xludf.DUMMYFUNCTION("""COMPUTED_VALUE"""),"11019BLWS")</f>
        <v>11019BLWS</v>
      </c>
      <c r="G2132" s="165">
        <f>IFERROR(__xludf.DUMMYFUNCTION("""COMPUTED_VALUE"""),916.0)</f>
        <v>916</v>
      </c>
    </row>
    <row r="2133" ht="15.75" customHeight="1">
      <c r="A2133" s="133" t="str">
        <f>IFERROR(__xludf.DUMMYFUNCTION("""COMPUTED_VALUE"""),"11019BLW")</f>
        <v>11019BLW</v>
      </c>
      <c r="B2133" s="164">
        <f>IFERROR(__xludf.DUMMYFUNCTION("""COMPUTED_VALUE"""),9716112.0)</f>
        <v>9716112</v>
      </c>
      <c r="C2133" s="164" t="str">
        <f>IFERROR(__xludf.DUMMYFUNCTION("""COMPUTED_VALUE"""),"9716112M")</f>
        <v>9716112M</v>
      </c>
      <c r="D2133" s="133" t="str">
        <f>IFERROR(__xludf.DUMMYFUNCTION("""COMPUTED_VALUE"""),"Женский свитер с оленями")</f>
        <v>Женский свитер с оленями</v>
      </c>
      <c r="E2133" s="133" t="str">
        <f>IFERROR(__xludf.DUMMYFUNCTION("""COMPUTED_VALUE"""),"M")</f>
        <v>M</v>
      </c>
      <c r="F2133" s="133" t="str">
        <f>IFERROR(__xludf.DUMMYFUNCTION("""COMPUTED_VALUE"""),"11019BLWM")</f>
        <v>11019BLWM</v>
      </c>
      <c r="G2133" s="165">
        <f>IFERROR(__xludf.DUMMYFUNCTION("""COMPUTED_VALUE"""),916.0)</f>
        <v>916</v>
      </c>
    </row>
    <row r="2134" ht="15.75" customHeight="1">
      <c r="A2134" s="133" t="str">
        <f>IFERROR(__xludf.DUMMYFUNCTION("""COMPUTED_VALUE"""),"11019BLW")</f>
        <v>11019BLW</v>
      </c>
      <c r="B2134" s="164">
        <f>IFERROR(__xludf.DUMMYFUNCTION("""COMPUTED_VALUE"""),9716112.0)</f>
        <v>9716112</v>
      </c>
      <c r="C2134" s="164" t="str">
        <f>IFERROR(__xludf.DUMMYFUNCTION("""COMPUTED_VALUE"""),"9716112L")</f>
        <v>9716112L</v>
      </c>
      <c r="D2134" s="133" t="str">
        <f>IFERROR(__xludf.DUMMYFUNCTION("""COMPUTED_VALUE"""),"Женский свитер с оленями")</f>
        <v>Женский свитер с оленями</v>
      </c>
      <c r="E2134" s="133" t="str">
        <f>IFERROR(__xludf.DUMMYFUNCTION("""COMPUTED_VALUE"""),"L")</f>
        <v>L</v>
      </c>
      <c r="F2134" s="133" t="str">
        <f>IFERROR(__xludf.DUMMYFUNCTION("""COMPUTED_VALUE"""),"11019BLWL")</f>
        <v>11019BLWL</v>
      </c>
      <c r="G2134" s="165">
        <f>IFERROR(__xludf.DUMMYFUNCTION("""COMPUTED_VALUE"""),916.0)</f>
        <v>916</v>
      </c>
    </row>
    <row r="2135" ht="15.75" customHeight="1">
      <c r="A2135" s="133" t="str">
        <f>IFERROR(__xludf.DUMMYFUNCTION("""COMPUTED_VALUE"""),"11019BLW")</f>
        <v>11019BLW</v>
      </c>
      <c r="B2135" s="164">
        <f>IFERROR(__xludf.DUMMYFUNCTION("""COMPUTED_VALUE"""),9716112.0)</f>
        <v>9716112</v>
      </c>
      <c r="C2135" s="164" t="str">
        <f>IFERROR(__xludf.DUMMYFUNCTION("""COMPUTED_VALUE"""),"9716112XL-52")</f>
        <v>9716112XL-52</v>
      </c>
      <c r="D2135" s="133" t="str">
        <f>IFERROR(__xludf.DUMMYFUNCTION("""COMPUTED_VALUE"""),"Женский свитер с оленями")</f>
        <v>Женский свитер с оленями</v>
      </c>
      <c r="E2135" s="133" t="str">
        <f>IFERROR(__xludf.DUMMYFUNCTION("""COMPUTED_VALUE"""),"XL-52")</f>
        <v>XL-52</v>
      </c>
      <c r="F2135" s="133" t="str">
        <f>IFERROR(__xludf.DUMMYFUNCTION("""COMPUTED_VALUE"""),"11019BLWXL-52")</f>
        <v>11019BLWXL-52</v>
      </c>
      <c r="G2135" s="165">
        <f>IFERROR(__xludf.DUMMYFUNCTION("""COMPUTED_VALUE"""),916.0)</f>
        <v>916</v>
      </c>
    </row>
    <row r="2136" ht="15.75" customHeight="1">
      <c r="A2136" s="133" t="str">
        <f>IFERROR(__xludf.DUMMYFUNCTION("""COMPUTED_VALUE"""),"13619BLW")</f>
        <v>13619BLW</v>
      </c>
      <c r="B2136" s="164">
        <f>IFERROR(__xludf.DUMMYFUNCTION("""COMPUTED_VALUE"""),9227767.0)</f>
        <v>9227767</v>
      </c>
      <c r="C2136" s="164" t="str">
        <f>IFERROR(__xludf.DUMMYFUNCTION("""COMPUTED_VALUE"""),"9227767XXS- 42")</f>
        <v>9227767XXS- 42</v>
      </c>
      <c r="D2136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36" s="133" t="str">
        <f>IFERROR(__xludf.DUMMYFUNCTION("""COMPUTED_VALUE"""),"XXS- 42")</f>
        <v>XXS- 42</v>
      </c>
      <c r="F2136" s="133" t="str">
        <f>IFERROR(__xludf.DUMMYFUNCTION("""COMPUTED_VALUE"""),"13619BLWXXS- 42")</f>
        <v>13619BLWXXS- 42</v>
      </c>
      <c r="G2136" s="165">
        <f>IFERROR(__xludf.DUMMYFUNCTION("""COMPUTED_VALUE"""),1020.0)</f>
        <v>1020</v>
      </c>
    </row>
    <row r="2137" ht="15.75" customHeight="1">
      <c r="A2137" s="133" t="str">
        <f>IFERROR(__xludf.DUMMYFUNCTION("""COMPUTED_VALUE"""),"13619BLW")</f>
        <v>13619BLW</v>
      </c>
      <c r="B2137" s="164">
        <f>IFERROR(__xludf.DUMMYFUNCTION("""COMPUTED_VALUE"""),9227767.0)</f>
        <v>9227767</v>
      </c>
      <c r="C2137" s="164" t="str">
        <f>IFERROR(__xludf.DUMMYFUNCTION("""COMPUTED_VALUE"""),"9227767ХS - 44")</f>
        <v>9227767ХS - 44</v>
      </c>
      <c r="D2137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37" s="133" t="str">
        <f>IFERROR(__xludf.DUMMYFUNCTION("""COMPUTED_VALUE"""),"ХS - 44")</f>
        <v>ХS - 44</v>
      </c>
      <c r="F2137" s="133" t="str">
        <f>IFERROR(__xludf.DUMMYFUNCTION("""COMPUTED_VALUE"""),"13619BLWХS - 44")</f>
        <v>13619BLWХS - 44</v>
      </c>
      <c r="G2137" s="165">
        <f>IFERROR(__xludf.DUMMYFUNCTION("""COMPUTED_VALUE"""),1020.0)</f>
        <v>1020</v>
      </c>
    </row>
    <row r="2138" ht="15.75" customHeight="1">
      <c r="A2138" s="133" t="str">
        <f>IFERROR(__xludf.DUMMYFUNCTION("""COMPUTED_VALUE"""),"13619BLW")</f>
        <v>13619BLW</v>
      </c>
      <c r="B2138" s="164">
        <f>IFERROR(__xludf.DUMMYFUNCTION("""COMPUTED_VALUE"""),9227767.0)</f>
        <v>9227767</v>
      </c>
      <c r="C2138" s="164" t="str">
        <f>IFERROR(__xludf.DUMMYFUNCTION("""COMPUTED_VALUE"""),"9227767S - 46")</f>
        <v>9227767S - 46</v>
      </c>
      <c r="D2138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38" s="133" t="str">
        <f>IFERROR(__xludf.DUMMYFUNCTION("""COMPUTED_VALUE"""),"S - 46")</f>
        <v>S - 46</v>
      </c>
      <c r="F2138" s="133" t="str">
        <f>IFERROR(__xludf.DUMMYFUNCTION("""COMPUTED_VALUE"""),"13619BLWS - 46")</f>
        <v>13619BLWS - 46</v>
      </c>
      <c r="G2138" s="165">
        <f>IFERROR(__xludf.DUMMYFUNCTION("""COMPUTED_VALUE"""),1020.0)</f>
        <v>1020</v>
      </c>
    </row>
    <row r="2139" ht="15.75" customHeight="1">
      <c r="A2139" s="133" t="str">
        <f>IFERROR(__xludf.DUMMYFUNCTION("""COMPUTED_VALUE"""),"13619BLW")</f>
        <v>13619BLW</v>
      </c>
      <c r="B2139" s="164">
        <f>IFERROR(__xludf.DUMMYFUNCTION("""COMPUTED_VALUE"""),9227767.0)</f>
        <v>9227767</v>
      </c>
      <c r="C2139" s="164" t="str">
        <f>IFERROR(__xludf.DUMMYFUNCTION("""COMPUTED_VALUE"""),"9227767M - 48")</f>
        <v>9227767M - 48</v>
      </c>
      <c r="D2139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39" s="133" t="str">
        <f>IFERROR(__xludf.DUMMYFUNCTION("""COMPUTED_VALUE"""),"M - 48")</f>
        <v>M - 48</v>
      </c>
      <c r="F2139" s="133" t="str">
        <f>IFERROR(__xludf.DUMMYFUNCTION("""COMPUTED_VALUE"""),"13619BLWM - 48")</f>
        <v>13619BLWM - 48</v>
      </c>
      <c r="G2139" s="165">
        <f>IFERROR(__xludf.DUMMYFUNCTION("""COMPUTED_VALUE"""),1020.0)</f>
        <v>1020</v>
      </c>
    </row>
    <row r="2140" ht="15.75" customHeight="1">
      <c r="A2140" s="133" t="str">
        <f>IFERROR(__xludf.DUMMYFUNCTION("""COMPUTED_VALUE"""),"13619BLW")</f>
        <v>13619BLW</v>
      </c>
      <c r="B2140" s="164">
        <f>IFERROR(__xludf.DUMMYFUNCTION("""COMPUTED_VALUE"""),9227767.0)</f>
        <v>9227767</v>
      </c>
      <c r="C2140" s="164" t="str">
        <f>IFERROR(__xludf.DUMMYFUNCTION("""COMPUTED_VALUE"""),"9227767L - 50")</f>
        <v>9227767L - 50</v>
      </c>
      <c r="D2140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40" s="133" t="str">
        <f>IFERROR(__xludf.DUMMYFUNCTION("""COMPUTED_VALUE"""),"L - 50")</f>
        <v>L - 50</v>
      </c>
      <c r="F2140" s="133" t="str">
        <f>IFERROR(__xludf.DUMMYFUNCTION("""COMPUTED_VALUE"""),"13619BLWL - 50")</f>
        <v>13619BLWL - 50</v>
      </c>
      <c r="G2140" s="165">
        <f>IFERROR(__xludf.DUMMYFUNCTION("""COMPUTED_VALUE"""),1020.0)</f>
        <v>1020</v>
      </c>
    </row>
    <row r="2141" ht="15.75" customHeight="1">
      <c r="A2141" s="133" t="str">
        <f>IFERROR(__xludf.DUMMYFUNCTION("""COMPUTED_VALUE"""),"13619BLW")</f>
        <v>13619BLW</v>
      </c>
      <c r="B2141" s="164">
        <f>IFERROR(__xludf.DUMMYFUNCTION("""COMPUTED_VALUE"""),9227767.0)</f>
        <v>9227767</v>
      </c>
      <c r="C2141" s="164" t="str">
        <f>IFERROR(__xludf.DUMMYFUNCTION("""COMPUTED_VALUE"""),"9227767XL-52")</f>
        <v>9227767XL-52</v>
      </c>
      <c r="D2141" s="133" t="str">
        <f>IFERROR(__xludf.DUMMYFUNCTION("""COMPUTED_VALUE"""),"Женский свитер. Орнамент классика с горлом")</f>
        <v>Женский свитер. Орнамент классика с горлом</v>
      </c>
      <c r="E2141" s="133" t="str">
        <f>IFERROR(__xludf.DUMMYFUNCTION("""COMPUTED_VALUE"""),"XL-52")</f>
        <v>XL-52</v>
      </c>
      <c r="F2141" s="133" t="str">
        <f>IFERROR(__xludf.DUMMYFUNCTION("""COMPUTED_VALUE"""),"13619BLWXL-52")</f>
        <v>13619BLWXL-52</v>
      </c>
      <c r="G2141" s="165">
        <f>IFERROR(__xludf.DUMMYFUNCTION("""COMPUTED_VALUE"""),1020.0)</f>
        <v>1020</v>
      </c>
    </row>
    <row r="2142" ht="15.75" customHeight="1">
      <c r="A2142" s="133" t="str">
        <f>IFERROR(__xludf.DUMMYFUNCTION("""COMPUTED_VALUE"""),"13719BLW")</f>
        <v>13719BLW</v>
      </c>
      <c r="B2142" s="164">
        <f>IFERROR(__xludf.DUMMYFUNCTION("""COMPUTED_VALUE"""),9790274.0)</f>
        <v>9790274</v>
      </c>
      <c r="C2142" s="164" t="str">
        <f>IFERROR(__xludf.DUMMYFUNCTION("""COMPUTED_VALUE"""),"9790274XXS- 42")</f>
        <v>9790274XXS- 42</v>
      </c>
      <c r="D2142" s="133" t="str">
        <f>IFERROR(__xludf.DUMMYFUNCTION("""COMPUTED_VALUE"""),"Женский свитер с горлом")</f>
        <v>Женский свитер с горлом</v>
      </c>
      <c r="E2142" s="133" t="str">
        <f>IFERROR(__xludf.DUMMYFUNCTION("""COMPUTED_VALUE"""),"XXS- 42")</f>
        <v>XXS- 42</v>
      </c>
      <c r="F2142" s="133" t="str">
        <f>IFERROR(__xludf.DUMMYFUNCTION("""COMPUTED_VALUE"""),"13719BLWXXS- 42")</f>
        <v>13719BLWXXS- 42</v>
      </c>
      <c r="G2142" s="165">
        <f>IFERROR(__xludf.DUMMYFUNCTION("""COMPUTED_VALUE"""),1020.0)</f>
        <v>1020</v>
      </c>
    </row>
    <row r="2143" ht="15.75" customHeight="1">
      <c r="A2143" s="133" t="str">
        <f>IFERROR(__xludf.DUMMYFUNCTION("""COMPUTED_VALUE"""),"13719BLW")</f>
        <v>13719BLW</v>
      </c>
      <c r="B2143" s="164">
        <f>IFERROR(__xludf.DUMMYFUNCTION("""COMPUTED_VALUE"""),9790274.0)</f>
        <v>9790274</v>
      </c>
      <c r="C2143" s="164" t="str">
        <f>IFERROR(__xludf.DUMMYFUNCTION("""COMPUTED_VALUE"""),"9790274ХS - 44")</f>
        <v>9790274ХS - 44</v>
      </c>
      <c r="D2143" s="133" t="str">
        <f>IFERROR(__xludf.DUMMYFUNCTION("""COMPUTED_VALUE"""),"Женский свитер с горлом")</f>
        <v>Женский свитер с горлом</v>
      </c>
      <c r="E2143" s="133" t="str">
        <f>IFERROR(__xludf.DUMMYFUNCTION("""COMPUTED_VALUE"""),"ХS - 44")</f>
        <v>ХS - 44</v>
      </c>
      <c r="F2143" s="133" t="str">
        <f>IFERROR(__xludf.DUMMYFUNCTION("""COMPUTED_VALUE"""),"13719BLWХS - 44")</f>
        <v>13719BLWХS - 44</v>
      </c>
      <c r="G2143" s="165">
        <f>IFERROR(__xludf.DUMMYFUNCTION("""COMPUTED_VALUE"""),1020.0)</f>
        <v>1020</v>
      </c>
    </row>
    <row r="2144" ht="15.75" customHeight="1">
      <c r="A2144" s="133" t="str">
        <f>IFERROR(__xludf.DUMMYFUNCTION("""COMPUTED_VALUE"""),"13719BLW")</f>
        <v>13719BLW</v>
      </c>
      <c r="B2144" s="164">
        <f>IFERROR(__xludf.DUMMYFUNCTION("""COMPUTED_VALUE"""),9790274.0)</f>
        <v>9790274</v>
      </c>
      <c r="C2144" s="164" t="str">
        <f>IFERROR(__xludf.DUMMYFUNCTION("""COMPUTED_VALUE"""),"9790274S - 46")</f>
        <v>9790274S - 46</v>
      </c>
      <c r="D2144" s="133" t="str">
        <f>IFERROR(__xludf.DUMMYFUNCTION("""COMPUTED_VALUE"""),"Женский свитер с горлом")</f>
        <v>Женский свитер с горлом</v>
      </c>
      <c r="E2144" s="133" t="str">
        <f>IFERROR(__xludf.DUMMYFUNCTION("""COMPUTED_VALUE"""),"S - 46")</f>
        <v>S - 46</v>
      </c>
      <c r="F2144" s="133" t="str">
        <f>IFERROR(__xludf.DUMMYFUNCTION("""COMPUTED_VALUE"""),"13719BLWS - 46")</f>
        <v>13719BLWS - 46</v>
      </c>
      <c r="G2144" s="165">
        <f>IFERROR(__xludf.DUMMYFUNCTION("""COMPUTED_VALUE"""),1020.0)</f>
        <v>1020</v>
      </c>
    </row>
    <row r="2145" ht="15.75" customHeight="1">
      <c r="A2145" s="133" t="str">
        <f>IFERROR(__xludf.DUMMYFUNCTION("""COMPUTED_VALUE"""),"13719BLW")</f>
        <v>13719BLW</v>
      </c>
      <c r="B2145" s="164">
        <f>IFERROR(__xludf.DUMMYFUNCTION("""COMPUTED_VALUE"""),9790274.0)</f>
        <v>9790274</v>
      </c>
      <c r="C2145" s="164" t="str">
        <f>IFERROR(__xludf.DUMMYFUNCTION("""COMPUTED_VALUE"""),"9790274M - 48")</f>
        <v>9790274M - 48</v>
      </c>
      <c r="D2145" s="133" t="str">
        <f>IFERROR(__xludf.DUMMYFUNCTION("""COMPUTED_VALUE"""),"Женский свитер с горлом")</f>
        <v>Женский свитер с горлом</v>
      </c>
      <c r="E2145" s="133" t="str">
        <f>IFERROR(__xludf.DUMMYFUNCTION("""COMPUTED_VALUE"""),"M - 48")</f>
        <v>M - 48</v>
      </c>
      <c r="F2145" s="133" t="str">
        <f>IFERROR(__xludf.DUMMYFUNCTION("""COMPUTED_VALUE"""),"13719BLWM - 48")</f>
        <v>13719BLWM - 48</v>
      </c>
      <c r="G2145" s="165">
        <f>IFERROR(__xludf.DUMMYFUNCTION("""COMPUTED_VALUE"""),1020.0)</f>
        <v>1020</v>
      </c>
    </row>
    <row r="2146" ht="15.75" customHeight="1">
      <c r="A2146" s="133" t="str">
        <f>IFERROR(__xludf.DUMMYFUNCTION("""COMPUTED_VALUE"""),"13719BLW")</f>
        <v>13719BLW</v>
      </c>
      <c r="B2146" s="164">
        <f>IFERROR(__xludf.DUMMYFUNCTION("""COMPUTED_VALUE"""),9790274.0)</f>
        <v>9790274</v>
      </c>
      <c r="C2146" s="164" t="str">
        <f>IFERROR(__xludf.DUMMYFUNCTION("""COMPUTED_VALUE"""),"9790274L - 50")</f>
        <v>9790274L - 50</v>
      </c>
      <c r="D2146" s="133" t="str">
        <f>IFERROR(__xludf.DUMMYFUNCTION("""COMPUTED_VALUE"""),"Женский свитер с горлом")</f>
        <v>Женский свитер с горлом</v>
      </c>
      <c r="E2146" s="133" t="str">
        <f>IFERROR(__xludf.DUMMYFUNCTION("""COMPUTED_VALUE"""),"L - 50")</f>
        <v>L - 50</v>
      </c>
      <c r="F2146" s="133" t="str">
        <f>IFERROR(__xludf.DUMMYFUNCTION("""COMPUTED_VALUE"""),"13719BLWL - 50")</f>
        <v>13719BLWL - 50</v>
      </c>
      <c r="G2146" s="165">
        <f>IFERROR(__xludf.DUMMYFUNCTION("""COMPUTED_VALUE"""),1020.0)</f>
        <v>1020</v>
      </c>
    </row>
    <row r="2147" ht="15.75" customHeight="1">
      <c r="A2147" s="133" t="str">
        <f>IFERROR(__xludf.DUMMYFUNCTION("""COMPUTED_VALUE"""),"13719BLW")</f>
        <v>13719BLW</v>
      </c>
      <c r="B2147" s="164">
        <f>IFERROR(__xludf.DUMMYFUNCTION("""COMPUTED_VALUE"""),9790274.0)</f>
        <v>9790274</v>
      </c>
      <c r="C2147" s="164" t="str">
        <f>IFERROR(__xludf.DUMMYFUNCTION("""COMPUTED_VALUE"""),"9790274XL-52")</f>
        <v>9790274XL-52</v>
      </c>
      <c r="D2147" s="133" t="str">
        <f>IFERROR(__xludf.DUMMYFUNCTION("""COMPUTED_VALUE"""),"Женский свитер с горлом")</f>
        <v>Женский свитер с горлом</v>
      </c>
      <c r="E2147" s="133" t="str">
        <f>IFERROR(__xludf.DUMMYFUNCTION("""COMPUTED_VALUE"""),"XL-52")</f>
        <v>XL-52</v>
      </c>
      <c r="F2147" s="133" t="str">
        <f>IFERROR(__xludf.DUMMYFUNCTION("""COMPUTED_VALUE"""),"13719BLWXL-52")</f>
        <v>13719BLWXL-52</v>
      </c>
      <c r="G2147" s="165">
        <f>IFERROR(__xludf.DUMMYFUNCTION("""COMPUTED_VALUE"""),1020.0)</f>
        <v>1020</v>
      </c>
    </row>
    <row r="2148" ht="15.75" customHeight="1">
      <c r="A2148" s="133" t="str">
        <f>IFERROR(__xludf.DUMMYFUNCTION("""COMPUTED_VALUE"""),"13719BLW")</f>
        <v>13719BLW</v>
      </c>
      <c r="B2148" s="164">
        <f>IFERROR(__xludf.DUMMYFUNCTION("""COMPUTED_VALUE"""),9790274.0)</f>
        <v>9790274</v>
      </c>
      <c r="C2148" s="164" t="str">
        <f>IFERROR(__xludf.DUMMYFUNCTION("""COMPUTED_VALUE"""),"9790274XXL - 54")</f>
        <v>9790274XXL - 54</v>
      </c>
      <c r="D2148" s="133" t="str">
        <f>IFERROR(__xludf.DUMMYFUNCTION("""COMPUTED_VALUE"""),"Женский свитер с горлом")</f>
        <v>Женский свитер с горлом</v>
      </c>
      <c r="E2148" s="133" t="str">
        <f>IFERROR(__xludf.DUMMYFUNCTION("""COMPUTED_VALUE"""),"XXL - 54")</f>
        <v>XXL - 54</v>
      </c>
      <c r="F2148" s="133" t="str">
        <f>IFERROR(__xludf.DUMMYFUNCTION("""COMPUTED_VALUE"""),"13719BLWXXL - 54")</f>
        <v>13719BLWXXL - 54</v>
      </c>
      <c r="G2148" s="165">
        <f>IFERROR(__xludf.DUMMYFUNCTION("""COMPUTED_VALUE"""),1020.0)</f>
        <v>1020</v>
      </c>
    </row>
    <row r="2149" ht="15.75" customHeight="1">
      <c r="A2149" s="133" t="str">
        <f>IFERROR(__xludf.DUMMYFUNCTION("""COMPUTED_VALUE"""),"11419BLM")</f>
        <v>11419BLM</v>
      </c>
      <c r="B2149" s="164">
        <f>IFERROR(__xludf.DUMMYFUNCTION("""COMPUTED_VALUE"""),8955720.0)</f>
        <v>8955720</v>
      </c>
      <c r="C2149" s="164" t="str">
        <f>IFERROR(__xludf.DUMMYFUNCTION("""COMPUTED_VALUE"""),"8955720S - 46")</f>
        <v>8955720S - 46</v>
      </c>
      <c r="D2149" s="133" t="str">
        <f>IFERROR(__xludf.DUMMYFUNCTION("""COMPUTED_VALUE"""),"Мужской свитер. Олени классика с горлом")</f>
        <v>Мужской свитер. Олени классика с горлом</v>
      </c>
      <c r="E2149" s="133" t="str">
        <f>IFERROR(__xludf.DUMMYFUNCTION("""COMPUTED_VALUE"""),"S - 46")</f>
        <v>S - 46</v>
      </c>
      <c r="F2149" s="133" t="str">
        <f>IFERROR(__xludf.DUMMYFUNCTION("""COMPUTED_VALUE"""),"11419BLMS - 46")</f>
        <v>11419BLMS - 46</v>
      </c>
      <c r="G2149" s="165">
        <f>IFERROR(__xludf.DUMMYFUNCTION("""COMPUTED_VALUE"""),1118.0)</f>
        <v>1118</v>
      </c>
    </row>
    <row r="2150" ht="15.75" customHeight="1">
      <c r="A2150" s="133" t="str">
        <f>IFERROR(__xludf.DUMMYFUNCTION("""COMPUTED_VALUE"""),"11419BLM")</f>
        <v>11419BLM</v>
      </c>
      <c r="B2150" s="164">
        <f>IFERROR(__xludf.DUMMYFUNCTION("""COMPUTED_VALUE"""),8955720.0)</f>
        <v>8955720</v>
      </c>
      <c r="C2150" s="164" t="str">
        <f>IFERROR(__xludf.DUMMYFUNCTION("""COMPUTED_VALUE"""),"8955720M - 48")</f>
        <v>8955720M - 48</v>
      </c>
      <c r="D2150" s="133" t="str">
        <f>IFERROR(__xludf.DUMMYFUNCTION("""COMPUTED_VALUE"""),"Мужской свитер. Олени классика с горлом")</f>
        <v>Мужской свитер. Олени классика с горлом</v>
      </c>
      <c r="E2150" s="133" t="str">
        <f>IFERROR(__xludf.DUMMYFUNCTION("""COMPUTED_VALUE"""),"M - 48")</f>
        <v>M - 48</v>
      </c>
      <c r="F2150" s="133" t="str">
        <f>IFERROR(__xludf.DUMMYFUNCTION("""COMPUTED_VALUE"""),"11419BLMM - 48")</f>
        <v>11419BLMM - 48</v>
      </c>
      <c r="G2150" s="165">
        <f>IFERROR(__xludf.DUMMYFUNCTION("""COMPUTED_VALUE"""),1118.0)</f>
        <v>1118</v>
      </c>
    </row>
    <row r="2151" ht="15.75" customHeight="1">
      <c r="A2151" s="133" t="str">
        <f>IFERROR(__xludf.DUMMYFUNCTION("""COMPUTED_VALUE"""),"11419BLM")</f>
        <v>11419BLM</v>
      </c>
      <c r="B2151" s="164">
        <f>IFERROR(__xludf.DUMMYFUNCTION("""COMPUTED_VALUE"""),8955720.0)</f>
        <v>8955720</v>
      </c>
      <c r="C2151" s="164" t="str">
        <f>IFERROR(__xludf.DUMMYFUNCTION("""COMPUTED_VALUE"""),"8955720L - 50")</f>
        <v>8955720L - 50</v>
      </c>
      <c r="D2151" s="133" t="str">
        <f>IFERROR(__xludf.DUMMYFUNCTION("""COMPUTED_VALUE"""),"Мужской свитер. Олени классика с горлом")</f>
        <v>Мужской свитер. Олени классика с горлом</v>
      </c>
      <c r="E2151" s="133" t="str">
        <f>IFERROR(__xludf.DUMMYFUNCTION("""COMPUTED_VALUE"""),"L - 50")</f>
        <v>L - 50</v>
      </c>
      <c r="F2151" s="133" t="str">
        <f>IFERROR(__xludf.DUMMYFUNCTION("""COMPUTED_VALUE"""),"11419BLML - 50")</f>
        <v>11419BLML - 50</v>
      </c>
      <c r="G2151" s="165">
        <f>IFERROR(__xludf.DUMMYFUNCTION("""COMPUTED_VALUE"""),1118.0)</f>
        <v>1118</v>
      </c>
    </row>
    <row r="2152" ht="15.75" customHeight="1">
      <c r="A2152" s="133" t="str">
        <f>IFERROR(__xludf.DUMMYFUNCTION("""COMPUTED_VALUE"""),"11419BLM")</f>
        <v>11419BLM</v>
      </c>
      <c r="B2152" s="164">
        <f>IFERROR(__xludf.DUMMYFUNCTION("""COMPUTED_VALUE"""),8955720.0)</f>
        <v>8955720</v>
      </c>
      <c r="C2152" s="164" t="str">
        <f>IFERROR(__xludf.DUMMYFUNCTION("""COMPUTED_VALUE"""),"8955720XL - 52")</f>
        <v>8955720XL - 52</v>
      </c>
      <c r="D2152" s="133" t="str">
        <f>IFERROR(__xludf.DUMMYFUNCTION("""COMPUTED_VALUE"""),"Мужской свитер. Олени классика с горлом")</f>
        <v>Мужской свитер. Олени классика с горлом</v>
      </c>
      <c r="E2152" s="133" t="str">
        <f>IFERROR(__xludf.DUMMYFUNCTION("""COMPUTED_VALUE"""),"XL - 52")</f>
        <v>XL - 52</v>
      </c>
      <c r="F2152" s="133" t="str">
        <f>IFERROR(__xludf.DUMMYFUNCTION("""COMPUTED_VALUE"""),"11419BLMXL - 52")</f>
        <v>11419BLMXL - 52</v>
      </c>
      <c r="G2152" s="165">
        <f>IFERROR(__xludf.DUMMYFUNCTION("""COMPUTED_VALUE"""),1118.0)</f>
        <v>1118</v>
      </c>
    </row>
    <row r="2153" ht="15.75" customHeight="1">
      <c r="A2153" s="133" t="str">
        <f>IFERROR(__xludf.DUMMYFUNCTION("""COMPUTED_VALUE"""),"11419BLM")</f>
        <v>11419BLM</v>
      </c>
      <c r="B2153" s="164">
        <f>IFERROR(__xludf.DUMMYFUNCTION("""COMPUTED_VALUE"""),8955720.0)</f>
        <v>8955720</v>
      </c>
      <c r="C2153" s="164" t="str">
        <f>IFERROR(__xludf.DUMMYFUNCTION("""COMPUTED_VALUE"""),"8955720XXL - 54")</f>
        <v>8955720XXL - 54</v>
      </c>
      <c r="D2153" s="133" t="str">
        <f>IFERROR(__xludf.DUMMYFUNCTION("""COMPUTED_VALUE"""),"Мужской свитер. Олени классика с горлом")</f>
        <v>Мужской свитер. Олени классика с горлом</v>
      </c>
      <c r="E2153" s="133" t="str">
        <f>IFERROR(__xludf.DUMMYFUNCTION("""COMPUTED_VALUE"""),"XXL - 54")</f>
        <v>XXL - 54</v>
      </c>
      <c r="F2153" s="133" t="str">
        <f>IFERROR(__xludf.DUMMYFUNCTION("""COMPUTED_VALUE"""),"11419BLMXXL - 54")</f>
        <v>11419BLMXXL - 54</v>
      </c>
      <c r="G2153" s="165">
        <f>IFERROR(__xludf.DUMMYFUNCTION("""COMPUTED_VALUE"""),1118.0)</f>
        <v>1118</v>
      </c>
    </row>
    <row r="2154" ht="15.75" customHeight="1">
      <c r="A2154" s="133" t="str">
        <f>IFERROR(__xludf.DUMMYFUNCTION("""COMPUTED_VALUE"""),"11419BLM")</f>
        <v>11419BLM</v>
      </c>
      <c r="B2154" s="164">
        <f>IFERROR(__xludf.DUMMYFUNCTION("""COMPUTED_VALUE"""),8955720.0)</f>
        <v>8955720</v>
      </c>
      <c r="C2154" s="164" t="str">
        <f>IFERROR(__xludf.DUMMYFUNCTION("""COMPUTED_VALUE"""),"8955720XXXL - 56")</f>
        <v>8955720XXXL - 56</v>
      </c>
      <c r="D2154" s="133" t="str">
        <f>IFERROR(__xludf.DUMMYFUNCTION("""COMPUTED_VALUE"""),"Мужской свитер. Олени классика с горлом")</f>
        <v>Мужской свитер. Олени классика с горлом</v>
      </c>
      <c r="E2154" s="133" t="str">
        <f>IFERROR(__xludf.DUMMYFUNCTION("""COMPUTED_VALUE"""),"XXXL - 56")</f>
        <v>XXXL - 56</v>
      </c>
      <c r="F2154" s="133" t="str">
        <f>IFERROR(__xludf.DUMMYFUNCTION("""COMPUTED_VALUE"""),"11419BLMXXXL - 56")</f>
        <v>11419BLMXXXL - 56</v>
      </c>
      <c r="G2154" s="165">
        <f>IFERROR(__xludf.DUMMYFUNCTION("""COMPUTED_VALUE"""),1118.0)</f>
        <v>1118</v>
      </c>
    </row>
    <row r="2155" ht="15.75" customHeight="1">
      <c r="A2155" s="133" t="str">
        <f>IFERROR(__xludf.DUMMYFUNCTION("""COMPUTED_VALUE"""),"12019BLM")</f>
        <v>12019BLM</v>
      </c>
      <c r="B2155" s="164">
        <f>IFERROR(__xludf.DUMMYFUNCTION("""COMPUTED_VALUE"""),8955725.0)</f>
        <v>8955725</v>
      </c>
      <c r="C2155" s="164" t="str">
        <f>IFERROR(__xludf.DUMMYFUNCTION("""COMPUTED_VALUE"""),"8955725S -46")</f>
        <v>8955725S -46</v>
      </c>
      <c r="D2155" s="133" t="str">
        <f>IFERROR(__xludf.DUMMYFUNCTION("""COMPUTED_VALUE"""),"Мужской свитер. Олени в лесу с горлом")</f>
        <v>Мужской свитер. Олени в лесу с горлом</v>
      </c>
      <c r="E2155" s="133" t="str">
        <f>IFERROR(__xludf.DUMMYFUNCTION("""COMPUTED_VALUE"""),"S -46")</f>
        <v>S -46</v>
      </c>
      <c r="F2155" s="133" t="str">
        <f>IFERROR(__xludf.DUMMYFUNCTION("""COMPUTED_VALUE"""),"12019BLMS -46")</f>
        <v>12019BLMS -46</v>
      </c>
      <c r="G2155" s="165">
        <f>IFERROR(__xludf.DUMMYFUNCTION("""COMPUTED_VALUE"""),1075.0)</f>
        <v>1075</v>
      </c>
    </row>
    <row r="2156" ht="15.75" customHeight="1">
      <c r="A2156" s="133" t="str">
        <f>IFERROR(__xludf.DUMMYFUNCTION("""COMPUTED_VALUE"""),"12019BLM")</f>
        <v>12019BLM</v>
      </c>
      <c r="B2156" s="164">
        <f>IFERROR(__xludf.DUMMYFUNCTION("""COMPUTED_VALUE"""),8955725.0)</f>
        <v>8955725</v>
      </c>
      <c r="C2156" s="164" t="str">
        <f>IFERROR(__xludf.DUMMYFUNCTION("""COMPUTED_VALUE"""),"8955725M - 48")</f>
        <v>8955725M - 48</v>
      </c>
      <c r="D2156" s="133" t="str">
        <f>IFERROR(__xludf.DUMMYFUNCTION("""COMPUTED_VALUE"""),"Мужской свитер. Олени в лесу с горлом")</f>
        <v>Мужской свитер. Олени в лесу с горлом</v>
      </c>
      <c r="E2156" s="133" t="str">
        <f>IFERROR(__xludf.DUMMYFUNCTION("""COMPUTED_VALUE"""),"M - 48")</f>
        <v>M - 48</v>
      </c>
      <c r="F2156" s="133" t="str">
        <f>IFERROR(__xludf.DUMMYFUNCTION("""COMPUTED_VALUE"""),"12019BLMM - 48")</f>
        <v>12019BLMM - 48</v>
      </c>
      <c r="G2156" s="165">
        <f>IFERROR(__xludf.DUMMYFUNCTION("""COMPUTED_VALUE"""),1075.0)</f>
        <v>1075</v>
      </c>
    </row>
    <row r="2157" ht="15.75" customHeight="1">
      <c r="A2157" s="133" t="str">
        <f>IFERROR(__xludf.DUMMYFUNCTION("""COMPUTED_VALUE"""),"12019BLM")</f>
        <v>12019BLM</v>
      </c>
      <c r="B2157" s="164">
        <f>IFERROR(__xludf.DUMMYFUNCTION("""COMPUTED_VALUE"""),8955725.0)</f>
        <v>8955725</v>
      </c>
      <c r="C2157" s="164" t="str">
        <f>IFERROR(__xludf.DUMMYFUNCTION("""COMPUTED_VALUE"""),"8955725L - 50")</f>
        <v>8955725L - 50</v>
      </c>
      <c r="D2157" s="133" t="str">
        <f>IFERROR(__xludf.DUMMYFUNCTION("""COMPUTED_VALUE"""),"Мужской свитер. Олени в лесу с горлом")</f>
        <v>Мужской свитер. Олени в лесу с горлом</v>
      </c>
      <c r="E2157" s="133" t="str">
        <f>IFERROR(__xludf.DUMMYFUNCTION("""COMPUTED_VALUE"""),"L - 50")</f>
        <v>L - 50</v>
      </c>
      <c r="F2157" s="133" t="str">
        <f>IFERROR(__xludf.DUMMYFUNCTION("""COMPUTED_VALUE"""),"12019BLML - 50")</f>
        <v>12019BLML - 50</v>
      </c>
      <c r="G2157" s="165">
        <f>IFERROR(__xludf.DUMMYFUNCTION("""COMPUTED_VALUE"""),1075.0)</f>
        <v>1075</v>
      </c>
    </row>
    <row r="2158" ht="15.75" customHeight="1">
      <c r="A2158" s="133" t="str">
        <f>IFERROR(__xludf.DUMMYFUNCTION("""COMPUTED_VALUE"""),"12019BLM")</f>
        <v>12019BLM</v>
      </c>
      <c r="B2158" s="164">
        <f>IFERROR(__xludf.DUMMYFUNCTION("""COMPUTED_VALUE"""),8955725.0)</f>
        <v>8955725</v>
      </c>
      <c r="C2158" s="164" t="str">
        <f>IFERROR(__xludf.DUMMYFUNCTION("""COMPUTED_VALUE"""),"8955725XL - 52")</f>
        <v>8955725XL - 52</v>
      </c>
      <c r="D2158" s="133" t="str">
        <f>IFERROR(__xludf.DUMMYFUNCTION("""COMPUTED_VALUE"""),"Мужской свитер. Олени в лесу с горлом")</f>
        <v>Мужской свитер. Олени в лесу с горлом</v>
      </c>
      <c r="E2158" s="133" t="str">
        <f>IFERROR(__xludf.DUMMYFUNCTION("""COMPUTED_VALUE"""),"XL - 52")</f>
        <v>XL - 52</v>
      </c>
      <c r="F2158" s="133" t="str">
        <f>IFERROR(__xludf.DUMMYFUNCTION("""COMPUTED_VALUE"""),"12019BLMXL - 52")</f>
        <v>12019BLMXL - 52</v>
      </c>
      <c r="G2158" s="165">
        <f>IFERROR(__xludf.DUMMYFUNCTION("""COMPUTED_VALUE"""),1075.0)</f>
        <v>1075</v>
      </c>
    </row>
    <row r="2159" ht="15.75" customHeight="1">
      <c r="A2159" s="133" t="str">
        <f>IFERROR(__xludf.DUMMYFUNCTION("""COMPUTED_VALUE"""),"12019BLM")</f>
        <v>12019BLM</v>
      </c>
      <c r="B2159" s="164">
        <f>IFERROR(__xludf.DUMMYFUNCTION("""COMPUTED_VALUE"""),8955725.0)</f>
        <v>8955725</v>
      </c>
      <c r="C2159" s="164" t="str">
        <f>IFERROR(__xludf.DUMMYFUNCTION("""COMPUTED_VALUE"""),"8955725XXL - 54")</f>
        <v>8955725XXL - 54</v>
      </c>
      <c r="D2159" s="133" t="str">
        <f>IFERROR(__xludf.DUMMYFUNCTION("""COMPUTED_VALUE"""),"Мужской свитер. Олени в лесу с горлом")</f>
        <v>Мужской свитер. Олени в лесу с горлом</v>
      </c>
      <c r="E2159" s="133" t="str">
        <f>IFERROR(__xludf.DUMMYFUNCTION("""COMPUTED_VALUE"""),"XXL - 54")</f>
        <v>XXL - 54</v>
      </c>
      <c r="F2159" s="133" t="str">
        <f>IFERROR(__xludf.DUMMYFUNCTION("""COMPUTED_VALUE"""),"12019BLMXXL - 54")</f>
        <v>12019BLMXXL - 54</v>
      </c>
      <c r="G2159" s="165">
        <f>IFERROR(__xludf.DUMMYFUNCTION("""COMPUTED_VALUE"""),1075.0)</f>
        <v>1075</v>
      </c>
    </row>
    <row r="2160" ht="15.75" customHeight="1">
      <c r="A2160" s="133" t="str">
        <f>IFERROR(__xludf.DUMMYFUNCTION("""COMPUTED_VALUE"""),"12019BLM")</f>
        <v>12019BLM</v>
      </c>
      <c r="B2160" s="164">
        <f>IFERROR(__xludf.DUMMYFUNCTION("""COMPUTED_VALUE"""),8955725.0)</f>
        <v>8955725</v>
      </c>
      <c r="C2160" s="164" t="str">
        <f>IFERROR(__xludf.DUMMYFUNCTION("""COMPUTED_VALUE"""),"8955725XXXL - 56")</f>
        <v>8955725XXXL - 56</v>
      </c>
      <c r="D2160" s="133" t="str">
        <f>IFERROR(__xludf.DUMMYFUNCTION("""COMPUTED_VALUE"""),"Мужской свитер. Олени в лесу с горлом")</f>
        <v>Мужской свитер. Олени в лесу с горлом</v>
      </c>
      <c r="E2160" s="133" t="str">
        <f>IFERROR(__xludf.DUMMYFUNCTION("""COMPUTED_VALUE"""),"XXXL - 56")</f>
        <v>XXXL - 56</v>
      </c>
      <c r="F2160" s="133" t="str">
        <f>IFERROR(__xludf.DUMMYFUNCTION("""COMPUTED_VALUE"""),"12019BLMXXXL - 56")</f>
        <v>12019BLMXXXL - 56</v>
      </c>
      <c r="G2160" s="165">
        <f>IFERROR(__xludf.DUMMYFUNCTION("""COMPUTED_VALUE"""),1075.0)</f>
        <v>1075</v>
      </c>
    </row>
    <row r="2161" ht="15.75" customHeight="1">
      <c r="A2161" s="133" t="str">
        <f>IFERROR(__xludf.DUMMYFUNCTION("""COMPUTED_VALUE"""),"12119BLM")</f>
        <v>12119BLM</v>
      </c>
      <c r="B2161" s="164">
        <f>IFERROR(__xludf.DUMMYFUNCTION("""COMPUTED_VALUE"""),8955726.0)</f>
        <v>8955726</v>
      </c>
      <c r="C2161" s="164" t="str">
        <f>IFERROR(__xludf.DUMMYFUNCTION("""COMPUTED_VALUE"""),"8955726S -46")</f>
        <v>8955726S -46</v>
      </c>
      <c r="D2161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1" s="133" t="str">
        <f>IFERROR(__xludf.DUMMYFUNCTION("""COMPUTED_VALUE"""),"S -46")</f>
        <v>S -46</v>
      </c>
      <c r="F2161" s="133" t="str">
        <f>IFERROR(__xludf.DUMMYFUNCTION("""COMPUTED_VALUE"""),"12119BLMS -46")</f>
        <v>12119BLMS -46</v>
      </c>
      <c r="G2161" s="165">
        <f>IFERROR(__xludf.DUMMYFUNCTION("""COMPUTED_VALUE"""),1075.0)</f>
        <v>1075</v>
      </c>
    </row>
    <row r="2162" ht="15.75" customHeight="1">
      <c r="A2162" s="133" t="str">
        <f>IFERROR(__xludf.DUMMYFUNCTION("""COMPUTED_VALUE"""),"12119BLM")</f>
        <v>12119BLM</v>
      </c>
      <c r="B2162" s="164">
        <f>IFERROR(__xludf.DUMMYFUNCTION("""COMPUTED_VALUE"""),8955726.0)</f>
        <v>8955726</v>
      </c>
      <c r="C2162" s="164" t="str">
        <f>IFERROR(__xludf.DUMMYFUNCTION("""COMPUTED_VALUE"""),"8955726M - 48")</f>
        <v>8955726M - 48</v>
      </c>
      <c r="D2162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2" s="133" t="str">
        <f>IFERROR(__xludf.DUMMYFUNCTION("""COMPUTED_VALUE"""),"M - 48")</f>
        <v>M - 48</v>
      </c>
      <c r="F2162" s="133" t="str">
        <f>IFERROR(__xludf.DUMMYFUNCTION("""COMPUTED_VALUE"""),"12119BLMM - 48")</f>
        <v>12119BLMM - 48</v>
      </c>
      <c r="G2162" s="165">
        <f>IFERROR(__xludf.DUMMYFUNCTION("""COMPUTED_VALUE"""),1075.0)</f>
        <v>1075</v>
      </c>
    </row>
    <row r="2163" ht="15.75" customHeight="1">
      <c r="A2163" s="133" t="str">
        <f>IFERROR(__xludf.DUMMYFUNCTION("""COMPUTED_VALUE"""),"12119BLM")</f>
        <v>12119BLM</v>
      </c>
      <c r="B2163" s="164">
        <f>IFERROR(__xludf.DUMMYFUNCTION("""COMPUTED_VALUE"""),8955726.0)</f>
        <v>8955726</v>
      </c>
      <c r="C2163" s="164" t="str">
        <f>IFERROR(__xludf.DUMMYFUNCTION("""COMPUTED_VALUE"""),"8955726L - 50")</f>
        <v>8955726L - 50</v>
      </c>
      <c r="D2163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3" s="133" t="str">
        <f>IFERROR(__xludf.DUMMYFUNCTION("""COMPUTED_VALUE"""),"L - 50")</f>
        <v>L - 50</v>
      </c>
      <c r="F2163" s="133" t="str">
        <f>IFERROR(__xludf.DUMMYFUNCTION("""COMPUTED_VALUE"""),"12119BLML - 50")</f>
        <v>12119BLML - 50</v>
      </c>
      <c r="G2163" s="165">
        <f>IFERROR(__xludf.DUMMYFUNCTION("""COMPUTED_VALUE"""),1075.0)</f>
        <v>1075</v>
      </c>
    </row>
    <row r="2164" ht="15.75" customHeight="1">
      <c r="A2164" s="133" t="str">
        <f>IFERROR(__xludf.DUMMYFUNCTION("""COMPUTED_VALUE"""),"12119BLM")</f>
        <v>12119BLM</v>
      </c>
      <c r="B2164" s="164">
        <f>IFERROR(__xludf.DUMMYFUNCTION("""COMPUTED_VALUE"""),8955726.0)</f>
        <v>8955726</v>
      </c>
      <c r="C2164" s="164" t="str">
        <f>IFERROR(__xludf.DUMMYFUNCTION("""COMPUTED_VALUE"""),"8955726XL - 52")</f>
        <v>8955726XL - 52</v>
      </c>
      <c r="D2164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4" s="133" t="str">
        <f>IFERROR(__xludf.DUMMYFUNCTION("""COMPUTED_VALUE"""),"XL - 52")</f>
        <v>XL - 52</v>
      </c>
      <c r="F2164" s="133" t="str">
        <f>IFERROR(__xludf.DUMMYFUNCTION("""COMPUTED_VALUE"""),"12119BLMXL - 52")</f>
        <v>12119BLMXL - 52</v>
      </c>
      <c r="G2164" s="165">
        <f>IFERROR(__xludf.DUMMYFUNCTION("""COMPUTED_VALUE"""),1075.0)</f>
        <v>1075</v>
      </c>
    </row>
    <row r="2165" ht="15.75" customHeight="1">
      <c r="A2165" s="133" t="str">
        <f>IFERROR(__xludf.DUMMYFUNCTION("""COMPUTED_VALUE"""),"12119BLM")</f>
        <v>12119BLM</v>
      </c>
      <c r="B2165" s="164">
        <f>IFERROR(__xludf.DUMMYFUNCTION("""COMPUTED_VALUE"""),8955726.0)</f>
        <v>8955726</v>
      </c>
      <c r="C2165" s="164" t="str">
        <f>IFERROR(__xludf.DUMMYFUNCTION("""COMPUTED_VALUE"""),"8955726XXL - 54")</f>
        <v>8955726XXL - 54</v>
      </c>
      <c r="D2165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5" s="133" t="str">
        <f>IFERROR(__xludf.DUMMYFUNCTION("""COMPUTED_VALUE"""),"XXL - 54")</f>
        <v>XXL - 54</v>
      </c>
      <c r="F2165" s="133" t="str">
        <f>IFERROR(__xludf.DUMMYFUNCTION("""COMPUTED_VALUE"""),"12119BLMXXL - 54")</f>
        <v>12119BLMXXL - 54</v>
      </c>
      <c r="G2165" s="165">
        <f>IFERROR(__xludf.DUMMYFUNCTION("""COMPUTED_VALUE"""),1075.0)</f>
        <v>1075</v>
      </c>
    </row>
    <row r="2166" ht="15.75" customHeight="1">
      <c r="A2166" s="133" t="str">
        <f>IFERROR(__xludf.DUMMYFUNCTION("""COMPUTED_VALUE"""),"12119BLM")</f>
        <v>12119BLM</v>
      </c>
      <c r="B2166" s="164">
        <f>IFERROR(__xludf.DUMMYFUNCTION("""COMPUTED_VALUE"""),8955726.0)</f>
        <v>8955726</v>
      </c>
      <c r="C2166" s="164" t="str">
        <f>IFERROR(__xludf.DUMMYFUNCTION("""COMPUTED_VALUE"""),"8955726XXXL - 56")</f>
        <v>8955726XXXL - 56</v>
      </c>
      <c r="D2166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6" s="133" t="str">
        <f>IFERROR(__xludf.DUMMYFUNCTION("""COMPUTED_VALUE"""),"XXXL - 56")</f>
        <v>XXXL - 56</v>
      </c>
      <c r="F2166" s="133" t="str">
        <f>IFERROR(__xludf.DUMMYFUNCTION("""COMPUTED_VALUE"""),"12119BLMXXXL - 56")</f>
        <v>12119BLMXXXL - 56</v>
      </c>
      <c r="G2166" s="165">
        <f>IFERROR(__xludf.DUMMYFUNCTION("""COMPUTED_VALUE"""),1075.0)</f>
        <v>1075</v>
      </c>
    </row>
    <row r="2167" ht="15.75" customHeight="1">
      <c r="A2167" s="133" t="str">
        <f>IFERROR(__xludf.DUMMYFUNCTION("""COMPUTED_VALUE"""),"12219BLM")</f>
        <v>12219BLM</v>
      </c>
      <c r="B2167" s="164">
        <f>IFERROR(__xludf.DUMMYFUNCTION("""COMPUTED_VALUE"""),8955727.0)</f>
        <v>8955727</v>
      </c>
      <c r="C2167" s="164" t="str">
        <f>IFERROR(__xludf.DUMMYFUNCTION("""COMPUTED_VALUE"""),"8955727S -46")</f>
        <v>8955727S -46</v>
      </c>
      <c r="D2167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7" s="133" t="str">
        <f>IFERROR(__xludf.DUMMYFUNCTION("""COMPUTED_VALUE"""),"S -46")</f>
        <v>S -46</v>
      </c>
      <c r="F2167" s="133" t="str">
        <f>IFERROR(__xludf.DUMMYFUNCTION("""COMPUTED_VALUE"""),"12219BLMS -46")</f>
        <v>12219BLMS -46</v>
      </c>
      <c r="G2167" s="165">
        <f>IFERROR(__xludf.DUMMYFUNCTION("""COMPUTED_VALUE"""),1075.0)</f>
        <v>1075</v>
      </c>
    </row>
    <row r="2168" ht="15.75" customHeight="1">
      <c r="A2168" s="133" t="str">
        <f>IFERROR(__xludf.DUMMYFUNCTION("""COMPUTED_VALUE"""),"12219BLM")</f>
        <v>12219BLM</v>
      </c>
      <c r="B2168" s="164">
        <f>IFERROR(__xludf.DUMMYFUNCTION("""COMPUTED_VALUE"""),8955727.0)</f>
        <v>8955727</v>
      </c>
      <c r="C2168" s="164" t="str">
        <f>IFERROR(__xludf.DUMMYFUNCTION("""COMPUTED_VALUE"""),"8955727M - 48")</f>
        <v>8955727M - 48</v>
      </c>
      <c r="D2168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8" s="133" t="str">
        <f>IFERROR(__xludf.DUMMYFUNCTION("""COMPUTED_VALUE"""),"M - 48")</f>
        <v>M - 48</v>
      </c>
      <c r="F2168" s="133" t="str">
        <f>IFERROR(__xludf.DUMMYFUNCTION("""COMPUTED_VALUE"""),"12219BLMM - 48")</f>
        <v>12219BLMM - 48</v>
      </c>
      <c r="G2168" s="165">
        <f>IFERROR(__xludf.DUMMYFUNCTION("""COMPUTED_VALUE"""),1075.0)</f>
        <v>1075</v>
      </c>
    </row>
    <row r="2169" ht="15.75" customHeight="1">
      <c r="A2169" s="133" t="str">
        <f>IFERROR(__xludf.DUMMYFUNCTION("""COMPUTED_VALUE"""),"12219BLM")</f>
        <v>12219BLM</v>
      </c>
      <c r="B2169" s="164">
        <f>IFERROR(__xludf.DUMMYFUNCTION("""COMPUTED_VALUE"""),8955727.0)</f>
        <v>8955727</v>
      </c>
      <c r="C2169" s="164" t="str">
        <f>IFERROR(__xludf.DUMMYFUNCTION("""COMPUTED_VALUE"""),"8955727L - 50")</f>
        <v>8955727L - 50</v>
      </c>
      <c r="D2169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69" s="133" t="str">
        <f>IFERROR(__xludf.DUMMYFUNCTION("""COMPUTED_VALUE"""),"L - 50")</f>
        <v>L - 50</v>
      </c>
      <c r="F2169" s="133" t="str">
        <f>IFERROR(__xludf.DUMMYFUNCTION("""COMPUTED_VALUE"""),"12219BLML - 50")</f>
        <v>12219BLML - 50</v>
      </c>
      <c r="G2169" s="165">
        <f>IFERROR(__xludf.DUMMYFUNCTION("""COMPUTED_VALUE"""),1075.0)</f>
        <v>1075</v>
      </c>
    </row>
    <row r="2170" ht="15.75" customHeight="1">
      <c r="A2170" s="133" t="str">
        <f>IFERROR(__xludf.DUMMYFUNCTION("""COMPUTED_VALUE"""),"12219BLM")</f>
        <v>12219BLM</v>
      </c>
      <c r="B2170" s="164">
        <f>IFERROR(__xludf.DUMMYFUNCTION("""COMPUTED_VALUE"""),8955727.0)</f>
        <v>8955727</v>
      </c>
      <c r="C2170" s="164" t="str">
        <f>IFERROR(__xludf.DUMMYFUNCTION("""COMPUTED_VALUE"""),"8955727XL - 52")</f>
        <v>8955727XL - 52</v>
      </c>
      <c r="D2170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70" s="133" t="str">
        <f>IFERROR(__xludf.DUMMYFUNCTION("""COMPUTED_VALUE"""),"XL - 52")</f>
        <v>XL - 52</v>
      </c>
      <c r="F2170" s="133" t="str">
        <f>IFERROR(__xludf.DUMMYFUNCTION("""COMPUTED_VALUE"""),"12219BLMXL - 52")</f>
        <v>12219BLMXL - 52</v>
      </c>
      <c r="G2170" s="165">
        <f>IFERROR(__xludf.DUMMYFUNCTION("""COMPUTED_VALUE"""),1075.0)</f>
        <v>1075</v>
      </c>
    </row>
    <row r="2171" ht="15.75" customHeight="1">
      <c r="A2171" s="133" t="str">
        <f>IFERROR(__xludf.DUMMYFUNCTION("""COMPUTED_VALUE"""),"12219BLM")</f>
        <v>12219BLM</v>
      </c>
      <c r="B2171" s="164">
        <f>IFERROR(__xludf.DUMMYFUNCTION("""COMPUTED_VALUE"""),8955727.0)</f>
        <v>8955727</v>
      </c>
      <c r="C2171" s="164" t="str">
        <f>IFERROR(__xludf.DUMMYFUNCTION("""COMPUTED_VALUE"""),"8955727XXL - 54")</f>
        <v>8955727XXL - 54</v>
      </c>
      <c r="D2171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71" s="133" t="str">
        <f>IFERROR(__xludf.DUMMYFUNCTION("""COMPUTED_VALUE"""),"XXL - 54")</f>
        <v>XXL - 54</v>
      </c>
      <c r="F2171" s="133" t="str">
        <f>IFERROR(__xludf.DUMMYFUNCTION("""COMPUTED_VALUE"""),"12219BLMXXL - 54")</f>
        <v>12219BLMXXL - 54</v>
      </c>
      <c r="G2171" s="165">
        <f>IFERROR(__xludf.DUMMYFUNCTION("""COMPUTED_VALUE"""),1075.0)</f>
        <v>1075</v>
      </c>
    </row>
    <row r="2172" ht="15.75" customHeight="1">
      <c r="A2172" s="133" t="str">
        <f>IFERROR(__xludf.DUMMYFUNCTION("""COMPUTED_VALUE"""),"12219BLM")</f>
        <v>12219BLM</v>
      </c>
      <c r="B2172" s="164">
        <f>IFERROR(__xludf.DUMMYFUNCTION("""COMPUTED_VALUE"""),8955727.0)</f>
        <v>8955727</v>
      </c>
      <c r="C2172" s="164" t="str">
        <f>IFERROR(__xludf.DUMMYFUNCTION("""COMPUTED_VALUE"""),"8955727XXXL - 56")</f>
        <v>8955727XXXL - 56</v>
      </c>
      <c r="D2172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72" s="133" t="str">
        <f>IFERROR(__xludf.DUMMYFUNCTION("""COMPUTED_VALUE"""),"XXXL - 56")</f>
        <v>XXXL - 56</v>
      </c>
      <c r="F2172" s="133" t="str">
        <f>IFERROR(__xludf.DUMMYFUNCTION("""COMPUTED_VALUE"""),"12219BLMXXXL - 56")</f>
        <v>12219BLMXXXL - 56</v>
      </c>
      <c r="G2172" s="165">
        <f>IFERROR(__xludf.DUMMYFUNCTION("""COMPUTED_VALUE"""),1075.0)</f>
        <v>1075</v>
      </c>
    </row>
    <row r="2173" ht="15.75" customHeight="1">
      <c r="A2173" s="133" t="str">
        <f>IFERROR(__xludf.DUMMYFUNCTION("""COMPUTED_VALUE"""),"12319BLM")</f>
        <v>12319BLM</v>
      </c>
      <c r="B2173" s="164">
        <f>IFERROR(__xludf.DUMMYFUNCTION("""COMPUTED_VALUE"""),9523103.0)</f>
        <v>9523103</v>
      </c>
      <c r="C2173" s="164" t="str">
        <f>IFERROR(__xludf.DUMMYFUNCTION("""COMPUTED_VALUE"""),"9523103S -46")</f>
        <v>9523103S -46</v>
      </c>
      <c r="D2173" s="133" t="str">
        <f>IFERROR(__xludf.DUMMYFUNCTION("""COMPUTED_VALUE"""),"Мужской свитер. Скандика с горлом")</f>
        <v>Мужской свитер. Скандика с горлом</v>
      </c>
      <c r="E2173" s="133" t="str">
        <f>IFERROR(__xludf.DUMMYFUNCTION("""COMPUTED_VALUE"""),"S -46")</f>
        <v>S -46</v>
      </c>
      <c r="F2173" s="133" t="str">
        <f>IFERROR(__xludf.DUMMYFUNCTION("""COMPUTED_VALUE"""),"12319BLMS -46")</f>
        <v>12319BLMS -46</v>
      </c>
      <c r="G2173" s="165">
        <f>IFERROR(__xludf.DUMMYFUNCTION("""COMPUTED_VALUE"""),1075.0)</f>
        <v>1075</v>
      </c>
    </row>
    <row r="2174" ht="15.75" customHeight="1">
      <c r="A2174" s="133" t="str">
        <f>IFERROR(__xludf.DUMMYFUNCTION("""COMPUTED_VALUE"""),"12319BLM")</f>
        <v>12319BLM</v>
      </c>
      <c r="B2174" s="164">
        <f>IFERROR(__xludf.DUMMYFUNCTION("""COMPUTED_VALUE"""),9523103.0)</f>
        <v>9523103</v>
      </c>
      <c r="C2174" s="164" t="str">
        <f>IFERROR(__xludf.DUMMYFUNCTION("""COMPUTED_VALUE"""),"9523103M - 48")</f>
        <v>9523103M - 48</v>
      </c>
      <c r="D2174" s="133" t="str">
        <f>IFERROR(__xludf.DUMMYFUNCTION("""COMPUTED_VALUE"""),"Мужской свитер. Скандика с горлом")</f>
        <v>Мужской свитер. Скандика с горлом</v>
      </c>
      <c r="E2174" s="133" t="str">
        <f>IFERROR(__xludf.DUMMYFUNCTION("""COMPUTED_VALUE"""),"M - 48")</f>
        <v>M - 48</v>
      </c>
      <c r="F2174" s="133" t="str">
        <f>IFERROR(__xludf.DUMMYFUNCTION("""COMPUTED_VALUE"""),"12319BLMM - 48")</f>
        <v>12319BLMM - 48</v>
      </c>
      <c r="G2174" s="165">
        <f>IFERROR(__xludf.DUMMYFUNCTION("""COMPUTED_VALUE"""),1075.0)</f>
        <v>1075</v>
      </c>
    </row>
    <row r="2175" ht="15.75" customHeight="1">
      <c r="A2175" s="133" t="str">
        <f>IFERROR(__xludf.DUMMYFUNCTION("""COMPUTED_VALUE"""),"12319BLM")</f>
        <v>12319BLM</v>
      </c>
      <c r="B2175" s="164">
        <f>IFERROR(__xludf.DUMMYFUNCTION("""COMPUTED_VALUE"""),9523103.0)</f>
        <v>9523103</v>
      </c>
      <c r="C2175" s="164" t="str">
        <f>IFERROR(__xludf.DUMMYFUNCTION("""COMPUTED_VALUE"""),"9523103L")</f>
        <v>9523103L</v>
      </c>
      <c r="D2175" s="133" t="str">
        <f>IFERROR(__xludf.DUMMYFUNCTION("""COMPUTED_VALUE"""),"Мужской свитер. Скандика с горлом")</f>
        <v>Мужской свитер. Скандика с горлом</v>
      </c>
      <c r="E2175" s="133" t="str">
        <f>IFERROR(__xludf.DUMMYFUNCTION("""COMPUTED_VALUE"""),"L")</f>
        <v>L</v>
      </c>
      <c r="F2175" s="133" t="str">
        <f>IFERROR(__xludf.DUMMYFUNCTION("""COMPUTED_VALUE"""),"12319BLML")</f>
        <v>12319BLML</v>
      </c>
      <c r="G2175" s="165">
        <f>IFERROR(__xludf.DUMMYFUNCTION("""COMPUTED_VALUE"""),1075.0)</f>
        <v>1075</v>
      </c>
    </row>
    <row r="2176" ht="15.75" customHeight="1">
      <c r="A2176" s="133" t="str">
        <f>IFERROR(__xludf.DUMMYFUNCTION("""COMPUTED_VALUE"""),"12319BLM")</f>
        <v>12319BLM</v>
      </c>
      <c r="B2176" s="164">
        <f>IFERROR(__xludf.DUMMYFUNCTION("""COMPUTED_VALUE"""),9523103.0)</f>
        <v>9523103</v>
      </c>
      <c r="C2176" s="164" t="str">
        <f>IFERROR(__xludf.DUMMYFUNCTION("""COMPUTED_VALUE"""),"9523103XL")</f>
        <v>9523103XL</v>
      </c>
      <c r="D2176" s="133" t="str">
        <f>IFERROR(__xludf.DUMMYFUNCTION("""COMPUTED_VALUE"""),"Мужской свитер. Скандика с горлом")</f>
        <v>Мужской свитер. Скандика с горлом</v>
      </c>
      <c r="E2176" s="133" t="str">
        <f>IFERROR(__xludf.DUMMYFUNCTION("""COMPUTED_VALUE"""),"XL")</f>
        <v>XL</v>
      </c>
      <c r="F2176" s="133" t="str">
        <f>IFERROR(__xludf.DUMMYFUNCTION("""COMPUTED_VALUE"""),"12319BLMXL")</f>
        <v>12319BLMXL</v>
      </c>
      <c r="G2176" s="165">
        <f>IFERROR(__xludf.DUMMYFUNCTION("""COMPUTED_VALUE"""),1075.0)</f>
        <v>1075</v>
      </c>
    </row>
    <row r="2177" ht="15.75" customHeight="1">
      <c r="A2177" s="133" t="str">
        <f>IFERROR(__xludf.DUMMYFUNCTION("""COMPUTED_VALUE"""),"12319BLM")</f>
        <v>12319BLM</v>
      </c>
      <c r="B2177" s="164">
        <f>IFERROR(__xludf.DUMMYFUNCTION("""COMPUTED_VALUE"""),9523103.0)</f>
        <v>9523103</v>
      </c>
      <c r="C2177" s="164" t="str">
        <f>IFERROR(__xludf.DUMMYFUNCTION("""COMPUTED_VALUE"""),"9523103XXL")</f>
        <v>9523103XXL</v>
      </c>
      <c r="D2177" s="133" t="str">
        <f>IFERROR(__xludf.DUMMYFUNCTION("""COMPUTED_VALUE"""),"Мужской свитер. Скандика с горлом")</f>
        <v>Мужской свитер. Скандика с горлом</v>
      </c>
      <c r="E2177" s="133" t="str">
        <f>IFERROR(__xludf.DUMMYFUNCTION("""COMPUTED_VALUE"""),"XXL")</f>
        <v>XXL</v>
      </c>
      <c r="F2177" s="133" t="str">
        <f>IFERROR(__xludf.DUMMYFUNCTION("""COMPUTED_VALUE"""),"12319BLMXXL")</f>
        <v>12319BLMXXL</v>
      </c>
      <c r="G2177" s="165">
        <f>IFERROR(__xludf.DUMMYFUNCTION("""COMPUTED_VALUE"""),1075.0)</f>
        <v>1075</v>
      </c>
    </row>
    <row r="2178" ht="15.75" customHeight="1">
      <c r="A2178" s="133" t="str">
        <f>IFERROR(__xludf.DUMMYFUNCTION("""COMPUTED_VALUE"""),"12319BLM")</f>
        <v>12319BLM</v>
      </c>
      <c r="B2178" s="164">
        <f>IFERROR(__xludf.DUMMYFUNCTION("""COMPUTED_VALUE"""),9523103.0)</f>
        <v>9523103</v>
      </c>
      <c r="C2178" s="164" t="str">
        <f>IFERROR(__xludf.DUMMYFUNCTION("""COMPUTED_VALUE"""),"9523103XXXL - 56")</f>
        <v>9523103XXXL - 56</v>
      </c>
      <c r="D2178" s="133" t="str">
        <f>IFERROR(__xludf.DUMMYFUNCTION("""COMPUTED_VALUE"""),"Мужской свитер. Скандика с горлом")</f>
        <v>Мужской свитер. Скандика с горлом</v>
      </c>
      <c r="E2178" s="133" t="str">
        <f>IFERROR(__xludf.DUMMYFUNCTION("""COMPUTED_VALUE"""),"XXXL - 56")</f>
        <v>XXXL - 56</v>
      </c>
      <c r="F2178" s="133" t="str">
        <f>IFERROR(__xludf.DUMMYFUNCTION("""COMPUTED_VALUE"""),"12319BLMXXXL - 56")</f>
        <v>12319BLMXXXL - 56</v>
      </c>
      <c r="G2178" s="165">
        <f>IFERROR(__xludf.DUMMYFUNCTION("""COMPUTED_VALUE"""),1075.0)</f>
        <v>1075</v>
      </c>
    </row>
    <row r="2179" ht="15.75" customHeight="1">
      <c r="A2179" s="133" t="str">
        <f>IFERROR(__xludf.DUMMYFUNCTION("""COMPUTED_VALUE"""),"12419BLM")</f>
        <v>12419BLM</v>
      </c>
      <c r="B2179" s="164">
        <f>IFERROR(__xludf.DUMMYFUNCTION("""COMPUTED_VALUE"""),9523104.0)</f>
        <v>9523104</v>
      </c>
      <c r="C2179" s="164" t="str">
        <f>IFERROR(__xludf.DUMMYFUNCTION("""COMPUTED_VALUE"""),"9523104S -46")</f>
        <v>9523104S -46</v>
      </c>
      <c r="D2179" s="133" t="str">
        <f>IFERROR(__xludf.DUMMYFUNCTION("""COMPUTED_VALUE"""),"Мужской свитер. Скандика с горлом")</f>
        <v>Мужской свитер. Скандика с горлом</v>
      </c>
      <c r="E2179" s="133" t="str">
        <f>IFERROR(__xludf.DUMMYFUNCTION("""COMPUTED_VALUE"""),"S -46")</f>
        <v>S -46</v>
      </c>
      <c r="F2179" s="133" t="str">
        <f>IFERROR(__xludf.DUMMYFUNCTION("""COMPUTED_VALUE"""),"12419BLMS -46")</f>
        <v>12419BLMS -46</v>
      </c>
      <c r="G2179" s="165">
        <f>IFERROR(__xludf.DUMMYFUNCTION("""COMPUTED_VALUE"""),1075.0)</f>
        <v>1075</v>
      </c>
    </row>
    <row r="2180" ht="15.75" customHeight="1">
      <c r="A2180" s="133" t="str">
        <f>IFERROR(__xludf.DUMMYFUNCTION("""COMPUTED_VALUE"""),"12419BLM")</f>
        <v>12419BLM</v>
      </c>
      <c r="B2180" s="164">
        <f>IFERROR(__xludf.DUMMYFUNCTION("""COMPUTED_VALUE"""),9523104.0)</f>
        <v>9523104</v>
      </c>
      <c r="C2180" s="164" t="str">
        <f>IFERROR(__xludf.DUMMYFUNCTION("""COMPUTED_VALUE"""),"9523104M - 48")</f>
        <v>9523104M - 48</v>
      </c>
      <c r="D2180" s="133" t="str">
        <f>IFERROR(__xludf.DUMMYFUNCTION("""COMPUTED_VALUE"""),"Мужской свитер. Скандика с горлом")</f>
        <v>Мужской свитер. Скандика с горлом</v>
      </c>
      <c r="E2180" s="133" t="str">
        <f>IFERROR(__xludf.DUMMYFUNCTION("""COMPUTED_VALUE"""),"M - 48")</f>
        <v>M - 48</v>
      </c>
      <c r="F2180" s="133" t="str">
        <f>IFERROR(__xludf.DUMMYFUNCTION("""COMPUTED_VALUE"""),"12419BLMM - 48")</f>
        <v>12419BLMM - 48</v>
      </c>
      <c r="G2180" s="165">
        <f>IFERROR(__xludf.DUMMYFUNCTION("""COMPUTED_VALUE"""),1075.0)</f>
        <v>1075</v>
      </c>
    </row>
    <row r="2181" ht="15.75" customHeight="1">
      <c r="A2181" s="133" t="str">
        <f>IFERROR(__xludf.DUMMYFUNCTION("""COMPUTED_VALUE"""),"12419BLM")</f>
        <v>12419BLM</v>
      </c>
      <c r="B2181" s="164">
        <f>IFERROR(__xludf.DUMMYFUNCTION("""COMPUTED_VALUE"""),9523104.0)</f>
        <v>9523104</v>
      </c>
      <c r="C2181" s="164" t="str">
        <f>IFERROR(__xludf.DUMMYFUNCTION("""COMPUTED_VALUE"""),"9523104L - 50")</f>
        <v>9523104L - 50</v>
      </c>
      <c r="D2181" s="133" t="str">
        <f>IFERROR(__xludf.DUMMYFUNCTION("""COMPUTED_VALUE"""),"Мужской свитер. Скандика с горлом")</f>
        <v>Мужской свитер. Скандика с горлом</v>
      </c>
      <c r="E2181" s="133" t="str">
        <f>IFERROR(__xludf.DUMMYFUNCTION("""COMPUTED_VALUE"""),"L - 50")</f>
        <v>L - 50</v>
      </c>
      <c r="F2181" s="133" t="str">
        <f>IFERROR(__xludf.DUMMYFUNCTION("""COMPUTED_VALUE"""),"12419BLML - 50")</f>
        <v>12419BLML - 50</v>
      </c>
      <c r="G2181" s="165">
        <f>IFERROR(__xludf.DUMMYFUNCTION("""COMPUTED_VALUE"""),1075.0)</f>
        <v>1075</v>
      </c>
    </row>
    <row r="2182" ht="15.75" customHeight="1">
      <c r="A2182" s="133" t="str">
        <f>IFERROR(__xludf.DUMMYFUNCTION("""COMPUTED_VALUE"""),"12419BLM")</f>
        <v>12419BLM</v>
      </c>
      <c r="B2182" s="164">
        <f>IFERROR(__xludf.DUMMYFUNCTION("""COMPUTED_VALUE"""),9523104.0)</f>
        <v>9523104</v>
      </c>
      <c r="C2182" s="164" t="str">
        <f>IFERROR(__xludf.DUMMYFUNCTION("""COMPUTED_VALUE"""),"9523104XL")</f>
        <v>9523104XL</v>
      </c>
      <c r="D2182" s="133" t="str">
        <f>IFERROR(__xludf.DUMMYFUNCTION("""COMPUTED_VALUE"""),"Мужской свитер. Скандика с горлом")</f>
        <v>Мужской свитер. Скандика с горлом</v>
      </c>
      <c r="E2182" s="133" t="str">
        <f>IFERROR(__xludf.DUMMYFUNCTION("""COMPUTED_VALUE"""),"XL")</f>
        <v>XL</v>
      </c>
      <c r="F2182" s="133" t="str">
        <f>IFERROR(__xludf.DUMMYFUNCTION("""COMPUTED_VALUE"""),"12419BLMXL")</f>
        <v>12419BLMXL</v>
      </c>
      <c r="G2182" s="165">
        <f>IFERROR(__xludf.DUMMYFUNCTION("""COMPUTED_VALUE"""),1075.0)</f>
        <v>1075</v>
      </c>
    </row>
    <row r="2183" ht="15.75" customHeight="1">
      <c r="A2183" s="133" t="str">
        <f>IFERROR(__xludf.DUMMYFUNCTION("""COMPUTED_VALUE"""),"12419BLM")</f>
        <v>12419BLM</v>
      </c>
      <c r="B2183" s="164">
        <f>IFERROR(__xludf.DUMMYFUNCTION("""COMPUTED_VALUE"""),9523104.0)</f>
        <v>9523104</v>
      </c>
      <c r="C2183" s="164" t="str">
        <f>IFERROR(__xludf.DUMMYFUNCTION("""COMPUTED_VALUE"""),"9523104XXL")</f>
        <v>9523104XXL</v>
      </c>
      <c r="D2183" s="133" t="str">
        <f>IFERROR(__xludf.DUMMYFUNCTION("""COMPUTED_VALUE"""),"Мужской свитер. Скандика с горлом")</f>
        <v>Мужской свитер. Скандика с горлом</v>
      </c>
      <c r="E2183" s="133" t="str">
        <f>IFERROR(__xludf.DUMMYFUNCTION("""COMPUTED_VALUE"""),"XXL")</f>
        <v>XXL</v>
      </c>
      <c r="F2183" s="133" t="str">
        <f>IFERROR(__xludf.DUMMYFUNCTION("""COMPUTED_VALUE"""),"12419BLMXXL")</f>
        <v>12419BLMXXL</v>
      </c>
      <c r="G2183" s="165">
        <f>IFERROR(__xludf.DUMMYFUNCTION("""COMPUTED_VALUE"""),1075.0)</f>
        <v>1075</v>
      </c>
    </row>
    <row r="2184" ht="15.75" customHeight="1">
      <c r="A2184" s="133" t="str">
        <f>IFERROR(__xludf.DUMMYFUNCTION("""COMPUTED_VALUE"""),"12419BLM")</f>
        <v>12419BLM</v>
      </c>
      <c r="B2184" s="164">
        <f>IFERROR(__xludf.DUMMYFUNCTION("""COMPUTED_VALUE"""),9523104.0)</f>
        <v>9523104</v>
      </c>
      <c r="C2184" s="164" t="str">
        <f>IFERROR(__xludf.DUMMYFUNCTION("""COMPUTED_VALUE"""),"9523104XXXL - 56")</f>
        <v>9523104XXXL - 56</v>
      </c>
      <c r="D2184" s="133" t="str">
        <f>IFERROR(__xludf.DUMMYFUNCTION("""COMPUTED_VALUE"""),"Мужской свитер. Скандика с горлом")</f>
        <v>Мужской свитер. Скандика с горлом</v>
      </c>
      <c r="E2184" s="133" t="str">
        <f>IFERROR(__xludf.DUMMYFUNCTION("""COMPUTED_VALUE"""),"XXXL - 56")</f>
        <v>XXXL - 56</v>
      </c>
      <c r="F2184" s="133" t="str">
        <f>IFERROR(__xludf.DUMMYFUNCTION("""COMPUTED_VALUE"""),"12419BLMXXXL - 56")</f>
        <v>12419BLMXXXL - 56</v>
      </c>
      <c r="G2184" s="165">
        <f>IFERROR(__xludf.DUMMYFUNCTION("""COMPUTED_VALUE"""),1075.0)</f>
        <v>1075</v>
      </c>
    </row>
    <row r="2185" ht="15.75" customHeight="1">
      <c r="A2185" s="133" t="str">
        <f>IFERROR(__xludf.DUMMYFUNCTION("""COMPUTED_VALUE"""),"13919BLM")</f>
        <v>13919BLM</v>
      </c>
      <c r="B2185" s="164">
        <f>IFERROR(__xludf.DUMMYFUNCTION("""COMPUTED_VALUE"""),9227769.0)</f>
        <v>9227769</v>
      </c>
      <c r="C2185" s="164" t="str">
        <f>IFERROR(__xludf.DUMMYFUNCTION("""COMPUTED_VALUE"""),"9227769S -46")</f>
        <v>9227769S -46</v>
      </c>
      <c r="D2185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85" s="133" t="str">
        <f>IFERROR(__xludf.DUMMYFUNCTION("""COMPUTED_VALUE"""),"S -46")</f>
        <v>S -46</v>
      </c>
      <c r="F2185" s="133" t="str">
        <f>IFERROR(__xludf.DUMMYFUNCTION("""COMPUTED_VALUE"""),"13919BLMS -46")</f>
        <v>13919BLMS -46</v>
      </c>
      <c r="G2185" s="165">
        <f>IFERROR(__xludf.DUMMYFUNCTION("""COMPUTED_VALUE"""),1075.0)</f>
        <v>1075</v>
      </c>
    </row>
    <row r="2186" ht="15.75" customHeight="1">
      <c r="A2186" s="133" t="str">
        <f>IFERROR(__xludf.DUMMYFUNCTION("""COMPUTED_VALUE"""),"13919BLM")</f>
        <v>13919BLM</v>
      </c>
      <c r="B2186" s="164">
        <f>IFERROR(__xludf.DUMMYFUNCTION("""COMPUTED_VALUE"""),9227769.0)</f>
        <v>9227769</v>
      </c>
      <c r="C2186" s="164" t="str">
        <f>IFERROR(__xludf.DUMMYFUNCTION("""COMPUTED_VALUE"""),"9227769M - 48")</f>
        <v>9227769M - 48</v>
      </c>
      <c r="D2186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86" s="133" t="str">
        <f>IFERROR(__xludf.DUMMYFUNCTION("""COMPUTED_VALUE"""),"M - 48")</f>
        <v>M - 48</v>
      </c>
      <c r="F2186" s="133" t="str">
        <f>IFERROR(__xludf.DUMMYFUNCTION("""COMPUTED_VALUE"""),"13919BLMM - 48")</f>
        <v>13919BLMM - 48</v>
      </c>
      <c r="G2186" s="165">
        <f>IFERROR(__xludf.DUMMYFUNCTION("""COMPUTED_VALUE"""),1075.0)</f>
        <v>1075</v>
      </c>
    </row>
    <row r="2187" ht="15.75" customHeight="1">
      <c r="A2187" s="133" t="str">
        <f>IFERROR(__xludf.DUMMYFUNCTION("""COMPUTED_VALUE"""),"13919BLM")</f>
        <v>13919BLM</v>
      </c>
      <c r="B2187" s="164">
        <f>IFERROR(__xludf.DUMMYFUNCTION("""COMPUTED_VALUE"""),9227769.0)</f>
        <v>9227769</v>
      </c>
      <c r="C2187" s="164" t="str">
        <f>IFERROR(__xludf.DUMMYFUNCTION("""COMPUTED_VALUE"""),"9227769L - 50")</f>
        <v>9227769L - 50</v>
      </c>
      <c r="D2187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87" s="133" t="str">
        <f>IFERROR(__xludf.DUMMYFUNCTION("""COMPUTED_VALUE"""),"L - 50")</f>
        <v>L - 50</v>
      </c>
      <c r="F2187" s="133" t="str">
        <f>IFERROR(__xludf.DUMMYFUNCTION("""COMPUTED_VALUE"""),"13919BLML - 50")</f>
        <v>13919BLML - 50</v>
      </c>
      <c r="G2187" s="165">
        <f>IFERROR(__xludf.DUMMYFUNCTION("""COMPUTED_VALUE"""),1075.0)</f>
        <v>1075</v>
      </c>
    </row>
    <row r="2188" ht="15.75" customHeight="1">
      <c r="A2188" s="133" t="str">
        <f>IFERROR(__xludf.DUMMYFUNCTION("""COMPUTED_VALUE"""),"13919BLM")</f>
        <v>13919BLM</v>
      </c>
      <c r="B2188" s="164">
        <f>IFERROR(__xludf.DUMMYFUNCTION("""COMPUTED_VALUE"""),9227769.0)</f>
        <v>9227769</v>
      </c>
      <c r="C2188" s="164" t="str">
        <f>IFERROR(__xludf.DUMMYFUNCTION("""COMPUTED_VALUE"""),"9227769XL - 52")</f>
        <v>9227769XL - 52</v>
      </c>
      <c r="D2188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88" s="133" t="str">
        <f>IFERROR(__xludf.DUMMYFUNCTION("""COMPUTED_VALUE"""),"XL - 52")</f>
        <v>XL - 52</v>
      </c>
      <c r="F2188" s="133" t="str">
        <f>IFERROR(__xludf.DUMMYFUNCTION("""COMPUTED_VALUE"""),"13919BLMXL - 52")</f>
        <v>13919BLMXL - 52</v>
      </c>
      <c r="G2188" s="165">
        <f>IFERROR(__xludf.DUMMYFUNCTION("""COMPUTED_VALUE"""),1075.0)</f>
        <v>1075</v>
      </c>
    </row>
    <row r="2189" ht="15.75" customHeight="1">
      <c r="A2189" s="133" t="str">
        <f>IFERROR(__xludf.DUMMYFUNCTION("""COMPUTED_VALUE"""),"13919BLM")</f>
        <v>13919BLM</v>
      </c>
      <c r="B2189" s="164">
        <f>IFERROR(__xludf.DUMMYFUNCTION("""COMPUTED_VALUE"""),9227769.0)</f>
        <v>9227769</v>
      </c>
      <c r="C2189" s="164" t="str">
        <f>IFERROR(__xludf.DUMMYFUNCTION("""COMPUTED_VALUE"""),"9227769XXL - 54")</f>
        <v>9227769XXL - 54</v>
      </c>
      <c r="D2189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89" s="133" t="str">
        <f>IFERROR(__xludf.DUMMYFUNCTION("""COMPUTED_VALUE"""),"XXL - 54")</f>
        <v>XXL - 54</v>
      </c>
      <c r="F2189" s="133" t="str">
        <f>IFERROR(__xludf.DUMMYFUNCTION("""COMPUTED_VALUE"""),"13919BLMXXL - 54")</f>
        <v>13919BLMXXL - 54</v>
      </c>
      <c r="G2189" s="165">
        <f>IFERROR(__xludf.DUMMYFUNCTION("""COMPUTED_VALUE"""),1075.0)</f>
        <v>1075</v>
      </c>
    </row>
    <row r="2190" ht="15.75" customHeight="1">
      <c r="A2190" s="133" t="str">
        <f>IFERROR(__xludf.DUMMYFUNCTION("""COMPUTED_VALUE"""),"13919BLM")</f>
        <v>13919BLM</v>
      </c>
      <c r="B2190" s="164">
        <f>IFERROR(__xludf.DUMMYFUNCTION("""COMPUTED_VALUE"""),9227769.0)</f>
        <v>9227769</v>
      </c>
      <c r="C2190" s="164" t="str">
        <f>IFERROR(__xludf.DUMMYFUNCTION("""COMPUTED_VALUE"""),"9227769XXXL - 56")</f>
        <v>9227769XXXL - 56</v>
      </c>
      <c r="D2190" s="133" t="str">
        <f>IFERROR(__xludf.DUMMYFUNCTION("""COMPUTED_VALUE"""),"Мужской свитер. Орнамент классика с горлом")</f>
        <v>Мужской свитер. Орнамент классика с горлом</v>
      </c>
      <c r="E2190" s="133" t="str">
        <f>IFERROR(__xludf.DUMMYFUNCTION("""COMPUTED_VALUE"""),"XXXL - 56")</f>
        <v>XXXL - 56</v>
      </c>
      <c r="F2190" s="133" t="str">
        <f>IFERROR(__xludf.DUMMYFUNCTION("""COMPUTED_VALUE"""),"13919BLMXXXL - 56")</f>
        <v>13919BLMXXXL - 56</v>
      </c>
      <c r="G2190" s="165">
        <f>IFERROR(__xludf.DUMMYFUNCTION("""COMPUTED_VALUE"""),1075.0)</f>
        <v>1075</v>
      </c>
    </row>
    <row r="2191" ht="15.75" customHeight="1">
      <c r="A2191" s="133" t="str">
        <f>IFERROR(__xludf.DUMMYFUNCTION("""COMPUTED_VALUE"""),"14019BLM")</f>
        <v>14019BLM</v>
      </c>
      <c r="B2191" s="164">
        <f>IFERROR(__xludf.DUMMYFUNCTION("""COMPUTED_VALUE"""),9523105.0)</f>
        <v>9523105</v>
      </c>
      <c r="C2191" s="164" t="str">
        <f>IFERROR(__xludf.DUMMYFUNCTION("""COMPUTED_VALUE"""),"9523105S -46")</f>
        <v>9523105S -46</v>
      </c>
      <c r="D2191" s="133" t="str">
        <f>IFERROR(__xludf.DUMMYFUNCTION("""COMPUTED_VALUE"""),"Мужской свитер. Скандика с горлом")</f>
        <v>Мужской свитер. Скандика с горлом</v>
      </c>
      <c r="E2191" s="133" t="str">
        <f>IFERROR(__xludf.DUMMYFUNCTION("""COMPUTED_VALUE"""),"S -46")</f>
        <v>S -46</v>
      </c>
      <c r="F2191" s="133" t="str">
        <f>IFERROR(__xludf.DUMMYFUNCTION("""COMPUTED_VALUE"""),"14019BLMS -46")</f>
        <v>14019BLMS -46</v>
      </c>
      <c r="G2191" s="165">
        <f>IFERROR(__xludf.DUMMYFUNCTION("""COMPUTED_VALUE"""),1075.0)</f>
        <v>1075</v>
      </c>
    </row>
    <row r="2192" ht="15.75" customHeight="1">
      <c r="A2192" s="133" t="str">
        <f>IFERROR(__xludf.DUMMYFUNCTION("""COMPUTED_VALUE"""),"14019BLM")</f>
        <v>14019BLM</v>
      </c>
      <c r="B2192" s="164">
        <f>IFERROR(__xludf.DUMMYFUNCTION("""COMPUTED_VALUE"""),9523105.0)</f>
        <v>9523105</v>
      </c>
      <c r="C2192" s="164" t="str">
        <f>IFERROR(__xludf.DUMMYFUNCTION("""COMPUTED_VALUE"""),"9523105M - 48")</f>
        <v>9523105M - 48</v>
      </c>
      <c r="D2192" s="133" t="str">
        <f>IFERROR(__xludf.DUMMYFUNCTION("""COMPUTED_VALUE"""),"Мужской свитер. Скандика с горлом")</f>
        <v>Мужской свитер. Скандика с горлом</v>
      </c>
      <c r="E2192" s="133" t="str">
        <f>IFERROR(__xludf.DUMMYFUNCTION("""COMPUTED_VALUE"""),"M - 48")</f>
        <v>M - 48</v>
      </c>
      <c r="F2192" s="133" t="str">
        <f>IFERROR(__xludf.DUMMYFUNCTION("""COMPUTED_VALUE"""),"14019BLMM - 48")</f>
        <v>14019BLMM - 48</v>
      </c>
      <c r="G2192" s="165">
        <f>IFERROR(__xludf.DUMMYFUNCTION("""COMPUTED_VALUE"""),1075.0)</f>
        <v>1075</v>
      </c>
    </row>
    <row r="2193" ht="15.75" customHeight="1">
      <c r="A2193" s="133" t="str">
        <f>IFERROR(__xludf.DUMMYFUNCTION("""COMPUTED_VALUE"""),"14019BLM")</f>
        <v>14019BLM</v>
      </c>
      <c r="B2193" s="164">
        <f>IFERROR(__xludf.DUMMYFUNCTION("""COMPUTED_VALUE"""),9523105.0)</f>
        <v>9523105</v>
      </c>
      <c r="C2193" s="164" t="str">
        <f>IFERROR(__xludf.DUMMYFUNCTION("""COMPUTED_VALUE"""),"9523105L")</f>
        <v>9523105L</v>
      </c>
      <c r="D2193" s="133" t="str">
        <f>IFERROR(__xludf.DUMMYFUNCTION("""COMPUTED_VALUE"""),"Мужской свитер. Скандика с горлом")</f>
        <v>Мужской свитер. Скандика с горлом</v>
      </c>
      <c r="E2193" s="133" t="str">
        <f>IFERROR(__xludf.DUMMYFUNCTION("""COMPUTED_VALUE"""),"L")</f>
        <v>L</v>
      </c>
      <c r="F2193" s="133" t="str">
        <f>IFERROR(__xludf.DUMMYFUNCTION("""COMPUTED_VALUE"""),"14019BLML")</f>
        <v>14019BLML</v>
      </c>
      <c r="G2193" s="165">
        <f>IFERROR(__xludf.DUMMYFUNCTION("""COMPUTED_VALUE"""),1075.0)</f>
        <v>1075</v>
      </c>
    </row>
    <row r="2194" ht="15.75" customHeight="1">
      <c r="A2194" s="133" t="str">
        <f>IFERROR(__xludf.DUMMYFUNCTION("""COMPUTED_VALUE"""),"14019BLM")</f>
        <v>14019BLM</v>
      </c>
      <c r="B2194" s="164">
        <f>IFERROR(__xludf.DUMMYFUNCTION("""COMPUTED_VALUE"""),9523105.0)</f>
        <v>9523105</v>
      </c>
      <c r="C2194" s="164" t="str">
        <f>IFERROR(__xludf.DUMMYFUNCTION("""COMPUTED_VALUE"""),"9523105XL")</f>
        <v>9523105XL</v>
      </c>
      <c r="D2194" s="133" t="str">
        <f>IFERROR(__xludf.DUMMYFUNCTION("""COMPUTED_VALUE"""),"Мужской свитер. Скандика с горлом")</f>
        <v>Мужской свитер. Скандика с горлом</v>
      </c>
      <c r="E2194" s="133" t="str">
        <f>IFERROR(__xludf.DUMMYFUNCTION("""COMPUTED_VALUE"""),"XL")</f>
        <v>XL</v>
      </c>
      <c r="F2194" s="133" t="str">
        <f>IFERROR(__xludf.DUMMYFUNCTION("""COMPUTED_VALUE"""),"14019BLMXL")</f>
        <v>14019BLMXL</v>
      </c>
      <c r="G2194" s="165">
        <f>IFERROR(__xludf.DUMMYFUNCTION("""COMPUTED_VALUE"""),1075.0)</f>
        <v>1075</v>
      </c>
    </row>
    <row r="2195" ht="15.75" customHeight="1">
      <c r="A2195" s="133" t="str">
        <f>IFERROR(__xludf.DUMMYFUNCTION("""COMPUTED_VALUE"""),"14019BLM")</f>
        <v>14019BLM</v>
      </c>
      <c r="B2195" s="164">
        <f>IFERROR(__xludf.DUMMYFUNCTION("""COMPUTED_VALUE"""),9523105.0)</f>
        <v>9523105</v>
      </c>
      <c r="C2195" s="164" t="str">
        <f>IFERROR(__xludf.DUMMYFUNCTION("""COMPUTED_VALUE"""),"9523105XXL - 54")</f>
        <v>9523105XXL - 54</v>
      </c>
      <c r="D2195" s="133" t="str">
        <f>IFERROR(__xludf.DUMMYFUNCTION("""COMPUTED_VALUE"""),"Мужской свитер. Скандика с горлом")</f>
        <v>Мужской свитер. Скандика с горлом</v>
      </c>
      <c r="E2195" s="133" t="str">
        <f>IFERROR(__xludf.DUMMYFUNCTION("""COMPUTED_VALUE"""),"XXL - 54")</f>
        <v>XXL - 54</v>
      </c>
      <c r="F2195" s="133" t="str">
        <f>IFERROR(__xludf.DUMMYFUNCTION("""COMPUTED_VALUE"""),"14019BLMXXL - 54")</f>
        <v>14019BLMXXL - 54</v>
      </c>
      <c r="G2195" s="165">
        <f>IFERROR(__xludf.DUMMYFUNCTION("""COMPUTED_VALUE"""),1075.0)</f>
        <v>1075</v>
      </c>
    </row>
    <row r="2196" ht="15.75" customHeight="1">
      <c r="A2196" s="133" t="str">
        <f>IFERROR(__xludf.DUMMYFUNCTION("""COMPUTED_VALUE"""),"14019BLM")</f>
        <v>14019BLM</v>
      </c>
      <c r="B2196" s="164">
        <f>IFERROR(__xludf.DUMMYFUNCTION("""COMPUTED_VALUE"""),9523105.0)</f>
        <v>9523105</v>
      </c>
      <c r="C2196" s="164" t="str">
        <f>IFERROR(__xludf.DUMMYFUNCTION("""COMPUTED_VALUE"""),"9523105XXXL - 56")</f>
        <v>9523105XXXL - 56</v>
      </c>
      <c r="D2196" s="133" t="str">
        <f>IFERROR(__xludf.DUMMYFUNCTION("""COMPUTED_VALUE"""),"Мужской свитер. Скандика с горлом")</f>
        <v>Мужской свитер. Скандика с горлом</v>
      </c>
      <c r="E2196" s="133" t="str">
        <f>IFERROR(__xludf.DUMMYFUNCTION("""COMPUTED_VALUE"""),"XXXL - 56")</f>
        <v>XXXL - 56</v>
      </c>
      <c r="F2196" s="133" t="str">
        <f>IFERROR(__xludf.DUMMYFUNCTION("""COMPUTED_VALUE"""),"14019BLMXXXL - 56")</f>
        <v>14019BLMXXXL - 56</v>
      </c>
      <c r="G2196" s="165">
        <f>IFERROR(__xludf.DUMMYFUNCTION("""COMPUTED_VALUE"""),1075.0)</f>
        <v>1075</v>
      </c>
    </row>
    <row r="2197" ht="15.75" customHeight="1">
      <c r="A2197" s="133" t="str">
        <f>IFERROR(__xludf.DUMMYFUNCTION("""COMPUTED_VALUE"""),"14419BLM")</f>
        <v>14419BLM</v>
      </c>
      <c r="B2197" s="164">
        <f>IFERROR(__xludf.DUMMYFUNCTION("""COMPUTED_VALUE"""),1.0406493E7)</f>
        <v>10406493</v>
      </c>
      <c r="C2197" s="164" t="str">
        <f>IFERROR(__xludf.DUMMYFUNCTION("""COMPUTED_VALUE"""),"10406493S - 46")</f>
        <v>10406493S - 46</v>
      </c>
      <c r="D2197" s="133" t="str">
        <f>IFERROR(__xludf.DUMMYFUNCTION("""COMPUTED_VALUE"""),"лапапейс")</f>
        <v>лапапейс</v>
      </c>
      <c r="E2197" s="133" t="str">
        <f>IFERROR(__xludf.DUMMYFUNCTION("""COMPUTED_VALUE"""),"S - 46")</f>
        <v>S - 46</v>
      </c>
      <c r="F2197" s="133" t="str">
        <f>IFERROR(__xludf.DUMMYFUNCTION("""COMPUTED_VALUE"""),"14419BLMS - 46")</f>
        <v>14419BLMS - 46</v>
      </c>
      <c r="G2197" s="165">
        <f>IFERROR(__xludf.DUMMYFUNCTION("""COMPUTED_VALUE"""),1075.0)</f>
        <v>1075</v>
      </c>
    </row>
    <row r="2198" ht="15.75" customHeight="1">
      <c r="A2198" s="133" t="str">
        <f>IFERROR(__xludf.DUMMYFUNCTION("""COMPUTED_VALUE"""),"14419BLM")</f>
        <v>14419BLM</v>
      </c>
      <c r="B2198" s="164">
        <f>IFERROR(__xludf.DUMMYFUNCTION("""COMPUTED_VALUE"""),1.0406493E7)</f>
        <v>10406493</v>
      </c>
      <c r="C2198" s="164" t="str">
        <f>IFERROR(__xludf.DUMMYFUNCTION("""COMPUTED_VALUE"""),"10406493M - 48")</f>
        <v>10406493M - 48</v>
      </c>
      <c r="D2198" s="133" t="str">
        <f>IFERROR(__xludf.DUMMYFUNCTION("""COMPUTED_VALUE"""),"лапапейс")</f>
        <v>лапапейс</v>
      </c>
      <c r="E2198" s="133" t="str">
        <f>IFERROR(__xludf.DUMMYFUNCTION("""COMPUTED_VALUE"""),"M - 48")</f>
        <v>M - 48</v>
      </c>
      <c r="F2198" s="133" t="str">
        <f>IFERROR(__xludf.DUMMYFUNCTION("""COMPUTED_VALUE"""),"14419BLMM - 48")</f>
        <v>14419BLMM - 48</v>
      </c>
      <c r="G2198" s="165">
        <f>IFERROR(__xludf.DUMMYFUNCTION("""COMPUTED_VALUE"""),1075.0)</f>
        <v>1075</v>
      </c>
    </row>
    <row r="2199" ht="15.75" customHeight="1">
      <c r="A2199" s="133" t="str">
        <f>IFERROR(__xludf.DUMMYFUNCTION("""COMPUTED_VALUE"""),"14419BLM")</f>
        <v>14419BLM</v>
      </c>
      <c r="B2199" s="164">
        <f>IFERROR(__xludf.DUMMYFUNCTION("""COMPUTED_VALUE"""),1.0406493E7)</f>
        <v>10406493</v>
      </c>
      <c r="C2199" s="164" t="str">
        <f>IFERROR(__xludf.DUMMYFUNCTION("""COMPUTED_VALUE"""),"10406493L - 50")</f>
        <v>10406493L - 50</v>
      </c>
      <c r="D2199" s="133" t="str">
        <f>IFERROR(__xludf.DUMMYFUNCTION("""COMPUTED_VALUE"""),"лапапейс")</f>
        <v>лапапейс</v>
      </c>
      <c r="E2199" s="133" t="str">
        <f>IFERROR(__xludf.DUMMYFUNCTION("""COMPUTED_VALUE"""),"L - 50")</f>
        <v>L - 50</v>
      </c>
      <c r="F2199" s="133" t="str">
        <f>IFERROR(__xludf.DUMMYFUNCTION("""COMPUTED_VALUE"""),"14419BLML - 50")</f>
        <v>14419BLML - 50</v>
      </c>
      <c r="G2199" s="165">
        <f>IFERROR(__xludf.DUMMYFUNCTION("""COMPUTED_VALUE"""),1075.0)</f>
        <v>1075</v>
      </c>
    </row>
    <row r="2200" ht="15.75" customHeight="1">
      <c r="A2200" s="133" t="str">
        <f>IFERROR(__xludf.DUMMYFUNCTION("""COMPUTED_VALUE"""),"14419BLM")</f>
        <v>14419BLM</v>
      </c>
      <c r="B2200" s="164">
        <f>IFERROR(__xludf.DUMMYFUNCTION("""COMPUTED_VALUE"""),1.0406493E7)</f>
        <v>10406493</v>
      </c>
      <c r="C2200" s="164" t="str">
        <f>IFERROR(__xludf.DUMMYFUNCTION("""COMPUTED_VALUE"""),"10406493XL - 52")</f>
        <v>10406493XL - 52</v>
      </c>
      <c r="D2200" s="133" t="str">
        <f>IFERROR(__xludf.DUMMYFUNCTION("""COMPUTED_VALUE"""),"лапапейс")</f>
        <v>лапапейс</v>
      </c>
      <c r="E2200" s="133" t="str">
        <f>IFERROR(__xludf.DUMMYFUNCTION("""COMPUTED_VALUE"""),"XL - 52")</f>
        <v>XL - 52</v>
      </c>
      <c r="F2200" s="133" t="str">
        <f>IFERROR(__xludf.DUMMYFUNCTION("""COMPUTED_VALUE"""),"14419BLMXL - 52")</f>
        <v>14419BLMXL - 52</v>
      </c>
      <c r="G2200" s="165">
        <f>IFERROR(__xludf.DUMMYFUNCTION("""COMPUTED_VALUE"""),1075.0)</f>
        <v>1075</v>
      </c>
    </row>
    <row r="2201" ht="15.75" customHeight="1">
      <c r="A2201" s="133" t="str">
        <f>IFERROR(__xludf.DUMMYFUNCTION("""COMPUTED_VALUE"""),"14419BLM")</f>
        <v>14419BLM</v>
      </c>
      <c r="B2201" s="164">
        <f>IFERROR(__xludf.DUMMYFUNCTION("""COMPUTED_VALUE"""),1.0406493E7)</f>
        <v>10406493</v>
      </c>
      <c r="C2201" s="164" t="str">
        <f>IFERROR(__xludf.DUMMYFUNCTION("""COMPUTED_VALUE"""),"10406493XXL - 54")</f>
        <v>10406493XXL - 54</v>
      </c>
      <c r="D2201" s="133" t="str">
        <f>IFERROR(__xludf.DUMMYFUNCTION("""COMPUTED_VALUE"""),"лапапейс")</f>
        <v>лапапейс</v>
      </c>
      <c r="E2201" s="133" t="str">
        <f>IFERROR(__xludf.DUMMYFUNCTION("""COMPUTED_VALUE"""),"XXL - 54")</f>
        <v>XXL - 54</v>
      </c>
      <c r="F2201" s="133" t="str">
        <f>IFERROR(__xludf.DUMMYFUNCTION("""COMPUTED_VALUE"""),"14419BLMXXL - 54")</f>
        <v>14419BLMXXL - 54</v>
      </c>
      <c r="G2201" s="165">
        <f>IFERROR(__xludf.DUMMYFUNCTION("""COMPUTED_VALUE"""),1075.0)</f>
        <v>1075</v>
      </c>
    </row>
    <row r="2202" ht="15.75" customHeight="1">
      <c r="A2202" s="133" t="str">
        <f>IFERROR(__xludf.DUMMYFUNCTION("""COMPUTED_VALUE"""),"14419BLM")</f>
        <v>14419BLM</v>
      </c>
      <c r="B2202" s="164">
        <f>IFERROR(__xludf.DUMMYFUNCTION("""COMPUTED_VALUE"""),1.0406493E7)</f>
        <v>10406493</v>
      </c>
      <c r="C2202" s="164" t="str">
        <f>IFERROR(__xludf.DUMMYFUNCTION("""COMPUTED_VALUE"""),"10406493XXXL - 56")</f>
        <v>10406493XXXL - 56</v>
      </c>
      <c r="D2202" s="133" t="str">
        <f>IFERROR(__xludf.DUMMYFUNCTION("""COMPUTED_VALUE"""),"лапапейс")</f>
        <v>лапапейс</v>
      </c>
      <c r="E2202" s="133" t="str">
        <f>IFERROR(__xludf.DUMMYFUNCTION("""COMPUTED_VALUE"""),"XXXL - 56")</f>
        <v>XXXL - 56</v>
      </c>
      <c r="F2202" s="133" t="str">
        <f>IFERROR(__xludf.DUMMYFUNCTION("""COMPUTED_VALUE"""),"14419BLMXXXL - 56")</f>
        <v>14419BLMXXXL - 56</v>
      </c>
      <c r="G2202" s="165">
        <f>IFERROR(__xludf.DUMMYFUNCTION("""COMPUTED_VALUE"""),1075.0)</f>
        <v>1075</v>
      </c>
    </row>
    <row r="2203" ht="15.75" customHeight="1">
      <c r="A2203" s="133" t="str">
        <f>IFERROR(__xludf.DUMMYFUNCTION("""COMPUTED_VALUE"""),"14519BLM")</f>
        <v>14519BLM</v>
      </c>
      <c r="B2203" s="164">
        <f>IFERROR(__xludf.DUMMYFUNCTION("""COMPUTED_VALUE"""),1.0406494E7)</f>
        <v>10406494</v>
      </c>
      <c r="C2203" s="164" t="str">
        <f>IFERROR(__xludf.DUMMYFUNCTION("""COMPUTED_VALUE"""),"10406494S - 46")</f>
        <v>10406494S - 46</v>
      </c>
      <c r="D2203" s="133" t="str">
        <f>IFERROR(__xludf.DUMMYFUNCTION("""COMPUTED_VALUE"""),"лапапейс")</f>
        <v>лапапейс</v>
      </c>
      <c r="E2203" s="133" t="str">
        <f>IFERROR(__xludf.DUMMYFUNCTION("""COMPUTED_VALUE"""),"S - 46")</f>
        <v>S - 46</v>
      </c>
      <c r="F2203" s="133" t="str">
        <f>IFERROR(__xludf.DUMMYFUNCTION("""COMPUTED_VALUE"""),"14519BLMS - 46")</f>
        <v>14519BLMS - 46</v>
      </c>
      <c r="G2203" s="165">
        <f>IFERROR(__xludf.DUMMYFUNCTION("""COMPUTED_VALUE"""),1075.0)</f>
        <v>1075</v>
      </c>
    </row>
    <row r="2204" ht="15.75" customHeight="1">
      <c r="A2204" s="133" t="str">
        <f>IFERROR(__xludf.DUMMYFUNCTION("""COMPUTED_VALUE"""),"14519BLM")</f>
        <v>14519BLM</v>
      </c>
      <c r="B2204" s="164">
        <f>IFERROR(__xludf.DUMMYFUNCTION("""COMPUTED_VALUE"""),1.0406494E7)</f>
        <v>10406494</v>
      </c>
      <c r="C2204" s="164" t="str">
        <f>IFERROR(__xludf.DUMMYFUNCTION("""COMPUTED_VALUE"""),"10406494M - 48")</f>
        <v>10406494M - 48</v>
      </c>
      <c r="D2204" s="133" t="str">
        <f>IFERROR(__xludf.DUMMYFUNCTION("""COMPUTED_VALUE"""),"лапапейс")</f>
        <v>лапапейс</v>
      </c>
      <c r="E2204" s="133" t="str">
        <f>IFERROR(__xludf.DUMMYFUNCTION("""COMPUTED_VALUE"""),"M - 48")</f>
        <v>M - 48</v>
      </c>
      <c r="F2204" s="133" t="str">
        <f>IFERROR(__xludf.DUMMYFUNCTION("""COMPUTED_VALUE"""),"14519BLMM - 48")</f>
        <v>14519BLMM - 48</v>
      </c>
      <c r="G2204" s="165">
        <f>IFERROR(__xludf.DUMMYFUNCTION("""COMPUTED_VALUE"""),1075.0)</f>
        <v>1075</v>
      </c>
    </row>
    <row r="2205" ht="15.75" customHeight="1">
      <c r="A2205" s="133" t="str">
        <f>IFERROR(__xludf.DUMMYFUNCTION("""COMPUTED_VALUE"""),"14519BLM")</f>
        <v>14519BLM</v>
      </c>
      <c r="B2205" s="164">
        <f>IFERROR(__xludf.DUMMYFUNCTION("""COMPUTED_VALUE"""),1.0406494E7)</f>
        <v>10406494</v>
      </c>
      <c r="C2205" s="164" t="str">
        <f>IFERROR(__xludf.DUMMYFUNCTION("""COMPUTED_VALUE"""),"10406494L - 50")</f>
        <v>10406494L - 50</v>
      </c>
      <c r="D2205" s="133" t="str">
        <f>IFERROR(__xludf.DUMMYFUNCTION("""COMPUTED_VALUE"""),"лапапейс")</f>
        <v>лапапейс</v>
      </c>
      <c r="E2205" s="133" t="str">
        <f>IFERROR(__xludf.DUMMYFUNCTION("""COMPUTED_VALUE"""),"L - 50")</f>
        <v>L - 50</v>
      </c>
      <c r="F2205" s="133" t="str">
        <f>IFERROR(__xludf.DUMMYFUNCTION("""COMPUTED_VALUE"""),"14519BLML - 50")</f>
        <v>14519BLML - 50</v>
      </c>
      <c r="G2205" s="165">
        <f>IFERROR(__xludf.DUMMYFUNCTION("""COMPUTED_VALUE"""),1075.0)</f>
        <v>1075</v>
      </c>
    </row>
    <row r="2206" ht="15.75" customHeight="1">
      <c r="A2206" s="133" t="str">
        <f>IFERROR(__xludf.DUMMYFUNCTION("""COMPUTED_VALUE"""),"14519BLM")</f>
        <v>14519BLM</v>
      </c>
      <c r="B2206" s="164">
        <f>IFERROR(__xludf.DUMMYFUNCTION("""COMPUTED_VALUE"""),1.0406494E7)</f>
        <v>10406494</v>
      </c>
      <c r="C2206" s="164" t="str">
        <f>IFERROR(__xludf.DUMMYFUNCTION("""COMPUTED_VALUE"""),"10406494XL - 52")</f>
        <v>10406494XL - 52</v>
      </c>
      <c r="D2206" s="133" t="str">
        <f>IFERROR(__xludf.DUMMYFUNCTION("""COMPUTED_VALUE"""),"лапапейс")</f>
        <v>лапапейс</v>
      </c>
      <c r="E2206" s="133" t="str">
        <f>IFERROR(__xludf.DUMMYFUNCTION("""COMPUTED_VALUE"""),"XL - 52")</f>
        <v>XL - 52</v>
      </c>
      <c r="F2206" s="133" t="str">
        <f>IFERROR(__xludf.DUMMYFUNCTION("""COMPUTED_VALUE"""),"14519BLMXL - 52")</f>
        <v>14519BLMXL - 52</v>
      </c>
      <c r="G2206" s="165">
        <f>IFERROR(__xludf.DUMMYFUNCTION("""COMPUTED_VALUE"""),1075.0)</f>
        <v>1075</v>
      </c>
    </row>
    <row r="2207" ht="15.75" customHeight="1">
      <c r="A2207" s="133" t="str">
        <f>IFERROR(__xludf.DUMMYFUNCTION("""COMPUTED_VALUE"""),"14519BLM")</f>
        <v>14519BLM</v>
      </c>
      <c r="B2207" s="164">
        <f>IFERROR(__xludf.DUMMYFUNCTION("""COMPUTED_VALUE"""),1.0406494E7)</f>
        <v>10406494</v>
      </c>
      <c r="C2207" s="164" t="str">
        <f>IFERROR(__xludf.DUMMYFUNCTION("""COMPUTED_VALUE"""),"10406494XXL - 54")</f>
        <v>10406494XXL - 54</v>
      </c>
      <c r="D2207" s="133" t="str">
        <f>IFERROR(__xludf.DUMMYFUNCTION("""COMPUTED_VALUE"""),"лапапейс")</f>
        <v>лапапейс</v>
      </c>
      <c r="E2207" s="133" t="str">
        <f>IFERROR(__xludf.DUMMYFUNCTION("""COMPUTED_VALUE"""),"XXL - 54")</f>
        <v>XXL - 54</v>
      </c>
      <c r="F2207" s="133" t="str">
        <f>IFERROR(__xludf.DUMMYFUNCTION("""COMPUTED_VALUE"""),"14519BLMXXL - 54")</f>
        <v>14519BLMXXL - 54</v>
      </c>
      <c r="G2207" s="165">
        <f>IFERROR(__xludf.DUMMYFUNCTION("""COMPUTED_VALUE"""),1075.0)</f>
        <v>1075</v>
      </c>
    </row>
    <row r="2208" ht="15.75" customHeight="1">
      <c r="A2208" s="133" t="str">
        <f>IFERROR(__xludf.DUMMYFUNCTION("""COMPUTED_VALUE"""),"14519BLM")</f>
        <v>14519BLM</v>
      </c>
      <c r="B2208" s="164">
        <f>IFERROR(__xludf.DUMMYFUNCTION("""COMPUTED_VALUE"""),1.0406494E7)</f>
        <v>10406494</v>
      </c>
      <c r="C2208" s="164" t="str">
        <f>IFERROR(__xludf.DUMMYFUNCTION("""COMPUTED_VALUE"""),"10406494XXXL - 56")</f>
        <v>10406494XXXL - 56</v>
      </c>
      <c r="D2208" s="133" t="str">
        <f>IFERROR(__xludf.DUMMYFUNCTION("""COMPUTED_VALUE"""),"лапапейс")</f>
        <v>лапапейс</v>
      </c>
      <c r="E2208" s="133" t="str">
        <f>IFERROR(__xludf.DUMMYFUNCTION("""COMPUTED_VALUE"""),"XXXL - 56")</f>
        <v>XXXL - 56</v>
      </c>
      <c r="F2208" s="133" t="str">
        <f>IFERROR(__xludf.DUMMYFUNCTION("""COMPUTED_VALUE"""),"14519BLMXXXL - 56")</f>
        <v>14519BLMXXXL - 56</v>
      </c>
      <c r="G2208" s="165">
        <f>IFERROR(__xludf.DUMMYFUNCTION("""COMPUTED_VALUE"""),1075.0)</f>
        <v>1075</v>
      </c>
    </row>
    <row r="2209" ht="15.75" customHeight="1">
      <c r="A2209" s="133" t="str">
        <f>IFERROR(__xludf.DUMMYFUNCTION("""COMPUTED_VALUE"""),"12619BLK")</f>
        <v>12619BLK</v>
      </c>
      <c r="B2209" s="164">
        <f>IFERROR(__xludf.DUMMYFUNCTION("""COMPUTED_VALUE"""),8955729.0)</f>
        <v>8955729</v>
      </c>
      <c r="C2209" s="164" t="str">
        <f>IFERROR(__xludf.DUMMYFUNCTION("""COMPUTED_VALUE"""),"895572998-104")</f>
        <v>895572998-104</v>
      </c>
      <c r="D2209" s="133" t="str">
        <f>IFERROR(__xludf.DUMMYFUNCTION("""COMPUTED_VALUE"""),"Детский свитер. Олени классика с горлом")</f>
        <v>Детский свитер. Олени классика с горлом</v>
      </c>
      <c r="E2209" s="133" t="str">
        <f>IFERROR(__xludf.DUMMYFUNCTION("""COMPUTED_VALUE"""),"98-104")</f>
        <v>98-104</v>
      </c>
      <c r="F2209" s="133" t="str">
        <f>IFERROR(__xludf.DUMMYFUNCTION("""COMPUTED_VALUE"""),"12619BLK98-104")</f>
        <v>12619BLK98-104</v>
      </c>
      <c r="G2209" s="165">
        <f>IFERROR(__xludf.DUMMYFUNCTION("""COMPUTED_VALUE"""),644.0)</f>
        <v>644</v>
      </c>
    </row>
    <row r="2210" ht="15.75" customHeight="1">
      <c r="A2210" s="133" t="str">
        <f>IFERROR(__xludf.DUMMYFUNCTION("""COMPUTED_VALUE"""),"12619BLK")</f>
        <v>12619BLK</v>
      </c>
      <c r="B2210" s="164">
        <f>IFERROR(__xludf.DUMMYFUNCTION("""COMPUTED_VALUE"""),8955729.0)</f>
        <v>8955729</v>
      </c>
      <c r="C2210" s="164" t="str">
        <f>IFERROR(__xludf.DUMMYFUNCTION("""COMPUTED_VALUE"""),"8955729110-116")</f>
        <v>8955729110-116</v>
      </c>
      <c r="D2210" s="133" t="str">
        <f>IFERROR(__xludf.DUMMYFUNCTION("""COMPUTED_VALUE"""),"Детский свитер. Олени классика с горлом")</f>
        <v>Детский свитер. Олени классика с горлом</v>
      </c>
      <c r="E2210" s="133" t="str">
        <f>IFERROR(__xludf.DUMMYFUNCTION("""COMPUTED_VALUE"""),"110-116")</f>
        <v>110-116</v>
      </c>
      <c r="F2210" s="133" t="str">
        <f>IFERROR(__xludf.DUMMYFUNCTION("""COMPUTED_VALUE"""),"12619BLK110-116")</f>
        <v>12619BLK110-116</v>
      </c>
      <c r="G2210" s="165">
        <f>IFERROR(__xludf.DUMMYFUNCTION("""COMPUTED_VALUE"""),644.0)</f>
        <v>644</v>
      </c>
    </row>
    <row r="2211" ht="15.75" customHeight="1">
      <c r="A2211" s="133" t="str">
        <f>IFERROR(__xludf.DUMMYFUNCTION("""COMPUTED_VALUE"""),"12619BLK")</f>
        <v>12619BLK</v>
      </c>
      <c r="B2211" s="164">
        <f>IFERROR(__xludf.DUMMYFUNCTION("""COMPUTED_VALUE"""),8955729.0)</f>
        <v>8955729</v>
      </c>
      <c r="C2211" s="164" t="str">
        <f>IFERROR(__xludf.DUMMYFUNCTION("""COMPUTED_VALUE"""),"8955729122-128")</f>
        <v>8955729122-128</v>
      </c>
      <c r="D2211" s="133" t="str">
        <f>IFERROR(__xludf.DUMMYFUNCTION("""COMPUTED_VALUE"""),"Детский свитер. Олени классика с горлом")</f>
        <v>Детский свитер. Олени классика с горлом</v>
      </c>
      <c r="E2211" s="133" t="str">
        <f>IFERROR(__xludf.DUMMYFUNCTION("""COMPUTED_VALUE"""),"122-128")</f>
        <v>122-128</v>
      </c>
      <c r="F2211" s="133" t="str">
        <f>IFERROR(__xludf.DUMMYFUNCTION("""COMPUTED_VALUE"""),"12619BLK122-128")</f>
        <v>12619BLK122-128</v>
      </c>
      <c r="G2211" s="165">
        <f>IFERROR(__xludf.DUMMYFUNCTION("""COMPUTED_VALUE"""),644.0)</f>
        <v>644</v>
      </c>
    </row>
    <row r="2212" ht="15.75" customHeight="1">
      <c r="A2212" s="133" t="str">
        <f>IFERROR(__xludf.DUMMYFUNCTION("""COMPUTED_VALUE"""),"12619BLK")</f>
        <v>12619BLK</v>
      </c>
      <c r="B2212" s="164">
        <f>IFERROR(__xludf.DUMMYFUNCTION("""COMPUTED_VALUE"""),8955729.0)</f>
        <v>8955729</v>
      </c>
      <c r="C2212" s="164" t="str">
        <f>IFERROR(__xludf.DUMMYFUNCTION("""COMPUTED_VALUE"""),"8955729134-140")</f>
        <v>8955729134-140</v>
      </c>
      <c r="D2212" s="133" t="str">
        <f>IFERROR(__xludf.DUMMYFUNCTION("""COMPUTED_VALUE"""),"Детский свитер. Олени классика с горлом")</f>
        <v>Детский свитер. Олени классика с горлом</v>
      </c>
      <c r="E2212" s="133" t="str">
        <f>IFERROR(__xludf.DUMMYFUNCTION("""COMPUTED_VALUE"""),"134-140")</f>
        <v>134-140</v>
      </c>
      <c r="F2212" s="133" t="str">
        <f>IFERROR(__xludf.DUMMYFUNCTION("""COMPUTED_VALUE"""),"12619BLK134-140")</f>
        <v>12619BLK134-140</v>
      </c>
      <c r="G2212" s="165">
        <f>IFERROR(__xludf.DUMMYFUNCTION("""COMPUTED_VALUE"""),644.0)</f>
        <v>644</v>
      </c>
    </row>
    <row r="2213" ht="15.75" customHeight="1">
      <c r="A2213" s="133" t="str">
        <f>IFERROR(__xludf.DUMMYFUNCTION("""COMPUTED_VALUE"""),"12619BLK")</f>
        <v>12619BLK</v>
      </c>
      <c r="B2213" s="164">
        <f>IFERROR(__xludf.DUMMYFUNCTION("""COMPUTED_VALUE"""),8955729.0)</f>
        <v>8955729</v>
      </c>
      <c r="C2213" s="164" t="str">
        <f>IFERROR(__xludf.DUMMYFUNCTION("""COMPUTED_VALUE"""),"8955729140-146")</f>
        <v>8955729140-146</v>
      </c>
      <c r="D2213" s="133" t="str">
        <f>IFERROR(__xludf.DUMMYFUNCTION("""COMPUTED_VALUE"""),"Детский свитер. Олени классика с горлом")</f>
        <v>Детский свитер. Олени классика с горлом</v>
      </c>
      <c r="E2213" s="133" t="str">
        <f>IFERROR(__xludf.DUMMYFUNCTION("""COMPUTED_VALUE"""),"140-146")</f>
        <v>140-146</v>
      </c>
      <c r="F2213" s="133" t="str">
        <f>IFERROR(__xludf.DUMMYFUNCTION("""COMPUTED_VALUE"""),"12619BLK140-146")</f>
        <v>12619BLK140-146</v>
      </c>
      <c r="G2213" s="165">
        <f>IFERROR(__xludf.DUMMYFUNCTION("""COMPUTED_VALUE"""),644.0)</f>
        <v>644</v>
      </c>
    </row>
    <row r="2214" ht="15.75" customHeight="1">
      <c r="A2214" s="133" t="str">
        <f>IFERROR(__xludf.DUMMYFUNCTION("""COMPUTED_VALUE"""),"12719BLK")</f>
        <v>12719BLK</v>
      </c>
      <c r="B2214" s="164">
        <f>IFERROR(__xludf.DUMMYFUNCTION("""COMPUTED_VALUE"""),8955730.0)</f>
        <v>8955730</v>
      </c>
      <c r="C2214" s="164" t="str">
        <f>IFERROR(__xludf.DUMMYFUNCTION("""COMPUTED_VALUE"""),"895573098-104")</f>
        <v>895573098-104</v>
      </c>
      <c r="D2214" s="133" t="str">
        <f>IFERROR(__xludf.DUMMYFUNCTION("""COMPUTED_VALUE"""),"Детский свитер. Олени классика с горлом")</f>
        <v>Детский свитер. Олени классика с горлом</v>
      </c>
      <c r="E2214" s="133" t="str">
        <f>IFERROR(__xludf.DUMMYFUNCTION("""COMPUTED_VALUE"""),"98-104")</f>
        <v>98-104</v>
      </c>
      <c r="F2214" s="133" t="str">
        <f>IFERROR(__xludf.DUMMYFUNCTION("""COMPUTED_VALUE"""),"12719BLK98-104")</f>
        <v>12719BLK98-104</v>
      </c>
      <c r="G2214" s="165">
        <f>IFERROR(__xludf.DUMMYFUNCTION("""COMPUTED_VALUE"""),644.0)</f>
        <v>644</v>
      </c>
    </row>
    <row r="2215" ht="15.75" customHeight="1">
      <c r="A2215" s="133" t="str">
        <f>IFERROR(__xludf.DUMMYFUNCTION("""COMPUTED_VALUE"""),"12719BLK")</f>
        <v>12719BLK</v>
      </c>
      <c r="B2215" s="164">
        <f>IFERROR(__xludf.DUMMYFUNCTION("""COMPUTED_VALUE"""),8955730.0)</f>
        <v>8955730</v>
      </c>
      <c r="C2215" s="164" t="str">
        <f>IFERROR(__xludf.DUMMYFUNCTION("""COMPUTED_VALUE"""),"8955730110-116")</f>
        <v>8955730110-116</v>
      </c>
      <c r="D2215" s="133" t="str">
        <f>IFERROR(__xludf.DUMMYFUNCTION("""COMPUTED_VALUE"""),"Детский свитер. Олени классика с горлом")</f>
        <v>Детский свитер. Олени классика с горлом</v>
      </c>
      <c r="E2215" s="133" t="str">
        <f>IFERROR(__xludf.DUMMYFUNCTION("""COMPUTED_VALUE"""),"110-116")</f>
        <v>110-116</v>
      </c>
      <c r="F2215" s="133" t="str">
        <f>IFERROR(__xludf.DUMMYFUNCTION("""COMPUTED_VALUE"""),"12719BLK110-116")</f>
        <v>12719BLK110-116</v>
      </c>
      <c r="G2215" s="165">
        <f>IFERROR(__xludf.DUMMYFUNCTION("""COMPUTED_VALUE"""),644.0)</f>
        <v>644</v>
      </c>
    </row>
    <row r="2216" ht="15.75" customHeight="1">
      <c r="A2216" s="133" t="str">
        <f>IFERROR(__xludf.DUMMYFUNCTION("""COMPUTED_VALUE"""),"12719BLK")</f>
        <v>12719BLK</v>
      </c>
      <c r="B2216" s="164">
        <f>IFERROR(__xludf.DUMMYFUNCTION("""COMPUTED_VALUE"""),8955730.0)</f>
        <v>8955730</v>
      </c>
      <c r="C2216" s="164" t="str">
        <f>IFERROR(__xludf.DUMMYFUNCTION("""COMPUTED_VALUE"""),"8955730122-128")</f>
        <v>8955730122-128</v>
      </c>
      <c r="D2216" s="133" t="str">
        <f>IFERROR(__xludf.DUMMYFUNCTION("""COMPUTED_VALUE"""),"Детский свитер. Олени классика с горлом")</f>
        <v>Детский свитер. Олени классика с горлом</v>
      </c>
      <c r="E2216" s="133" t="str">
        <f>IFERROR(__xludf.DUMMYFUNCTION("""COMPUTED_VALUE"""),"122-128")</f>
        <v>122-128</v>
      </c>
      <c r="F2216" s="133" t="str">
        <f>IFERROR(__xludf.DUMMYFUNCTION("""COMPUTED_VALUE"""),"12719BLK122-128")</f>
        <v>12719BLK122-128</v>
      </c>
      <c r="G2216" s="165">
        <f>IFERROR(__xludf.DUMMYFUNCTION("""COMPUTED_VALUE"""),644.0)</f>
        <v>644</v>
      </c>
    </row>
    <row r="2217" ht="15.75" customHeight="1">
      <c r="A2217" s="133" t="str">
        <f>IFERROR(__xludf.DUMMYFUNCTION("""COMPUTED_VALUE"""),"12719BLK")</f>
        <v>12719BLK</v>
      </c>
      <c r="B2217" s="164">
        <f>IFERROR(__xludf.DUMMYFUNCTION("""COMPUTED_VALUE"""),8955730.0)</f>
        <v>8955730</v>
      </c>
      <c r="C2217" s="164" t="str">
        <f>IFERROR(__xludf.DUMMYFUNCTION("""COMPUTED_VALUE"""),"8955730134-140")</f>
        <v>8955730134-140</v>
      </c>
      <c r="D2217" s="133" t="str">
        <f>IFERROR(__xludf.DUMMYFUNCTION("""COMPUTED_VALUE"""),"Детский свитер. Олени классика с горлом")</f>
        <v>Детский свитер. Олени классика с горлом</v>
      </c>
      <c r="E2217" s="133" t="str">
        <f>IFERROR(__xludf.DUMMYFUNCTION("""COMPUTED_VALUE"""),"134-140")</f>
        <v>134-140</v>
      </c>
      <c r="F2217" s="133" t="str">
        <f>IFERROR(__xludf.DUMMYFUNCTION("""COMPUTED_VALUE"""),"12719BLK134-140")</f>
        <v>12719BLK134-140</v>
      </c>
      <c r="G2217" s="165">
        <f>IFERROR(__xludf.DUMMYFUNCTION("""COMPUTED_VALUE"""),644.0)</f>
        <v>644</v>
      </c>
    </row>
    <row r="2218" ht="15.75" customHeight="1">
      <c r="A2218" s="133" t="str">
        <f>IFERROR(__xludf.DUMMYFUNCTION("""COMPUTED_VALUE"""),"12719BLK")</f>
        <v>12719BLK</v>
      </c>
      <c r="B2218" s="164">
        <f>IFERROR(__xludf.DUMMYFUNCTION("""COMPUTED_VALUE"""),8955730.0)</f>
        <v>8955730</v>
      </c>
      <c r="C2218" s="164" t="str">
        <f>IFERROR(__xludf.DUMMYFUNCTION("""COMPUTED_VALUE"""),"8955730140-146")</f>
        <v>8955730140-146</v>
      </c>
      <c r="D2218" s="133" t="str">
        <f>IFERROR(__xludf.DUMMYFUNCTION("""COMPUTED_VALUE"""),"Детский свитер. Олени классика с горлом")</f>
        <v>Детский свитер. Олени классика с горлом</v>
      </c>
      <c r="E2218" s="133" t="str">
        <f>IFERROR(__xludf.DUMMYFUNCTION("""COMPUTED_VALUE"""),"140-146")</f>
        <v>140-146</v>
      </c>
      <c r="F2218" s="133" t="str">
        <f>IFERROR(__xludf.DUMMYFUNCTION("""COMPUTED_VALUE"""),"12719BLK140-146")</f>
        <v>12719BLK140-146</v>
      </c>
      <c r="G2218" s="165">
        <f>IFERROR(__xludf.DUMMYFUNCTION("""COMPUTED_VALUE"""),644.0)</f>
        <v>644</v>
      </c>
    </row>
    <row r="2219" ht="15.75" customHeight="1">
      <c r="A2219" s="133" t="str">
        <f>IFERROR(__xludf.DUMMYFUNCTION("""COMPUTED_VALUE"""),"12819BLK")</f>
        <v>12819BLK</v>
      </c>
      <c r="B2219" s="164">
        <f>IFERROR(__xludf.DUMMYFUNCTION("""COMPUTED_VALUE"""),1.0056551E7)</f>
        <v>10056551</v>
      </c>
      <c r="C2219" s="164" t="str">
        <f>IFERROR(__xludf.DUMMYFUNCTION("""COMPUTED_VALUE"""),"1005655198-104")</f>
        <v>1005655198-104</v>
      </c>
      <c r="D2219" s="133" t="str">
        <f>IFERROR(__xludf.DUMMYFUNCTION("""COMPUTED_VALUE"""),"Детский свитер. Олени")</f>
        <v>Детский свитер. Олени</v>
      </c>
      <c r="E2219" s="133" t="str">
        <f>IFERROR(__xludf.DUMMYFUNCTION("""COMPUTED_VALUE"""),"98-104")</f>
        <v>98-104</v>
      </c>
      <c r="F2219" s="133" t="str">
        <f>IFERROR(__xludf.DUMMYFUNCTION("""COMPUTED_VALUE"""),"12819BLK98-104")</f>
        <v>12819BLK98-104</v>
      </c>
      <c r="G2219" s="165">
        <f>IFERROR(__xludf.DUMMYFUNCTION("""COMPUTED_VALUE"""),644.0)</f>
        <v>644</v>
      </c>
    </row>
    <row r="2220" ht="15.75" customHeight="1">
      <c r="A2220" s="133" t="str">
        <f>IFERROR(__xludf.DUMMYFUNCTION("""COMPUTED_VALUE"""),"12819BLK")</f>
        <v>12819BLK</v>
      </c>
      <c r="B2220" s="164">
        <f>IFERROR(__xludf.DUMMYFUNCTION("""COMPUTED_VALUE"""),1.0056551E7)</f>
        <v>10056551</v>
      </c>
      <c r="C2220" s="164" t="str">
        <f>IFERROR(__xludf.DUMMYFUNCTION("""COMPUTED_VALUE"""),"10056551110-116")</f>
        <v>10056551110-116</v>
      </c>
      <c r="D2220" s="133" t="str">
        <f>IFERROR(__xludf.DUMMYFUNCTION("""COMPUTED_VALUE"""),"Детский свитер. Олени")</f>
        <v>Детский свитер. Олени</v>
      </c>
      <c r="E2220" s="133" t="str">
        <f>IFERROR(__xludf.DUMMYFUNCTION("""COMPUTED_VALUE"""),"110-116")</f>
        <v>110-116</v>
      </c>
      <c r="F2220" s="133" t="str">
        <f>IFERROR(__xludf.DUMMYFUNCTION("""COMPUTED_VALUE"""),"12819BLK110-116")</f>
        <v>12819BLK110-116</v>
      </c>
      <c r="G2220" s="165">
        <f>IFERROR(__xludf.DUMMYFUNCTION("""COMPUTED_VALUE"""),644.0)</f>
        <v>644</v>
      </c>
    </row>
    <row r="2221" ht="15.75" customHeight="1">
      <c r="A2221" s="133" t="str">
        <f>IFERROR(__xludf.DUMMYFUNCTION("""COMPUTED_VALUE"""),"12819BLK")</f>
        <v>12819BLK</v>
      </c>
      <c r="B2221" s="164">
        <f>IFERROR(__xludf.DUMMYFUNCTION("""COMPUTED_VALUE"""),1.0056551E7)</f>
        <v>10056551</v>
      </c>
      <c r="C2221" s="164" t="str">
        <f>IFERROR(__xludf.DUMMYFUNCTION("""COMPUTED_VALUE"""),"10056551122-128")</f>
        <v>10056551122-128</v>
      </c>
      <c r="D2221" s="133" t="str">
        <f>IFERROR(__xludf.DUMMYFUNCTION("""COMPUTED_VALUE"""),"Детский свитер. Олени")</f>
        <v>Детский свитер. Олени</v>
      </c>
      <c r="E2221" s="133" t="str">
        <f>IFERROR(__xludf.DUMMYFUNCTION("""COMPUTED_VALUE"""),"122-128")</f>
        <v>122-128</v>
      </c>
      <c r="F2221" s="133" t="str">
        <f>IFERROR(__xludf.DUMMYFUNCTION("""COMPUTED_VALUE"""),"12819BLK122-128")</f>
        <v>12819BLK122-128</v>
      </c>
      <c r="G2221" s="165">
        <f>IFERROR(__xludf.DUMMYFUNCTION("""COMPUTED_VALUE"""),644.0)</f>
        <v>644</v>
      </c>
    </row>
    <row r="2222" ht="15.75" customHeight="1">
      <c r="A2222" s="133" t="str">
        <f>IFERROR(__xludf.DUMMYFUNCTION("""COMPUTED_VALUE"""),"12819BLK")</f>
        <v>12819BLK</v>
      </c>
      <c r="B2222" s="164">
        <f>IFERROR(__xludf.DUMMYFUNCTION("""COMPUTED_VALUE"""),1.0056551E7)</f>
        <v>10056551</v>
      </c>
      <c r="C2222" s="164" t="str">
        <f>IFERROR(__xludf.DUMMYFUNCTION("""COMPUTED_VALUE"""),"10056551134-140")</f>
        <v>10056551134-140</v>
      </c>
      <c r="D2222" s="133" t="str">
        <f>IFERROR(__xludf.DUMMYFUNCTION("""COMPUTED_VALUE"""),"Детский свитер. Олени")</f>
        <v>Детский свитер. Олени</v>
      </c>
      <c r="E2222" s="133" t="str">
        <f>IFERROR(__xludf.DUMMYFUNCTION("""COMPUTED_VALUE"""),"134-140")</f>
        <v>134-140</v>
      </c>
      <c r="F2222" s="133" t="str">
        <f>IFERROR(__xludf.DUMMYFUNCTION("""COMPUTED_VALUE"""),"12819BLK134-140")</f>
        <v>12819BLK134-140</v>
      </c>
      <c r="G2222" s="165">
        <f>IFERROR(__xludf.DUMMYFUNCTION("""COMPUTED_VALUE"""),644.0)</f>
        <v>644</v>
      </c>
    </row>
    <row r="2223" ht="15.75" customHeight="1">
      <c r="A2223" s="133" t="str">
        <f>IFERROR(__xludf.DUMMYFUNCTION("""COMPUTED_VALUE"""),"12819BLK")</f>
        <v>12819BLK</v>
      </c>
      <c r="B2223" s="164">
        <f>IFERROR(__xludf.DUMMYFUNCTION("""COMPUTED_VALUE"""),1.0056551E7)</f>
        <v>10056551</v>
      </c>
      <c r="C2223" s="164" t="str">
        <f>IFERROR(__xludf.DUMMYFUNCTION("""COMPUTED_VALUE"""),"10056551140-146")</f>
        <v>10056551140-146</v>
      </c>
      <c r="D2223" s="133" t="str">
        <f>IFERROR(__xludf.DUMMYFUNCTION("""COMPUTED_VALUE"""),"Детский свитер. Олени")</f>
        <v>Детский свитер. Олени</v>
      </c>
      <c r="E2223" s="133" t="str">
        <f>IFERROR(__xludf.DUMMYFUNCTION("""COMPUTED_VALUE"""),"140-146")</f>
        <v>140-146</v>
      </c>
      <c r="F2223" s="133" t="str">
        <f>IFERROR(__xludf.DUMMYFUNCTION("""COMPUTED_VALUE"""),"12819BLK140-146")</f>
        <v>12819BLK140-146</v>
      </c>
      <c r="G2223" s="165">
        <f>IFERROR(__xludf.DUMMYFUNCTION("""COMPUTED_VALUE"""),644.0)</f>
        <v>644</v>
      </c>
    </row>
    <row r="2224" ht="15.75" customHeight="1">
      <c r="A2224" s="133" t="str">
        <f>IFERROR(__xludf.DUMMYFUNCTION("""COMPUTED_VALUE"""),"13019BLK")</f>
        <v>13019BLK</v>
      </c>
      <c r="B2224" s="164">
        <f>IFERROR(__xludf.DUMMYFUNCTION("""COMPUTED_VALUE"""),1.0056553E7)</f>
        <v>10056553</v>
      </c>
      <c r="C2224" s="164" t="str">
        <f>IFERROR(__xludf.DUMMYFUNCTION("""COMPUTED_VALUE"""),"1005655398-104")</f>
        <v>1005655398-104</v>
      </c>
      <c r="D2224" s="133" t="str">
        <f>IFERROR(__xludf.DUMMYFUNCTION("""COMPUTED_VALUE"""),"Детский свитер. Олени")</f>
        <v>Детский свитер. Олени</v>
      </c>
      <c r="E2224" s="133" t="str">
        <f>IFERROR(__xludf.DUMMYFUNCTION("""COMPUTED_VALUE"""),"98-104")</f>
        <v>98-104</v>
      </c>
      <c r="F2224" s="133" t="str">
        <f>IFERROR(__xludf.DUMMYFUNCTION("""COMPUTED_VALUE"""),"13019BLK98-104")</f>
        <v>13019BLK98-104</v>
      </c>
      <c r="G2224" s="165">
        <f>IFERROR(__xludf.DUMMYFUNCTION("""COMPUTED_VALUE"""),644.0)</f>
        <v>644</v>
      </c>
    </row>
    <row r="2225" ht="15.75" customHeight="1">
      <c r="A2225" s="133" t="str">
        <f>IFERROR(__xludf.DUMMYFUNCTION("""COMPUTED_VALUE"""),"13019BLK")</f>
        <v>13019BLK</v>
      </c>
      <c r="B2225" s="164">
        <f>IFERROR(__xludf.DUMMYFUNCTION("""COMPUTED_VALUE"""),1.0056553E7)</f>
        <v>10056553</v>
      </c>
      <c r="C2225" s="164" t="str">
        <f>IFERROR(__xludf.DUMMYFUNCTION("""COMPUTED_VALUE"""),"10056553110-116")</f>
        <v>10056553110-116</v>
      </c>
      <c r="D2225" s="133" t="str">
        <f>IFERROR(__xludf.DUMMYFUNCTION("""COMPUTED_VALUE"""),"Детский свитер. Олени")</f>
        <v>Детский свитер. Олени</v>
      </c>
      <c r="E2225" s="133" t="str">
        <f>IFERROR(__xludf.DUMMYFUNCTION("""COMPUTED_VALUE"""),"110-116")</f>
        <v>110-116</v>
      </c>
      <c r="F2225" s="133" t="str">
        <f>IFERROR(__xludf.DUMMYFUNCTION("""COMPUTED_VALUE"""),"13019BLK110-116")</f>
        <v>13019BLK110-116</v>
      </c>
      <c r="G2225" s="165">
        <f>IFERROR(__xludf.DUMMYFUNCTION("""COMPUTED_VALUE"""),644.0)</f>
        <v>644</v>
      </c>
    </row>
    <row r="2226" ht="15.75" customHeight="1">
      <c r="A2226" s="133" t="str">
        <f>IFERROR(__xludf.DUMMYFUNCTION("""COMPUTED_VALUE"""),"13019BLK")</f>
        <v>13019BLK</v>
      </c>
      <c r="B2226" s="164">
        <f>IFERROR(__xludf.DUMMYFUNCTION("""COMPUTED_VALUE"""),1.0056553E7)</f>
        <v>10056553</v>
      </c>
      <c r="C2226" s="164" t="str">
        <f>IFERROR(__xludf.DUMMYFUNCTION("""COMPUTED_VALUE"""),"10056553122-128")</f>
        <v>10056553122-128</v>
      </c>
      <c r="D2226" s="133" t="str">
        <f>IFERROR(__xludf.DUMMYFUNCTION("""COMPUTED_VALUE"""),"Детский свитер. Олени")</f>
        <v>Детский свитер. Олени</v>
      </c>
      <c r="E2226" s="133" t="str">
        <f>IFERROR(__xludf.DUMMYFUNCTION("""COMPUTED_VALUE"""),"122-128")</f>
        <v>122-128</v>
      </c>
      <c r="F2226" s="133" t="str">
        <f>IFERROR(__xludf.DUMMYFUNCTION("""COMPUTED_VALUE"""),"13019BLK122-128")</f>
        <v>13019BLK122-128</v>
      </c>
      <c r="G2226" s="165">
        <f>IFERROR(__xludf.DUMMYFUNCTION("""COMPUTED_VALUE"""),644.0)</f>
        <v>644</v>
      </c>
    </row>
    <row r="2227" ht="15.75" customHeight="1">
      <c r="A2227" s="133" t="str">
        <f>IFERROR(__xludf.DUMMYFUNCTION("""COMPUTED_VALUE"""),"13019BLK")</f>
        <v>13019BLK</v>
      </c>
      <c r="B2227" s="164">
        <f>IFERROR(__xludf.DUMMYFUNCTION("""COMPUTED_VALUE"""),1.0056553E7)</f>
        <v>10056553</v>
      </c>
      <c r="C2227" s="164" t="str">
        <f>IFERROR(__xludf.DUMMYFUNCTION("""COMPUTED_VALUE"""),"10056553134-140")</f>
        <v>10056553134-140</v>
      </c>
      <c r="D2227" s="133" t="str">
        <f>IFERROR(__xludf.DUMMYFUNCTION("""COMPUTED_VALUE"""),"Детский свитер. Олени")</f>
        <v>Детский свитер. Олени</v>
      </c>
      <c r="E2227" s="133" t="str">
        <f>IFERROR(__xludf.DUMMYFUNCTION("""COMPUTED_VALUE"""),"134-140")</f>
        <v>134-140</v>
      </c>
      <c r="F2227" s="133" t="str">
        <f>IFERROR(__xludf.DUMMYFUNCTION("""COMPUTED_VALUE"""),"13019BLK134-140")</f>
        <v>13019BLK134-140</v>
      </c>
      <c r="G2227" s="165">
        <f>IFERROR(__xludf.DUMMYFUNCTION("""COMPUTED_VALUE"""),644.0)</f>
        <v>644</v>
      </c>
    </row>
    <row r="2228" ht="15.75" customHeight="1">
      <c r="A2228" s="133" t="str">
        <f>IFERROR(__xludf.DUMMYFUNCTION("""COMPUTED_VALUE"""),"13019BLK")</f>
        <v>13019BLK</v>
      </c>
      <c r="B2228" s="164">
        <f>IFERROR(__xludf.DUMMYFUNCTION("""COMPUTED_VALUE"""),1.0056553E7)</f>
        <v>10056553</v>
      </c>
      <c r="C2228" s="164" t="str">
        <f>IFERROR(__xludf.DUMMYFUNCTION("""COMPUTED_VALUE"""),"10056553140-146")</f>
        <v>10056553140-146</v>
      </c>
      <c r="D2228" s="133" t="str">
        <f>IFERROR(__xludf.DUMMYFUNCTION("""COMPUTED_VALUE"""),"Детский свитер. Олени")</f>
        <v>Детский свитер. Олени</v>
      </c>
      <c r="E2228" s="133" t="str">
        <f>IFERROR(__xludf.DUMMYFUNCTION("""COMPUTED_VALUE"""),"140-146")</f>
        <v>140-146</v>
      </c>
      <c r="F2228" s="133" t="str">
        <f>IFERROR(__xludf.DUMMYFUNCTION("""COMPUTED_VALUE"""),"13019BLK140-146")</f>
        <v>13019BLK140-146</v>
      </c>
      <c r="G2228" s="165">
        <f>IFERROR(__xludf.DUMMYFUNCTION("""COMPUTED_VALUE"""),644.0)</f>
        <v>644</v>
      </c>
    </row>
    <row r="2229" ht="15.75" customHeight="1">
      <c r="A2229" s="133" t="str">
        <f>IFERROR(__xludf.DUMMYFUNCTION("""COMPUTED_VALUE"""),"13119BLK")</f>
        <v>13119BLK</v>
      </c>
      <c r="B2229" s="164">
        <f>IFERROR(__xludf.DUMMYFUNCTION("""COMPUTED_VALUE"""),8955731.0)</f>
        <v>8955731</v>
      </c>
      <c r="C2229" s="164" t="str">
        <f>IFERROR(__xludf.DUMMYFUNCTION("""COMPUTED_VALUE"""),"895573198-104")</f>
        <v>895573198-104</v>
      </c>
      <c r="D2229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29" s="133" t="str">
        <f>IFERROR(__xludf.DUMMYFUNCTION("""COMPUTED_VALUE"""),"98-104")</f>
        <v>98-104</v>
      </c>
      <c r="F2229" s="133" t="str">
        <f>IFERROR(__xludf.DUMMYFUNCTION("""COMPUTED_VALUE"""),"13119BLK98-104")</f>
        <v>13119BLK98-104</v>
      </c>
      <c r="G2229" s="165">
        <f>IFERROR(__xludf.DUMMYFUNCTION("""COMPUTED_VALUE"""),644.0)</f>
        <v>644</v>
      </c>
    </row>
    <row r="2230" ht="15.75" customHeight="1">
      <c r="A2230" s="133" t="str">
        <f>IFERROR(__xludf.DUMMYFUNCTION("""COMPUTED_VALUE"""),"13119BLK")</f>
        <v>13119BLK</v>
      </c>
      <c r="B2230" s="164">
        <f>IFERROR(__xludf.DUMMYFUNCTION("""COMPUTED_VALUE"""),8955731.0)</f>
        <v>8955731</v>
      </c>
      <c r="C2230" s="164" t="str">
        <f>IFERROR(__xludf.DUMMYFUNCTION("""COMPUTED_VALUE"""),"8955731110-116")</f>
        <v>8955731110-116</v>
      </c>
      <c r="D2230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0" s="133" t="str">
        <f>IFERROR(__xludf.DUMMYFUNCTION("""COMPUTED_VALUE"""),"110-116")</f>
        <v>110-116</v>
      </c>
      <c r="F2230" s="133" t="str">
        <f>IFERROR(__xludf.DUMMYFUNCTION("""COMPUTED_VALUE"""),"13119BLK110-116")</f>
        <v>13119BLK110-116</v>
      </c>
      <c r="G2230" s="165">
        <f>IFERROR(__xludf.DUMMYFUNCTION("""COMPUTED_VALUE"""),644.0)</f>
        <v>644</v>
      </c>
    </row>
    <row r="2231" ht="15.75" customHeight="1">
      <c r="A2231" s="133" t="str">
        <f>IFERROR(__xludf.DUMMYFUNCTION("""COMPUTED_VALUE"""),"13119BLK")</f>
        <v>13119BLK</v>
      </c>
      <c r="B2231" s="164">
        <f>IFERROR(__xludf.DUMMYFUNCTION("""COMPUTED_VALUE"""),8955731.0)</f>
        <v>8955731</v>
      </c>
      <c r="C2231" s="164" t="str">
        <f>IFERROR(__xludf.DUMMYFUNCTION("""COMPUTED_VALUE"""),"8955731122-128")</f>
        <v>8955731122-128</v>
      </c>
      <c r="D2231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1" s="133" t="str">
        <f>IFERROR(__xludf.DUMMYFUNCTION("""COMPUTED_VALUE"""),"122-128")</f>
        <v>122-128</v>
      </c>
      <c r="F2231" s="133" t="str">
        <f>IFERROR(__xludf.DUMMYFUNCTION("""COMPUTED_VALUE"""),"13119BLK122-128")</f>
        <v>13119BLK122-128</v>
      </c>
      <c r="G2231" s="165">
        <f>IFERROR(__xludf.DUMMYFUNCTION("""COMPUTED_VALUE"""),644.0)</f>
        <v>644</v>
      </c>
    </row>
    <row r="2232" ht="15.75" customHeight="1">
      <c r="A2232" s="133" t="str">
        <f>IFERROR(__xludf.DUMMYFUNCTION("""COMPUTED_VALUE"""),"13119BLK")</f>
        <v>13119BLK</v>
      </c>
      <c r="B2232" s="164">
        <f>IFERROR(__xludf.DUMMYFUNCTION("""COMPUTED_VALUE"""),8955731.0)</f>
        <v>8955731</v>
      </c>
      <c r="C2232" s="164" t="str">
        <f>IFERROR(__xludf.DUMMYFUNCTION("""COMPUTED_VALUE"""),"8955731134-140")</f>
        <v>8955731134-140</v>
      </c>
      <c r="D2232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2" s="133" t="str">
        <f>IFERROR(__xludf.DUMMYFUNCTION("""COMPUTED_VALUE"""),"134-140")</f>
        <v>134-140</v>
      </c>
      <c r="F2232" s="133" t="str">
        <f>IFERROR(__xludf.DUMMYFUNCTION("""COMPUTED_VALUE"""),"13119BLK134-140")</f>
        <v>13119BLK134-140</v>
      </c>
      <c r="G2232" s="165">
        <f>IFERROR(__xludf.DUMMYFUNCTION("""COMPUTED_VALUE"""),644.0)</f>
        <v>644</v>
      </c>
    </row>
    <row r="2233" ht="15.75" customHeight="1">
      <c r="A2233" s="133" t="str">
        <f>IFERROR(__xludf.DUMMYFUNCTION("""COMPUTED_VALUE"""),"13119BLK")</f>
        <v>13119BLK</v>
      </c>
      <c r="B2233" s="164">
        <f>IFERROR(__xludf.DUMMYFUNCTION("""COMPUTED_VALUE"""),8955731.0)</f>
        <v>8955731</v>
      </c>
      <c r="C2233" s="164" t="str">
        <f>IFERROR(__xludf.DUMMYFUNCTION("""COMPUTED_VALUE"""),"8955731140-146")</f>
        <v>8955731140-146</v>
      </c>
      <c r="D2233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3" s="133" t="str">
        <f>IFERROR(__xludf.DUMMYFUNCTION("""COMPUTED_VALUE"""),"140-146")</f>
        <v>140-146</v>
      </c>
      <c r="F2233" s="133" t="str">
        <f>IFERROR(__xludf.DUMMYFUNCTION("""COMPUTED_VALUE"""),"13119BLK140-146")</f>
        <v>13119BLK140-146</v>
      </c>
      <c r="G2233" s="165">
        <f>IFERROR(__xludf.DUMMYFUNCTION("""COMPUTED_VALUE"""),644.0)</f>
        <v>644</v>
      </c>
    </row>
    <row r="2234" ht="15.75" customHeight="1">
      <c r="A2234" s="133" t="str">
        <f>IFERROR(__xludf.DUMMYFUNCTION("""COMPUTED_VALUE"""),"13219BLK")</f>
        <v>13219BLK</v>
      </c>
      <c r="B2234" s="164">
        <f>IFERROR(__xludf.DUMMYFUNCTION("""COMPUTED_VALUE"""),8955732.0)</f>
        <v>8955732</v>
      </c>
      <c r="C2234" s="164" t="str">
        <f>IFERROR(__xludf.DUMMYFUNCTION("""COMPUTED_VALUE"""),"895573298-104")</f>
        <v>895573298-104</v>
      </c>
      <c r="D2234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4" s="133" t="str">
        <f>IFERROR(__xludf.DUMMYFUNCTION("""COMPUTED_VALUE"""),"98-104")</f>
        <v>98-104</v>
      </c>
      <c r="F2234" s="133" t="str">
        <f>IFERROR(__xludf.DUMMYFUNCTION("""COMPUTED_VALUE"""),"13219BLK98-104")</f>
        <v>13219BLK98-104</v>
      </c>
      <c r="G2234" s="165">
        <f>IFERROR(__xludf.DUMMYFUNCTION("""COMPUTED_VALUE"""),644.0)</f>
        <v>644</v>
      </c>
    </row>
    <row r="2235" ht="15.75" customHeight="1">
      <c r="A2235" s="133" t="str">
        <f>IFERROR(__xludf.DUMMYFUNCTION("""COMPUTED_VALUE"""),"13219BLK")</f>
        <v>13219BLK</v>
      </c>
      <c r="B2235" s="164">
        <f>IFERROR(__xludf.DUMMYFUNCTION("""COMPUTED_VALUE"""),8955732.0)</f>
        <v>8955732</v>
      </c>
      <c r="C2235" s="164" t="str">
        <f>IFERROR(__xludf.DUMMYFUNCTION("""COMPUTED_VALUE"""),"8955732110-116")</f>
        <v>8955732110-116</v>
      </c>
      <c r="D2235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5" s="133" t="str">
        <f>IFERROR(__xludf.DUMMYFUNCTION("""COMPUTED_VALUE"""),"110-116")</f>
        <v>110-116</v>
      </c>
      <c r="F2235" s="133" t="str">
        <f>IFERROR(__xludf.DUMMYFUNCTION("""COMPUTED_VALUE"""),"13219BLK110-116")</f>
        <v>13219BLK110-116</v>
      </c>
      <c r="G2235" s="165">
        <f>IFERROR(__xludf.DUMMYFUNCTION("""COMPUTED_VALUE"""),644.0)</f>
        <v>644</v>
      </c>
    </row>
    <row r="2236" ht="15.75" customHeight="1">
      <c r="A2236" s="133" t="str">
        <f>IFERROR(__xludf.DUMMYFUNCTION("""COMPUTED_VALUE"""),"13219BLK")</f>
        <v>13219BLK</v>
      </c>
      <c r="B2236" s="164">
        <f>IFERROR(__xludf.DUMMYFUNCTION("""COMPUTED_VALUE"""),8955732.0)</f>
        <v>8955732</v>
      </c>
      <c r="C2236" s="164" t="str">
        <f>IFERROR(__xludf.DUMMYFUNCTION("""COMPUTED_VALUE"""),"8955732122-128")</f>
        <v>8955732122-128</v>
      </c>
      <c r="D2236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6" s="133" t="str">
        <f>IFERROR(__xludf.DUMMYFUNCTION("""COMPUTED_VALUE"""),"122-128")</f>
        <v>122-128</v>
      </c>
      <c r="F2236" s="133" t="str">
        <f>IFERROR(__xludf.DUMMYFUNCTION("""COMPUTED_VALUE"""),"13219BLK122-128")</f>
        <v>13219BLK122-128</v>
      </c>
      <c r="G2236" s="165">
        <f>IFERROR(__xludf.DUMMYFUNCTION("""COMPUTED_VALUE"""),644.0)</f>
        <v>644</v>
      </c>
    </row>
    <row r="2237" ht="15.75" customHeight="1">
      <c r="A2237" s="133" t="str">
        <f>IFERROR(__xludf.DUMMYFUNCTION("""COMPUTED_VALUE"""),"13219BLK")</f>
        <v>13219BLK</v>
      </c>
      <c r="B2237" s="164">
        <f>IFERROR(__xludf.DUMMYFUNCTION("""COMPUTED_VALUE"""),8955732.0)</f>
        <v>8955732</v>
      </c>
      <c r="C2237" s="164" t="str">
        <f>IFERROR(__xludf.DUMMYFUNCTION("""COMPUTED_VALUE"""),"8955732134-140")</f>
        <v>8955732134-140</v>
      </c>
      <c r="D2237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7" s="133" t="str">
        <f>IFERROR(__xludf.DUMMYFUNCTION("""COMPUTED_VALUE"""),"134-140")</f>
        <v>134-140</v>
      </c>
      <c r="F2237" s="133" t="str">
        <f>IFERROR(__xludf.DUMMYFUNCTION("""COMPUTED_VALUE"""),"13219BLK134-140")</f>
        <v>13219BLK134-140</v>
      </c>
      <c r="G2237" s="165">
        <f>IFERROR(__xludf.DUMMYFUNCTION("""COMPUTED_VALUE"""),644.0)</f>
        <v>644</v>
      </c>
    </row>
    <row r="2238" ht="15.75" customHeight="1">
      <c r="A2238" s="133" t="str">
        <f>IFERROR(__xludf.DUMMYFUNCTION("""COMPUTED_VALUE"""),"13219BLK")</f>
        <v>13219BLK</v>
      </c>
      <c r="B2238" s="164">
        <f>IFERROR(__xludf.DUMMYFUNCTION("""COMPUTED_VALUE"""),8955732.0)</f>
        <v>8955732</v>
      </c>
      <c r="C2238" s="164" t="str">
        <f>IFERROR(__xludf.DUMMYFUNCTION("""COMPUTED_VALUE"""),"8955732140-146")</f>
        <v>8955732140-146</v>
      </c>
      <c r="D2238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38" s="133" t="str">
        <f>IFERROR(__xludf.DUMMYFUNCTION("""COMPUTED_VALUE"""),"140-146")</f>
        <v>140-146</v>
      </c>
      <c r="F2238" s="133" t="str">
        <f>IFERROR(__xludf.DUMMYFUNCTION("""COMPUTED_VALUE"""),"13219BLK140-146")</f>
        <v>13219BLK140-146</v>
      </c>
      <c r="G2238" s="165">
        <f>IFERROR(__xludf.DUMMYFUNCTION("""COMPUTED_VALUE"""),644.0)</f>
        <v>644</v>
      </c>
    </row>
    <row r="2239" ht="15.75" customHeight="1">
      <c r="A2239" s="133" t="str">
        <f>IFERROR(__xludf.DUMMYFUNCTION("""COMPUTED_VALUE"""),"13319BLK")</f>
        <v>13319BLK</v>
      </c>
      <c r="B2239" s="164">
        <f>IFERROR(__xludf.DUMMYFUNCTION("""COMPUTED_VALUE"""),1.0056554E7)</f>
        <v>10056554</v>
      </c>
      <c r="C2239" s="164" t="str">
        <f>IFERROR(__xludf.DUMMYFUNCTION("""COMPUTED_VALUE"""),"1005655498-104")</f>
        <v>1005655498-104</v>
      </c>
      <c r="D2239" s="133" t="str">
        <f>IFERROR(__xludf.DUMMYFUNCTION("""COMPUTED_VALUE"""),"Детский свитер. Олени")</f>
        <v>Детский свитер. Олени</v>
      </c>
      <c r="E2239" s="133" t="str">
        <f>IFERROR(__xludf.DUMMYFUNCTION("""COMPUTED_VALUE"""),"98-104")</f>
        <v>98-104</v>
      </c>
      <c r="F2239" s="133" t="str">
        <f>IFERROR(__xludf.DUMMYFUNCTION("""COMPUTED_VALUE"""),"13319BLK98-104")</f>
        <v>13319BLK98-104</v>
      </c>
      <c r="G2239" s="165">
        <f>IFERROR(__xludf.DUMMYFUNCTION("""COMPUTED_VALUE"""),644.0)</f>
        <v>644</v>
      </c>
    </row>
    <row r="2240" ht="15.75" customHeight="1">
      <c r="A2240" s="133" t="str">
        <f>IFERROR(__xludf.DUMMYFUNCTION("""COMPUTED_VALUE"""),"13319BLK")</f>
        <v>13319BLK</v>
      </c>
      <c r="B2240" s="164">
        <f>IFERROR(__xludf.DUMMYFUNCTION("""COMPUTED_VALUE"""),1.0056554E7)</f>
        <v>10056554</v>
      </c>
      <c r="C2240" s="164" t="str">
        <f>IFERROR(__xludf.DUMMYFUNCTION("""COMPUTED_VALUE"""),"10056554110-116")</f>
        <v>10056554110-116</v>
      </c>
      <c r="D2240" s="133" t="str">
        <f>IFERROR(__xludf.DUMMYFUNCTION("""COMPUTED_VALUE"""),"Детский свитер. Олени")</f>
        <v>Детский свитер. Олени</v>
      </c>
      <c r="E2240" s="133" t="str">
        <f>IFERROR(__xludf.DUMMYFUNCTION("""COMPUTED_VALUE"""),"110-116")</f>
        <v>110-116</v>
      </c>
      <c r="F2240" s="133" t="str">
        <f>IFERROR(__xludf.DUMMYFUNCTION("""COMPUTED_VALUE"""),"13319BLK110-116")</f>
        <v>13319BLK110-116</v>
      </c>
      <c r="G2240" s="165">
        <f>IFERROR(__xludf.DUMMYFUNCTION("""COMPUTED_VALUE"""),644.0)</f>
        <v>644</v>
      </c>
    </row>
    <row r="2241" ht="15.75" customHeight="1">
      <c r="A2241" s="133" t="str">
        <f>IFERROR(__xludf.DUMMYFUNCTION("""COMPUTED_VALUE"""),"13319BLK")</f>
        <v>13319BLK</v>
      </c>
      <c r="B2241" s="164">
        <f>IFERROR(__xludf.DUMMYFUNCTION("""COMPUTED_VALUE"""),1.0056554E7)</f>
        <v>10056554</v>
      </c>
      <c r="C2241" s="164" t="str">
        <f>IFERROR(__xludf.DUMMYFUNCTION("""COMPUTED_VALUE"""),"10056554122-128")</f>
        <v>10056554122-128</v>
      </c>
      <c r="D2241" s="133" t="str">
        <f>IFERROR(__xludf.DUMMYFUNCTION("""COMPUTED_VALUE"""),"Детский свитер. Олени")</f>
        <v>Детский свитер. Олени</v>
      </c>
      <c r="E2241" s="133" t="str">
        <f>IFERROR(__xludf.DUMMYFUNCTION("""COMPUTED_VALUE"""),"122-128")</f>
        <v>122-128</v>
      </c>
      <c r="F2241" s="133" t="str">
        <f>IFERROR(__xludf.DUMMYFUNCTION("""COMPUTED_VALUE"""),"13319BLK122-128")</f>
        <v>13319BLK122-128</v>
      </c>
      <c r="G2241" s="165">
        <f>IFERROR(__xludf.DUMMYFUNCTION("""COMPUTED_VALUE"""),644.0)</f>
        <v>644</v>
      </c>
    </row>
    <row r="2242" ht="15.75" customHeight="1">
      <c r="A2242" s="133" t="str">
        <f>IFERROR(__xludf.DUMMYFUNCTION("""COMPUTED_VALUE"""),"13319BLK")</f>
        <v>13319BLK</v>
      </c>
      <c r="B2242" s="164">
        <f>IFERROR(__xludf.DUMMYFUNCTION("""COMPUTED_VALUE"""),1.0056554E7)</f>
        <v>10056554</v>
      </c>
      <c r="C2242" s="164" t="str">
        <f>IFERROR(__xludf.DUMMYFUNCTION("""COMPUTED_VALUE"""),"10056554134-140")</f>
        <v>10056554134-140</v>
      </c>
      <c r="D2242" s="133" t="str">
        <f>IFERROR(__xludf.DUMMYFUNCTION("""COMPUTED_VALUE"""),"Детский свитер. Олени")</f>
        <v>Детский свитер. Олени</v>
      </c>
      <c r="E2242" s="133" t="str">
        <f>IFERROR(__xludf.DUMMYFUNCTION("""COMPUTED_VALUE"""),"134-140")</f>
        <v>134-140</v>
      </c>
      <c r="F2242" s="133" t="str">
        <f>IFERROR(__xludf.DUMMYFUNCTION("""COMPUTED_VALUE"""),"13319BLK134-140")</f>
        <v>13319BLK134-140</v>
      </c>
      <c r="G2242" s="165">
        <f>IFERROR(__xludf.DUMMYFUNCTION("""COMPUTED_VALUE"""),644.0)</f>
        <v>644</v>
      </c>
    </row>
    <row r="2243" ht="15.75" customHeight="1">
      <c r="A2243" s="133" t="str">
        <f>IFERROR(__xludf.DUMMYFUNCTION("""COMPUTED_VALUE"""),"13319BLK")</f>
        <v>13319BLK</v>
      </c>
      <c r="B2243" s="164">
        <f>IFERROR(__xludf.DUMMYFUNCTION("""COMPUTED_VALUE"""),1.0056554E7)</f>
        <v>10056554</v>
      </c>
      <c r="C2243" s="164" t="str">
        <f>IFERROR(__xludf.DUMMYFUNCTION("""COMPUTED_VALUE"""),"10056554140-146")</f>
        <v>10056554140-146</v>
      </c>
      <c r="D2243" s="133" t="str">
        <f>IFERROR(__xludf.DUMMYFUNCTION("""COMPUTED_VALUE"""),"Детский свитер. Олени")</f>
        <v>Детский свитер. Олени</v>
      </c>
      <c r="E2243" s="133" t="str">
        <f>IFERROR(__xludf.DUMMYFUNCTION("""COMPUTED_VALUE"""),"140-146")</f>
        <v>140-146</v>
      </c>
      <c r="F2243" s="133" t="str">
        <f>IFERROR(__xludf.DUMMYFUNCTION("""COMPUTED_VALUE"""),"13319BLK140-146")</f>
        <v>13319BLK140-146</v>
      </c>
      <c r="G2243" s="165">
        <f>IFERROR(__xludf.DUMMYFUNCTION("""COMPUTED_VALUE"""),644.0)</f>
        <v>644</v>
      </c>
    </row>
    <row r="2244" ht="15.75" customHeight="1">
      <c r="A2244" s="133" t="str">
        <f>IFERROR(__xludf.DUMMYFUNCTION("""COMPUTED_VALUE"""),"13419BLK")</f>
        <v>13419BLK</v>
      </c>
      <c r="B2244" s="164">
        <f>IFERROR(__xludf.DUMMYFUNCTION("""COMPUTED_VALUE"""),1.0133349E7)</f>
        <v>10133349</v>
      </c>
      <c r="C2244" s="164" t="str">
        <f>IFERROR(__xludf.DUMMYFUNCTION("""COMPUTED_VALUE"""),"1013334998-104")</f>
        <v>1013334998-104</v>
      </c>
      <c r="D2244" s="133" t="str">
        <f>IFERROR(__xludf.DUMMYFUNCTION("""COMPUTED_VALUE"""),"Детский свитер. Олени")</f>
        <v>Детский свитер. Олени</v>
      </c>
      <c r="E2244" s="133" t="str">
        <f>IFERROR(__xludf.DUMMYFUNCTION("""COMPUTED_VALUE"""),"98-104")</f>
        <v>98-104</v>
      </c>
      <c r="F2244" s="133" t="str">
        <f>IFERROR(__xludf.DUMMYFUNCTION("""COMPUTED_VALUE"""),"13419BLK98-104")</f>
        <v>13419BLK98-104</v>
      </c>
      <c r="G2244" s="165">
        <f>IFERROR(__xludf.DUMMYFUNCTION("""COMPUTED_VALUE"""),644.0)</f>
        <v>644</v>
      </c>
    </row>
    <row r="2245" ht="15.75" customHeight="1">
      <c r="A2245" s="133" t="str">
        <f>IFERROR(__xludf.DUMMYFUNCTION("""COMPUTED_VALUE"""),"13419BLK")</f>
        <v>13419BLK</v>
      </c>
      <c r="B2245" s="164">
        <f>IFERROR(__xludf.DUMMYFUNCTION("""COMPUTED_VALUE"""),1.0133349E7)</f>
        <v>10133349</v>
      </c>
      <c r="C2245" s="164" t="str">
        <f>IFERROR(__xludf.DUMMYFUNCTION("""COMPUTED_VALUE"""),"10133349110-116")</f>
        <v>10133349110-116</v>
      </c>
      <c r="D2245" s="133" t="str">
        <f>IFERROR(__xludf.DUMMYFUNCTION("""COMPUTED_VALUE"""),"Детский свитер. Олени")</f>
        <v>Детский свитер. Олени</v>
      </c>
      <c r="E2245" s="133" t="str">
        <f>IFERROR(__xludf.DUMMYFUNCTION("""COMPUTED_VALUE"""),"110-116")</f>
        <v>110-116</v>
      </c>
      <c r="F2245" s="133" t="str">
        <f>IFERROR(__xludf.DUMMYFUNCTION("""COMPUTED_VALUE"""),"13419BLK110-116")</f>
        <v>13419BLK110-116</v>
      </c>
      <c r="G2245" s="165">
        <f>IFERROR(__xludf.DUMMYFUNCTION("""COMPUTED_VALUE"""),644.0)</f>
        <v>644</v>
      </c>
    </row>
    <row r="2246" ht="15.75" customHeight="1">
      <c r="A2246" s="133" t="str">
        <f>IFERROR(__xludf.DUMMYFUNCTION("""COMPUTED_VALUE"""),"13419BLK")</f>
        <v>13419BLK</v>
      </c>
      <c r="B2246" s="164">
        <f>IFERROR(__xludf.DUMMYFUNCTION("""COMPUTED_VALUE"""),1.0133349E7)</f>
        <v>10133349</v>
      </c>
      <c r="C2246" s="164" t="str">
        <f>IFERROR(__xludf.DUMMYFUNCTION("""COMPUTED_VALUE"""),"10133349122-128")</f>
        <v>10133349122-128</v>
      </c>
      <c r="D2246" s="133" t="str">
        <f>IFERROR(__xludf.DUMMYFUNCTION("""COMPUTED_VALUE"""),"Детский свитер. Олени")</f>
        <v>Детский свитер. Олени</v>
      </c>
      <c r="E2246" s="133" t="str">
        <f>IFERROR(__xludf.DUMMYFUNCTION("""COMPUTED_VALUE"""),"122-128")</f>
        <v>122-128</v>
      </c>
      <c r="F2246" s="133" t="str">
        <f>IFERROR(__xludf.DUMMYFUNCTION("""COMPUTED_VALUE"""),"13419BLK122-128")</f>
        <v>13419BLK122-128</v>
      </c>
      <c r="G2246" s="165">
        <f>IFERROR(__xludf.DUMMYFUNCTION("""COMPUTED_VALUE"""),644.0)</f>
        <v>644</v>
      </c>
    </row>
    <row r="2247" ht="15.75" customHeight="1">
      <c r="A2247" s="133" t="str">
        <f>IFERROR(__xludf.DUMMYFUNCTION("""COMPUTED_VALUE"""),"13419BLK")</f>
        <v>13419BLK</v>
      </c>
      <c r="B2247" s="164">
        <f>IFERROR(__xludf.DUMMYFUNCTION("""COMPUTED_VALUE"""),1.0133349E7)</f>
        <v>10133349</v>
      </c>
      <c r="C2247" s="164" t="str">
        <f>IFERROR(__xludf.DUMMYFUNCTION("""COMPUTED_VALUE"""),"10133349134-140")</f>
        <v>10133349134-140</v>
      </c>
      <c r="D2247" s="133" t="str">
        <f>IFERROR(__xludf.DUMMYFUNCTION("""COMPUTED_VALUE"""),"Детский свитер. Олени")</f>
        <v>Детский свитер. Олени</v>
      </c>
      <c r="E2247" s="133" t="str">
        <f>IFERROR(__xludf.DUMMYFUNCTION("""COMPUTED_VALUE"""),"134-140")</f>
        <v>134-140</v>
      </c>
      <c r="F2247" s="133" t="str">
        <f>IFERROR(__xludf.DUMMYFUNCTION("""COMPUTED_VALUE"""),"13419BLK134-140")</f>
        <v>13419BLK134-140</v>
      </c>
      <c r="G2247" s="165">
        <f>IFERROR(__xludf.DUMMYFUNCTION("""COMPUTED_VALUE"""),644.0)</f>
        <v>644</v>
      </c>
    </row>
    <row r="2248" ht="15.75" customHeight="1">
      <c r="A2248" s="133" t="str">
        <f>IFERROR(__xludf.DUMMYFUNCTION("""COMPUTED_VALUE"""),"13419BLK")</f>
        <v>13419BLK</v>
      </c>
      <c r="B2248" s="164">
        <f>IFERROR(__xludf.DUMMYFUNCTION("""COMPUTED_VALUE"""),1.0133349E7)</f>
        <v>10133349</v>
      </c>
      <c r="C2248" s="164" t="str">
        <f>IFERROR(__xludf.DUMMYFUNCTION("""COMPUTED_VALUE"""),"10133349140-146")</f>
        <v>10133349140-146</v>
      </c>
      <c r="D2248" s="133" t="str">
        <f>IFERROR(__xludf.DUMMYFUNCTION("""COMPUTED_VALUE"""),"Детский свитер. Олени")</f>
        <v>Детский свитер. Олени</v>
      </c>
      <c r="E2248" s="133" t="str">
        <f>IFERROR(__xludf.DUMMYFUNCTION("""COMPUTED_VALUE"""),"140-146")</f>
        <v>140-146</v>
      </c>
      <c r="F2248" s="133" t="str">
        <f>IFERROR(__xludf.DUMMYFUNCTION("""COMPUTED_VALUE"""),"13419BLK140-146")</f>
        <v>13419BLK140-146</v>
      </c>
      <c r="G2248" s="165">
        <f>IFERROR(__xludf.DUMMYFUNCTION("""COMPUTED_VALUE"""),644.0)</f>
        <v>644</v>
      </c>
    </row>
    <row r="2249" ht="15.75" customHeight="1">
      <c r="A2249" s="133" t="str">
        <f>IFERROR(__xludf.DUMMYFUNCTION("""COMPUTED_VALUE"""),"14119BLK")</f>
        <v>14119BLK</v>
      </c>
      <c r="B2249" s="164">
        <f>IFERROR(__xludf.DUMMYFUNCTION("""COMPUTED_VALUE"""),9227770.0)</f>
        <v>9227770</v>
      </c>
      <c r="C2249" s="164" t="str">
        <f>IFERROR(__xludf.DUMMYFUNCTION("""COMPUTED_VALUE"""),"922777098-104")</f>
        <v>922777098-104</v>
      </c>
      <c r="D2249" s="133" t="str">
        <f>IFERROR(__xludf.DUMMYFUNCTION("""COMPUTED_VALUE"""),"Детский свитер.Олени классика с горлом")</f>
        <v>Детский свитер.Олени классика с горлом</v>
      </c>
      <c r="E2249" s="133" t="str">
        <f>IFERROR(__xludf.DUMMYFUNCTION("""COMPUTED_VALUE"""),"98-104")</f>
        <v>98-104</v>
      </c>
      <c r="F2249" s="133" t="str">
        <f>IFERROR(__xludf.DUMMYFUNCTION("""COMPUTED_VALUE"""),"14119BLK98-104")</f>
        <v>14119BLK98-104</v>
      </c>
      <c r="G2249" s="165">
        <f>IFERROR(__xludf.DUMMYFUNCTION("""COMPUTED_VALUE"""),644.0)</f>
        <v>644</v>
      </c>
    </row>
    <row r="2250" ht="15.75" customHeight="1">
      <c r="A2250" s="133" t="str">
        <f>IFERROR(__xludf.DUMMYFUNCTION("""COMPUTED_VALUE"""),"14119BLK")</f>
        <v>14119BLK</v>
      </c>
      <c r="B2250" s="164">
        <f>IFERROR(__xludf.DUMMYFUNCTION("""COMPUTED_VALUE"""),9227770.0)</f>
        <v>9227770</v>
      </c>
      <c r="C2250" s="164" t="str">
        <f>IFERROR(__xludf.DUMMYFUNCTION("""COMPUTED_VALUE"""),"9227770110-116")</f>
        <v>9227770110-116</v>
      </c>
      <c r="D2250" s="133" t="str">
        <f>IFERROR(__xludf.DUMMYFUNCTION("""COMPUTED_VALUE"""),"Детский свитер.Олени классика с горлом")</f>
        <v>Детский свитер.Олени классика с горлом</v>
      </c>
      <c r="E2250" s="133" t="str">
        <f>IFERROR(__xludf.DUMMYFUNCTION("""COMPUTED_VALUE"""),"110-116")</f>
        <v>110-116</v>
      </c>
      <c r="F2250" s="133" t="str">
        <f>IFERROR(__xludf.DUMMYFUNCTION("""COMPUTED_VALUE"""),"14119BLK110-116")</f>
        <v>14119BLK110-116</v>
      </c>
      <c r="G2250" s="165">
        <f>IFERROR(__xludf.DUMMYFUNCTION("""COMPUTED_VALUE"""),644.0)</f>
        <v>644</v>
      </c>
    </row>
    <row r="2251" ht="15.75" customHeight="1">
      <c r="A2251" s="133" t="str">
        <f>IFERROR(__xludf.DUMMYFUNCTION("""COMPUTED_VALUE"""),"14119BLK")</f>
        <v>14119BLK</v>
      </c>
      <c r="B2251" s="164">
        <f>IFERROR(__xludf.DUMMYFUNCTION("""COMPUTED_VALUE"""),9227770.0)</f>
        <v>9227770</v>
      </c>
      <c r="C2251" s="164" t="str">
        <f>IFERROR(__xludf.DUMMYFUNCTION("""COMPUTED_VALUE"""),"9227770122-128")</f>
        <v>9227770122-128</v>
      </c>
      <c r="D2251" s="133" t="str">
        <f>IFERROR(__xludf.DUMMYFUNCTION("""COMPUTED_VALUE"""),"Детский свитер.Олени классика с горлом")</f>
        <v>Детский свитер.Олени классика с горлом</v>
      </c>
      <c r="E2251" s="133" t="str">
        <f>IFERROR(__xludf.DUMMYFUNCTION("""COMPUTED_VALUE"""),"122-128")</f>
        <v>122-128</v>
      </c>
      <c r="F2251" s="133" t="str">
        <f>IFERROR(__xludf.DUMMYFUNCTION("""COMPUTED_VALUE"""),"14119BLK122-128")</f>
        <v>14119BLK122-128</v>
      </c>
      <c r="G2251" s="165">
        <f>IFERROR(__xludf.DUMMYFUNCTION("""COMPUTED_VALUE"""),644.0)</f>
        <v>644</v>
      </c>
    </row>
    <row r="2252" ht="15.75" customHeight="1">
      <c r="A2252" s="133" t="str">
        <f>IFERROR(__xludf.DUMMYFUNCTION("""COMPUTED_VALUE"""),"14119BLK")</f>
        <v>14119BLK</v>
      </c>
      <c r="B2252" s="164">
        <f>IFERROR(__xludf.DUMMYFUNCTION("""COMPUTED_VALUE"""),9227770.0)</f>
        <v>9227770</v>
      </c>
      <c r="C2252" s="164" t="str">
        <f>IFERROR(__xludf.DUMMYFUNCTION("""COMPUTED_VALUE"""),"9227770134-140")</f>
        <v>9227770134-140</v>
      </c>
      <c r="D2252" s="133" t="str">
        <f>IFERROR(__xludf.DUMMYFUNCTION("""COMPUTED_VALUE"""),"Детский свитер.Олени классика с горлом")</f>
        <v>Детский свитер.Олени классика с горлом</v>
      </c>
      <c r="E2252" s="133" t="str">
        <f>IFERROR(__xludf.DUMMYFUNCTION("""COMPUTED_VALUE"""),"134-140")</f>
        <v>134-140</v>
      </c>
      <c r="F2252" s="133" t="str">
        <f>IFERROR(__xludf.DUMMYFUNCTION("""COMPUTED_VALUE"""),"14119BLK134-140")</f>
        <v>14119BLK134-140</v>
      </c>
      <c r="G2252" s="165">
        <f>IFERROR(__xludf.DUMMYFUNCTION("""COMPUTED_VALUE"""),644.0)</f>
        <v>644</v>
      </c>
    </row>
    <row r="2253" ht="15.75" customHeight="1">
      <c r="A2253" s="133" t="str">
        <f>IFERROR(__xludf.DUMMYFUNCTION("""COMPUTED_VALUE"""),"14119BLK")</f>
        <v>14119BLK</v>
      </c>
      <c r="B2253" s="164">
        <f>IFERROR(__xludf.DUMMYFUNCTION("""COMPUTED_VALUE"""),9227770.0)</f>
        <v>9227770</v>
      </c>
      <c r="C2253" s="164" t="str">
        <f>IFERROR(__xludf.DUMMYFUNCTION("""COMPUTED_VALUE"""),"9227770140-146")</f>
        <v>9227770140-146</v>
      </c>
      <c r="D2253" s="133" t="str">
        <f>IFERROR(__xludf.DUMMYFUNCTION("""COMPUTED_VALUE"""),"Детский свитер.Олени классика с горлом")</f>
        <v>Детский свитер.Олени классика с горлом</v>
      </c>
      <c r="E2253" s="133" t="str">
        <f>IFERROR(__xludf.DUMMYFUNCTION("""COMPUTED_VALUE"""),"140-146")</f>
        <v>140-146</v>
      </c>
      <c r="F2253" s="133" t="str">
        <f>IFERROR(__xludf.DUMMYFUNCTION("""COMPUTED_VALUE"""),"14119BLK140-146")</f>
        <v>14119BLK140-146</v>
      </c>
      <c r="G2253" s="165">
        <f>IFERROR(__xludf.DUMMYFUNCTION("""COMPUTED_VALUE"""),644.0)</f>
        <v>644</v>
      </c>
    </row>
    <row r="2254" ht="15.75" customHeight="1">
      <c r="A2254" s="133" t="str">
        <f>IFERROR(__xludf.DUMMYFUNCTION("""COMPUTED_VALUE"""),"14219BLK")</f>
        <v>14219BLK</v>
      </c>
      <c r="B2254" s="164">
        <f>IFERROR(__xludf.DUMMYFUNCTION("""COMPUTED_VALUE"""),9227771.0)</f>
        <v>9227771</v>
      </c>
      <c r="C2254" s="164" t="str">
        <f>IFERROR(__xludf.DUMMYFUNCTION("""COMPUTED_VALUE"""),"922777198-104")</f>
        <v>922777198-104</v>
      </c>
      <c r="D2254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54" s="133" t="str">
        <f>IFERROR(__xludf.DUMMYFUNCTION("""COMPUTED_VALUE"""),"98-104")</f>
        <v>98-104</v>
      </c>
      <c r="F2254" s="133" t="str">
        <f>IFERROR(__xludf.DUMMYFUNCTION("""COMPUTED_VALUE"""),"14219BLK98-104")</f>
        <v>14219BLK98-104</v>
      </c>
      <c r="G2254" s="165">
        <f>IFERROR(__xludf.DUMMYFUNCTION("""COMPUTED_VALUE"""),644.0)</f>
        <v>644</v>
      </c>
    </row>
    <row r="2255" ht="15.75" customHeight="1">
      <c r="A2255" s="133" t="str">
        <f>IFERROR(__xludf.DUMMYFUNCTION("""COMPUTED_VALUE"""),"14219BLK")</f>
        <v>14219BLK</v>
      </c>
      <c r="B2255" s="164">
        <f>IFERROR(__xludf.DUMMYFUNCTION("""COMPUTED_VALUE"""),9227771.0)</f>
        <v>9227771</v>
      </c>
      <c r="C2255" s="164" t="str">
        <f>IFERROR(__xludf.DUMMYFUNCTION("""COMPUTED_VALUE"""),"9227771110-116")</f>
        <v>9227771110-116</v>
      </c>
      <c r="D2255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55" s="133" t="str">
        <f>IFERROR(__xludf.DUMMYFUNCTION("""COMPUTED_VALUE"""),"110-116")</f>
        <v>110-116</v>
      </c>
      <c r="F2255" s="133" t="str">
        <f>IFERROR(__xludf.DUMMYFUNCTION("""COMPUTED_VALUE"""),"14219BLK110-116")</f>
        <v>14219BLK110-116</v>
      </c>
      <c r="G2255" s="165">
        <f>IFERROR(__xludf.DUMMYFUNCTION("""COMPUTED_VALUE"""),644.0)</f>
        <v>644</v>
      </c>
    </row>
    <row r="2256" ht="15.75" customHeight="1">
      <c r="A2256" s="133" t="str">
        <f>IFERROR(__xludf.DUMMYFUNCTION("""COMPUTED_VALUE"""),"14219BLK")</f>
        <v>14219BLK</v>
      </c>
      <c r="B2256" s="164">
        <f>IFERROR(__xludf.DUMMYFUNCTION("""COMPUTED_VALUE"""),9227771.0)</f>
        <v>9227771</v>
      </c>
      <c r="C2256" s="164" t="str">
        <f>IFERROR(__xludf.DUMMYFUNCTION("""COMPUTED_VALUE"""),"9227771122-128")</f>
        <v>9227771122-128</v>
      </c>
      <c r="D2256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56" s="133" t="str">
        <f>IFERROR(__xludf.DUMMYFUNCTION("""COMPUTED_VALUE"""),"122-128")</f>
        <v>122-128</v>
      </c>
      <c r="F2256" s="133" t="str">
        <f>IFERROR(__xludf.DUMMYFUNCTION("""COMPUTED_VALUE"""),"14219BLK122-128")</f>
        <v>14219BLK122-128</v>
      </c>
      <c r="G2256" s="165">
        <f>IFERROR(__xludf.DUMMYFUNCTION("""COMPUTED_VALUE"""),644.0)</f>
        <v>644</v>
      </c>
    </row>
    <row r="2257" ht="15.75" customHeight="1">
      <c r="A2257" s="133" t="str">
        <f>IFERROR(__xludf.DUMMYFUNCTION("""COMPUTED_VALUE"""),"14219BLK")</f>
        <v>14219BLK</v>
      </c>
      <c r="B2257" s="164">
        <f>IFERROR(__xludf.DUMMYFUNCTION("""COMPUTED_VALUE"""),9227771.0)</f>
        <v>9227771</v>
      </c>
      <c r="C2257" s="164" t="str">
        <f>IFERROR(__xludf.DUMMYFUNCTION("""COMPUTED_VALUE"""),"9227771134-140")</f>
        <v>9227771134-140</v>
      </c>
      <c r="D2257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57" s="133" t="str">
        <f>IFERROR(__xludf.DUMMYFUNCTION("""COMPUTED_VALUE"""),"134-140")</f>
        <v>134-140</v>
      </c>
      <c r="F2257" s="133" t="str">
        <f>IFERROR(__xludf.DUMMYFUNCTION("""COMPUTED_VALUE"""),"14219BLK134-140")</f>
        <v>14219BLK134-140</v>
      </c>
      <c r="G2257" s="165">
        <f>IFERROR(__xludf.DUMMYFUNCTION("""COMPUTED_VALUE"""),644.0)</f>
        <v>644</v>
      </c>
    </row>
    <row r="2258" ht="15.75" customHeight="1">
      <c r="A2258" s="133" t="str">
        <f>IFERROR(__xludf.DUMMYFUNCTION("""COMPUTED_VALUE"""),"14219BLK")</f>
        <v>14219BLK</v>
      </c>
      <c r="B2258" s="164">
        <f>IFERROR(__xludf.DUMMYFUNCTION("""COMPUTED_VALUE"""),9227771.0)</f>
        <v>9227771</v>
      </c>
      <c r="C2258" s="164" t="str">
        <f>IFERROR(__xludf.DUMMYFUNCTION("""COMPUTED_VALUE"""),"9227771140-146")</f>
        <v>9227771140-146</v>
      </c>
      <c r="D2258" s="133" t="str">
        <f>IFERROR(__xludf.DUMMYFUNCTION("""COMPUTED_VALUE"""),"Детский свитер. Орнамент классика с горлом")</f>
        <v>Детский свитер. Орнамент классика с горлом</v>
      </c>
      <c r="E2258" s="133" t="str">
        <f>IFERROR(__xludf.DUMMYFUNCTION("""COMPUTED_VALUE"""),"140-146")</f>
        <v>140-146</v>
      </c>
      <c r="F2258" s="133" t="str">
        <f>IFERROR(__xludf.DUMMYFUNCTION("""COMPUTED_VALUE"""),"14219BLK140-146")</f>
        <v>14219BLK140-146</v>
      </c>
      <c r="G2258" s="165">
        <f>IFERROR(__xludf.DUMMYFUNCTION("""COMPUTED_VALUE"""),644.0)</f>
        <v>644</v>
      </c>
    </row>
    <row r="2259" ht="15.75" customHeight="1">
      <c r="A2259" s="133" t="str">
        <f>IFERROR(__xludf.DUMMYFUNCTION("""COMPUTED_VALUE"""),"14319BLK")</f>
        <v>14319BLK</v>
      </c>
      <c r="B2259" s="164">
        <f>IFERROR(__xludf.DUMMYFUNCTION("""COMPUTED_VALUE"""),1.0056555E7)</f>
        <v>10056555</v>
      </c>
      <c r="C2259" s="164" t="str">
        <f>IFERROR(__xludf.DUMMYFUNCTION("""COMPUTED_VALUE"""),"1005655598-104")</f>
        <v>1005655598-104</v>
      </c>
      <c r="D2259" s="133" t="str">
        <f>IFERROR(__xludf.DUMMYFUNCTION("""COMPUTED_VALUE"""),"Детский свитер. Олени")</f>
        <v>Детский свитер. Олени</v>
      </c>
      <c r="E2259" s="133" t="str">
        <f>IFERROR(__xludf.DUMMYFUNCTION("""COMPUTED_VALUE"""),"98-104")</f>
        <v>98-104</v>
      </c>
      <c r="F2259" s="133" t="str">
        <f>IFERROR(__xludf.DUMMYFUNCTION("""COMPUTED_VALUE"""),"14319BLK98-104")</f>
        <v>14319BLK98-104</v>
      </c>
      <c r="G2259" s="165">
        <f>IFERROR(__xludf.DUMMYFUNCTION("""COMPUTED_VALUE"""),644.0)</f>
        <v>644</v>
      </c>
    </row>
    <row r="2260" ht="15.75" customHeight="1">
      <c r="A2260" s="133" t="str">
        <f>IFERROR(__xludf.DUMMYFUNCTION("""COMPUTED_VALUE"""),"14319BLK")</f>
        <v>14319BLK</v>
      </c>
      <c r="B2260" s="164">
        <f>IFERROR(__xludf.DUMMYFUNCTION("""COMPUTED_VALUE"""),1.0056555E7)</f>
        <v>10056555</v>
      </c>
      <c r="C2260" s="164" t="str">
        <f>IFERROR(__xludf.DUMMYFUNCTION("""COMPUTED_VALUE"""),"10056555110-116")</f>
        <v>10056555110-116</v>
      </c>
      <c r="D2260" s="133" t="str">
        <f>IFERROR(__xludf.DUMMYFUNCTION("""COMPUTED_VALUE"""),"Детский свитер. Олени")</f>
        <v>Детский свитер. Олени</v>
      </c>
      <c r="E2260" s="133" t="str">
        <f>IFERROR(__xludf.DUMMYFUNCTION("""COMPUTED_VALUE"""),"110-116")</f>
        <v>110-116</v>
      </c>
      <c r="F2260" s="133" t="str">
        <f>IFERROR(__xludf.DUMMYFUNCTION("""COMPUTED_VALUE"""),"14319BLK110-116")</f>
        <v>14319BLK110-116</v>
      </c>
      <c r="G2260" s="165">
        <f>IFERROR(__xludf.DUMMYFUNCTION("""COMPUTED_VALUE"""),644.0)</f>
        <v>644</v>
      </c>
    </row>
    <row r="2261" ht="15.75" customHeight="1">
      <c r="A2261" s="133" t="str">
        <f>IFERROR(__xludf.DUMMYFUNCTION("""COMPUTED_VALUE"""),"14319BLK")</f>
        <v>14319BLK</v>
      </c>
      <c r="B2261" s="164">
        <f>IFERROR(__xludf.DUMMYFUNCTION("""COMPUTED_VALUE"""),1.0056555E7)</f>
        <v>10056555</v>
      </c>
      <c r="C2261" s="164" t="str">
        <f>IFERROR(__xludf.DUMMYFUNCTION("""COMPUTED_VALUE"""),"10056555122-128")</f>
        <v>10056555122-128</v>
      </c>
      <c r="D2261" s="133" t="str">
        <f>IFERROR(__xludf.DUMMYFUNCTION("""COMPUTED_VALUE"""),"Детский свитер. Олени")</f>
        <v>Детский свитер. Олени</v>
      </c>
      <c r="E2261" s="133" t="str">
        <f>IFERROR(__xludf.DUMMYFUNCTION("""COMPUTED_VALUE"""),"122-128")</f>
        <v>122-128</v>
      </c>
      <c r="F2261" s="133" t="str">
        <f>IFERROR(__xludf.DUMMYFUNCTION("""COMPUTED_VALUE"""),"14319BLK122-128")</f>
        <v>14319BLK122-128</v>
      </c>
      <c r="G2261" s="165">
        <f>IFERROR(__xludf.DUMMYFUNCTION("""COMPUTED_VALUE"""),644.0)</f>
        <v>644</v>
      </c>
    </row>
    <row r="2262" ht="15.75" customHeight="1">
      <c r="A2262" s="133" t="str">
        <f>IFERROR(__xludf.DUMMYFUNCTION("""COMPUTED_VALUE"""),"14319BLK")</f>
        <v>14319BLK</v>
      </c>
      <c r="B2262" s="164">
        <f>IFERROR(__xludf.DUMMYFUNCTION("""COMPUTED_VALUE"""),1.0056555E7)</f>
        <v>10056555</v>
      </c>
      <c r="C2262" s="164" t="str">
        <f>IFERROR(__xludf.DUMMYFUNCTION("""COMPUTED_VALUE"""),"10056555134-140")</f>
        <v>10056555134-140</v>
      </c>
      <c r="D2262" s="133" t="str">
        <f>IFERROR(__xludf.DUMMYFUNCTION("""COMPUTED_VALUE"""),"Детский свитер. Олени")</f>
        <v>Детский свитер. Олени</v>
      </c>
      <c r="E2262" s="133" t="str">
        <f>IFERROR(__xludf.DUMMYFUNCTION("""COMPUTED_VALUE"""),"134-140")</f>
        <v>134-140</v>
      </c>
      <c r="F2262" s="133" t="str">
        <f>IFERROR(__xludf.DUMMYFUNCTION("""COMPUTED_VALUE"""),"14319BLK134-140")</f>
        <v>14319BLK134-140</v>
      </c>
      <c r="G2262" s="165">
        <f>IFERROR(__xludf.DUMMYFUNCTION("""COMPUTED_VALUE"""),644.0)</f>
        <v>644</v>
      </c>
    </row>
    <row r="2263" ht="15.75" customHeight="1">
      <c r="A2263" s="133" t="str">
        <f>IFERROR(__xludf.DUMMYFUNCTION("""COMPUTED_VALUE"""),"14319BLK")</f>
        <v>14319BLK</v>
      </c>
      <c r="B2263" s="164">
        <f>IFERROR(__xludf.DUMMYFUNCTION("""COMPUTED_VALUE"""),1.0056555E7)</f>
        <v>10056555</v>
      </c>
      <c r="C2263" s="164" t="str">
        <f>IFERROR(__xludf.DUMMYFUNCTION("""COMPUTED_VALUE"""),"10056555140-146")</f>
        <v>10056555140-146</v>
      </c>
      <c r="D2263" s="133" t="str">
        <f>IFERROR(__xludf.DUMMYFUNCTION("""COMPUTED_VALUE"""),"Детский свитер. Олени")</f>
        <v>Детский свитер. Олени</v>
      </c>
      <c r="E2263" s="133" t="str">
        <f>IFERROR(__xludf.DUMMYFUNCTION("""COMPUTED_VALUE"""),"140-146")</f>
        <v>140-146</v>
      </c>
      <c r="F2263" s="133" t="str">
        <f>IFERROR(__xludf.DUMMYFUNCTION("""COMPUTED_VALUE"""),"14319BLK140-146")</f>
        <v>14319BLK140-146</v>
      </c>
      <c r="G2263" s="165">
        <f>IFERROR(__xludf.DUMMYFUNCTION("""COMPUTED_VALUE"""),644.0)</f>
        <v>644</v>
      </c>
    </row>
    <row r="2264" ht="15.75" customHeight="1">
      <c r="A2264" s="133" t="str">
        <f>IFERROR(__xludf.DUMMYFUNCTION("""COMPUTED_VALUE"""),"19202BLA")</f>
        <v>19202BLA</v>
      </c>
      <c r="B2264" s="164">
        <f>IFERROR(__xludf.DUMMYFUNCTION("""COMPUTED_VALUE"""),9311770.0)</f>
        <v>9311770</v>
      </c>
      <c r="C2264" s="164" t="str">
        <f>IFERROR(__xludf.DUMMYFUNCTION("""COMPUTED_VALUE"""),"931177054")</f>
        <v>931177054</v>
      </c>
      <c r="D2264" s="133" t="str">
        <f>IFERROR(__xludf.DUMMYFUNCTION("""COMPUTED_VALUE"""),"Женский комплект тройка")</f>
        <v>Женский комплект тройка</v>
      </c>
      <c r="E2264" s="133">
        <f>IFERROR(__xludf.DUMMYFUNCTION("""COMPUTED_VALUE"""),54.0)</f>
        <v>54</v>
      </c>
      <c r="F2264" s="133" t="str">
        <f>IFERROR(__xludf.DUMMYFUNCTION("""COMPUTED_VALUE"""),"19202BLA54")</f>
        <v>19202BLA54</v>
      </c>
      <c r="G2264" s="165">
        <f>IFERROR(__xludf.DUMMYFUNCTION("""COMPUTED_VALUE"""),834.0)</f>
        <v>834</v>
      </c>
    </row>
    <row r="2265" ht="15.75" customHeight="1">
      <c r="A2265" s="133" t="str">
        <f>IFERROR(__xludf.DUMMYFUNCTION("""COMPUTED_VALUE"""),"19204BLA")</f>
        <v>19204BLA</v>
      </c>
      <c r="B2265" s="164">
        <f>IFERROR(__xludf.DUMMYFUNCTION("""COMPUTED_VALUE"""),9311772.0)</f>
        <v>9311772</v>
      </c>
      <c r="C2265" s="164" t="str">
        <f>IFERROR(__xludf.DUMMYFUNCTION("""COMPUTED_VALUE"""),"931177254")</f>
        <v>931177254</v>
      </c>
      <c r="D2265" s="133" t="str">
        <f>IFERROR(__xludf.DUMMYFUNCTION("""COMPUTED_VALUE"""),"Шапка ""Меланж"" коричневая с белым")</f>
        <v>Шапка "Меланж" коричневая с белым</v>
      </c>
      <c r="E2265" s="133">
        <f>IFERROR(__xludf.DUMMYFUNCTION("""COMPUTED_VALUE"""),54.0)</f>
        <v>54</v>
      </c>
      <c r="F2265" s="133" t="str">
        <f>IFERROR(__xludf.DUMMYFUNCTION("""COMPUTED_VALUE"""),"19204BLA54")</f>
        <v>19204BLA54</v>
      </c>
      <c r="G2265" s="165">
        <f>IFERROR(__xludf.DUMMYFUNCTION("""COMPUTED_VALUE"""),200.0)</f>
        <v>200</v>
      </c>
    </row>
    <row r="2266" ht="15.75" customHeight="1">
      <c r="A2266" s="133" t="str">
        <f>IFERROR(__xludf.DUMMYFUNCTION("""COMPUTED_VALUE"""),"19205BLA")</f>
        <v>19205BLA</v>
      </c>
      <c r="B2266" s="164">
        <f>IFERROR(__xludf.DUMMYFUNCTION("""COMPUTED_VALUE"""),9311773.0)</f>
        <v>9311773</v>
      </c>
      <c r="C2266" s="164" t="str">
        <f>IFERROR(__xludf.DUMMYFUNCTION("""COMPUTED_VALUE"""),"931177354")</f>
        <v>931177354</v>
      </c>
      <c r="D2266" s="133" t="str">
        <f>IFERROR(__xludf.DUMMYFUNCTION("""COMPUTED_VALUE"""),"Женский Комплект тройка")</f>
        <v>Женский Комплект тройка</v>
      </c>
      <c r="E2266" s="133">
        <f>IFERROR(__xludf.DUMMYFUNCTION("""COMPUTED_VALUE"""),54.0)</f>
        <v>54</v>
      </c>
      <c r="F2266" s="133" t="str">
        <f>IFERROR(__xludf.DUMMYFUNCTION("""COMPUTED_VALUE"""),"19205BLA54")</f>
        <v>19205BLA54</v>
      </c>
      <c r="G2266" s="165">
        <f>IFERROR(__xludf.DUMMYFUNCTION("""COMPUTED_VALUE"""),300.0)</f>
        <v>300</v>
      </c>
    </row>
    <row r="2267" ht="15.75" customHeight="1">
      <c r="A2267" s="133" t="str">
        <f>IFERROR(__xludf.DUMMYFUNCTION("""COMPUTED_VALUE"""),"19207BLA")</f>
        <v>19207BLA</v>
      </c>
      <c r="B2267" s="164">
        <f>IFERROR(__xludf.DUMMYFUNCTION("""COMPUTED_VALUE"""),9311775.0)</f>
        <v>9311775</v>
      </c>
      <c r="C2267" s="164" t="str">
        <f>IFERROR(__xludf.DUMMYFUNCTION("""COMPUTED_VALUE"""),"931177554")</f>
        <v>931177554</v>
      </c>
      <c r="D2267" s="133" t="str">
        <f>IFERROR(__xludf.DUMMYFUNCTION("""COMPUTED_VALUE"""),"Шапка ""Меланж"" зелёная с красным")</f>
        <v>Шапка "Меланж" зелёная с красным</v>
      </c>
      <c r="E2267" s="133">
        <f>IFERROR(__xludf.DUMMYFUNCTION("""COMPUTED_VALUE"""),54.0)</f>
        <v>54</v>
      </c>
      <c r="F2267" s="133" t="str">
        <f>IFERROR(__xludf.DUMMYFUNCTION("""COMPUTED_VALUE"""),"19207BLA54")</f>
        <v>19207BLA54</v>
      </c>
      <c r="G2267" s="165">
        <f>IFERROR(__xludf.DUMMYFUNCTION("""COMPUTED_VALUE"""),200.0)</f>
        <v>200</v>
      </c>
    </row>
    <row r="2268" ht="15.75" customHeight="1">
      <c r="A2268" s="133" t="str">
        <f>IFERROR(__xludf.DUMMYFUNCTION("""COMPUTED_VALUE"""),"19208BLA")</f>
        <v>19208BLA</v>
      </c>
      <c r="B2268" s="164">
        <f>IFERROR(__xludf.DUMMYFUNCTION("""COMPUTED_VALUE"""),9311776.0)</f>
        <v>9311776</v>
      </c>
      <c r="C2268" s="164" t="str">
        <f>IFERROR(__xludf.DUMMYFUNCTION("""COMPUTED_VALUE"""),"931177654")</f>
        <v>931177654</v>
      </c>
      <c r="D2268" s="133" t="str">
        <f>IFERROR(__xludf.DUMMYFUNCTION("""COMPUTED_VALUE"""),"Женский комплект тройка")</f>
        <v>Женский комплект тройка</v>
      </c>
      <c r="E2268" s="133">
        <f>IFERROR(__xludf.DUMMYFUNCTION("""COMPUTED_VALUE"""),54.0)</f>
        <v>54</v>
      </c>
      <c r="F2268" s="133" t="str">
        <f>IFERROR(__xludf.DUMMYFUNCTION("""COMPUTED_VALUE"""),"19208BLA54")</f>
        <v>19208BLA54</v>
      </c>
      <c r="G2268" s="165">
        <f>IFERROR(__xludf.DUMMYFUNCTION("""COMPUTED_VALUE"""),300.0)</f>
        <v>300</v>
      </c>
    </row>
    <row r="2269" ht="15.75" customHeight="1">
      <c r="A2269" s="133" t="str">
        <f>IFERROR(__xludf.DUMMYFUNCTION("""COMPUTED_VALUE"""),"19209BLA")</f>
        <v>19209BLA</v>
      </c>
      <c r="B2269" s="164">
        <f>IFERROR(__xludf.DUMMYFUNCTION("""COMPUTED_VALUE"""),9311777.0)</f>
        <v>9311777</v>
      </c>
      <c r="C2269" s="164" t="str">
        <f>IFERROR(__xludf.DUMMYFUNCTION("""COMPUTED_VALUE"""),"931177754")</f>
        <v>931177754</v>
      </c>
      <c r="D2269" s="133" t="str">
        <f>IFERROR(__xludf.DUMMYFUNCTION("""COMPUTED_VALUE"""),"Шапка ""Меланж"" синяя с белым")</f>
        <v>Шапка "Меланж" синяя с белым</v>
      </c>
      <c r="E2269" s="133">
        <f>IFERROR(__xludf.DUMMYFUNCTION("""COMPUTED_VALUE"""),54.0)</f>
        <v>54</v>
      </c>
      <c r="F2269" s="133" t="str">
        <f>IFERROR(__xludf.DUMMYFUNCTION("""COMPUTED_VALUE"""),"19209BLA54")</f>
        <v>19209BLA54</v>
      </c>
      <c r="G2269" s="165">
        <f>IFERROR(__xludf.DUMMYFUNCTION("""COMPUTED_VALUE"""),200.0)</f>
        <v>200</v>
      </c>
    </row>
    <row r="2270" ht="15.75" customHeight="1">
      <c r="A2270" s="133" t="str">
        <f>IFERROR(__xludf.DUMMYFUNCTION("""COMPUTED_VALUE"""),"19210BLA")</f>
        <v>19210BLA</v>
      </c>
      <c r="B2270" s="164">
        <f>IFERROR(__xludf.DUMMYFUNCTION("""COMPUTED_VALUE"""),9311778.0)</f>
        <v>9311778</v>
      </c>
      <c r="C2270" s="164" t="str">
        <f>IFERROR(__xludf.DUMMYFUNCTION("""COMPUTED_VALUE"""),"931177854")</f>
        <v>931177854</v>
      </c>
      <c r="D2270" s="133" t="str">
        <f>IFERROR(__xludf.DUMMYFUNCTION("""COMPUTED_VALUE"""),"Шапка ""Меланж"" т-синяя с белым")</f>
        <v>Шапка "Меланж" т-синяя с белым</v>
      </c>
      <c r="E2270" s="133">
        <f>IFERROR(__xludf.DUMMYFUNCTION("""COMPUTED_VALUE"""),54.0)</f>
        <v>54</v>
      </c>
      <c r="F2270" s="133" t="str">
        <f>IFERROR(__xludf.DUMMYFUNCTION("""COMPUTED_VALUE"""),"19210BLA54")</f>
        <v>19210BLA54</v>
      </c>
      <c r="G2270" s="165">
        <f>IFERROR(__xludf.DUMMYFUNCTION("""COMPUTED_VALUE"""),200.0)</f>
        <v>200</v>
      </c>
    </row>
    <row r="2271" ht="15.75" customHeight="1">
      <c r="A2271" s="133" t="str">
        <f>IFERROR(__xludf.DUMMYFUNCTION("""COMPUTED_VALUE"""),"19211BLA")</f>
        <v>19211BLA</v>
      </c>
      <c r="B2271" s="164">
        <f>IFERROR(__xludf.DUMMYFUNCTION("""COMPUTED_VALUE"""),9311779.0)</f>
        <v>9311779</v>
      </c>
      <c r="C2271" s="164" t="str">
        <f>IFERROR(__xludf.DUMMYFUNCTION("""COMPUTED_VALUE"""),"931177954")</f>
        <v>931177954</v>
      </c>
      <c r="D2271" s="133" t="str">
        <f>IFERROR(__xludf.DUMMYFUNCTION("""COMPUTED_VALUE"""),"Женский комплект двойка")</f>
        <v>Женский комплект двойка</v>
      </c>
      <c r="E2271" s="133">
        <f>IFERROR(__xludf.DUMMYFUNCTION("""COMPUTED_VALUE"""),54.0)</f>
        <v>54</v>
      </c>
      <c r="F2271" s="133" t="str">
        <f>IFERROR(__xludf.DUMMYFUNCTION("""COMPUTED_VALUE"""),"19211BLA54")</f>
        <v>19211BLA54</v>
      </c>
      <c r="G2271" s="165">
        <f>IFERROR(__xludf.DUMMYFUNCTION("""COMPUTED_VALUE"""),200.0)</f>
        <v>200</v>
      </c>
    </row>
    <row r="2272" ht="15.75" customHeight="1">
      <c r="A2272" s="133" t="str">
        <f>IFERROR(__xludf.DUMMYFUNCTION("""COMPUTED_VALUE"""),"19212BLA")</f>
        <v>19212BLA</v>
      </c>
      <c r="B2272" s="164">
        <f>IFERROR(__xludf.DUMMYFUNCTION("""COMPUTED_VALUE"""),9311780.0)</f>
        <v>9311780</v>
      </c>
      <c r="C2272" s="164" t="str">
        <f>IFERROR(__xludf.DUMMYFUNCTION("""COMPUTED_VALUE"""),"931178054")</f>
        <v>931178054</v>
      </c>
      <c r="D2272" s="133" t="str">
        <f>IFERROR(__xludf.DUMMYFUNCTION("""COMPUTED_VALUE"""),"Женский комплект двойка")</f>
        <v>Женский комплект двойка</v>
      </c>
      <c r="E2272" s="133">
        <f>IFERROR(__xludf.DUMMYFUNCTION("""COMPUTED_VALUE"""),54.0)</f>
        <v>54</v>
      </c>
      <c r="F2272" s="133" t="str">
        <f>IFERROR(__xludf.DUMMYFUNCTION("""COMPUTED_VALUE"""),"19212BLA54")</f>
        <v>19212BLA54</v>
      </c>
      <c r="G2272" s="165">
        <f>IFERROR(__xludf.DUMMYFUNCTION("""COMPUTED_VALUE"""),200.0)</f>
        <v>200</v>
      </c>
    </row>
    <row r="2273" ht="15.75" customHeight="1">
      <c r="A2273" s="133" t="str">
        <f>IFERROR(__xludf.DUMMYFUNCTION("""COMPUTED_VALUE"""),"19213BLA")</f>
        <v>19213BLA</v>
      </c>
      <c r="B2273" s="164">
        <f>IFERROR(__xludf.DUMMYFUNCTION("""COMPUTED_VALUE"""),9311781.0)</f>
        <v>9311781</v>
      </c>
      <c r="C2273" s="164" t="str">
        <f>IFERROR(__xludf.DUMMYFUNCTION("""COMPUTED_VALUE"""),"931178154")</f>
        <v>931178154</v>
      </c>
      <c r="D2273" s="133" t="str">
        <f>IFERROR(__xludf.DUMMYFUNCTION("""COMPUTED_VALUE"""),"Женский комплект двойка")</f>
        <v>Женский комплект двойка</v>
      </c>
      <c r="E2273" s="133">
        <f>IFERROR(__xludf.DUMMYFUNCTION("""COMPUTED_VALUE"""),54.0)</f>
        <v>54</v>
      </c>
      <c r="F2273" s="133" t="str">
        <f>IFERROR(__xludf.DUMMYFUNCTION("""COMPUTED_VALUE"""),"19213BLA54")</f>
        <v>19213BLA54</v>
      </c>
      <c r="G2273" s="165">
        <f>IFERROR(__xludf.DUMMYFUNCTION("""COMPUTED_VALUE"""),200.0)</f>
        <v>200</v>
      </c>
    </row>
    <row r="2274" ht="15.75" customHeight="1">
      <c r="A2274" s="133" t="str">
        <f>IFERROR(__xludf.DUMMYFUNCTION("""COMPUTED_VALUE"""),"19214BLA")</f>
        <v>19214BLA</v>
      </c>
      <c r="B2274" s="164">
        <f>IFERROR(__xludf.DUMMYFUNCTION("""COMPUTED_VALUE"""),9311782.0)</f>
        <v>9311782</v>
      </c>
      <c r="C2274" s="164" t="str">
        <f>IFERROR(__xludf.DUMMYFUNCTION("""COMPUTED_VALUE"""),"931178254")</f>
        <v>931178254</v>
      </c>
      <c r="D2274" s="133" t="str">
        <f>IFERROR(__xludf.DUMMYFUNCTION("""COMPUTED_VALUE"""),"Женский комплект двойка")</f>
        <v>Женский комплект двойка</v>
      </c>
      <c r="E2274" s="133">
        <f>IFERROR(__xludf.DUMMYFUNCTION("""COMPUTED_VALUE"""),54.0)</f>
        <v>54</v>
      </c>
      <c r="F2274" s="133" t="str">
        <f>IFERROR(__xludf.DUMMYFUNCTION("""COMPUTED_VALUE"""),"19214BLA54")</f>
        <v>19214BLA54</v>
      </c>
      <c r="G2274" s="165">
        <f>IFERROR(__xludf.DUMMYFUNCTION("""COMPUTED_VALUE"""),200.0)</f>
        <v>200</v>
      </c>
    </row>
    <row r="2275" ht="15.75" customHeight="1">
      <c r="A2275" s="133" t="str">
        <f>IFERROR(__xludf.DUMMYFUNCTION("""COMPUTED_VALUE"""),"19215BLA")</f>
        <v>19215BLA</v>
      </c>
      <c r="B2275" s="164">
        <f>IFERROR(__xludf.DUMMYFUNCTION("""COMPUTED_VALUE"""),9311783.0)</f>
        <v>9311783</v>
      </c>
      <c r="C2275" s="164" t="str">
        <f>IFERROR(__xludf.DUMMYFUNCTION("""COMPUTED_VALUE"""),"931178354")</f>
        <v>931178354</v>
      </c>
      <c r="D2275" s="133" t="str">
        <f>IFERROR(__xludf.DUMMYFUNCTION("""COMPUTED_VALUE"""),"Женский Комплект тройка")</f>
        <v>Женский Комплект тройка</v>
      </c>
      <c r="E2275" s="133">
        <f>IFERROR(__xludf.DUMMYFUNCTION("""COMPUTED_VALUE"""),54.0)</f>
        <v>54</v>
      </c>
      <c r="F2275" s="133" t="str">
        <f>IFERROR(__xludf.DUMMYFUNCTION("""COMPUTED_VALUE"""),"19215BLA54")</f>
        <v>19215BLA54</v>
      </c>
      <c r="G2275" s="165">
        <f>IFERROR(__xludf.DUMMYFUNCTION("""COMPUTED_VALUE"""),300.0)</f>
        <v>300</v>
      </c>
    </row>
    <row r="2276" ht="15.75" customHeight="1">
      <c r="A2276" s="133" t="str">
        <f>IFERROR(__xludf.DUMMYFUNCTION("""COMPUTED_VALUE"""),"19216BLA")</f>
        <v>19216BLA</v>
      </c>
      <c r="B2276" s="164">
        <f>IFERROR(__xludf.DUMMYFUNCTION("""COMPUTED_VALUE"""),9311784.0)</f>
        <v>9311784</v>
      </c>
      <c r="C2276" s="164" t="str">
        <f>IFERROR(__xludf.DUMMYFUNCTION("""COMPUTED_VALUE"""),"931178454")</f>
        <v>931178454</v>
      </c>
      <c r="D2276" s="133" t="str">
        <f>IFERROR(__xludf.DUMMYFUNCTION("""COMPUTED_VALUE"""),"Женский Комплект двойка")</f>
        <v>Женский Комплект двойка</v>
      </c>
      <c r="E2276" s="133">
        <f>IFERROR(__xludf.DUMMYFUNCTION("""COMPUTED_VALUE"""),54.0)</f>
        <v>54</v>
      </c>
      <c r="F2276" s="133" t="str">
        <f>IFERROR(__xludf.DUMMYFUNCTION("""COMPUTED_VALUE"""),"19216BLA54")</f>
        <v>19216BLA54</v>
      </c>
      <c r="G2276" s="165">
        <f>IFERROR(__xludf.DUMMYFUNCTION("""COMPUTED_VALUE"""),200.0)</f>
        <v>200</v>
      </c>
    </row>
    <row r="2277" ht="15.75" customHeight="1">
      <c r="A2277" s="133" t="str">
        <f>IFERROR(__xludf.DUMMYFUNCTION("""COMPUTED_VALUE"""),"19217BLA")</f>
        <v>19217BLA</v>
      </c>
      <c r="B2277" s="164">
        <f>IFERROR(__xludf.DUMMYFUNCTION("""COMPUTED_VALUE"""),9311785.0)</f>
        <v>9311785</v>
      </c>
      <c r="C2277" s="164" t="str">
        <f>IFERROR(__xludf.DUMMYFUNCTION("""COMPUTED_VALUE"""),"931178554")</f>
        <v>931178554</v>
      </c>
      <c r="D2277" s="133" t="str">
        <f>IFERROR(__xludf.DUMMYFUNCTION("""COMPUTED_VALUE"""),"Женский Комплект двойка")</f>
        <v>Женский Комплект двойка</v>
      </c>
      <c r="E2277" s="133">
        <f>IFERROR(__xludf.DUMMYFUNCTION("""COMPUTED_VALUE"""),54.0)</f>
        <v>54</v>
      </c>
      <c r="F2277" s="133" t="str">
        <f>IFERROR(__xludf.DUMMYFUNCTION("""COMPUTED_VALUE"""),"19217BLA54")</f>
        <v>19217BLA54</v>
      </c>
      <c r="G2277" s="165">
        <f>IFERROR(__xludf.DUMMYFUNCTION("""COMPUTED_VALUE"""),200.0)</f>
        <v>200</v>
      </c>
    </row>
    <row r="2278" ht="15.75" customHeight="1">
      <c r="A2278" s="133" t="str">
        <f>IFERROR(__xludf.DUMMYFUNCTION("""COMPUTED_VALUE"""),"19218BLA")</f>
        <v>19218BLA</v>
      </c>
      <c r="B2278" s="164">
        <f>IFERROR(__xludf.DUMMYFUNCTION("""COMPUTED_VALUE"""),9311786.0)</f>
        <v>9311786</v>
      </c>
      <c r="C2278" s="164" t="str">
        <f>IFERROR(__xludf.DUMMYFUNCTION("""COMPUTED_VALUE"""),"931178654")</f>
        <v>931178654</v>
      </c>
      <c r="D2278" s="133" t="str">
        <f>IFERROR(__xludf.DUMMYFUNCTION("""COMPUTED_VALUE"""),"Женский Комплект двойка")</f>
        <v>Женский Комплект двойка</v>
      </c>
      <c r="E2278" s="133">
        <f>IFERROR(__xludf.DUMMYFUNCTION("""COMPUTED_VALUE"""),54.0)</f>
        <v>54</v>
      </c>
      <c r="F2278" s="133" t="str">
        <f>IFERROR(__xludf.DUMMYFUNCTION("""COMPUTED_VALUE"""),"19218BLA54")</f>
        <v>19218BLA54</v>
      </c>
      <c r="G2278" s="165">
        <f>IFERROR(__xludf.DUMMYFUNCTION("""COMPUTED_VALUE"""),200.0)</f>
        <v>200</v>
      </c>
    </row>
    <row r="2279" ht="15.75" customHeight="1">
      <c r="A2279" s="133" t="str">
        <f>IFERROR(__xludf.DUMMYFUNCTION("""COMPUTED_VALUE"""),"19219BLA")</f>
        <v>19219BLA</v>
      </c>
      <c r="B2279" s="164">
        <f>IFERROR(__xludf.DUMMYFUNCTION("""COMPUTED_VALUE"""),9311787.0)</f>
        <v>9311787</v>
      </c>
      <c r="C2279" s="164" t="str">
        <f>IFERROR(__xludf.DUMMYFUNCTION("""COMPUTED_VALUE"""),"931178754")</f>
        <v>931178754</v>
      </c>
      <c r="D2279" s="133" t="str">
        <f>IFERROR(__xludf.DUMMYFUNCTION("""COMPUTED_VALUE"""),"Женский Комплект двойка")</f>
        <v>Женский Комплект двойка</v>
      </c>
      <c r="E2279" s="133">
        <f>IFERROR(__xludf.DUMMYFUNCTION("""COMPUTED_VALUE"""),54.0)</f>
        <v>54</v>
      </c>
      <c r="F2279" s="133" t="str">
        <f>IFERROR(__xludf.DUMMYFUNCTION("""COMPUTED_VALUE"""),"19219BLA54")</f>
        <v>19219BLA54</v>
      </c>
      <c r="G2279" s="165">
        <f>IFERROR(__xludf.DUMMYFUNCTION("""COMPUTED_VALUE"""),200.0)</f>
        <v>200</v>
      </c>
    </row>
    <row r="2280" ht="15.75" customHeight="1">
      <c r="A2280" s="133" t="str">
        <f>IFERROR(__xludf.DUMMYFUNCTION("""COMPUTED_VALUE"""),"19220BLA")</f>
        <v>19220BLA</v>
      </c>
      <c r="B2280" s="164">
        <f>IFERROR(__xludf.DUMMYFUNCTION("""COMPUTED_VALUE"""),9311788.0)</f>
        <v>9311788</v>
      </c>
      <c r="C2280" s="164" t="str">
        <f>IFERROR(__xludf.DUMMYFUNCTION("""COMPUTED_VALUE"""),"931178854")</f>
        <v>931178854</v>
      </c>
      <c r="D2280" s="133" t="str">
        <f>IFERROR(__xludf.DUMMYFUNCTION("""COMPUTED_VALUE"""),"Женский Комплект двойка")</f>
        <v>Женский Комплект двойка</v>
      </c>
      <c r="E2280" s="133">
        <f>IFERROR(__xludf.DUMMYFUNCTION("""COMPUTED_VALUE"""),54.0)</f>
        <v>54</v>
      </c>
      <c r="F2280" s="133" t="str">
        <f>IFERROR(__xludf.DUMMYFUNCTION("""COMPUTED_VALUE"""),"19220BLA54")</f>
        <v>19220BLA54</v>
      </c>
      <c r="G2280" s="165">
        <f>IFERROR(__xludf.DUMMYFUNCTION("""COMPUTED_VALUE"""),200.0)</f>
        <v>200</v>
      </c>
    </row>
    <row r="2281" ht="15.75" customHeight="1">
      <c r="A2281" s="133" t="str">
        <f>IFERROR(__xludf.DUMMYFUNCTION("""COMPUTED_VALUE"""),"19221BLA")</f>
        <v>19221BLA</v>
      </c>
      <c r="B2281" s="164">
        <f>IFERROR(__xludf.DUMMYFUNCTION("""COMPUTED_VALUE"""),9311789.0)</f>
        <v>9311789</v>
      </c>
      <c r="C2281" s="164" t="str">
        <f>IFERROR(__xludf.DUMMYFUNCTION("""COMPUTED_VALUE"""),"931178954")</f>
        <v>931178954</v>
      </c>
      <c r="D2281" s="133" t="str">
        <f>IFERROR(__xludf.DUMMYFUNCTION("""COMPUTED_VALUE"""),"Шапка""Меланж"" бежевая с белым")</f>
        <v>Шапка"Меланж" бежевая с белым</v>
      </c>
      <c r="E2281" s="133">
        <f>IFERROR(__xludf.DUMMYFUNCTION("""COMPUTED_VALUE"""),54.0)</f>
        <v>54</v>
      </c>
      <c r="F2281" s="133" t="str">
        <f>IFERROR(__xludf.DUMMYFUNCTION("""COMPUTED_VALUE"""),"19221BLA54")</f>
        <v>19221BLA54</v>
      </c>
      <c r="G2281" s="165">
        <f>IFERROR(__xludf.DUMMYFUNCTION("""COMPUTED_VALUE"""),200.0)</f>
        <v>200</v>
      </c>
    </row>
    <row r="2282" ht="15.75" customHeight="1">
      <c r="A2282" s="133" t="str">
        <f>IFERROR(__xludf.DUMMYFUNCTION("""COMPUTED_VALUE"""),"19222BLA")</f>
        <v>19222BLA</v>
      </c>
      <c r="B2282" s="164">
        <f>IFERROR(__xludf.DUMMYFUNCTION("""COMPUTED_VALUE"""),9311790.0)</f>
        <v>9311790</v>
      </c>
      <c r="C2282" s="164" t="str">
        <f>IFERROR(__xludf.DUMMYFUNCTION("""COMPUTED_VALUE"""),"931179054")</f>
        <v>931179054</v>
      </c>
      <c r="D2282" s="133" t="str">
        <f>IFERROR(__xludf.DUMMYFUNCTION("""COMPUTED_VALUE"""),"Женский комплект двойка")</f>
        <v>Женский комплект двойка</v>
      </c>
      <c r="E2282" s="133">
        <f>IFERROR(__xludf.DUMMYFUNCTION("""COMPUTED_VALUE"""),54.0)</f>
        <v>54</v>
      </c>
      <c r="F2282" s="133" t="str">
        <f>IFERROR(__xludf.DUMMYFUNCTION("""COMPUTED_VALUE"""),"19222BLA54")</f>
        <v>19222BLA54</v>
      </c>
      <c r="G2282" s="165">
        <f>IFERROR(__xludf.DUMMYFUNCTION("""COMPUTED_VALUE"""),200.0)</f>
        <v>200</v>
      </c>
    </row>
    <row r="2283" ht="15.75" customHeight="1">
      <c r="A2283" s="133" t="str">
        <f>IFERROR(__xludf.DUMMYFUNCTION("""COMPUTED_VALUE"""),"19223BLA")</f>
        <v>19223BLA</v>
      </c>
      <c r="B2283" s="164">
        <f>IFERROR(__xludf.DUMMYFUNCTION("""COMPUTED_VALUE"""),9523395.0)</f>
        <v>9523395</v>
      </c>
      <c r="C2283" s="164" t="str">
        <f>IFERROR(__xludf.DUMMYFUNCTION("""COMPUTED_VALUE"""),"952339554")</f>
        <v>952339554</v>
      </c>
      <c r="D2283" s="133" t="str">
        <f>IFERROR(__xludf.DUMMYFUNCTION("""COMPUTED_VALUE"""),"Женский комплект двойка")</f>
        <v>Женский комплект двойка</v>
      </c>
      <c r="E2283" s="133">
        <f>IFERROR(__xludf.DUMMYFUNCTION("""COMPUTED_VALUE"""),54.0)</f>
        <v>54</v>
      </c>
      <c r="F2283" s="133" t="str">
        <f>IFERROR(__xludf.DUMMYFUNCTION("""COMPUTED_VALUE"""),"19223BLA54")</f>
        <v>19223BLA54</v>
      </c>
      <c r="G2283" s="165">
        <f>IFERROR(__xludf.DUMMYFUNCTION("""COMPUTED_VALUE"""),200.0)</f>
        <v>200</v>
      </c>
    </row>
    <row r="2284" ht="15.75" customHeight="1">
      <c r="A2284" s="133" t="str">
        <f>IFERROR(__xludf.DUMMYFUNCTION("""COMPUTED_VALUE"""),"19224BLA")</f>
        <v>19224BLA</v>
      </c>
      <c r="B2284" s="164">
        <f>IFERROR(__xludf.DUMMYFUNCTION("""COMPUTED_VALUE"""),9523396.0)</f>
        <v>9523396</v>
      </c>
      <c r="C2284" s="164" t="str">
        <f>IFERROR(__xludf.DUMMYFUNCTION("""COMPUTED_VALUE"""),"952339654")</f>
        <v>952339654</v>
      </c>
      <c r="D2284" s="133" t="str">
        <f>IFERROR(__xludf.DUMMYFUNCTION("""COMPUTED_VALUE"""),"Женский комплект двойка")</f>
        <v>Женский комплект двойка</v>
      </c>
      <c r="E2284" s="133">
        <f>IFERROR(__xludf.DUMMYFUNCTION("""COMPUTED_VALUE"""),54.0)</f>
        <v>54</v>
      </c>
      <c r="F2284" s="133" t="str">
        <f>IFERROR(__xludf.DUMMYFUNCTION("""COMPUTED_VALUE"""),"19224BLA54")</f>
        <v>19224BLA54</v>
      </c>
      <c r="G2284" s="165">
        <f>IFERROR(__xludf.DUMMYFUNCTION("""COMPUTED_VALUE"""),200.0)</f>
        <v>200</v>
      </c>
    </row>
    <row r="2285" ht="15.75" customHeight="1">
      <c r="A2285" s="133" t="str">
        <f>IFERROR(__xludf.DUMMYFUNCTION("""COMPUTED_VALUE"""),"19225BLA")</f>
        <v>19225BLA</v>
      </c>
      <c r="B2285" s="164">
        <f>IFERROR(__xludf.DUMMYFUNCTION("""COMPUTED_VALUE"""),9523397.0)</f>
        <v>9523397</v>
      </c>
      <c r="C2285" s="164" t="str">
        <f>IFERROR(__xludf.DUMMYFUNCTION("""COMPUTED_VALUE"""),"952339754")</f>
        <v>952339754</v>
      </c>
      <c r="D2285" s="133" t="str">
        <f>IFERROR(__xludf.DUMMYFUNCTION("""COMPUTED_VALUE"""),"Женский комплект двойка")</f>
        <v>Женский комплект двойка</v>
      </c>
      <c r="E2285" s="133">
        <f>IFERROR(__xludf.DUMMYFUNCTION("""COMPUTED_VALUE"""),54.0)</f>
        <v>54</v>
      </c>
      <c r="F2285" s="133" t="str">
        <f>IFERROR(__xludf.DUMMYFUNCTION("""COMPUTED_VALUE"""),"19225BLA54")</f>
        <v>19225BLA54</v>
      </c>
      <c r="G2285" s="165">
        <f>IFERROR(__xludf.DUMMYFUNCTION("""COMPUTED_VALUE"""),200.0)</f>
        <v>200</v>
      </c>
    </row>
    <row r="2286" ht="15.75" customHeight="1">
      <c r="A2286" s="133" t="str">
        <f>IFERROR(__xludf.DUMMYFUNCTION("""COMPUTED_VALUE"""),"19226BLA")</f>
        <v>19226BLA</v>
      </c>
      <c r="B2286" s="164">
        <f>IFERROR(__xludf.DUMMYFUNCTION("""COMPUTED_VALUE"""),9421165.0)</f>
        <v>9421165</v>
      </c>
      <c r="C2286" s="164" t="str">
        <f>IFERROR(__xludf.DUMMYFUNCTION("""COMPUTED_VALUE"""),"942116554")</f>
        <v>942116554</v>
      </c>
      <c r="D2286" s="133" t="str">
        <f>IFERROR(__xludf.DUMMYFUNCTION("""COMPUTED_VALUE"""),"Шапка полосатая сине-розовая")</f>
        <v>Шапка полосатая сине-розовая</v>
      </c>
      <c r="E2286" s="133">
        <f>IFERROR(__xludf.DUMMYFUNCTION("""COMPUTED_VALUE"""),54.0)</f>
        <v>54</v>
      </c>
      <c r="F2286" s="133" t="str">
        <f>IFERROR(__xludf.DUMMYFUNCTION("""COMPUTED_VALUE"""),"19226BLA54")</f>
        <v>19226BLA54</v>
      </c>
      <c r="G2286" s="165">
        <f>IFERROR(__xludf.DUMMYFUNCTION("""COMPUTED_VALUE"""),200.0)</f>
        <v>200</v>
      </c>
    </row>
    <row r="2287" ht="15.75" customHeight="1">
      <c r="A2287" s="133" t="str">
        <f>IFERROR(__xludf.DUMMYFUNCTION("""COMPUTED_VALUE"""),"19227BLA")</f>
        <v>19227BLA</v>
      </c>
      <c r="B2287" s="164">
        <f>IFERROR(__xludf.DUMMYFUNCTION("""COMPUTED_VALUE"""),9421167.0)</f>
        <v>9421167</v>
      </c>
      <c r="C2287" s="164" t="str">
        <f>IFERROR(__xludf.DUMMYFUNCTION("""COMPUTED_VALUE"""),"942116754")</f>
        <v>942116754</v>
      </c>
      <c r="D2287" s="133" t="str">
        <f>IFERROR(__xludf.DUMMYFUNCTION("""COMPUTED_VALUE"""),"Шапка полосатая фиолетово-бежевая")</f>
        <v>Шапка полосатая фиолетово-бежевая</v>
      </c>
      <c r="E2287" s="133">
        <f>IFERROR(__xludf.DUMMYFUNCTION("""COMPUTED_VALUE"""),54.0)</f>
        <v>54</v>
      </c>
      <c r="F2287" s="133" t="str">
        <f>IFERROR(__xludf.DUMMYFUNCTION("""COMPUTED_VALUE"""),"19227BLA54")</f>
        <v>19227BLA54</v>
      </c>
      <c r="G2287" s="165">
        <f>IFERROR(__xludf.DUMMYFUNCTION("""COMPUTED_VALUE"""),200.0)</f>
        <v>200</v>
      </c>
    </row>
    <row r="2288" ht="15.75" customHeight="1">
      <c r="A2288" s="133" t="str">
        <f>IFERROR(__xludf.DUMMYFUNCTION("""COMPUTED_VALUE"""),"19228BLA")</f>
        <v>19228BLA</v>
      </c>
      <c r="B2288" s="164">
        <f>IFERROR(__xludf.DUMMYFUNCTION("""COMPUTED_VALUE"""),9421169.0)</f>
        <v>9421169</v>
      </c>
      <c r="C2288" s="164" t="str">
        <f>IFERROR(__xludf.DUMMYFUNCTION("""COMPUTED_VALUE"""),"942116954")</f>
        <v>942116954</v>
      </c>
      <c r="D2288" s="133" t="str">
        <f>IFERROR(__xludf.DUMMYFUNCTION("""COMPUTED_VALUE"""),"Шапка полосатая фиолетово-розовая")</f>
        <v>Шапка полосатая фиолетово-розовая</v>
      </c>
      <c r="E2288" s="133">
        <f>IFERROR(__xludf.DUMMYFUNCTION("""COMPUTED_VALUE"""),54.0)</f>
        <v>54</v>
      </c>
      <c r="F2288" s="133" t="str">
        <f>IFERROR(__xludf.DUMMYFUNCTION("""COMPUTED_VALUE"""),"19228BLA54")</f>
        <v>19228BLA54</v>
      </c>
      <c r="G2288" s="165">
        <f>IFERROR(__xludf.DUMMYFUNCTION("""COMPUTED_VALUE"""),200.0)</f>
        <v>200</v>
      </c>
    </row>
    <row r="2289" ht="15.75" customHeight="1">
      <c r="A2289" s="133" t="str">
        <f>IFERROR(__xludf.DUMMYFUNCTION("""COMPUTED_VALUE"""),"19229BLA")</f>
        <v>19229BLA</v>
      </c>
      <c r="B2289" s="164">
        <f>IFERROR(__xludf.DUMMYFUNCTION("""COMPUTED_VALUE"""),9523398.0)</f>
        <v>9523398</v>
      </c>
      <c r="C2289" s="164" t="str">
        <f>IFERROR(__xludf.DUMMYFUNCTION("""COMPUTED_VALUE"""),"952339854")</f>
        <v>952339854</v>
      </c>
      <c r="D2289" s="133" t="str">
        <f>IFERROR(__xludf.DUMMYFUNCTION("""COMPUTED_VALUE"""),"Женский комплект двойка")</f>
        <v>Женский комплект двойка</v>
      </c>
      <c r="E2289" s="133">
        <f>IFERROR(__xludf.DUMMYFUNCTION("""COMPUTED_VALUE"""),54.0)</f>
        <v>54</v>
      </c>
      <c r="F2289" s="133" t="str">
        <f>IFERROR(__xludf.DUMMYFUNCTION("""COMPUTED_VALUE"""),"19229BLA54")</f>
        <v>19229BLA54</v>
      </c>
      <c r="G2289" s="165">
        <f>IFERROR(__xludf.DUMMYFUNCTION("""COMPUTED_VALUE"""),200.0)</f>
        <v>200</v>
      </c>
    </row>
    <row r="2290" ht="15.75" customHeight="1">
      <c r="A2290" s="133" t="str">
        <f>IFERROR(__xludf.DUMMYFUNCTION("""COMPUTED_VALUE"""),"19230BLA")</f>
        <v>19230BLA</v>
      </c>
      <c r="B2290" s="164">
        <f>IFERROR(__xludf.DUMMYFUNCTION("""COMPUTED_VALUE"""),9788887.0)</f>
        <v>9788887</v>
      </c>
      <c r="C2290" s="164" t="str">
        <f>IFERROR(__xludf.DUMMYFUNCTION("""COMPUTED_VALUE"""),"978888754")</f>
        <v>978888754</v>
      </c>
      <c r="D2290" s="133" t="str">
        <f>IFERROR(__xludf.DUMMYFUNCTION("""COMPUTED_VALUE"""),"Женский Комплект двойка")</f>
        <v>Женский Комплект двойка</v>
      </c>
      <c r="E2290" s="133">
        <f>IFERROR(__xludf.DUMMYFUNCTION("""COMPUTED_VALUE"""),54.0)</f>
        <v>54</v>
      </c>
      <c r="F2290" s="133" t="str">
        <f>IFERROR(__xludf.DUMMYFUNCTION("""COMPUTED_VALUE"""),"19230BLA54")</f>
        <v>19230BLA54</v>
      </c>
      <c r="G2290" s="165">
        <f>IFERROR(__xludf.DUMMYFUNCTION("""COMPUTED_VALUE"""),200.0)</f>
        <v>200</v>
      </c>
    </row>
    <row r="2291" ht="15.75" customHeight="1">
      <c r="A2291" s="133" t="str">
        <f>IFERROR(__xludf.DUMMYFUNCTION("""COMPUTED_VALUE"""),"19231BLA")</f>
        <v>19231BLA</v>
      </c>
      <c r="B2291" s="164">
        <f>IFERROR(__xludf.DUMMYFUNCTION("""COMPUTED_VALUE"""),9788888.0)</f>
        <v>9788888</v>
      </c>
      <c r="C2291" s="164" t="str">
        <f>IFERROR(__xludf.DUMMYFUNCTION("""COMPUTED_VALUE"""),"978888854")</f>
        <v>978888854</v>
      </c>
      <c r="D2291" s="133" t="str">
        <f>IFERROR(__xludf.DUMMYFUNCTION("""COMPUTED_VALUE"""),"Женский Комплект двойка")</f>
        <v>Женский Комплект двойка</v>
      </c>
      <c r="E2291" s="133">
        <f>IFERROR(__xludf.DUMMYFUNCTION("""COMPUTED_VALUE"""),54.0)</f>
        <v>54</v>
      </c>
      <c r="F2291" s="133" t="str">
        <f>IFERROR(__xludf.DUMMYFUNCTION("""COMPUTED_VALUE"""),"19231BLA54")</f>
        <v>19231BLA54</v>
      </c>
      <c r="G2291" s="165">
        <f>IFERROR(__xludf.DUMMYFUNCTION("""COMPUTED_VALUE"""),200.0)</f>
        <v>200</v>
      </c>
    </row>
    <row r="2292" ht="15.75" customHeight="1">
      <c r="A2292" s="133" t="str">
        <f>IFERROR(__xludf.DUMMYFUNCTION("""COMPUTED_VALUE"""),"19232BLA")</f>
        <v>19232BLA</v>
      </c>
      <c r="B2292" s="164">
        <f>IFERROR(__xludf.DUMMYFUNCTION("""COMPUTED_VALUE"""),9788889.0)</f>
        <v>9788889</v>
      </c>
      <c r="C2292" s="164" t="str">
        <f>IFERROR(__xludf.DUMMYFUNCTION("""COMPUTED_VALUE"""),"978888954")</f>
        <v>978888954</v>
      </c>
      <c r="D2292" s="133" t="str">
        <f>IFERROR(__xludf.DUMMYFUNCTION("""COMPUTED_VALUE"""),"Женский Комплект двойка")</f>
        <v>Женский Комплект двойка</v>
      </c>
      <c r="E2292" s="133">
        <f>IFERROR(__xludf.DUMMYFUNCTION("""COMPUTED_VALUE"""),54.0)</f>
        <v>54</v>
      </c>
      <c r="F2292" s="133" t="str">
        <f>IFERROR(__xludf.DUMMYFUNCTION("""COMPUTED_VALUE"""),"19232BLA54")</f>
        <v>19232BLA54</v>
      </c>
      <c r="G2292" s="165">
        <f>IFERROR(__xludf.DUMMYFUNCTION("""COMPUTED_VALUE"""),200.0)</f>
        <v>200</v>
      </c>
    </row>
    <row r="2293" ht="15.75" customHeight="1">
      <c r="A2293" s="133" t="str">
        <f>IFERROR(__xludf.DUMMYFUNCTION("""COMPUTED_VALUE"""),"19301BLA")</f>
        <v>19301BLA</v>
      </c>
      <c r="B2293" s="164">
        <f>IFERROR(__xludf.DUMMYFUNCTION("""COMPUTED_VALUE"""),9311791.0)</f>
        <v>9311791</v>
      </c>
      <c r="C2293" s="164" t="str">
        <f>IFERROR(__xludf.DUMMYFUNCTION("""COMPUTED_VALUE"""),"931179154")</f>
        <v>931179154</v>
      </c>
      <c r="D2293" s="133" t="str">
        <f>IFERROR(__xludf.DUMMYFUNCTION("""COMPUTED_VALUE"""),"Женский комплект тройка")</f>
        <v>Женский комплект тройка</v>
      </c>
      <c r="E2293" s="133">
        <f>IFERROR(__xludf.DUMMYFUNCTION("""COMPUTED_VALUE"""),54.0)</f>
        <v>54</v>
      </c>
      <c r="F2293" s="133" t="str">
        <f>IFERROR(__xludf.DUMMYFUNCTION("""COMPUTED_VALUE"""),"19301BLA54")</f>
        <v>19301BLA54</v>
      </c>
      <c r="G2293" s="165">
        <f>IFERROR(__xludf.DUMMYFUNCTION("""COMPUTED_VALUE"""),300.0)</f>
        <v>300</v>
      </c>
    </row>
    <row r="2294" ht="15.75" customHeight="1">
      <c r="A2294" s="133" t="str">
        <f>IFERROR(__xludf.DUMMYFUNCTION("""COMPUTED_VALUE"""),"19302BLA")</f>
        <v>19302BLA</v>
      </c>
      <c r="B2294" s="164">
        <f>IFERROR(__xludf.DUMMYFUNCTION("""COMPUTED_VALUE"""),9311792.0)</f>
        <v>9311792</v>
      </c>
      <c r="C2294" s="164" t="str">
        <f>IFERROR(__xludf.DUMMYFUNCTION("""COMPUTED_VALUE"""),"931179254")</f>
        <v>931179254</v>
      </c>
      <c r="D2294" s="133" t="str">
        <f>IFERROR(__xludf.DUMMYFUNCTION("""COMPUTED_VALUE"""),"Женский Комплект тройка")</f>
        <v>Женский Комплект тройка</v>
      </c>
      <c r="E2294" s="133">
        <f>IFERROR(__xludf.DUMMYFUNCTION("""COMPUTED_VALUE"""),54.0)</f>
        <v>54</v>
      </c>
      <c r="F2294" s="133" t="str">
        <f>IFERROR(__xludf.DUMMYFUNCTION("""COMPUTED_VALUE"""),"19302BLA54")</f>
        <v>19302BLA54</v>
      </c>
      <c r="G2294" s="165">
        <f>IFERROR(__xludf.DUMMYFUNCTION("""COMPUTED_VALUE"""),300.0)</f>
        <v>300</v>
      </c>
    </row>
    <row r="2295" ht="15.75" customHeight="1">
      <c r="A2295" s="133" t="str">
        <f>IFERROR(__xludf.DUMMYFUNCTION("""COMPUTED_VALUE"""),"19303BLA")</f>
        <v>19303BLA</v>
      </c>
      <c r="B2295" s="164">
        <f>IFERROR(__xludf.DUMMYFUNCTION("""COMPUTED_VALUE"""),9311793.0)</f>
        <v>9311793</v>
      </c>
      <c r="C2295" s="164" t="str">
        <f>IFERROR(__xludf.DUMMYFUNCTION("""COMPUTED_VALUE"""),"931179354")</f>
        <v>931179354</v>
      </c>
      <c r="D2295" s="133" t="str">
        <f>IFERROR(__xludf.DUMMYFUNCTION("""COMPUTED_VALUE"""),"Женский Комплект тройка")</f>
        <v>Женский Комплект тройка</v>
      </c>
      <c r="E2295" s="133">
        <f>IFERROR(__xludf.DUMMYFUNCTION("""COMPUTED_VALUE"""),54.0)</f>
        <v>54</v>
      </c>
      <c r="F2295" s="133" t="str">
        <f>IFERROR(__xludf.DUMMYFUNCTION("""COMPUTED_VALUE"""),"19303BLA54")</f>
        <v>19303BLA54</v>
      </c>
      <c r="G2295" s="165">
        <f>IFERROR(__xludf.DUMMYFUNCTION("""COMPUTED_VALUE"""),300.0)</f>
        <v>300</v>
      </c>
    </row>
    <row r="2296" ht="15.75" customHeight="1">
      <c r="A2296" s="133" t="str">
        <f>IFERROR(__xludf.DUMMYFUNCTION("""COMPUTED_VALUE"""),"17019BLWA")</f>
        <v>17019BLWA</v>
      </c>
      <c r="B2296" s="164">
        <f>IFERROR(__xludf.DUMMYFUNCTION("""COMPUTED_VALUE"""),9523393.0)</f>
        <v>9523393</v>
      </c>
      <c r="C2296" s="164" t="str">
        <f>IFERROR(__xludf.DUMMYFUNCTION("""COMPUTED_VALUE"""),"952339354-58")</f>
        <v>952339354-58</v>
      </c>
      <c r="D2296" s="133" t="str">
        <f>IFERROR(__xludf.DUMMYFUNCTION("""COMPUTED_VALUE"""),"Женский комплект тройка с оленями")</f>
        <v>Женский комплект тройка с оленями</v>
      </c>
      <c r="E2296" s="133" t="str">
        <f>IFERROR(__xludf.DUMMYFUNCTION("""COMPUTED_VALUE"""),"54-58")</f>
        <v>54-58</v>
      </c>
      <c r="F2296" s="133" t="str">
        <f>IFERROR(__xludf.DUMMYFUNCTION("""COMPUTED_VALUE"""),"17019BLWA54-58")</f>
        <v>17019BLWA54-58</v>
      </c>
      <c r="G2296" s="165">
        <f>IFERROR(__xludf.DUMMYFUNCTION("""COMPUTED_VALUE"""),834.0)</f>
        <v>834</v>
      </c>
    </row>
    <row r="2297" ht="15.75" customHeight="1">
      <c r="A2297" s="133" t="str">
        <f>IFERROR(__xludf.DUMMYFUNCTION("""COMPUTED_VALUE"""),"18019BLWA")</f>
        <v>18019BLWA</v>
      </c>
      <c r="B2297" s="164">
        <f>IFERROR(__xludf.DUMMYFUNCTION("""COMPUTED_VALUE"""),9523394.0)</f>
        <v>9523394</v>
      </c>
      <c r="C2297" s="164" t="str">
        <f>IFERROR(__xludf.DUMMYFUNCTION("""COMPUTED_VALUE"""),"952339454-58")</f>
        <v>952339454-58</v>
      </c>
      <c r="D2297" s="133" t="str">
        <f>IFERROR(__xludf.DUMMYFUNCTION("""COMPUTED_VALUE"""),"Женский комплект тройка с оленями")</f>
        <v>Женский комплект тройка с оленями</v>
      </c>
      <c r="E2297" s="133" t="str">
        <f>IFERROR(__xludf.DUMMYFUNCTION("""COMPUTED_VALUE"""),"54-58")</f>
        <v>54-58</v>
      </c>
      <c r="F2297" s="133" t="str">
        <f>IFERROR(__xludf.DUMMYFUNCTION("""COMPUTED_VALUE"""),"18019BLWA54-58")</f>
        <v>18019BLWA54-58</v>
      </c>
      <c r="G2297" s="165">
        <f>IFERROR(__xludf.DUMMYFUNCTION("""COMPUTED_VALUE"""),834.0)</f>
        <v>834</v>
      </c>
    </row>
    <row r="2298" ht="15.75" customHeight="1">
      <c r="A2298" s="133" t="str">
        <f>IFERROR(__xludf.DUMMYFUNCTION("""COMPUTED_VALUE"""),"19019BLWA")</f>
        <v>19019BLWA</v>
      </c>
      <c r="B2298" s="164">
        <f>IFERROR(__xludf.DUMMYFUNCTION("""COMPUTED_VALUE"""),9421163.0)</f>
        <v>9421163</v>
      </c>
      <c r="C2298" s="164" t="str">
        <f>IFERROR(__xludf.DUMMYFUNCTION("""COMPUTED_VALUE"""),"942116354-58")</f>
        <v>942116354-58</v>
      </c>
      <c r="D2298" s="133" t="str">
        <f>IFERROR(__xludf.DUMMYFUNCTION("""COMPUTED_VALUE"""),"Женский комплект тройка с оленями")</f>
        <v>Женский комплект тройка с оленями</v>
      </c>
      <c r="E2298" s="133" t="str">
        <f>IFERROR(__xludf.DUMMYFUNCTION("""COMPUTED_VALUE"""),"54-58")</f>
        <v>54-58</v>
      </c>
      <c r="F2298" s="133" t="str">
        <f>IFERROR(__xludf.DUMMYFUNCTION("""COMPUTED_VALUE"""),"19019BLWA54-58")</f>
        <v>19019BLWA54-58</v>
      </c>
      <c r="G2298" s="165">
        <f>IFERROR(__xludf.DUMMYFUNCTION("""COMPUTED_VALUE"""),834.0)</f>
        <v>834</v>
      </c>
    </row>
    <row r="2299" ht="15.75" customHeight="1">
      <c r="A2299" s="133" t="str">
        <f>IFERROR(__xludf.DUMMYFUNCTION("""COMPUTED_VALUE"""),"21019BLWA")</f>
        <v>21019BLWA</v>
      </c>
      <c r="B2299" s="164">
        <f>IFERROR(__xludf.DUMMYFUNCTION("""COMPUTED_VALUE"""),9347017.0)</f>
        <v>9347017</v>
      </c>
      <c r="C2299" s="164" t="str">
        <f>IFERROR(__xludf.DUMMYFUNCTION("""COMPUTED_VALUE"""),"934701754-58")</f>
        <v>934701754-58</v>
      </c>
      <c r="D2299" s="133" t="str">
        <f>IFERROR(__xludf.DUMMYFUNCTION("""COMPUTED_VALUE"""),"Женский комплект тройка со снежинками")</f>
        <v>Женский комплект тройка со снежинками</v>
      </c>
      <c r="E2299" s="133" t="str">
        <f>IFERROR(__xludf.DUMMYFUNCTION("""COMPUTED_VALUE"""),"54-58")</f>
        <v>54-58</v>
      </c>
      <c r="F2299" s="133" t="str">
        <f>IFERROR(__xludf.DUMMYFUNCTION("""COMPUTED_VALUE"""),"21019BLWA54-58")</f>
        <v>21019BLWA54-58</v>
      </c>
      <c r="G2299" s="165">
        <f>IFERROR(__xludf.DUMMYFUNCTION("""COMPUTED_VALUE"""),834.0)</f>
        <v>834</v>
      </c>
    </row>
    <row r="2300" ht="15.75" customHeight="1">
      <c r="A2300" s="133" t="str">
        <f>IFERROR(__xludf.DUMMYFUNCTION("""COMPUTED_VALUE"""),"22019BLWA")</f>
        <v>22019BLWA</v>
      </c>
      <c r="B2300" s="164">
        <f>IFERROR(__xludf.DUMMYFUNCTION("""COMPUTED_VALUE"""),9421171.0)</f>
        <v>9421171</v>
      </c>
      <c r="C2300" s="164" t="str">
        <f>IFERROR(__xludf.DUMMYFUNCTION("""COMPUTED_VALUE"""),"942117154-58")</f>
        <v>942117154-58</v>
      </c>
      <c r="D2300" s="133" t="str">
        <f>IFERROR(__xludf.DUMMYFUNCTION("""COMPUTED_VALUE"""),"Женский комплект тройка со снежинками")</f>
        <v>Женский комплект тройка со снежинками</v>
      </c>
      <c r="E2300" s="133" t="str">
        <f>IFERROR(__xludf.DUMMYFUNCTION("""COMPUTED_VALUE"""),"54-58")</f>
        <v>54-58</v>
      </c>
      <c r="F2300" s="133" t="str">
        <f>IFERROR(__xludf.DUMMYFUNCTION("""COMPUTED_VALUE"""),"22019BLWA54-58")</f>
        <v>22019BLWA54-58</v>
      </c>
      <c r="G2300" s="165">
        <f>IFERROR(__xludf.DUMMYFUNCTION("""COMPUTED_VALUE"""),834.0)</f>
        <v>834</v>
      </c>
    </row>
    <row r="2301" ht="15.75" customHeight="1">
      <c r="A2301" s="133" t="str">
        <f>IFERROR(__xludf.DUMMYFUNCTION("""COMPUTED_VALUE"""),"23019BLWA")</f>
        <v>23019BLWA</v>
      </c>
      <c r="B2301" s="164">
        <f>IFERROR(__xludf.DUMMYFUNCTION("""COMPUTED_VALUE"""),9347018.0)</f>
        <v>9347018</v>
      </c>
      <c r="C2301" s="164" t="str">
        <f>IFERROR(__xludf.DUMMYFUNCTION("""COMPUTED_VALUE"""),"934701854-58")</f>
        <v>934701854-58</v>
      </c>
      <c r="D2301" s="133" t="str">
        <f>IFERROR(__xludf.DUMMYFUNCTION("""COMPUTED_VALUE"""),"Женский комплект тройка со снежинками")</f>
        <v>Женский комплект тройка со снежинками</v>
      </c>
      <c r="E2301" s="133" t="str">
        <f>IFERROR(__xludf.DUMMYFUNCTION("""COMPUTED_VALUE"""),"54-58")</f>
        <v>54-58</v>
      </c>
      <c r="F2301" s="133" t="str">
        <f>IFERROR(__xludf.DUMMYFUNCTION("""COMPUTED_VALUE"""),"23019BLWA54-58")</f>
        <v>23019BLWA54-58</v>
      </c>
      <c r="G2301" s="165">
        <f>IFERROR(__xludf.DUMMYFUNCTION("""COMPUTED_VALUE"""),834.0)</f>
        <v>834</v>
      </c>
    </row>
    <row r="2302" ht="15.75" customHeight="1">
      <c r="A2302" s="133" t="str">
        <f>IFERROR(__xludf.DUMMYFUNCTION("""COMPUTED_VALUE"""),"11019BLMA")</f>
        <v>11019BLMA</v>
      </c>
      <c r="B2302" s="164">
        <f>IFERROR(__xludf.DUMMYFUNCTION("""COMPUTED_VALUE"""),9347013.0)</f>
        <v>9347013</v>
      </c>
      <c r="C2302" s="164" t="str">
        <f>IFERROR(__xludf.DUMMYFUNCTION("""COMPUTED_VALUE"""),"934701354-58")</f>
        <v>934701354-58</v>
      </c>
      <c r="D2302" s="133" t="str">
        <f>IFERROR(__xludf.DUMMYFUNCTION("""COMPUTED_VALUE"""),"Мужской комплект тройка с оленями")</f>
        <v>Мужской комплект тройка с оленями</v>
      </c>
      <c r="E2302" s="133" t="str">
        <f>IFERROR(__xludf.DUMMYFUNCTION("""COMPUTED_VALUE"""),"54-58")</f>
        <v>54-58</v>
      </c>
      <c r="F2302" s="133" t="str">
        <f>IFERROR(__xludf.DUMMYFUNCTION("""COMPUTED_VALUE"""),"11019BLMA54-58")</f>
        <v>11019BLMA54-58</v>
      </c>
      <c r="G2302" s="165">
        <f>IFERROR(__xludf.DUMMYFUNCTION("""COMPUTED_VALUE"""),849.0)</f>
        <v>849</v>
      </c>
    </row>
    <row r="2303" ht="15.75" customHeight="1">
      <c r="A2303" s="133" t="str">
        <f>IFERROR(__xludf.DUMMYFUNCTION("""COMPUTED_VALUE"""),"12019BLMA")</f>
        <v>12019BLMA</v>
      </c>
      <c r="B2303" s="164">
        <f>IFERROR(__xludf.DUMMYFUNCTION("""COMPUTED_VALUE"""),9421158.0)</f>
        <v>9421158</v>
      </c>
      <c r="C2303" s="164" t="str">
        <f>IFERROR(__xludf.DUMMYFUNCTION("""COMPUTED_VALUE"""),"942115854-58")</f>
        <v>942115854-58</v>
      </c>
      <c r="D2303" s="133" t="str">
        <f>IFERROR(__xludf.DUMMYFUNCTION("""COMPUTED_VALUE"""),"Мужской комплект тройка с оленями")</f>
        <v>Мужской комплект тройка с оленями</v>
      </c>
      <c r="E2303" s="133" t="str">
        <f>IFERROR(__xludf.DUMMYFUNCTION("""COMPUTED_VALUE"""),"54-58")</f>
        <v>54-58</v>
      </c>
      <c r="F2303" s="133" t="str">
        <f>IFERROR(__xludf.DUMMYFUNCTION("""COMPUTED_VALUE"""),"12019BLMA54-58")</f>
        <v>12019BLMA54-58</v>
      </c>
      <c r="G2303" s="165">
        <f>IFERROR(__xludf.DUMMYFUNCTION("""COMPUTED_VALUE"""),849.0)</f>
        <v>849</v>
      </c>
    </row>
    <row r="2304" ht="15.75" customHeight="1">
      <c r="A2304" s="133" t="str">
        <f>IFERROR(__xludf.DUMMYFUNCTION("""COMPUTED_VALUE"""),"13019BLMA")</f>
        <v>13019BLMA</v>
      </c>
      <c r="B2304" s="164">
        <f>IFERROR(__xludf.DUMMYFUNCTION("""COMPUTED_VALUE"""),9347014.0)</f>
        <v>9347014</v>
      </c>
      <c r="C2304" s="164" t="str">
        <f>IFERROR(__xludf.DUMMYFUNCTION("""COMPUTED_VALUE"""),"934701454-58")</f>
        <v>934701454-58</v>
      </c>
      <c r="D2304" s="133" t="str">
        <f>IFERROR(__xludf.DUMMYFUNCTION("""COMPUTED_VALUE"""),"Мужской комплект тройка с оленями")</f>
        <v>Мужской комплект тройка с оленями</v>
      </c>
      <c r="E2304" s="133" t="str">
        <f>IFERROR(__xludf.DUMMYFUNCTION("""COMPUTED_VALUE"""),"54-58")</f>
        <v>54-58</v>
      </c>
      <c r="F2304" s="133" t="str">
        <f>IFERROR(__xludf.DUMMYFUNCTION("""COMPUTED_VALUE"""),"13019BLMA54-58")</f>
        <v>13019BLMA54-58</v>
      </c>
      <c r="G2304" s="165">
        <f>IFERROR(__xludf.DUMMYFUNCTION("""COMPUTED_VALUE"""),849.0)</f>
        <v>849</v>
      </c>
    </row>
    <row r="2305" ht="15.75" customHeight="1">
      <c r="A2305" s="133" t="str">
        <f>IFERROR(__xludf.DUMMYFUNCTION("""COMPUTED_VALUE"""),"14019BLMA")</f>
        <v>14019BLMA</v>
      </c>
      <c r="B2305" s="164">
        <f>IFERROR(__xludf.DUMMYFUNCTION("""COMPUTED_VALUE"""),9347015.0)</f>
        <v>9347015</v>
      </c>
      <c r="C2305" s="164" t="str">
        <f>IFERROR(__xludf.DUMMYFUNCTION("""COMPUTED_VALUE"""),"934701554-58")</f>
        <v>934701554-58</v>
      </c>
      <c r="D2305" s="133" t="str">
        <f>IFERROR(__xludf.DUMMYFUNCTION("""COMPUTED_VALUE"""),"Мужской комплект тройка со снежинками")</f>
        <v>Мужской комплект тройка со снежинками</v>
      </c>
      <c r="E2305" s="133" t="str">
        <f>IFERROR(__xludf.DUMMYFUNCTION("""COMPUTED_VALUE"""),"54-58")</f>
        <v>54-58</v>
      </c>
      <c r="F2305" s="133" t="str">
        <f>IFERROR(__xludf.DUMMYFUNCTION("""COMPUTED_VALUE"""),"14019BLMA54-58")</f>
        <v>14019BLMA54-58</v>
      </c>
      <c r="G2305" s="165">
        <f>IFERROR(__xludf.DUMMYFUNCTION("""COMPUTED_VALUE"""),849.0)</f>
        <v>849</v>
      </c>
    </row>
    <row r="2306" ht="15.75" customHeight="1">
      <c r="A2306" s="133" t="str">
        <f>IFERROR(__xludf.DUMMYFUNCTION("""COMPUTED_VALUE"""),"15019BLMA")</f>
        <v>15019BLMA</v>
      </c>
      <c r="B2306" s="164">
        <f>IFERROR(__xludf.DUMMYFUNCTION("""COMPUTED_VALUE"""),9347016.0)</f>
        <v>9347016</v>
      </c>
      <c r="C2306" s="164" t="str">
        <f>IFERROR(__xludf.DUMMYFUNCTION("""COMPUTED_VALUE"""),"934701654-58")</f>
        <v>934701654-58</v>
      </c>
      <c r="D2306" s="133" t="str">
        <f>IFERROR(__xludf.DUMMYFUNCTION("""COMPUTED_VALUE"""),"Мужской комплект тройка со снежинками")</f>
        <v>Мужской комплект тройка со снежинками</v>
      </c>
      <c r="E2306" s="133" t="str">
        <f>IFERROR(__xludf.DUMMYFUNCTION("""COMPUTED_VALUE"""),"54-58")</f>
        <v>54-58</v>
      </c>
      <c r="F2306" s="133" t="str">
        <f>IFERROR(__xludf.DUMMYFUNCTION("""COMPUTED_VALUE"""),"15019BLMA54-58")</f>
        <v>15019BLMA54-58</v>
      </c>
      <c r="G2306" s="165">
        <f>IFERROR(__xludf.DUMMYFUNCTION("""COMPUTED_VALUE"""),849.0)</f>
        <v>849</v>
      </c>
    </row>
    <row r="2307" ht="15.75" customHeight="1">
      <c r="A2307" s="133" t="str">
        <f>IFERROR(__xludf.DUMMYFUNCTION("""COMPUTED_VALUE"""),"16019BLMA")</f>
        <v>16019BLMA</v>
      </c>
      <c r="B2307" s="164">
        <f>IFERROR(__xludf.DUMMYFUNCTION("""COMPUTED_VALUE"""),9523392.0)</f>
        <v>9523392</v>
      </c>
      <c r="C2307" s="164" t="str">
        <f>IFERROR(__xludf.DUMMYFUNCTION("""COMPUTED_VALUE"""),"952339254-58")</f>
        <v>952339254-58</v>
      </c>
      <c r="D2307" s="133" t="str">
        <f>IFERROR(__xludf.DUMMYFUNCTION("""COMPUTED_VALUE"""),"Мужской комплект тройка со снежинками")</f>
        <v>Мужской комплект тройка со снежинками</v>
      </c>
      <c r="E2307" s="133" t="str">
        <f>IFERROR(__xludf.DUMMYFUNCTION("""COMPUTED_VALUE"""),"54-58")</f>
        <v>54-58</v>
      </c>
      <c r="F2307" s="133" t="str">
        <f>IFERROR(__xludf.DUMMYFUNCTION("""COMPUTED_VALUE"""),"16019BLMA54-58")</f>
        <v>16019BLMA54-58</v>
      </c>
      <c r="G2307" s="165">
        <f>IFERROR(__xludf.DUMMYFUNCTION("""COMPUTED_VALUE"""),849.0)</f>
        <v>849</v>
      </c>
    </row>
    <row r="2308" ht="15.75" customHeight="1">
      <c r="A2308" s="133" t="str">
        <f>IFERROR(__xludf.DUMMYFUNCTION("""COMPUTED_VALUE"""),"24019BLKA")</f>
        <v>24019BLKA</v>
      </c>
      <c r="B2308" s="164">
        <f>IFERROR(__xludf.DUMMYFUNCTION("""COMPUTED_VALUE"""),9347019.0)</f>
        <v>9347019</v>
      </c>
      <c r="C2308" s="164" t="str">
        <f>IFERROR(__xludf.DUMMYFUNCTION("""COMPUTED_VALUE"""),"934701949-53")</f>
        <v>934701949-53</v>
      </c>
      <c r="D2308" s="133" t="str">
        <f>IFERROR(__xludf.DUMMYFUNCTION("""COMPUTED_VALUE"""),"Детский комплект тройка с оленями")</f>
        <v>Детский комплект тройка с оленями</v>
      </c>
      <c r="E2308" s="133" t="str">
        <f>IFERROR(__xludf.DUMMYFUNCTION("""COMPUTED_VALUE"""),"49-53")</f>
        <v>49-53</v>
      </c>
      <c r="F2308" s="133" t="str">
        <f>IFERROR(__xludf.DUMMYFUNCTION("""COMPUTED_VALUE"""),"24019BLKA49-53")</f>
        <v>24019BLKA49-53</v>
      </c>
      <c r="G2308" s="165">
        <f>IFERROR(__xludf.DUMMYFUNCTION("""COMPUTED_VALUE"""),655.0)</f>
        <v>655</v>
      </c>
    </row>
    <row r="2309" ht="15.75" customHeight="1">
      <c r="A2309" s="133" t="str">
        <f>IFERROR(__xludf.DUMMYFUNCTION("""COMPUTED_VALUE"""),"25019BLKA")</f>
        <v>25019BLKA</v>
      </c>
      <c r="B2309" s="164">
        <f>IFERROR(__xludf.DUMMYFUNCTION("""COMPUTED_VALUE"""),9347020.0)</f>
        <v>9347020</v>
      </c>
      <c r="C2309" s="164" t="str">
        <f>IFERROR(__xludf.DUMMYFUNCTION("""COMPUTED_VALUE"""),"934702049-53")</f>
        <v>934702049-53</v>
      </c>
      <c r="D2309" s="133" t="str">
        <f>IFERROR(__xludf.DUMMYFUNCTION("""COMPUTED_VALUE"""),"Детский комплект тройка со снежинками")</f>
        <v>Детский комплект тройка со снежинками</v>
      </c>
      <c r="E2309" s="133" t="str">
        <f>IFERROR(__xludf.DUMMYFUNCTION("""COMPUTED_VALUE"""),"49-53")</f>
        <v>49-53</v>
      </c>
      <c r="F2309" s="133" t="str">
        <f>IFERROR(__xludf.DUMMYFUNCTION("""COMPUTED_VALUE"""),"25019BLKA49-53")</f>
        <v>25019BLKA49-53</v>
      </c>
      <c r="G2309" s="165">
        <f>IFERROR(__xludf.DUMMYFUNCTION("""COMPUTED_VALUE"""),655.0)</f>
        <v>655</v>
      </c>
    </row>
    <row r="2310" ht="15.75" customHeight="1">
      <c r="A2310" s="133" t="str">
        <f>IFERROR(__xludf.DUMMYFUNCTION("""COMPUTED_VALUE"""),"26019BLKA")</f>
        <v>26019BLKA</v>
      </c>
      <c r="B2310" s="164">
        <f>IFERROR(__xludf.DUMMYFUNCTION("""COMPUTED_VALUE"""),9421173.0)</f>
        <v>9421173</v>
      </c>
      <c r="C2310" s="164" t="str">
        <f>IFERROR(__xludf.DUMMYFUNCTION("""COMPUTED_VALUE"""),"942117349-53")</f>
        <v>942117349-53</v>
      </c>
      <c r="D2310" s="133" t="str">
        <f>IFERROR(__xludf.DUMMYFUNCTION("""COMPUTED_VALUE"""),"Детский комплект тройка с оленями")</f>
        <v>Детский комплект тройка с оленями</v>
      </c>
      <c r="E2310" s="133" t="str">
        <f>IFERROR(__xludf.DUMMYFUNCTION("""COMPUTED_VALUE"""),"49-53")</f>
        <v>49-53</v>
      </c>
      <c r="F2310" s="133" t="str">
        <f>IFERROR(__xludf.DUMMYFUNCTION("""COMPUTED_VALUE"""),"26019BLKA49-53")</f>
        <v>26019BLKA49-53</v>
      </c>
      <c r="G2310" s="165">
        <f>IFERROR(__xludf.DUMMYFUNCTION("""COMPUTED_VALUE"""),655.0)</f>
        <v>655</v>
      </c>
    </row>
    <row r="2311" ht="15.75" customHeight="1">
      <c r="A2311" s="133" t="str">
        <f>IFERROR(__xludf.DUMMYFUNCTION("""COMPUTED_VALUE"""),"27019BLKA")</f>
        <v>27019BLKA</v>
      </c>
      <c r="B2311" s="164">
        <f>IFERROR(__xludf.DUMMYFUNCTION("""COMPUTED_VALUE"""),9711971.0)</f>
        <v>9711971</v>
      </c>
      <c r="C2311" s="164" t="str">
        <f>IFERROR(__xludf.DUMMYFUNCTION("""COMPUTED_VALUE"""),"971197149-53")</f>
        <v>971197149-53</v>
      </c>
      <c r="D2311" s="133" t="str">
        <f>IFERROR(__xludf.DUMMYFUNCTION("""COMPUTED_VALUE"""),"Детский комплект тройка со снежинками")</f>
        <v>Детский комплект тройка со снежинками</v>
      </c>
      <c r="E2311" s="133" t="str">
        <f>IFERROR(__xludf.DUMMYFUNCTION("""COMPUTED_VALUE"""),"49-53")</f>
        <v>49-53</v>
      </c>
      <c r="F2311" s="133" t="str">
        <f>IFERROR(__xludf.DUMMYFUNCTION("""COMPUTED_VALUE"""),"27019BLKA49-53")</f>
        <v>27019BLKA49-53</v>
      </c>
      <c r="G2311" s="165">
        <f>IFERROR(__xludf.DUMMYFUNCTION("""COMPUTED_VALUE"""),655.0)</f>
        <v>655</v>
      </c>
    </row>
    <row r="2312" ht="15.75" customHeight="1">
      <c r="A2312" s="133" t="str">
        <f>IFERROR(__xludf.DUMMYFUNCTION("""COMPUTED_VALUE"""),"28019BLKA")</f>
        <v>28019BLKA</v>
      </c>
      <c r="B2312" s="164">
        <f>IFERROR(__xludf.DUMMYFUNCTION("""COMPUTED_VALUE"""),9347021.0)</f>
        <v>9347021</v>
      </c>
      <c r="C2312" s="164" t="str">
        <f>IFERROR(__xludf.DUMMYFUNCTION("""COMPUTED_VALUE"""),"934702149-53")</f>
        <v>934702149-53</v>
      </c>
      <c r="D2312" s="133" t="str">
        <f>IFERROR(__xludf.DUMMYFUNCTION("""COMPUTED_VALUE"""),"Детский комплект тройка со снежинками")</f>
        <v>Детский комплект тройка со снежинками</v>
      </c>
      <c r="E2312" s="133" t="str">
        <f>IFERROR(__xludf.DUMMYFUNCTION("""COMPUTED_VALUE"""),"49-53")</f>
        <v>49-53</v>
      </c>
      <c r="F2312" s="133" t="str">
        <f>IFERROR(__xludf.DUMMYFUNCTION("""COMPUTED_VALUE"""),"28019BLKA49-53")</f>
        <v>28019BLKA49-53</v>
      </c>
      <c r="G2312" s="165">
        <f>IFERROR(__xludf.DUMMYFUNCTION("""COMPUTED_VALUE"""),655.0)</f>
        <v>655</v>
      </c>
    </row>
    <row r="2313" ht="15.75" customHeight="1">
      <c r="A2313" s="133" t="str">
        <f>IFERROR(__xludf.DUMMYFUNCTION("""COMPUTED_VALUE"""),"29019BLKA")</f>
        <v>29019BLKA</v>
      </c>
      <c r="B2313" s="164">
        <f>IFERROR(__xludf.DUMMYFUNCTION("""COMPUTED_VALUE"""),9347022.0)</f>
        <v>9347022</v>
      </c>
      <c r="C2313" s="164" t="str">
        <f>IFERROR(__xludf.DUMMYFUNCTION("""COMPUTED_VALUE"""),"934702249-53")</f>
        <v>934702249-53</v>
      </c>
      <c r="D2313" s="133" t="str">
        <f>IFERROR(__xludf.DUMMYFUNCTION("""COMPUTED_VALUE"""),"Детский комплект тройка со снежинками")</f>
        <v>Детский комплект тройка со снежинками</v>
      </c>
      <c r="E2313" s="133" t="str">
        <f>IFERROR(__xludf.DUMMYFUNCTION("""COMPUTED_VALUE"""),"49-53")</f>
        <v>49-53</v>
      </c>
      <c r="F2313" s="133" t="str">
        <f>IFERROR(__xludf.DUMMYFUNCTION("""COMPUTED_VALUE"""),"29019BLKA49-53")</f>
        <v>29019BLKA49-53</v>
      </c>
      <c r="G2313" s="165">
        <f>IFERROR(__xludf.DUMMYFUNCTION("""COMPUTED_VALUE"""),655.0)</f>
        <v>655</v>
      </c>
    </row>
    <row r="2314" ht="15.75" customHeight="1">
      <c r="A2314" s="133" t="str">
        <f>IFERROR(__xludf.DUMMYFUNCTION("""COMPUTED_VALUE"""),"14619BLW")</f>
        <v>14619BLW</v>
      </c>
      <c r="B2314" s="164">
        <f>IFERROR(__xludf.DUMMYFUNCTION("""COMPUTED_VALUE"""),9950354.0)</f>
        <v>9950354</v>
      </c>
      <c r="C2314" s="164" t="str">
        <f>IFERROR(__xludf.DUMMYFUNCTION("""COMPUTED_VALUE"""),"9950354S")</f>
        <v>9950354S</v>
      </c>
      <c r="D2314" s="133" t="str">
        <f>IFERROR(__xludf.DUMMYFUNCTION("""COMPUTED_VALUE"""),"Костюм Louvre")</f>
        <v>Костюм Louvre</v>
      </c>
      <c r="E2314" s="133" t="str">
        <f>IFERROR(__xludf.DUMMYFUNCTION("""COMPUTED_VALUE"""),"S")</f>
        <v>S</v>
      </c>
      <c r="F2314" s="133" t="str">
        <f>IFERROR(__xludf.DUMMYFUNCTION("""COMPUTED_VALUE"""),"14619BLWS")</f>
        <v>14619BLWS</v>
      </c>
      <c r="G2314" s="165">
        <f>IFERROR(__xludf.DUMMYFUNCTION("""COMPUTED_VALUE"""),0.0)</f>
        <v>0</v>
      </c>
    </row>
    <row r="2315" ht="15.75" customHeight="1">
      <c r="A2315" s="133" t="str">
        <f>IFERROR(__xludf.DUMMYFUNCTION("""COMPUTED_VALUE"""),"14619BLW")</f>
        <v>14619BLW</v>
      </c>
      <c r="B2315" s="164">
        <f>IFERROR(__xludf.DUMMYFUNCTION("""COMPUTED_VALUE"""),9950354.0)</f>
        <v>9950354</v>
      </c>
      <c r="C2315" s="164" t="str">
        <f>IFERROR(__xludf.DUMMYFUNCTION("""COMPUTED_VALUE"""),"9950354M")</f>
        <v>9950354M</v>
      </c>
      <c r="D2315" s="133" t="str">
        <f>IFERROR(__xludf.DUMMYFUNCTION("""COMPUTED_VALUE"""),"Костюм Louvre")</f>
        <v>Костюм Louvre</v>
      </c>
      <c r="E2315" s="133" t="str">
        <f>IFERROR(__xludf.DUMMYFUNCTION("""COMPUTED_VALUE"""),"M")</f>
        <v>M</v>
      </c>
      <c r="F2315" s="133" t="str">
        <f>IFERROR(__xludf.DUMMYFUNCTION("""COMPUTED_VALUE"""),"14619BLWM")</f>
        <v>14619BLWM</v>
      </c>
      <c r="G2315" s="165">
        <f>IFERROR(__xludf.DUMMYFUNCTION("""COMPUTED_VALUE"""),0.0)</f>
        <v>0</v>
      </c>
    </row>
    <row r="2316" ht="15.75" customHeight="1">
      <c r="A2316" s="133" t="str">
        <f>IFERROR(__xludf.DUMMYFUNCTION("""COMPUTED_VALUE"""),"14719BLW")</f>
        <v>14719BLW</v>
      </c>
      <c r="B2316" s="164">
        <f>IFERROR(__xludf.DUMMYFUNCTION("""COMPUTED_VALUE"""),9996892.0)</f>
        <v>9996892</v>
      </c>
      <c r="C2316" s="164" t="str">
        <f>IFERROR(__xludf.DUMMYFUNCTION("""COMPUTED_VALUE"""),"9996892S")</f>
        <v>9996892S</v>
      </c>
      <c r="D2316" s="133" t="str">
        <f>IFERROR(__xludf.DUMMYFUNCTION("""COMPUTED_VALUE"""),"Костюм Louvre")</f>
        <v>Костюм Louvre</v>
      </c>
      <c r="E2316" s="133" t="str">
        <f>IFERROR(__xludf.DUMMYFUNCTION("""COMPUTED_VALUE"""),"S")</f>
        <v>S</v>
      </c>
      <c r="F2316" s="133" t="str">
        <f>IFERROR(__xludf.DUMMYFUNCTION("""COMPUTED_VALUE"""),"14719BLWS")</f>
        <v>14719BLWS</v>
      </c>
      <c r="G2316" s="165">
        <f>IFERROR(__xludf.DUMMYFUNCTION("""COMPUTED_VALUE"""),0.0)</f>
        <v>0</v>
      </c>
    </row>
    <row r="2317" ht="15.75" customHeight="1">
      <c r="A2317" s="133" t="str">
        <f>IFERROR(__xludf.DUMMYFUNCTION("""COMPUTED_VALUE"""),"14719BLW")</f>
        <v>14719BLW</v>
      </c>
      <c r="B2317" s="164">
        <f>IFERROR(__xludf.DUMMYFUNCTION("""COMPUTED_VALUE"""),9996892.0)</f>
        <v>9996892</v>
      </c>
      <c r="C2317" s="164" t="str">
        <f>IFERROR(__xludf.DUMMYFUNCTION("""COMPUTED_VALUE"""),"9996892M")</f>
        <v>9996892M</v>
      </c>
      <c r="D2317" s="133" t="str">
        <f>IFERROR(__xludf.DUMMYFUNCTION("""COMPUTED_VALUE"""),"Костюм Louvre")</f>
        <v>Костюм Louvre</v>
      </c>
      <c r="E2317" s="133" t="str">
        <f>IFERROR(__xludf.DUMMYFUNCTION("""COMPUTED_VALUE"""),"M")</f>
        <v>M</v>
      </c>
      <c r="F2317" s="133" t="str">
        <f>IFERROR(__xludf.DUMMYFUNCTION("""COMPUTED_VALUE"""),"14719BLWM")</f>
        <v>14719BLWM</v>
      </c>
      <c r="G2317" s="165">
        <f>IFERROR(__xludf.DUMMYFUNCTION("""COMPUTED_VALUE"""),0.0)</f>
        <v>0</v>
      </c>
    </row>
    <row r="2318" ht="15.75" customHeight="1">
      <c r="A2318" s="133" t="str">
        <f>IFERROR(__xludf.DUMMYFUNCTION("""COMPUTED_VALUE"""),"14819BLW")</f>
        <v>14819BLW</v>
      </c>
      <c r="B2318" s="164">
        <f>IFERROR(__xludf.DUMMYFUNCTION("""COMPUTED_VALUE"""),9950355.0)</f>
        <v>9950355</v>
      </c>
      <c r="C2318" s="164" t="str">
        <f>IFERROR(__xludf.DUMMYFUNCTION("""COMPUTED_VALUE"""),"9950355S")</f>
        <v>9950355S</v>
      </c>
      <c r="D2318" s="133" t="str">
        <f>IFERROR(__xludf.DUMMYFUNCTION("""COMPUTED_VALUE"""),"Костюм Base")</f>
        <v>Костюм Base</v>
      </c>
      <c r="E2318" s="133" t="str">
        <f>IFERROR(__xludf.DUMMYFUNCTION("""COMPUTED_VALUE"""),"S")</f>
        <v>S</v>
      </c>
      <c r="F2318" s="133" t="str">
        <f>IFERROR(__xludf.DUMMYFUNCTION("""COMPUTED_VALUE"""),"14819BLWS")</f>
        <v>14819BLWS</v>
      </c>
      <c r="G2318" s="165">
        <f>IFERROR(__xludf.DUMMYFUNCTION("""COMPUTED_VALUE"""),0.0)</f>
        <v>0</v>
      </c>
    </row>
    <row r="2319" ht="15.75" customHeight="1">
      <c r="A2319" s="133" t="str">
        <f>IFERROR(__xludf.DUMMYFUNCTION("""COMPUTED_VALUE"""),"14819BLW")</f>
        <v>14819BLW</v>
      </c>
      <c r="B2319" s="164">
        <f>IFERROR(__xludf.DUMMYFUNCTION("""COMPUTED_VALUE"""),9950355.0)</f>
        <v>9950355</v>
      </c>
      <c r="C2319" s="164" t="str">
        <f>IFERROR(__xludf.DUMMYFUNCTION("""COMPUTED_VALUE"""),"9950355M")</f>
        <v>9950355M</v>
      </c>
      <c r="D2319" s="133" t="str">
        <f>IFERROR(__xludf.DUMMYFUNCTION("""COMPUTED_VALUE"""),"Костюм Base")</f>
        <v>Костюм Base</v>
      </c>
      <c r="E2319" s="133" t="str">
        <f>IFERROR(__xludf.DUMMYFUNCTION("""COMPUTED_VALUE"""),"M")</f>
        <v>M</v>
      </c>
      <c r="F2319" s="133" t="str">
        <f>IFERROR(__xludf.DUMMYFUNCTION("""COMPUTED_VALUE"""),"14819BLWM")</f>
        <v>14819BLWM</v>
      </c>
      <c r="G2319" s="165">
        <f>IFERROR(__xludf.DUMMYFUNCTION("""COMPUTED_VALUE"""),0.0)</f>
        <v>0</v>
      </c>
    </row>
    <row r="2320" ht="15.75" customHeight="1">
      <c r="A2320" s="133" t="str">
        <f>IFERROR(__xludf.DUMMYFUNCTION("""COMPUTED_VALUE"""),"14919BLW")</f>
        <v>14919BLW</v>
      </c>
      <c r="B2320" s="164">
        <f>IFERROR(__xludf.DUMMYFUNCTION("""COMPUTED_VALUE"""),9950356.0)</f>
        <v>9950356</v>
      </c>
      <c r="C2320" s="164" t="str">
        <f>IFERROR(__xludf.DUMMYFUNCTION("""COMPUTED_VALUE"""),"9950356S")</f>
        <v>9950356S</v>
      </c>
      <c r="D2320" s="133" t="str">
        <f>IFERROR(__xludf.DUMMYFUNCTION("""COMPUTED_VALUE"""),"Костюм Base")</f>
        <v>Костюм Base</v>
      </c>
      <c r="E2320" s="133" t="str">
        <f>IFERROR(__xludf.DUMMYFUNCTION("""COMPUTED_VALUE"""),"S")</f>
        <v>S</v>
      </c>
      <c r="F2320" s="133" t="str">
        <f>IFERROR(__xludf.DUMMYFUNCTION("""COMPUTED_VALUE"""),"14919BLWS")</f>
        <v>14919BLWS</v>
      </c>
      <c r="G2320" s="165">
        <f>IFERROR(__xludf.DUMMYFUNCTION("""COMPUTED_VALUE"""),0.0)</f>
        <v>0</v>
      </c>
    </row>
    <row r="2321" ht="15.75" customHeight="1">
      <c r="A2321" s="133" t="str">
        <f>IFERROR(__xludf.DUMMYFUNCTION("""COMPUTED_VALUE"""),"14919BLW")</f>
        <v>14919BLW</v>
      </c>
      <c r="B2321" s="164">
        <f>IFERROR(__xludf.DUMMYFUNCTION("""COMPUTED_VALUE"""),9950356.0)</f>
        <v>9950356</v>
      </c>
      <c r="C2321" s="164" t="str">
        <f>IFERROR(__xludf.DUMMYFUNCTION("""COMPUTED_VALUE"""),"9950356M")</f>
        <v>9950356M</v>
      </c>
      <c r="D2321" s="133" t="str">
        <f>IFERROR(__xludf.DUMMYFUNCTION("""COMPUTED_VALUE"""),"Костюм Base")</f>
        <v>Костюм Base</v>
      </c>
      <c r="E2321" s="133" t="str">
        <f>IFERROR(__xludf.DUMMYFUNCTION("""COMPUTED_VALUE"""),"M")</f>
        <v>M</v>
      </c>
      <c r="F2321" s="133" t="str">
        <f>IFERROR(__xludf.DUMMYFUNCTION("""COMPUTED_VALUE"""),"14919BLWM")</f>
        <v>14919BLWM</v>
      </c>
      <c r="G2321" s="165">
        <f>IFERROR(__xludf.DUMMYFUNCTION("""COMPUTED_VALUE"""),0.0)</f>
        <v>0</v>
      </c>
    </row>
    <row r="2322" ht="15.75" customHeight="1">
      <c r="A2322" s="133" t="str">
        <f>IFERROR(__xludf.DUMMYFUNCTION("""COMPUTED_VALUE"""),"14919BLW")</f>
        <v>14919BLW</v>
      </c>
      <c r="B2322" s="164">
        <f>IFERROR(__xludf.DUMMYFUNCTION("""COMPUTED_VALUE"""),9950356.0)</f>
        <v>9950356</v>
      </c>
      <c r="C2322" s="164" t="str">
        <f>IFERROR(__xludf.DUMMYFUNCTION("""COMPUTED_VALUE"""),"9950356L")</f>
        <v>9950356L</v>
      </c>
      <c r="D2322" s="133" t="str">
        <f>IFERROR(__xludf.DUMMYFUNCTION("""COMPUTED_VALUE"""),"Костюм Base")</f>
        <v>Костюм Base</v>
      </c>
      <c r="E2322" s="133" t="str">
        <f>IFERROR(__xludf.DUMMYFUNCTION("""COMPUTED_VALUE"""),"L")</f>
        <v>L</v>
      </c>
      <c r="F2322" s="133" t="str">
        <f>IFERROR(__xludf.DUMMYFUNCTION("""COMPUTED_VALUE"""),"14919BLWL")</f>
        <v>14919BLWL</v>
      </c>
      <c r="G2322" s="165">
        <f>IFERROR(__xludf.DUMMYFUNCTION("""COMPUTED_VALUE"""),0.0)</f>
        <v>0</v>
      </c>
    </row>
    <row r="2323" ht="15.75" customHeight="1">
      <c r="A2323" s="133" t="str">
        <f>IFERROR(__xludf.DUMMYFUNCTION("""COMPUTED_VALUE"""),"Rainbow800")</f>
        <v>Rainbow800</v>
      </c>
      <c r="B2323" s="164">
        <f>IFERROR(__xludf.DUMMYFUNCTION("""COMPUTED_VALUE"""),1.0133003E7)</f>
        <v>10133003</v>
      </c>
      <c r="C2323" s="164" t="str">
        <f>IFERROR(__xludf.DUMMYFUNCTION("""COMPUTED_VALUE"""),"10133003S")</f>
        <v>10133003S</v>
      </c>
      <c r="D2323" s="133" t="str">
        <f>IFERROR(__xludf.DUMMYFUNCTION("""COMPUTED_VALUE"""),"Кигуруми ""Радужный единорог""")</f>
        <v>Кигуруми "Радужный единорог"</v>
      </c>
      <c r="E2323" s="133" t="str">
        <f>IFERROR(__xludf.DUMMYFUNCTION("""COMPUTED_VALUE"""),"S")</f>
        <v>S</v>
      </c>
      <c r="F2323" s="133" t="str">
        <f>IFERROR(__xludf.DUMMYFUNCTION("""COMPUTED_VALUE"""),"Rainbow800S")</f>
        <v>Rainbow800S</v>
      </c>
      <c r="G2323" s="165">
        <f>IFERROR(__xludf.DUMMYFUNCTION("""COMPUTED_VALUE"""),0.0)</f>
        <v>0</v>
      </c>
    </row>
    <row r="2324" ht="15.75" customHeight="1">
      <c r="A2324" s="133" t="str">
        <f>IFERROR(__xludf.DUMMYFUNCTION("""COMPUTED_VALUE"""),"Rainbow800")</f>
        <v>Rainbow800</v>
      </c>
      <c r="B2324" s="164">
        <f>IFERROR(__xludf.DUMMYFUNCTION("""COMPUTED_VALUE"""),1.0133003E7)</f>
        <v>10133003</v>
      </c>
      <c r="C2324" s="164" t="str">
        <f>IFERROR(__xludf.DUMMYFUNCTION("""COMPUTED_VALUE"""),"10133003M")</f>
        <v>10133003M</v>
      </c>
      <c r="D2324" s="133" t="str">
        <f>IFERROR(__xludf.DUMMYFUNCTION("""COMPUTED_VALUE"""),"Кигуруми ""Радужный единорог""")</f>
        <v>Кигуруми "Радужный единорог"</v>
      </c>
      <c r="E2324" s="133" t="str">
        <f>IFERROR(__xludf.DUMMYFUNCTION("""COMPUTED_VALUE"""),"M")</f>
        <v>M</v>
      </c>
      <c r="F2324" s="133" t="str">
        <f>IFERROR(__xludf.DUMMYFUNCTION("""COMPUTED_VALUE"""),"Rainbow800M")</f>
        <v>Rainbow800M</v>
      </c>
      <c r="G2324" s="165">
        <f>IFERROR(__xludf.DUMMYFUNCTION("""COMPUTED_VALUE"""),0.0)</f>
        <v>0</v>
      </c>
    </row>
    <row r="2325" ht="15.75" customHeight="1">
      <c r="A2325" s="133" t="str">
        <f>IFERROR(__xludf.DUMMYFUNCTION("""COMPUTED_VALUE"""),"Rainbow800")</f>
        <v>Rainbow800</v>
      </c>
      <c r="B2325" s="164">
        <f>IFERROR(__xludf.DUMMYFUNCTION("""COMPUTED_VALUE"""),1.0133003E7)</f>
        <v>10133003</v>
      </c>
      <c r="C2325" s="164" t="str">
        <f>IFERROR(__xludf.DUMMYFUNCTION("""COMPUTED_VALUE"""),"10133003L")</f>
        <v>10133003L</v>
      </c>
      <c r="D2325" s="133" t="str">
        <f>IFERROR(__xludf.DUMMYFUNCTION("""COMPUTED_VALUE"""),"Кигуруми ""Радужный единорог""")</f>
        <v>Кигуруми "Радужный единорог"</v>
      </c>
      <c r="E2325" s="133" t="str">
        <f>IFERROR(__xludf.DUMMYFUNCTION("""COMPUTED_VALUE"""),"L")</f>
        <v>L</v>
      </c>
      <c r="F2325" s="133" t="str">
        <f>IFERROR(__xludf.DUMMYFUNCTION("""COMPUTED_VALUE"""),"Rainbow800L")</f>
        <v>Rainbow800L</v>
      </c>
      <c r="G2325" s="165">
        <f>IFERROR(__xludf.DUMMYFUNCTION("""COMPUTED_VALUE"""),0.0)</f>
        <v>0</v>
      </c>
    </row>
    <row r="2326" ht="15.75" customHeight="1">
      <c r="A2326" s="133" t="str">
        <f>IFERROR(__xludf.DUMMYFUNCTION("""COMPUTED_VALUE"""),"Rainbow700")</f>
        <v>Rainbow700</v>
      </c>
      <c r="B2326" s="164">
        <f>IFERROR(__xludf.DUMMYFUNCTION("""COMPUTED_VALUE"""),1.0133002E7)</f>
        <v>10133002</v>
      </c>
      <c r="C2326" s="164" t="str">
        <f>IFERROR(__xludf.DUMMYFUNCTION("""COMPUTED_VALUE"""),"10133002XXS")</f>
        <v>10133002XXS</v>
      </c>
      <c r="D2326" s="133" t="str">
        <f>IFERROR(__xludf.DUMMYFUNCTION("""COMPUTED_VALUE"""),"Кигуруми ""Радужный единорог""")</f>
        <v>Кигуруми "Радужный единорог"</v>
      </c>
      <c r="E2326" s="133" t="str">
        <f>IFERROR(__xludf.DUMMYFUNCTION("""COMPUTED_VALUE"""),"XXS")</f>
        <v>XXS</v>
      </c>
      <c r="F2326" s="133" t="str">
        <f>IFERROR(__xludf.DUMMYFUNCTION("""COMPUTED_VALUE"""),"Rainbow700XXS")</f>
        <v>Rainbow700XXS</v>
      </c>
      <c r="G2326" s="165">
        <f>IFERROR(__xludf.DUMMYFUNCTION("""COMPUTED_VALUE"""),0.0)</f>
        <v>0</v>
      </c>
    </row>
    <row r="2327" ht="15.75" customHeight="1">
      <c r="A2327" s="133" t="str">
        <f>IFERROR(__xludf.DUMMYFUNCTION("""COMPUTED_VALUE"""),"Rainbow700")</f>
        <v>Rainbow700</v>
      </c>
      <c r="B2327" s="164">
        <f>IFERROR(__xludf.DUMMYFUNCTION("""COMPUTED_VALUE"""),1.0133002E7)</f>
        <v>10133002</v>
      </c>
      <c r="C2327" s="164" t="str">
        <f>IFERROR(__xludf.DUMMYFUNCTION("""COMPUTED_VALUE"""),"10133002XS")</f>
        <v>10133002XS</v>
      </c>
      <c r="D2327" s="133" t="str">
        <f>IFERROR(__xludf.DUMMYFUNCTION("""COMPUTED_VALUE"""),"Кигуруми ""Радужный единорог""")</f>
        <v>Кигуруми "Радужный единорог"</v>
      </c>
      <c r="E2327" s="133" t="str">
        <f>IFERROR(__xludf.DUMMYFUNCTION("""COMPUTED_VALUE"""),"XS")</f>
        <v>XS</v>
      </c>
      <c r="F2327" s="133" t="str">
        <f>IFERROR(__xludf.DUMMYFUNCTION("""COMPUTED_VALUE"""),"Rainbow700XS")</f>
        <v>Rainbow700XS</v>
      </c>
      <c r="G2327" s="165">
        <f>IFERROR(__xludf.DUMMYFUNCTION("""COMPUTED_VALUE"""),0.0)</f>
        <v>0</v>
      </c>
    </row>
    <row r="2328" ht="15.75" customHeight="1">
      <c r="A2328" s="133" t="str">
        <f>IFERROR(__xludf.DUMMYFUNCTION("""COMPUTED_VALUE"""),"Rainbow700")</f>
        <v>Rainbow700</v>
      </c>
      <c r="B2328" s="164">
        <f>IFERROR(__xludf.DUMMYFUNCTION("""COMPUTED_VALUE"""),1.0133002E7)</f>
        <v>10133002</v>
      </c>
      <c r="C2328" s="164" t="str">
        <f>IFERROR(__xludf.DUMMYFUNCTION("""COMPUTED_VALUE"""),"10133002S")</f>
        <v>10133002S</v>
      </c>
      <c r="D2328" s="133" t="str">
        <f>IFERROR(__xludf.DUMMYFUNCTION("""COMPUTED_VALUE"""),"Кигуруми ""Радужный единорог""")</f>
        <v>Кигуруми "Радужный единорог"</v>
      </c>
      <c r="E2328" s="133" t="str">
        <f>IFERROR(__xludf.DUMMYFUNCTION("""COMPUTED_VALUE"""),"S")</f>
        <v>S</v>
      </c>
      <c r="F2328" s="133" t="str">
        <f>IFERROR(__xludf.DUMMYFUNCTION("""COMPUTED_VALUE"""),"Rainbow700S")</f>
        <v>Rainbow700S</v>
      </c>
      <c r="G2328" s="165">
        <f>IFERROR(__xludf.DUMMYFUNCTION("""COMPUTED_VALUE"""),0.0)</f>
        <v>0</v>
      </c>
    </row>
    <row r="2329" ht="15.75" customHeight="1">
      <c r="A2329" s="133" t="str">
        <f>IFERROR(__xludf.DUMMYFUNCTION("""COMPUTED_VALUE"""),"Star600")</f>
        <v>Star600</v>
      </c>
      <c r="B2329" s="164">
        <f>IFERROR(__xludf.DUMMYFUNCTION("""COMPUTED_VALUE"""),1.0133005E7)</f>
        <v>10133005</v>
      </c>
      <c r="C2329" s="164" t="str">
        <f>IFERROR(__xludf.DUMMYFUNCTION("""COMPUTED_VALUE"""),"10133005XXS")</f>
        <v>10133005XXS</v>
      </c>
      <c r="D2329" s="133" t="str">
        <f>IFERROR(__xludf.DUMMYFUNCTION("""COMPUTED_VALUE"""),"Кигуруми ""Звездный Единорог""")</f>
        <v>Кигуруми "Звездный Единорог"</v>
      </c>
      <c r="E2329" s="133" t="str">
        <f>IFERROR(__xludf.DUMMYFUNCTION("""COMPUTED_VALUE"""),"XXS")</f>
        <v>XXS</v>
      </c>
      <c r="F2329" s="133" t="str">
        <f>IFERROR(__xludf.DUMMYFUNCTION("""COMPUTED_VALUE"""),"Star600XXS")</f>
        <v>Star600XXS</v>
      </c>
      <c r="G2329" s="165">
        <f>IFERROR(__xludf.DUMMYFUNCTION("""COMPUTED_VALUE"""),0.0)</f>
        <v>0</v>
      </c>
    </row>
    <row r="2330" ht="15.75" customHeight="1">
      <c r="A2330" s="133" t="str">
        <f>IFERROR(__xludf.DUMMYFUNCTION("""COMPUTED_VALUE"""),"Star600")</f>
        <v>Star600</v>
      </c>
      <c r="B2330" s="164">
        <f>IFERROR(__xludf.DUMMYFUNCTION("""COMPUTED_VALUE"""),1.0133005E7)</f>
        <v>10133005</v>
      </c>
      <c r="C2330" s="164" t="str">
        <f>IFERROR(__xludf.DUMMYFUNCTION("""COMPUTED_VALUE"""),"10133005XS")</f>
        <v>10133005XS</v>
      </c>
      <c r="D2330" s="133" t="str">
        <f>IFERROR(__xludf.DUMMYFUNCTION("""COMPUTED_VALUE"""),"Кигуруми ""Звездный Единорог""")</f>
        <v>Кигуруми "Звездный Единорог"</v>
      </c>
      <c r="E2330" s="133" t="str">
        <f>IFERROR(__xludf.DUMMYFUNCTION("""COMPUTED_VALUE"""),"XS")</f>
        <v>XS</v>
      </c>
      <c r="F2330" s="133" t="str">
        <f>IFERROR(__xludf.DUMMYFUNCTION("""COMPUTED_VALUE"""),"Star600XS")</f>
        <v>Star600XS</v>
      </c>
      <c r="G2330" s="165">
        <f>IFERROR(__xludf.DUMMYFUNCTION("""COMPUTED_VALUE"""),0.0)</f>
        <v>0</v>
      </c>
    </row>
    <row r="2331" ht="15.75" customHeight="1">
      <c r="A2331" s="133" t="str">
        <f>IFERROR(__xludf.DUMMYFUNCTION("""COMPUTED_VALUE"""),"Star600")</f>
        <v>Star600</v>
      </c>
      <c r="B2331" s="164">
        <f>IFERROR(__xludf.DUMMYFUNCTION("""COMPUTED_VALUE"""),1.0133005E7)</f>
        <v>10133005</v>
      </c>
      <c r="C2331" s="164" t="str">
        <f>IFERROR(__xludf.DUMMYFUNCTION("""COMPUTED_VALUE"""),"10133005S")</f>
        <v>10133005S</v>
      </c>
      <c r="D2331" s="133" t="str">
        <f>IFERROR(__xludf.DUMMYFUNCTION("""COMPUTED_VALUE"""),"Кигуруми ""Звездный Единорог""")</f>
        <v>Кигуруми "Звездный Единорог"</v>
      </c>
      <c r="E2331" s="133" t="str">
        <f>IFERROR(__xludf.DUMMYFUNCTION("""COMPUTED_VALUE"""),"S")</f>
        <v>S</v>
      </c>
      <c r="F2331" s="133" t="str">
        <f>IFERROR(__xludf.DUMMYFUNCTION("""COMPUTED_VALUE"""),"Star600S")</f>
        <v>Star600S</v>
      </c>
      <c r="G2331" s="165">
        <f>IFERROR(__xludf.DUMMYFUNCTION("""COMPUTED_VALUE"""),0.0)</f>
        <v>0</v>
      </c>
    </row>
    <row r="2332" ht="15.75" customHeight="1">
      <c r="A2332" s="133" t="str">
        <f>IFERROR(__xludf.DUMMYFUNCTION("""COMPUTED_VALUE"""),"Star500")</f>
        <v>Star500</v>
      </c>
      <c r="B2332" s="164">
        <f>IFERROR(__xludf.DUMMYFUNCTION("""COMPUTED_VALUE"""),1.0133004E7)</f>
        <v>10133004</v>
      </c>
      <c r="C2332" s="164" t="str">
        <f>IFERROR(__xludf.DUMMYFUNCTION("""COMPUTED_VALUE"""),"10133004S")</f>
        <v>10133004S</v>
      </c>
      <c r="D2332" s="133" t="str">
        <f>IFERROR(__xludf.DUMMYFUNCTION("""COMPUTED_VALUE"""),"Кигуруми ""Звездный Единорог""")</f>
        <v>Кигуруми "Звездный Единорог"</v>
      </c>
      <c r="E2332" s="133" t="str">
        <f>IFERROR(__xludf.DUMMYFUNCTION("""COMPUTED_VALUE"""),"S")</f>
        <v>S</v>
      </c>
      <c r="F2332" s="133" t="str">
        <f>IFERROR(__xludf.DUMMYFUNCTION("""COMPUTED_VALUE"""),"Star500S")</f>
        <v>Star500S</v>
      </c>
      <c r="G2332" s="165">
        <f>IFERROR(__xludf.DUMMYFUNCTION("""COMPUTED_VALUE"""),0.0)</f>
        <v>0</v>
      </c>
    </row>
    <row r="2333" ht="15.75" customHeight="1">
      <c r="A2333" s="133" t="str">
        <f>IFERROR(__xludf.DUMMYFUNCTION("""COMPUTED_VALUE"""),"Star500")</f>
        <v>Star500</v>
      </c>
      <c r="B2333" s="164">
        <f>IFERROR(__xludf.DUMMYFUNCTION("""COMPUTED_VALUE"""),1.0133004E7)</f>
        <v>10133004</v>
      </c>
      <c r="C2333" s="164" t="str">
        <f>IFERROR(__xludf.DUMMYFUNCTION("""COMPUTED_VALUE"""),"10133004M")</f>
        <v>10133004M</v>
      </c>
      <c r="D2333" s="133" t="str">
        <f>IFERROR(__xludf.DUMMYFUNCTION("""COMPUTED_VALUE"""),"Кигуруми ""Звездный Единорог""")</f>
        <v>Кигуруми "Звездный Единорог"</v>
      </c>
      <c r="E2333" s="133" t="str">
        <f>IFERROR(__xludf.DUMMYFUNCTION("""COMPUTED_VALUE"""),"M")</f>
        <v>M</v>
      </c>
      <c r="F2333" s="133" t="str">
        <f>IFERROR(__xludf.DUMMYFUNCTION("""COMPUTED_VALUE"""),"Star500M")</f>
        <v>Star500M</v>
      </c>
      <c r="G2333" s="165">
        <f>IFERROR(__xludf.DUMMYFUNCTION("""COMPUTED_VALUE"""),0.0)</f>
        <v>0</v>
      </c>
    </row>
    <row r="2334" ht="15.75" customHeight="1">
      <c r="A2334" s="133" t="str">
        <f>IFERROR(__xludf.DUMMYFUNCTION("""COMPUTED_VALUE"""),"Star500")</f>
        <v>Star500</v>
      </c>
      <c r="B2334" s="164">
        <f>IFERROR(__xludf.DUMMYFUNCTION("""COMPUTED_VALUE"""),1.0133004E7)</f>
        <v>10133004</v>
      </c>
      <c r="C2334" s="164" t="str">
        <f>IFERROR(__xludf.DUMMYFUNCTION("""COMPUTED_VALUE"""),"10133004L")</f>
        <v>10133004L</v>
      </c>
      <c r="D2334" s="133" t="str">
        <f>IFERROR(__xludf.DUMMYFUNCTION("""COMPUTED_VALUE"""),"Кигуруми ""Звездный Единорог""")</f>
        <v>Кигуруми "Звездный Единорог"</v>
      </c>
      <c r="E2334" s="133" t="str">
        <f>IFERROR(__xludf.DUMMYFUNCTION("""COMPUTED_VALUE"""),"L")</f>
        <v>L</v>
      </c>
      <c r="F2334" s="133" t="str">
        <f>IFERROR(__xludf.DUMMYFUNCTION("""COMPUTED_VALUE"""),"Star500L")</f>
        <v>Star500L</v>
      </c>
      <c r="G2334" s="165">
        <f>IFERROR(__xludf.DUMMYFUNCTION("""COMPUTED_VALUE"""),0.0)</f>
        <v>0</v>
      </c>
    </row>
    <row r="2335" ht="15.75" customHeight="1">
      <c r="A2335" s="133" t="str">
        <f>IFERROR(__xludf.DUMMYFUNCTION("""COMPUTED_VALUE"""),"Stich100")</f>
        <v>Stich100</v>
      </c>
      <c r="B2335" s="164">
        <f>IFERROR(__xludf.DUMMYFUNCTION("""COMPUTED_VALUE"""),1.0133006E7)</f>
        <v>10133006</v>
      </c>
      <c r="C2335" s="164" t="str">
        <f>IFERROR(__xludf.DUMMYFUNCTION("""COMPUTED_VALUE"""),"10133006S")</f>
        <v>10133006S</v>
      </c>
      <c r="D2335" s="133" t="str">
        <f>IFERROR(__xludf.DUMMYFUNCTION("""COMPUTED_VALUE"""),"Кигуруми ""Стич""")</f>
        <v>Кигуруми "Стич"</v>
      </c>
      <c r="E2335" s="133" t="str">
        <f>IFERROR(__xludf.DUMMYFUNCTION("""COMPUTED_VALUE"""),"S")</f>
        <v>S</v>
      </c>
      <c r="F2335" s="133" t="str">
        <f>IFERROR(__xludf.DUMMYFUNCTION("""COMPUTED_VALUE"""),"Stich100S")</f>
        <v>Stich100S</v>
      </c>
      <c r="G2335" s="165">
        <f>IFERROR(__xludf.DUMMYFUNCTION("""COMPUTED_VALUE"""),0.0)</f>
        <v>0</v>
      </c>
    </row>
    <row r="2336" ht="15.75" customHeight="1">
      <c r="A2336" s="133" t="str">
        <f>IFERROR(__xludf.DUMMYFUNCTION("""COMPUTED_VALUE"""),"Stich100")</f>
        <v>Stich100</v>
      </c>
      <c r="B2336" s="164">
        <f>IFERROR(__xludf.DUMMYFUNCTION("""COMPUTED_VALUE"""),1.0133006E7)</f>
        <v>10133006</v>
      </c>
      <c r="C2336" s="164" t="str">
        <f>IFERROR(__xludf.DUMMYFUNCTION("""COMPUTED_VALUE"""),"10133006M")</f>
        <v>10133006M</v>
      </c>
      <c r="D2336" s="133" t="str">
        <f>IFERROR(__xludf.DUMMYFUNCTION("""COMPUTED_VALUE"""),"Кигуруми ""Стич""")</f>
        <v>Кигуруми "Стич"</v>
      </c>
      <c r="E2336" s="133" t="str">
        <f>IFERROR(__xludf.DUMMYFUNCTION("""COMPUTED_VALUE"""),"M")</f>
        <v>M</v>
      </c>
      <c r="F2336" s="133" t="str">
        <f>IFERROR(__xludf.DUMMYFUNCTION("""COMPUTED_VALUE"""),"Stich100M")</f>
        <v>Stich100M</v>
      </c>
      <c r="G2336" s="165">
        <f>IFERROR(__xludf.DUMMYFUNCTION("""COMPUTED_VALUE"""),0.0)</f>
        <v>0</v>
      </c>
    </row>
    <row r="2337" ht="15.75" customHeight="1">
      <c r="A2337" s="133" t="str">
        <f>IFERROR(__xludf.DUMMYFUNCTION("""COMPUTED_VALUE"""),"Stich100")</f>
        <v>Stich100</v>
      </c>
      <c r="B2337" s="164">
        <f>IFERROR(__xludf.DUMMYFUNCTION("""COMPUTED_VALUE"""),1.0133006E7)</f>
        <v>10133006</v>
      </c>
      <c r="C2337" s="164" t="str">
        <f>IFERROR(__xludf.DUMMYFUNCTION("""COMPUTED_VALUE"""),"10133006L")</f>
        <v>10133006L</v>
      </c>
      <c r="D2337" s="133" t="str">
        <f>IFERROR(__xludf.DUMMYFUNCTION("""COMPUTED_VALUE"""),"Кигуруми ""Стич""")</f>
        <v>Кигуруми "Стич"</v>
      </c>
      <c r="E2337" s="133" t="str">
        <f>IFERROR(__xludf.DUMMYFUNCTION("""COMPUTED_VALUE"""),"L")</f>
        <v>L</v>
      </c>
      <c r="F2337" s="133" t="str">
        <f>IFERROR(__xludf.DUMMYFUNCTION("""COMPUTED_VALUE"""),"Stich100L")</f>
        <v>Stich100L</v>
      </c>
      <c r="G2337" s="165">
        <f>IFERROR(__xludf.DUMMYFUNCTION("""COMPUTED_VALUE"""),0.0)</f>
        <v>0</v>
      </c>
    </row>
    <row r="2338" ht="15.75" customHeight="1">
      <c r="A2338" s="133" t="str">
        <f>IFERROR(__xludf.DUMMYFUNCTION("""COMPUTED_VALUE"""),"Stich200")</f>
        <v>Stich200</v>
      </c>
      <c r="B2338" s="164">
        <f>IFERROR(__xludf.DUMMYFUNCTION("""COMPUTED_VALUE"""),1.0133007E7)</f>
        <v>10133007</v>
      </c>
      <c r="C2338" s="164" t="str">
        <f>IFERROR(__xludf.DUMMYFUNCTION("""COMPUTED_VALUE"""),"10133007S")</f>
        <v>10133007S</v>
      </c>
      <c r="D2338" s="133" t="str">
        <f>IFERROR(__xludf.DUMMYFUNCTION("""COMPUTED_VALUE"""),"Кигуруми ""Стич""")</f>
        <v>Кигуруми "Стич"</v>
      </c>
      <c r="E2338" s="133" t="str">
        <f>IFERROR(__xludf.DUMMYFUNCTION("""COMPUTED_VALUE"""),"S")</f>
        <v>S</v>
      </c>
      <c r="F2338" s="133" t="str">
        <f>IFERROR(__xludf.DUMMYFUNCTION("""COMPUTED_VALUE"""),"Stich200S")</f>
        <v>Stich200S</v>
      </c>
      <c r="G2338" s="165">
        <f>IFERROR(__xludf.DUMMYFUNCTION("""COMPUTED_VALUE"""),0.0)</f>
        <v>0</v>
      </c>
    </row>
    <row r="2339" ht="15.75" customHeight="1">
      <c r="A2339" s="133" t="str">
        <f>IFERROR(__xludf.DUMMYFUNCTION("""COMPUTED_VALUE"""),"Stich200")</f>
        <v>Stich200</v>
      </c>
      <c r="B2339" s="164">
        <f>IFERROR(__xludf.DUMMYFUNCTION("""COMPUTED_VALUE"""),1.0133007E7)</f>
        <v>10133007</v>
      </c>
      <c r="C2339" s="164" t="str">
        <f>IFERROR(__xludf.DUMMYFUNCTION("""COMPUTED_VALUE"""),"10133007M")</f>
        <v>10133007M</v>
      </c>
      <c r="D2339" s="133" t="str">
        <f>IFERROR(__xludf.DUMMYFUNCTION("""COMPUTED_VALUE"""),"Кигуруми ""Стич""")</f>
        <v>Кигуруми "Стич"</v>
      </c>
      <c r="E2339" s="133" t="str">
        <f>IFERROR(__xludf.DUMMYFUNCTION("""COMPUTED_VALUE"""),"M")</f>
        <v>M</v>
      </c>
      <c r="F2339" s="133" t="str">
        <f>IFERROR(__xludf.DUMMYFUNCTION("""COMPUTED_VALUE"""),"Stich200M")</f>
        <v>Stich200M</v>
      </c>
      <c r="G2339" s="165">
        <f>IFERROR(__xludf.DUMMYFUNCTION("""COMPUTED_VALUE"""),0.0)</f>
        <v>0</v>
      </c>
    </row>
    <row r="2340" ht="15.75" customHeight="1">
      <c r="A2340" s="133" t="str">
        <f>IFERROR(__xludf.DUMMYFUNCTION("""COMPUTED_VALUE"""),"Stich200")</f>
        <v>Stich200</v>
      </c>
      <c r="B2340" s="164">
        <f>IFERROR(__xludf.DUMMYFUNCTION("""COMPUTED_VALUE"""),1.0133007E7)</f>
        <v>10133007</v>
      </c>
      <c r="C2340" s="164" t="str">
        <f>IFERROR(__xludf.DUMMYFUNCTION("""COMPUTED_VALUE"""),"10133007L")</f>
        <v>10133007L</v>
      </c>
      <c r="D2340" s="133" t="str">
        <f>IFERROR(__xludf.DUMMYFUNCTION("""COMPUTED_VALUE"""),"Кигуруми ""Стич""")</f>
        <v>Кигуруми "Стич"</v>
      </c>
      <c r="E2340" s="133" t="str">
        <f>IFERROR(__xludf.DUMMYFUNCTION("""COMPUTED_VALUE"""),"L")</f>
        <v>L</v>
      </c>
      <c r="F2340" s="133" t="str">
        <f>IFERROR(__xludf.DUMMYFUNCTION("""COMPUTED_VALUE"""),"Stich200L")</f>
        <v>Stich200L</v>
      </c>
      <c r="G2340" s="165">
        <f>IFERROR(__xludf.DUMMYFUNCTION("""COMPUTED_VALUE"""),0.0)</f>
        <v>0</v>
      </c>
    </row>
    <row r="2341" ht="15.75" customHeight="1">
      <c r="A2341" s="133" t="str">
        <f>IFERROR(__xludf.DUMMYFUNCTION("""COMPUTED_VALUE"""),"Stich300")</f>
        <v>Stich300</v>
      </c>
      <c r="B2341" s="164">
        <f>IFERROR(__xludf.DUMMYFUNCTION("""COMPUTED_VALUE"""),1.0133008E7)</f>
        <v>10133008</v>
      </c>
      <c r="C2341" s="164" t="str">
        <f>IFERROR(__xludf.DUMMYFUNCTION("""COMPUTED_VALUE"""),"10133008XXS")</f>
        <v>10133008XXS</v>
      </c>
      <c r="D2341" s="133" t="str">
        <f>IFERROR(__xludf.DUMMYFUNCTION("""COMPUTED_VALUE"""),"Кигуруми ""Стич""")</f>
        <v>Кигуруми "Стич"</v>
      </c>
      <c r="E2341" s="133" t="str">
        <f>IFERROR(__xludf.DUMMYFUNCTION("""COMPUTED_VALUE"""),"XXS")</f>
        <v>XXS</v>
      </c>
      <c r="F2341" s="133" t="str">
        <f>IFERROR(__xludf.DUMMYFUNCTION("""COMPUTED_VALUE"""),"Stich300XXS")</f>
        <v>Stich300XXS</v>
      </c>
      <c r="G2341" s="165">
        <f>IFERROR(__xludf.DUMMYFUNCTION("""COMPUTED_VALUE"""),0.0)</f>
        <v>0</v>
      </c>
    </row>
    <row r="2342" ht="15.75" customHeight="1">
      <c r="A2342" s="133" t="str">
        <f>IFERROR(__xludf.DUMMYFUNCTION("""COMPUTED_VALUE"""),"Stich300")</f>
        <v>Stich300</v>
      </c>
      <c r="B2342" s="164">
        <f>IFERROR(__xludf.DUMMYFUNCTION("""COMPUTED_VALUE"""),1.0133008E7)</f>
        <v>10133008</v>
      </c>
      <c r="C2342" s="164" t="str">
        <f>IFERROR(__xludf.DUMMYFUNCTION("""COMPUTED_VALUE"""),"10133008XS")</f>
        <v>10133008XS</v>
      </c>
      <c r="D2342" s="133" t="str">
        <f>IFERROR(__xludf.DUMMYFUNCTION("""COMPUTED_VALUE"""),"Кигуруми ""Стич""")</f>
        <v>Кигуруми "Стич"</v>
      </c>
      <c r="E2342" s="133" t="str">
        <f>IFERROR(__xludf.DUMMYFUNCTION("""COMPUTED_VALUE"""),"XS")</f>
        <v>XS</v>
      </c>
      <c r="F2342" s="133" t="str">
        <f>IFERROR(__xludf.DUMMYFUNCTION("""COMPUTED_VALUE"""),"Stich300XS")</f>
        <v>Stich300XS</v>
      </c>
      <c r="G2342" s="165">
        <f>IFERROR(__xludf.DUMMYFUNCTION("""COMPUTED_VALUE"""),0.0)</f>
        <v>0</v>
      </c>
    </row>
    <row r="2343" ht="15.75" customHeight="1">
      <c r="A2343" s="133" t="str">
        <f>IFERROR(__xludf.DUMMYFUNCTION("""COMPUTED_VALUE"""),"Stich300")</f>
        <v>Stich300</v>
      </c>
      <c r="B2343" s="164">
        <f>IFERROR(__xludf.DUMMYFUNCTION("""COMPUTED_VALUE"""),1.0133008E7)</f>
        <v>10133008</v>
      </c>
      <c r="C2343" s="164" t="str">
        <f>IFERROR(__xludf.DUMMYFUNCTION("""COMPUTED_VALUE"""),"10133008S")</f>
        <v>10133008S</v>
      </c>
      <c r="D2343" s="133" t="str">
        <f>IFERROR(__xludf.DUMMYFUNCTION("""COMPUTED_VALUE"""),"Кигуруми ""Стич""")</f>
        <v>Кигуруми "Стич"</v>
      </c>
      <c r="E2343" s="133" t="str">
        <f>IFERROR(__xludf.DUMMYFUNCTION("""COMPUTED_VALUE"""),"S")</f>
        <v>S</v>
      </c>
      <c r="F2343" s="133" t="str">
        <f>IFERROR(__xludf.DUMMYFUNCTION("""COMPUTED_VALUE"""),"Stich300S")</f>
        <v>Stich300S</v>
      </c>
      <c r="G2343" s="165">
        <f>IFERROR(__xludf.DUMMYFUNCTION("""COMPUTED_VALUE"""),0.0)</f>
        <v>0</v>
      </c>
    </row>
    <row r="2344" ht="15.75" customHeight="1">
      <c r="A2344" s="133" t="str">
        <f>IFERROR(__xludf.DUMMYFUNCTION("""COMPUTED_VALUE"""),"23320BLWвишневый")</f>
        <v>23320BLWвишневый</v>
      </c>
      <c r="B2344" s="164">
        <f>IFERROR(__xludf.DUMMYFUNCTION("""COMPUTED_VALUE"""),1.7197012E7)</f>
        <v>17197012</v>
      </c>
      <c r="C2344" s="164" t="str">
        <f>IFERROR(__xludf.DUMMYFUNCTION("""COMPUTED_VALUE"""),"17197012XXS- 42")</f>
        <v>17197012XXS- 42</v>
      </c>
      <c r="D2344" s="133"/>
      <c r="E2344" s="133" t="str">
        <f>IFERROR(__xludf.DUMMYFUNCTION("""COMPUTED_VALUE"""),"XXS- 42")</f>
        <v>XXS- 42</v>
      </c>
      <c r="F2344" s="133" t="str">
        <f>IFERROR(__xludf.DUMMYFUNCTION("""COMPUTED_VALUE"""),"23320BLWвишневыйXXS- 42")</f>
        <v>23320BLWвишневыйXXS- 42</v>
      </c>
      <c r="G2344" s="165">
        <f>IFERROR(__xludf.DUMMYFUNCTION("""COMPUTED_VALUE"""),1156.0)</f>
        <v>1156</v>
      </c>
    </row>
    <row r="2345" ht="15.75" customHeight="1">
      <c r="A2345" s="133" t="str">
        <f>IFERROR(__xludf.DUMMYFUNCTION("""COMPUTED_VALUE"""),"23320BLWвишневый")</f>
        <v>23320BLWвишневый</v>
      </c>
      <c r="B2345" s="164">
        <f>IFERROR(__xludf.DUMMYFUNCTION("""COMPUTED_VALUE"""),1.7197012E7)</f>
        <v>17197012</v>
      </c>
      <c r="C2345" s="164" t="str">
        <f>IFERROR(__xludf.DUMMYFUNCTION("""COMPUTED_VALUE"""),"17197012ХS - 44")</f>
        <v>17197012ХS - 44</v>
      </c>
      <c r="D2345" s="133"/>
      <c r="E2345" s="133" t="str">
        <f>IFERROR(__xludf.DUMMYFUNCTION("""COMPUTED_VALUE"""),"ХS - 44")</f>
        <v>ХS - 44</v>
      </c>
      <c r="F2345" s="133" t="str">
        <f>IFERROR(__xludf.DUMMYFUNCTION("""COMPUTED_VALUE"""),"23320BLWвишневыйХS - 44")</f>
        <v>23320BLWвишневыйХS - 44</v>
      </c>
      <c r="G2345" s="165">
        <f>IFERROR(__xludf.DUMMYFUNCTION("""COMPUTED_VALUE"""),1156.0)</f>
        <v>1156</v>
      </c>
    </row>
    <row r="2346" ht="15.75" customHeight="1">
      <c r="A2346" s="133" t="str">
        <f>IFERROR(__xludf.DUMMYFUNCTION("""COMPUTED_VALUE"""),"23320BLWвишневый")</f>
        <v>23320BLWвишневый</v>
      </c>
      <c r="B2346" s="164">
        <f>IFERROR(__xludf.DUMMYFUNCTION("""COMPUTED_VALUE"""),1.7197012E7)</f>
        <v>17197012</v>
      </c>
      <c r="C2346" s="164" t="str">
        <f>IFERROR(__xludf.DUMMYFUNCTION("""COMPUTED_VALUE"""),"17197012S - 46")</f>
        <v>17197012S - 46</v>
      </c>
      <c r="D2346" s="133"/>
      <c r="E2346" s="133" t="str">
        <f>IFERROR(__xludf.DUMMYFUNCTION("""COMPUTED_VALUE"""),"S - 46")</f>
        <v>S - 46</v>
      </c>
      <c r="F2346" s="133" t="str">
        <f>IFERROR(__xludf.DUMMYFUNCTION("""COMPUTED_VALUE"""),"23320BLWвишневыйS - 46")</f>
        <v>23320BLWвишневыйS - 46</v>
      </c>
      <c r="G2346" s="165">
        <f>IFERROR(__xludf.DUMMYFUNCTION("""COMPUTED_VALUE"""),1156.0)</f>
        <v>1156</v>
      </c>
    </row>
    <row r="2347" ht="15.75" customHeight="1">
      <c r="A2347" s="133" t="str">
        <f>IFERROR(__xludf.DUMMYFUNCTION("""COMPUTED_VALUE"""),"23320BLWвишневый")</f>
        <v>23320BLWвишневый</v>
      </c>
      <c r="B2347" s="164">
        <f>IFERROR(__xludf.DUMMYFUNCTION("""COMPUTED_VALUE"""),1.7197012E7)</f>
        <v>17197012</v>
      </c>
      <c r="C2347" s="164" t="str">
        <f>IFERROR(__xludf.DUMMYFUNCTION("""COMPUTED_VALUE"""),"17197012M - 48")</f>
        <v>17197012M - 48</v>
      </c>
      <c r="D2347" s="133"/>
      <c r="E2347" s="133" t="str">
        <f>IFERROR(__xludf.DUMMYFUNCTION("""COMPUTED_VALUE"""),"M - 48")</f>
        <v>M - 48</v>
      </c>
      <c r="F2347" s="133" t="str">
        <f>IFERROR(__xludf.DUMMYFUNCTION("""COMPUTED_VALUE"""),"23320BLWвишневыйM - 48")</f>
        <v>23320BLWвишневыйM - 48</v>
      </c>
      <c r="G2347" s="165">
        <f>IFERROR(__xludf.DUMMYFUNCTION("""COMPUTED_VALUE"""),1156.0)</f>
        <v>1156</v>
      </c>
    </row>
    <row r="2348" ht="15.75" customHeight="1">
      <c r="A2348" s="133" t="str">
        <f>IFERROR(__xludf.DUMMYFUNCTION("""COMPUTED_VALUE"""),"23320BLWвишневый")</f>
        <v>23320BLWвишневый</v>
      </c>
      <c r="B2348" s="164">
        <f>IFERROR(__xludf.DUMMYFUNCTION("""COMPUTED_VALUE"""),1.7197012E7)</f>
        <v>17197012</v>
      </c>
      <c r="C2348" s="164" t="str">
        <f>IFERROR(__xludf.DUMMYFUNCTION("""COMPUTED_VALUE"""),"17197012L - 50")</f>
        <v>17197012L - 50</v>
      </c>
      <c r="D2348" s="133"/>
      <c r="E2348" s="133" t="str">
        <f>IFERROR(__xludf.DUMMYFUNCTION("""COMPUTED_VALUE"""),"L - 50")</f>
        <v>L - 50</v>
      </c>
      <c r="F2348" s="133" t="str">
        <f>IFERROR(__xludf.DUMMYFUNCTION("""COMPUTED_VALUE"""),"23320BLWвишневыйL - 50")</f>
        <v>23320BLWвишневыйL - 50</v>
      </c>
      <c r="G2348" s="165">
        <f>IFERROR(__xludf.DUMMYFUNCTION("""COMPUTED_VALUE"""),1156.0)</f>
        <v>1156</v>
      </c>
    </row>
    <row r="2349" ht="15.75" customHeight="1">
      <c r="A2349" s="133" t="str">
        <f>IFERROR(__xludf.DUMMYFUNCTION("""COMPUTED_VALUE"""),"23320BLWвишневый")</f>
        <v>23320BLWвишневый</v>
      </c>
      <c r="B2349" s="164">
        <f>IFERROR(__xludf.DUMMYFUNCTION("""COMPUTED_VALUE"""),1.7197012E7)</f>
        <v>17197012</v>
      </c>
      <c r="C2349" s="164" t="str">
        <f>IFERROR(__xludf.DUMMYFUNCTION("""COMPUTED_VALUE"""),"17197012XL-52")</f>
        <v>17197012XL-52</v>
      </c>
      <c r="D2349" s="133"/>
      <c r="E2349" s="133" t="str">
        <f>IFERROR(__xludf.DUMMYFUNCTION("""COMPUTED_VALUE"""),"XL-52")</f>
        <v>XL-52</v>
      </c>
      <c r="F2349" s="133" t="str">
        <f>IFERROR(__xludf.DUMMYFUNCTION("""COMPUTED_VALUE"""),"23320BLWвишневыйXL-52")</f>
        <v>23320BLWвишневыйXL-52</v>
      </c>
      <c r="G2349" s="165">
        <f>IFERROR(__xludf.DUMMYFUNCTION("""COMPUTED_VALUE"""),1156.0)</f>
        <v>1156</v>
      </c>
    </row>
    <row r="2350" ht="15.75" customHeight="1">
      <c r="A2350" s="133" t="str">
        <f>IFERROR(__xludf.DUMMYFUNCTION("""COMPUTED_VALUE"""),"23320BLWвишневый")</f>
        <v>23320BLWвишневый</v>
      </c>
      <c r="B2350" s="164">
        <f>IFERROR(__xludf.DUMMYFUNCTION("""COMPUTED_VALUE"""),1.7197012E7)</f>
        <v>17197012</v>
      </c>
      <c r="C2350" s="164" t="str">
        <f>IFERROR(__xludf.DUMMYFUNCTION("""COMPUTED_VALUE"""),"17197012XXL - 54")</f>
        <v>17197012XXL - 54</v>
      </c>
      <c r="D2350" s="133"/>
      <c r="E2350" s="133" t="str">
        <f>IFERROR(__xludf.DUMMYFUNCTION("""COMPUTED_VALUE"""),"XXL - 54")</f>
        <v>XXL - 54</v>
      </c>
      <c r="F2350" s="133" t="str">
        <f>IFERROR(__xludf.DUMMYFUNCTION("""COMPUTED_VALUE"""),"23320BLWвишневыйXXL - 54")</f>
        <v>23320BLWвишневыйXXL - 54</v>
      </c>
      <c r="G2350" s="165">
        <f>IFERROR(__xludf.DUMMYFUNCTION("""COMPUTED_VALUE"""),1156.0)</f>
        <v>1156</v>
      </c>
    </row>
    <row r="2351" ht="15.75" customHeight="1">
      <c r="A2351" s="133" t="str">
        <f>IFERROR(__xludf.DUMMYFUNCTION("""COMPUTED_VALUE"""),"23320BLWвасильковый")</f>
        <v>23320BLWвасильковый</v>
      </c>
      <c r="B2351" s="164">
        <f>IFERROR(__xludf.DUMMYFUNCTION("""COMPUTED_VALUE"""),1.7197011E7)</f>
        <v>17197011</v>
      </c>
      <c r="C2351" s="164" t="str">
        <f>IFERROR(__xludf.DUMMYFUNCTION("""COMPUTED_VALUE"""),"17197011XXS- 42")</f>
        <v>17197011XXS- 42</v>
      </c>
      <c r="D2351" s="133"/>
      <c r="E2351" s="133" t="str">
        <f>IFERROR(__xludf.DUMMYFUNCTION("""COMPUTED_VALUE"""),"XXS- 42")</f>
        <v>XXS- 42</v>
      </c>
      <c r="F2351" s="133" t="str">
        <f>IFERROR(__xludf.DUMMYFUNCTION("""COMPUTED_VALUE"""),"23320BLWвасильковыйXXS- 42")</f>
        <v>23320BLWвасильковыйXXS- 42</v>
      </c>
      <c r="G2351" s="165">
        <f>IFERROR(__xludf.DUMMYFUNCTION("""COMPUTED_VALUE"""),1146.0)</f>
        <v>1146</v>
      </c>
    </row>
    <row r="2352" ht="15.75" customHeight="1">
      <c r="A2352" s="133" t="str">
        <f>IFERROR(__xludf.DUMMYFUNCTION("""COMPUTED_VALUE"""),"23320BLWвасильковый")</f>
        <v>23320BLWвасильковый</v>
      </c>
      <c r="B2352" s="164">
        <f>IFERROR(__xludf.DUMMYFUNCTION("""COMPUTED_VALUE"""),1.7197011E7)</f>
        <v>17197011</v>
      </c>
      <c r="C2352" s="164" t="str">
        <f>IFERROR(__xludf.DUMMYFUNCTION("""COMPUTED_VALUE"""),"17197011ХS - 44")</f>
        <v>17197011ХS - 44</v>
      </c>
      <c r="D2352" s="133"/>
      <c r="E2352" s="133" t="str">
        <f>IFERROR(__xludf.DUMMYFUNCTION("""COMPUTED_VALUE"""),"ХS - 44")</f>
        <v>ХS - 44</v>
      </c>
      <c r="F2352" s="133" t="str">
        <f>IFERROR(__xludf.DUMMYFUNCTION("""COMPUTED_VALUE"""),"23320BLWвасильковыйХS - 44")</f>
        <v>23320BLWвасильковыйХS - 44</v>
      </c>
      <c r="G2352" s="165">
        <f>IFERROR(__xludf.DUMMYFUNCTION("""COMPUTED_VALUE"""),1146.0)</f>
        <v>1146</v>
      </c>
    </row>
    <row r="2353" ht="15.75" customHeight="1">
      <c r="A2353" s="133" t="str">
        <f>IFERROR(__xludf.DUMMYFUNCTION("""COMPUTED_VALUE"""),"23320BLWвасильковый")</f>
        <v>23320BLWвасильковый</v>
      </c>
      <c r="B2353" s="164">
        <f>IFERROR(__xludf.DUMMYFUNCTION("""COMPUTED_VALUE"""),1.7197011E7)</f>
        <v>17197011</v>
      </c>
      <c r="C2353" s="164" t="str">
        <f>IFERROR(__xludf.DUMMYFUNCTION("""COMPUTED_VALUE"""),"17197011S - 46")</f>
        <v>17197011S - 46</v>
      </c>
      <c r="D2353" s="133"/>
      <c r="E2353" s="133" t="str">
        <f>IFERROR(__xludf.DUMMYFUNCTION("""COMPUTED_VALUE"""),"S - 46")</f>
        <v>S - 46</v>
      </c>
      <c r="F2353" s="133" t="str">
        <f>IFERROR(__xludf.DUMMYFUNCTION("""COMPUTED_VALUE"""),"23320BLWвасильковыйS - 46")</f>
        <v>23320BLWвасильковыйS - 46</v>
      </c>
      <c r="G2353" s="165">
        <f>IFERROR(__xludf.DUMMYFUNCTION("""COMPUTED_VALUE"""),1146.0)</f>
        <v>1146</v>
      </c>
    </row>
    <row r="2354" ht="15.75" customHeight="1">
      <c r="A2354" s="133" t="str">
        <f>IFERROR(__xludf.DUMMYFUNCTION("""COMPUTED_VALUE"""),"23320BLWвасильковый")</f>
        <v>23320BLWвасильковый</v>
      </c>
      <c r="B2354" s="164">
        <f>IFERROR(__xludf.DUMMYFUNCTION("""COMPUTED_VALUE"""),1.7197011E7)</f>
        <v>17197011</v>
      </c>
      <c r="C2354" s="164" t="str">
        <f>IFERROR(__xludf.DUMMYFUNCTION("""COMPUTED_VALUE"""),"17197011M - 48")</f>
        <v>17197011M - 48</v>
      </c>
      <c r="D2354" s="133"/>
      <c r="E2354" s="133" t="str">
        <f>IFERROR(__xludf.DUMMYFUNCTION("""COMPUTED_VALUE"""),"M - 48")</f>
        <v>M - 48</v>
      </c>
      <c r="F2354" s="133" t="str">
        <f>IFERROR(__xludf.DUMMYFUNCTION("""COMPUTED_VALUE"""),"23320BLWвасильковыйM - 48")</f>
        <v>23320BLWвасильковыйM - 48</v>
      </c>
      <c r="G2354" s="165">
        <f>IFERROR(__xludf.DUMMYFUNCTION("""COMPUTED_VALUE"""),1146.0)</f>
        <v>1146</v>
      </c>
    </row>
    <row r="2355" ht="15.75" customHeight="1">
      <c r="A2355" s="133" t="str">
        <f>IFERROR(__xludf.DUMMYFUNCTION("""COMPUTED_VALUE"""),"23320BLWвасильковый")</f>
        <v>23320BLWвасильковый</v>
      </c>
      <c r="B2355" s="164">
        <f>IFERROR(__xludf.DUMMYFUNCTION("""COMPUTED_VALUE"""),1.7197011E7)</f>
        <v>17197011</v>
      </c>
      <c r="C2355" s="164" t="str">
        <f>IFERROR(__xludf.DUMMYFUNCTION("""COMPUTED_VALUE"""),"17197011L - 50")</f>
        <v>17197011L - 50</v>
      </c>
      <c r="D2355" s="133"/>
      <c r="E2355" s="133" t="str">
        <f>IFERROR(__xludf.DUMMYFUNCTION("""COMPUTED_VALUE"""),"L - 50")</f>
        <v>L - 50</v>
      </c>
      <c r="F2355" s="133" t="str">
        <f>IFERROR(__xludf.DUMMYFUNCTION("""COMPUTED_VALUE"""),"23320BLWвасильковыйL - 50")</f>
        <v>23320BLWвасильковыйL - 50</v>
      </c>
      <c r="G2355" s="165">
        <f>IFERROR(__xludf.DUMMYFUNCTION("""COMPUTED_VALUE"""),1146.0)</f>
        <v>1146</v>
      </c>
    </row>
    <row r="2356" ht="15.75" customHeight="1">
      <c r="A2356" s="133" t="str">
        <f>IFERROR(__xludf.DUMMYFUNCTION("""COMPUTED_VALUE"""),"23320BLWвасильковый")</f>
        <v>23320BLWвасильковый</v>
      </c>
      <c r="B2356" s="164">
        <f>IFERROR(__xludf.DUMMYFUNCTION("""COMPUTED_VALUE"""),1.7197011E7)</f>
        <v>17197011</v>
      </c>
      <c r="C2356" s="164" t="str">
        <f>IFERROR(__xludf.DUMMYFUNCTION("""COMPUTED_VALUE"""),"17197011XL-52")</f>
        <v>17197011XL-52</v>
      </c>
      <c r="D2356" s="133"/>
      <c r="E2356" s="133" t="str">
        <f>IFERROR(__xludf.DUMMYFUNCTION("""COMPUTED_VALUE"""),"XL-52")</f>
        <v>XL-52</v>
      </c>
      <c r="F2356" s="133" t="str">
        <f>IFERROR(__xludf.DUMMYFUNCTION("""COMPUTED_VALUE"""),"23320BLWвасильковыйXL-52")</f>
        <v>23320BLWвасильковыйXL-52</v>
      </c>
      <c r="G2356" s="165">
        <f>IFERROR(__xludf.DUMMYFUNCTION("""COMPUTED_VALUE"""),1146.0)</f>
        <v>1146</v>
      </c>
    </row>
    <row r="2357" ht="15.75" customHeight="1">
      <c r="A2357" s="133" t="str">
        <f>IFERROR(__xludf.DUMMYFUNCTION("""COMPUTED_VALUE"""),"23320BLWвасильковый")</f>
        <v>23320BLWвасильковый</v>
      </c>
      <c r="B2357" s="164">
        <f>IFERROR(__xludf.DUMMYFUNCTION("""COMPUTED_VALUE"""),1.7197011E7)</f>
        <v>17197011</v>
      </c>
      <c r="C2357" s="164" t="str">
        <f>IFERROR(__xludf.DUMMYFUNCTION("""COMPUTED_VALUE"""),"17197011XXL - 54")</f>
        <v>17197011XXL - 54</v>
      </c>
      <c r="D2357" s="133"/>
      <c r="E2357" s="133" t="str">
        <f>IFERROR(__xludf.DUMMYFUNCTION("""COMPUTED_VALUE"""),"XXL - 54")</f>
        <v>XXL - 54</v>
      </c>
      <c r="F2357" s="133" t="str">
        <f>IFERROR(__xludf.DUMMYFUNCTION("""COMPUTED_VALUE"""),"23320BLWвасильковыйXXL - 54")</f>
        <v>23320BLWвасильковыйXXL - 54</v>
      </c>
      <c r="G2357" s="165">
        <f>IFERROR(__xludf.DUMMYFUNCTION("""COMPUTED_VALUE"""),1146.0)</f>
        <v>1146</v>
      </c>
    </row>
    <row r="2358" ht="15.75" customHeight="1">
      <c r="A2358" s="133" t="str">
        <f>IFERROR(__xludf.DUMMYFUNCTION("""COMPUTED_VALUE"""),"23320BLWтемносиний")</f>
        <v>23320BLWтемносиний</v>
      </c>
      <c r="B2358" s="164">
        <f>IFERROR(__xludf.DUMMYFUNCTION("""COMPUTED_VALUE"""),1.7197013E7)</f>
        <v>17197013</v>
      </c>
      <c r="C2358" s="164" t="str">
        <f>IFERROR(__xludf.DUMMYFUNCTION("""COMPUTED_VALUE"""),"17197013XXS- 42")</f>
        <v>17197013XXS- 42</v>
      </c>
      <c r="D2358" s="133"/>
      <c r="E2358" s="133" t="str">
        <f>IFERROR(__xludf.DUMMYFUNCTION("""COMPUTED_VALUE"""),"XXS- 42")</f>
        <v>XXS- 42</v>
      </c>
      <c r="F2358" s="133" t="str">
        <f>IFERROR(__xludf.DUMMYFUNCTION("""COMPUTED_VALUE"""),"23320BLWтемносинийXXS- 42")</f>
        <v>23320BLWтемносинийXXS- 42</v>
      </c>
      <c r="G2358" s="165">
        <f>IFERROR(__xludf.DUMMYFUNCTION("""COMPUTED_VALUE"""),1156.0)</f>
        <v>1156</v>
      </c>
    </row>
    <row r="2359" ht="15.75" customHeight="1">
      <c r="A2359" s="133" t="str">
        <f>IFERROR(__xludf.DUMMYFUNCTION("""COMPUTED_VALUE"""),"23320BLWтемносиний")</f>
        <v>23320BLWтемносиний</v>
      </c>
      <c r="B2359" s="164">
        <f>IFERROR(__xludf.DUMMYFUNCTION("""COMPUTED_VALUE"""),1.7197013E7)</f>
        <v>17197013</v>
      </c>
      <c r="C2359" s="164" t="str">
        <f>IFERROR(__xludf.DUMMYFUNCTION("""COMPUTED_VALUE"""),"17197013ХS - 44")</f>
        <v>17197013ХS - 44</v>
      </c>
      <c r="D2359" s="133"/>
      <c r="E2359" s="133" t="str">
        <f>IFERROR(__xludf.DUMMYFUNCTION("""COMPUTED_VALUE"""),"ХS - 44")</f>
        <v>ХS - 44</v>
      </c>
      <c r="F2359" s="133" t="str">
        <f>IFERROR(__xludf.DUMMYFUNCTION("""COMPUTED_VALUE"""),"23320BLWтемносинийХS - 44")</f>
        <v>23320BLWтемносинийХS - 44</v>
      </c>
      <c r="G2359" s="165">
        <f>IFERROR(__xludf.DUMMYFUNCTION("""COMPUTED_VALUE"""),1156.0)</f>
        <v>1156</v>
      </c>
    </row>
    <row r="2360" ht="15.75" customHeight="1">
      <c r="A2360" s="133" t="str">
        <f>IFERROR(__xludf.DUMMYFUNCTION("""COMPUTED_VALUE"""),"23320BLWтемносиний")</f>
        <v>23320BLWтемносиний</v>
      </c>
      <c r="B2360" s="164">
        <f>IFERROR(__xludf.DUMMYFUNCTION("""COMPUTED_VALUE"""),1.7197013E7)</f>
        <v>17197013</v>
      </c>
      <c r="C2360" s="164" t="str">
        <f>IFERROR(__xludf.DUMMYFUNCTION("""COMPUTED_VALUE"""),"17197013S - 46")</f>
        <v>17197013S - 46</v>
      </c>
      <c r="D2360" s="133"/>
      <c r="E2360" s="133" t="str">
        <f>IFERROR(__xludf.DUMMYFUNCTION("""COMPUTED_VALUE"""),"S - 46")</f>
        <v>S - 46</v>
      </c>
      <c r="F2360" s="133" t="str">
        <f>IFERROR(__xludf.DUMMYFUNCTION("""COMPUTED_VALUE"""),"23320BLWтемносинийS - 46")</f>
        <v>23320BLWтемносинийS - 46</v>
      </c>
      <c r="G2360" s="165">
        <f>IFERROR(__xludf.DUMMYFUNCTION("""COMPUTED_VALUE"""),1156.0)</f>
        <v>1156</v>
      </c>
    </row>
    <row r="2361" ht="15.75" customHeight="1">
      <c r="A2361" s="133" t="str">
        <f>IFERROR(__xludf.DUMMYFUNCTION("""COMPUTED_VALUE"""),"23320BLWтемносиний")</f>
        <v>23320BLWтемносиний</v>
      </c>
      <c r="B2361" s="164">
        <f>IFERROR(__xludf.DUMMYFUNCTION("""COMPUTED_VALUE"""),1.7197013E7)</f>
        <v>17197013</v>
      </c>
      <c r="C2361" s="164" t="str">
        <f>IFERROR(__xludf.DUMMYFUNCTION("""COMPUTED_VALUE"""),"17197013M - 48")</f>
        <v>17197013M - 48</v>
      </c>
      <c r="D2361" s="133"/>
      <c r="E2361" s="133" t="str">
        <f>IFERROR(__xludf.DUMMYFUNCTION("""COMPUTED_VALUE"""),"M - 48")</f>
        <v>M - 48</v>
      </c>
      <c r="F2361" s="133" t="str">
        <f>IFERROR(__xludf.DUMMYFUNCTION("""COMPUTED_VALUE"""),"23320BLWтемносинийM - 48")</f>
        <v>23320BLWтемносинийM - 48</v>
      </c>
      <c r="G2361" s="165">
        <f>IFERROR(__xludf.DUMMYFUNCTION("""COMPUTED_VALUE"""),1156.0)</f>
        <v>1156</v>
      </c>
    </row>
    <row r="2362" ht="15.75" customHeight="1">
      <c r="A2362" s="133" t="str">
        <f>IFERROR(__xludf.DUMMYFUNCTION("""COMPUTED_VALUE"""),"23320BLWтемносиний")</f>
        <v>23320BLWтемносиний</v>
      </c>
      <c r="B2362" s="164">
        <f>IFERROR(__xludf.DUMMYFUNCTION("""COMPUTED_VALUE"""),1.7197013E7)</f>
        <v>17197013</v>
      </c>
      <c r="C2362" s="164" t="str">
        <f>IFERROR(__xludf.DUMMYFUNCTION("""COMPUTED_VALUE"""),"17197013L - 50")</f>
        <v>17197013L - 50</v>
      </c>
      <c r="D2362" s="133"/>
      <c r="E2362" s="133" t="str">
        <f>IFERROR(__xludf.DUMMYFUNCTION("""COMPUTED_VALUE"""),"L - 50")</f>
        <v>L - 50</v>
      </c>
      <c r="F2362" s="133" t="str">
        <f>IFERROR(__xludf.DUMMYFUNCTION("""COMPUTED_VALUE"""),"23320BLWтемносинийL - 50")</f>
        <v>23320BLWтемносинийL - 50</v>
      </c>
      <c r="G2362" s="165">
        <f>IFERROR(__xludf.DUMMYFUNCTION("""COMPUTED_VALUE"""),1156.0)</f>
        <v>1156</v>
      </c>
    </row>
    <row r="2363" ht="15.75" customHeight="1">
      <c r="A2363" s="133" t="str">
        <f>IFERROR(__xludf.DUMMYFUNCTION("""COMPUTED_VALUE"""),"23320BLWтемносиний")</f>
        <v>23320BLWтемносиний</v>
      </c>
      <c r="B2363" s="164">
        <f>IFERROR(__xludf.DUMMYFUNCTION("""COMPUTED_VALUE"""),1.7197013E7)</f>
        <v>17197013</v>
      </c>
      <c r="C2363" s="164" t="str">
        <f>IFERROR(__xludf.DUMMYFUNCTION("""COMPUTED_VALUE"""),"17197013XL-52")</f>
        <v>17197013XL-52</v>
      </c>
      <c r="D2363" s="133"/>
      <c r="E2363" s="133" t="str">
        <f>IFERROR(__xludf.DUMMYFUNCTION("""COMPUTED_VALUE"""),"XL-52")</f>
        <v>XL-52</v>
      </c>
      <c r="F2363" s="133" t="str">
        <f>IFERROR(__xludf.DUMMYFUNCTION("""COMPUTED_VALUE"""),"23320BLWтемносинийXL-52")</f>
        <v>23320BLWтемносинийXL-52</v>
      </c>
      <c r="G2363" s="165">
        <f>IFERROR(__xludf.DUMMYFUNCTION("""COMPUTED_VALUE"""),1156.0)</f>
        <v>1156</v>
      </c>
    </row>
    <row r="2364" ht="15.75" customHeight="1">
      <c r="A2364" s="133" t="str">
        <f>IFERROR(__xludf.DUMMYFUNCTION("""COMPUTED_VALUE"""),"23320BLWтемносиний")</f>
        <v>23320BLWтемносиний</v>
      </c>
      <c r="B2364" s="164">
        <f>IFERROR(__xludf.DUMMYFUNCTION("""COMPUTED_VALUE"""),1.7197013E7)</f>
        <v>17197013</v>
      </c>
      <c r="C2364" s="164" t="str">
        <f>IFERROR(__xludf.DUMMYFUNCTION("""COMPUTED_VALUE"""),"17197013XXL - 54")</f>
        <v>17197013XXL - 54</v>
      </c>
      <c r="D2364" s="133"/>
      <c r="E2364" s="133" t="str">
        <f>IFERROR(__xludf.DUMMYFUNCTION("""COMPUTED_VALUE"""),"XXL - 54")</f>
        <v>XXL - 54</v>
      </c>
      <c r="F2364" s="133" t="str">
        <f>IFERROR(__xludf.DUMMYFUNCTION("""COMPUTED_VALUE"""),"23320BLWтемносинийXXL - 54")</f>
        <v>23320BLWтемносинийXXL - 54</v>
      </c>
      <c r="G2364" s="165">
        <f>IFERROR(__xludf.DUMMYFUNCTION("""COMPUTED_VALUE"""),1156.0)</f>
        <v>1156</v>
      </c>
    </row>
    <row r="2365" ht="15.75" customHeight="1">
      <c r="A2365" s="133" t="str">
        <f>IFERROR(__xludf.DUMMYFUNCTION("""COMPUTED_VALUE"""),"23020BLWвишневый")</f>
        <v>23020BLWвишневый</v>
      </c>
      <c r="B2365" s="164">
        <f>IFERROR(__xludf.DUMMYFUNCTION("""COMPUTED_VALUE"""),1.719701E7)</f>
        <v>17197010</v>
      </c>
      <c r="C2365" s="164" t="str">
        <f>IFERROR(__xludf.DUMMYFUNCTION("""COMPUTED_VALUE"""),"17197010XXS- 42")</f>
        <v>17197010XXS- 42</v>
      </c>
      <c r="D2365" s="133"/>
      <c r="E2365" s="133" t="str">
        <f>IFERROR(__xludf.DUMMYFUNCTION("""COMPUTED_VALUE"""),"XXS- 42")</f>
        <v>XXS- 42</v>
      </c>
      <c r="F2365" s="133" t="str">
        <f>IFERROR(__xludf.DUMMYFUNCTION("""COMPUTED_VALUE"""),"23020BLWвишневыйXXS- 42")</f>
        <v>23020BLWвишневыйXXS- 42</v>
      </c>
      <c r="G2365" s="165">
        <f>IFERROR(__xludf.DUMMYFUNCTION("""COMPUTED_VALUE"""),1156.0)</f>
        <v>1156</v>
      </c>
    </row>
    <row r="2366" ht="15.75" customHeight="1">
      <c r="A2366" s="133" t="str">
        <f>IFERROR(__xludf.DUMMYFUNCTION("""COMPUTED_VALUE"""),"23020BLWвишневый")</f>
        <v>23020BLWвишневый</v>
      </c>
      <c r="B2366" s="164">
        <f>IFERROR(__xludf.DUMMYFUNCTION("""COMPUTED_VALUE"""),1.719701E7)</f>
        <v>17197010</v>
      </c>
      <c r="C2366" s="164" t="str">
        <f>IFERROR(__xludf.DUMMYFUNCTION("""COMPUTED_VALUE"""),"17197010ХS - 44")</f>
        <v>17197010ХS - 44</v>
      </c>
      <c r="D2366" s="133"/>
      <c r="E2366" s="133" t="str">
        <f>IFERROR(__xludf.DUMMYFUNCTION("""COMPUTED_VALUE"""),"ХS - 44")</f>
        <v>ХS - 44</v>
      </c>
      <c r="F2366" s="133" t="str">
        <f>IFERROR(__xludf.DUMMYFUNCTION("""COMPUTED_VALUE"""),"23020BLWвишневыйХS - 44")</f>
        <v>23020BLWвишневыйХS - 44</v>
      </c>
      <c r="G2366" s="165">
        <f>IFERROR(__xludf.DUMMYFUNCTION("""COMPUTED_VALUE"""),1156.0)</f>
        <v>1156</v>
      </c>
    </row>
    <row r="2367" ht="15.75" customHeight="1">
      <c r="A2367" s="133" t="str">
        <f>IFERROR(__xludf.DUMMYFUNCTION("""COMPUTED_VALUE"""),"23020BLWвишневый")</f>
        <v>23020BLWвишневый</v>
      </c>
      <c r="B2367" s="164">
        <f>IFERROR(__xludf.DUMMYFUNCTION("""COMPUTED_VALUE"""),1.719701E7)</f>
        <v>17197010</v>
      </c>
      <c r="C2367" s="164" t="str">
        <f>IFERROR(__xludf.DUMMYFUNCTION("""COMPUTED_VALUE"""),"17197010S - 46")</f>
        <v>17197010S - 46</v>
      </c>
      <c r="D2367" s="133"/>
      <c r="E2367" s="133" t="str">
        <f>IFERROR(__xludf.DUMMYFUNCTION("""COMPUTED_VALUE"""),"S - 46")</f>
        <v>S - 46</v>
      </c>
      <c r="F2367" s="133" t="str">
        <f>IFERROR(__xludf.DUMMYFUNCTION("""COMPUTED_VALUE"""),"23020BLWвишневыйS - 46")</f>
        <v>23020BLWвишневыйS - 46</v>
      </c>
      <c r="G2367" s="165">
        <f>IFERROR(__xludf.DUMMYFUNCTION("""COMPUTED_VALUE"""),1156.0)</f>
        <v>1156</v>
      </c>
    </row>
    <row r="2368" ht="15.75" customHeight="1">
      <c r="A2368" s="133" t="str">
        <f>IFERROR(__xludf.DUMMYFUNCTION("""COMPUTED_VALUE"""),"23020BLWвишневый")</f>
        <v>23020BLWвишневый</v>
      </c>
      <c r="B2368" s="164">
        <f>IFERROR(__xludf.DUMMYFUNCTION("""COMPUTED_VALUE"""),1.719701E7)</f>
        <v>17197010</v>
      </c>
      <c r="C2368" s="164" t="str">
        <f>IFERROR(__xludf.DUMMYFUNCTION("""COMPUTED_VALUE"""),"17197010M - 48")</f>
        <v>17197010M - 48</v>
      </c>
      <c r="D2368" s="133"/>
      <c r="E2368" s="133" t="str">
        <f>IFERROR(__xludf.DUMMYFUNCTION("""COMPUTED_VALUE"""),"M - 48")</f>
        <v>M - 48</v>
      </c>
      <c r="F2368" s="133" t="str">
        <f>IFERROR(__xludf.DUMMYFUNCTION("""COMPUTED_VALUE"""),"23020BLWвишневыйM - 48")</f>
        <v>23020BLWвишневыйM - 48</v>
      </c>
      <c r="G2368" s="165">
        <f>IFERROR(__xludf.DUMMYFUNCTION("""COMPUTED_VALUE"""),1156.0)</f>
        <v>1156</v>
      </c>
    </row>
    <row r="2369" ht="15.75" customHeight="1">
      <c r="A2369" s="133" t="str">
        <f>IFERROR(__xludf.DUMMYFUNCTION("""COMPUTED_VALUE"""),"23020BLWвишневый")</f>
        <v>23020BLWвишневый</v>
      </c>
      <c r="B2369" s="164">
        <f>IFERROR(__xludf.DUMMYFUNCTION("""COMPUTED_VALUE"""),1.719701E7)</f>
        <v>17197010</v>
      </c>
      <c r="C2369" s="164" t="str">
        <f>IFERROR(__xludf.DUMMYFUNCTION("""COMPUTED_VALUE"""),"17197010L - 50")</f>
        <v>17197010L - 50</v>
      </c>
      <c r="D2369" s="133"/>
      <c r="E2369" s="133" t="str">
        <f>IFERROR(__xludf.DUMMYFUNCTION("""COMPUTED_VALUE"""),"L - 50")</f>
        <v>L - 50</v>
      </c>
      <c r="F2369" s="133" t="str">
        <f>IFERROR(__xludf.DUMMYFUNCTION("""COMPUTED_VALUE"""),"23020BLWвишневыйL - 50")</f>
        <v>23020BLWвишневыйL - 50</v>
      </c>
      <c r="G2369" s="165">
        <f>IFERROR(__xludf.DUMMYFUNCTION("""COMPUTED_VALUE"""),1156.0)</f>
        <v>1156</v>
      </c>
    </row>
    <row r="2370" ht="15.75" customHeight="1">
      <c r="A2370" s="133" t="str">
        <f>IFERROR(__xludf.DUMMYFUNCTION("""COMPUTED_VALUE"""),"23020BLWвишневый")</f>
        <v>23020BLWвишневый</v>
      </c>
      <c r="B2370" s="164">
        <f>IFERROR(__xludf.DUMMYFUNCTION("""COMPUTED_VALUE"""),1.719701E7)</f>
        <v>17197010</v>
      </c>
      <c r="C2370" s="164" t="str">
        <f>IFERROR(__xludf.DUMMYFUNCTION("""COMPUTED_VALUE"""),"17197010XL-52")</f>
        <v>17197010XL-52</v>
      </c>
      <c r="D2370" s="133"/>
      <c r="E2370" s="133" t="str">
        <f>IFERROR(__xludf.DUMMYFUNCTION("""COMPUTED_VALUE"""),"XL-52")</f>
        <v>XL-52</v>
      </c>
      <c r="F2370" s="133" t="str">
        <f>IFERROR(__xludf.DUMMYFUNCTION("""COMPUTED_VALUE"""),"23020BLWвишневыйXL-52")</f>
        <v>23020BLWвишневыйXL-52</v>
      </c>
      <c r="G2370" s="165">
        <f>IFERROR(__xludf.DUMMYFUNCTION("""COMPUTED_VALUE"""),1156.0)</f>
        <v>1156</v>
      </c>
    </row>
    <row r="2371" ht="15.75" customHeight="1">
      <c r="A2371" s="133" t="str">
        <f>IFERROR(__xludf.DUMMYFUNCTION("""COMPUTED_VALUE"""),"23020BLWвишневый")</f>
        <v>23020BLWвишневый</v>
      </c>
      <c r="B2371" s="164">
        <f>IFERROR(__xludf.DUMMYFUNCTION("""COMPUTED_VALUE"""),1.719701E7)</f>
        <v>17197010</v>
      </c>
      <c r="C2371" s="164" t="str">
        <f>IFERROR(__xludf.DUMMYFUNCTION("""COMPUTED_VALUE"""),"17197010XXL - 54")</f>
        <v>17197010XXL - 54</v>
      </c>
      <c r="D2371" s="133"/>
      <c r="E2371" s="133" t="str">
        <f>IFERROR(__xludf.DUMMYFUNCTION("""COMPUTED_VALUE"""),"XXL - 54")</f>
        <v>XXL - 54</v>
      </c>
      <c r="F2371" s="133" t="str">
        <f>IFERROR(__xludf.DUMMYFUNCTION("""COMPUTED_VALUE"""),"23020BLWвишневыйXXL - 54")</f>
        <v>23020BLWвишневыйXXL - 54</v>
      </c>
      <c r="G2371" s="165">
        <f>IFERROR(__xludf.DUMMYFUNCTION("""COMPUTED_VALUE"""),1156.0)</f>
        <v>1156</v>
      </c>
    </row>
    <row r="2372" ht="15.75" customHeight="1">
      <c r="A2372" s="133" t="str">
        <f>IFERROR(__xludf.DUMMYFUNCTION("""COMPUTED_VALUE"""),"23020BLWвасильковый")</f>
        <v>23020BLWвасильковый</v>
      </c>
      <c r="B2372" s="164">
        <f>IFERROR(__xludf.DUMMYFUNCTION("""COMPUTED_VALUE"""),1.7197009E7)</f>
        <v>17197009</v>
      </c>
      <c r="C2372" s="164" t="str">
        <f>IFERROR(__xludf.DUMMYFUNCTION("""COMPUTED_VALUE"""),"17197009XXS- 42")</f>
        <v>17197009XXS- 42</v>
      </c>
      <c r="D2372" s="133"/>
      <c r="E2372" s="133" t="str">
        <f>IFERROR(__xludf.DUMMYFUNCTION("""COMPUTED_VALUE"""),"XXS- 42")</f>
        <v>XXS- 42</v>
      </c>
      <c r="F2372" s="133" t="str">
        <f>IFERROR(__xludf.DUMMYFUNCTION("""COMPUTED_VALUE"""),"23020BLWвасильковыйXXS- 42")</f>
        <v>23020BLWвасильковыйXXS- 42</v>
      </c>
      <c r="G2372" s="165">
        <f>IFERROR(__xludf.DUMMYFUNCTION("""COMPUTED_VALUE"""),1156.0)</f>
        <v>1156</v>
      </c>
    </row>
    <row r="2373" ht="15.75" customHeight="1">
      <c r="A2373" s="133" t="str">
        <f>IFERROR(__xludf.DUMMYFUNCTION("""COMPUTED_VALUE"""),"23020BLWвасильковый")</f>
        <v>23020BLWвасильковый</v>
      </c>
      <c r="B2373" s="164">
        <f>IFERROR(__xludf.DUMMYFUNCTION("""COMPUTED_VALUE"""),1.7197009E7)</f>
        <v>17197009</v>
      </c>
      <c r="C2373" s="164" t="str">
        <f>IFERROR(__xludf.DUMMYFUNCTION("""COMPUTED_VALUE"""),"17197009ХS - 44")</f>
        <v>17197009ХS - 44</v>
      </c>
      <c r="D2373" s="133"/>
      <c r="E2373" s="133" t="str">
        <f>IFERROR(__xludf.DUMMYFUNCTION("""COMPUTED_VALUE"""),"ХS - 44")</f>
        <v>ХS - 44</v>
      </c>
      <c r="F2373" s="133" t="str">
        <f>IFERROR(__xludf.DUMMYFUNCTION("""COMPUTED_VALUE"""),"23020BLWвасильковыйХS - 44")</f>
        <v>23020BLWвасильковыйХS - 44</v>
      </c>
      <c r="G2373" s="165">
        <f>IFERROR(__xludf.DUMMYFUNCTION("""COMPUTED_VALUE"""),1156.0)</f>
        <v>1156</v>
      </c>
    </row>
    <row r="2374" ht="15.75" customHeight="1">
      <c r="A2374" s="133" t="str">
        <f>IFERROR(__xludf.DUMMYFUNCTION("""COMPUTED_VALUE"""),"23020BLWвасильковый")</f>
        <v>23020BLWвасильковый</v>
      </c>
      <c r="B2374" s="164">
        <f>IFERROR(__xludf.DUMMYFUNCTION("""COMPUTED_VALUE"""),1.7197009E7)</f>
        <v>17197009</v>
      </c>
      <c r="C2374" s="164" t="str">
        <f>IFERROR(__xludf.DUMMYFUNCTION("""COMPUTED_VALUE"""),"17197009S - 46")</f>
        <v>17197009S - 46</v>
      </c>
      <c r="D2374" s="133"/>
      <c r="E2374" s="133" t="str">
        <f>IFERROR(__xludf.DUMMYFUNCTION("""COMPUTED_VALUE"""),"S - 46")</f>
        <v>S - 46</v>
      </c>
      <c r="F2374" s="133" t="str">
        <f>IFERROR(__xludf.DUMMYFUNCTION("""COMPUTED_VALUE"""),"23020BLWвасильковыйS - 46")</f>
        <v>23020BLWвасильковыйS - 46</v>
      </c>
      <c r="G2374" s="165">
        <f>IFERROR(__xludf.DUMMYFUNCTION("""COMPUTED_VALUE"""),1156.0)</f>
        <v>1156</v>
      </c>
    </row>
    <row r="2375" ht="15.75" customHeight="1">
      <c r="A2375" s="133" t="str">
        <f>IFERROR(__xludf.DUMMYFUNCTION("""COMPUTED_VALUE"""),"23020BLWвасильковый")</f>
        <v>23020BLWвасильковый</v>
      </c>
      <c r="B2375" s="164">
        <f>IFERROR(__xludf.DUMMYFUNCTION("""COMPUTED_VALUE"""),1.7197009E7)</f>
        <v>17197009</v>
      </c>
      <c r="C2375" s="164" t="str">
        <f>IFERROR(__xludf.DUMMYFUNCTION("""COMPUTED_VALUE"""),"17197009M - 48")</f>
        <v>17197009M - 48</v>
      </c>
      <c r="D2375" s="133"/>
      <c r="E2375" s="133" t="str">
        <f>IFERROR(__xludf.DUMMYFUNCTION("""COMPUTED_VALUE"""),"M - 48")</f>
        <v>M - 48</v>
      </c>
      <c r="F2375" s="133" t="str">
        <f>IFERROR(__xludf.DUMMYFUNCTION("""COMPUTED_VALUE"""),"23020BLWвасильковыйM - 48")</f>
        <v>23020BLWвасильковыйM - 48</v>
      </c>
      <c r="G2375" s="165">
        <f>IFERROR(__xludf.DUMMYFUNCTION("""COMPUTED_VALUE"""),1156.0)</f>
        <v>1156</v>
      </c>
    </row>
    <row r="2376" ht="15.75" customHeight="1">
      <c r="A2376" s="133" t="str">
        <f>IFERROR(__xludf.DUMMYFUNCTION("""COMPUTED_VALUE"""),"23020BLWвасильковый")</f>
        <v>23020BLWвасильковый</v>
      </c>
      <c r="B2376" s="164">
        <f>IFERROR(__xludf.DUMMYFUNCTION("""COMPUTED_VALUE"""),1.7197009E7)</f>
        <v>17197009</v>
      </c>
      <c r="C2376" s="164" t="str">
        <f>IFERROR(__xludf.DUMMYFUNCTION("""COMPUTED_VALUE"""),"17197009L - 50")</f>
        <v>17197009L - 50</v>
      </c>
      <c r="D2376" s="133"/>
      <c r="E2376" s="133" t="str">
        <f>IFERROR(__xludf.DUMMYFUNCTION("""COMPUTED_VALUE"""),"L - 50")</f>
        <v>L - 50</v>
      </c>
      <c r="F2376" s="133" t="str">
        <f>IFERROR(__xludf.DUMMYFUNCTION("""COMPUTED_VALUE"""),"23020BLWвасильковыйL - 50")</f>
        <v>23020BLWвасильковыйL - 50</v>
      </c>
      <c r="G2376" s="165">
        <f>IFERROR(__xludf.DUMMYFUNCTION("""COMPUTED_VALUE"""),1156.0)</f>
        <v>1156</v>
      </c>
    </row>
    <row r="2377" ht="15.75" customHeight="1">
      <c r="A2377" s="133" t="str">
        <f>IFERROR(__xludf.DUMMYFUNCTION("""COMPUTED_VALUE"""),"23020BLWвасильковый")</f>
        <v>23020BLWвасильковый</v>
      </c>
      <c r="B2377" s="164">
        <f>IFERROR(__xludf.DUMMYFUNCTION("""COMPUTED_VALUE"""),1.7197009E7)</f>
        <v>17197009</v>
      </c>
      <c r="C2377" s="164" t="str">
        <f>IFERROR(__xludf.DUMMYFUNCTION("""COMPUTED_VALUE"""),"17197009XL-52")</f>
        <v>17197009XL-52</v>
      </c>
      <c r="D2377" s="133"/>
      <c r="E2377" s="133" t="str">
        <f>IFERROR(__xludf.DUMMYFUNCTION("""COMPUTED_VALUE"""),"XL-52")</f>
        <v>XL-52</v>
      </c>
      <c r="F2377" s="133" t="str">
        <f>IFERROR(__xludf.DUMMYFUNCTION("""COMPUTED_VALUE"""),"23020BLWвасильковыйXL-52")</f>
        <v>23020BLWвасильковыйXL-52</v>
      </c>
      <c r="G2377" s="165">
        <f>IFERROR(__xludf.DUMMYFUNCTION("""COMPUTED_VALUE"""),1156.0)</f>
        <v>1156</v>
      </c>
    </row>
    <row r="2378" ht="15.75" customHeight="1">
      <c r="A2378" s="133" t="str">
        <f>IFERROR(__xludf.DUMMYFUNCTION("""COMPUTED_VALUE"""),"23020BLWвасильковый")</f>
        <v>23020BLWвасильковый</v>
      </c>
      <c r="B2378" s="164">
        <f>IFERROR(__xludf.DUMMYFUNCTION("""COMPUTED_VALUE"""),1.7197009E7)</f>
        <v>17197009</v>
      </c>
      <c r="C2378" s="164" t="str">
        <f>IFERROR(__xludf.DUMMYFUNCTION("""COMPUTED_VALUE"""),"17197009XXL - 54")</f>
        <v>17197009XXL - 54</v>
      </c>
      <c r="D2378" s="133"/>
      <c r="E2378" s="133" t="str">
        <f>IFERROR(__xludf.DUMMYFUNCTION("""COMPUTED_VALUE"""),"XXL - 54")</f>
        <v>XXL - 54</v>
      </c>
      <c r="F2378" s="133" t="str">
        <f>IFERROR(__xludf.DUMMYFUNCTION("""COMPUTED_VALUE"""),"23020BLWвасильковыйXXL - 54")</f>
        <v>23020BLWвасильковыйXXL - 54</v>
      </c>
      <c r="G2378" s="165">
        <f>IFERROR(__xludf.DUMMYFUNCTION("""COMPUTED_VALUE"""),1156.0)</f>
        <v>1156</v>
      </c>
    </row>
    <row r="2379" ht="15.75" customHeight="1">
      <c r="A2379" s="133" t="str">
        <f>IFERROR(__xludf.DUMMYFUNCTION("""COMPUTED_VALUE"""),"23920BLMтемносиний")</f>
        <v>23920BLMтемносиний</v>
      </c>
      <c r="B2379" s="164">
        <f>IFERROR(__xludf.DUMMYFUNCTION("""COMPUTED_VALUE"""),1.7195848E7)</f>
        <v>17195848</v>
      </c>
      <c r="C2379" s="164" t="str">
        <f>IFERROR(__xludf.DUMMYFUNCTION("""COMPUTED_VALUE"""),"17195848S -46")</f>
        <v>17195848S -46</v>
      </c>
      <c r="D2379" s="133"/>
      <c r="E2379" s="133" t="str">
        <f>IFERROR(__xludf.DUMMYFUNCTION("""COMPUTED_VALUE"""),"S -46")</f>
        <v>S -46</v>
      </c>
      <c r="F2379" s="133" t="str">
        <f>IFERROR(__xludf.DUMMYFUNCTION("""COMPUTED_VALUE"""),"23920BLMтемносинийS -46")</f>
        <v>23920BLMтемносинийS -46</v>
      </c>
      <c r="G2379" s="165">
        <f>IFERROR(__xludf.DUMMYFUNCTION("""COMPUTED_VALUE"""),1236.0)</f>
        <v>1236</v>
      </c>
    </row>
    <row r="2380" ht="15.75" customHeight="1">
      <c r="A2380" s="133" t="str">
        <f>IFERROR(__xludf.DUMMYFUNCTION("""COMPUTED_VALUE"""),"23920BLMтемносиний")</f>
        <v>23920BLMтемносиний</v>
      </c>
      <c r="B2380" s="164">
        <f>IFERROR(__xludf.DUMMYFUNCTION("""COMPUTED_VALUE"""),1.7195848E7)</f>
        <v>17195848</v>
      </c>
      <c r="C2380" s="164" t="str">
        <f>IFERROR(__xludf.DUMMYFUNCTION("""COMPUTED_VALUE"""),"17195848M - 48")</f>
        <v>17195848M - 48</v>
      </c>
      <c r="D2380" s="133"/>
      <c r="E2380" s="133" t="str">
        <f>IFERROR(__xludf.DUMMYFUNCTION("""COMPUTED_VALUE"""),"M - 48")</f>
        <v>M - 48</v>
      </c>
      <c r="F2380" s="133" t="str">
        <f>IFERROR(__xludf.DUMMYFUNCTION("""COMPUTED_VALUE"""),"23920BLMтемносинийM - 48")</f>
        <v>23920BLMтемносинийM - 48</v>
      </c>
      <c r="G2380" s="165">
        <f>IFERROR(__xludf.DUMMYFUNCTION("""COMPUTED_VALUE"""),1236.0)</f>
        <v>1236</v>
      </c>
    </row>
    <row r="2381" ht="15.75" customHeight="1">
      <c r="A2381" s="133" t="str">
        <f>IFERROR(__xludf.DUMMYFUNCTION("""COMPUTED_VALUE"""),"23920BLMтемносиний")</f>
        <v>23920BLMтемносиний</v>
      </c>
      <c r="B2381" s="164">
        <f>IFERROR(__xludf.DUMMYFUNCTION("""COMPUTED_VALUE"""),1.7195848E7)</f>
        <v>17195848</v>
      </c>
      <c r="C2381" s="164" t="str">
        <f>IFERROR(__xludf.DUMMYFUNCTION("""COMPUTED_VALUE"""),"17195848L - 50")</f>
        <v>17195848L - 50</v>
      </c>
      <c r="D2381" s="133"/>
      <c r="E2381" s="133" t="str">
        <f>IFERROR(__xludf.DUMMYFUNCTION("""COMPUTED_VALUE"""),"L - 50")</f>
        <v>L - 50</v>
      </c>
      <c r="F2381" s="133" t="str">
        <f>IFERROR(__xludf.DUMMYFUNCTION("""COMPUTED_VALUE"""),"23920BLMтемносинийL - 50")</f>
        <v>23920BLMтемносинийL - 50</v>
      </c>
      <c r="G2381" s="165">
        <f>IFERROR(__xludf.DUMMYFUNCTION("""COMPUTED_VALUE"""),1236.0)</f>
        <v>1236</v>
      </c>
    </row>
    <row r="2382" ht="15.75" customHeight="1">
      <c r="A2382" s="133" t="str">
        <f>IFERROR(__xludf.DUMMYFUNCTION("""COMPUTED_VALUE"""),"23920BLMтемносиний")</f>
        <v>23920BLMтемносиний</v>
      </c>
      <c r="B2382" s="164">
        <f>IFERROR(__xludf.DUMMYFUNCTION("""COMPUTED_VALUE"""),1.7195848E7)</f>
        <v>17195848</v>
      </c>
      <c r="C2382" s="164" t="str">
        <f>IFERROR(__xludf.DUMMYFUNCTION("""COMPUTED_VALUE"""),"17195848XL - 52")</f>
        <v>17195848XL - 52</v>
      </c>
      <c r="D2382" s="133"/>
      <c r="E2382" s="133" t="str">
        <f>IFERROR(__xludf.DUMMYFUNCTION("""COMPUTED_VALUE"""),"XL - 52")</f>
        <v>XL - 52</v>
      </c>
      <c r="F2382" s="133" t="str">
        <f>IFERROR(__xludf.DUMMYFUNCTION("""COMPUTED_VALUE"""),"23920BLMтемносинийXL - 52")</f>
        <v>23920BLMтемносинийXL - 52</v>
      </c>
      <c r="G2382" s="165">
        <f>IFERROR(__xludf.DUMMYFUNCTION("""COMPUTED_VALUE"""),1236.0)</f>
        <v>1236</v>
      </c>
    </row>
    <row r="2383" ht="15.75" customHeight="1">
      <c r="A2383" s="133" t="str">
        <f>IFERROR(__xludf.DUMMYFUNCTION("""COMPUTED_VALUE"""),"23920BLMтемносиний")</f>
        <v>23920BLMтемносиний</v>
      </c>
      <c r="B2383" s="164">
        <f>IFERROR(__xludf.DUMMYFUNCTION("""COMPUTED_VALUE"""),1.7195848E7)</f>
        <v>17195848</v>
      </c>
      <c r="C2383" s="164" t="str">
        <f>IFERROR(__xludf.DUMMYFUNCTION("""COMPUTED_VALUE"""),"17195848XXL - 54")</f>
        <v>17195848XXL - 54</v>
      </c>
      <c r="D2383" s="133"/>
      <c r="E2383" s="133" t="str">
        <f>IFERROR(__xludf.DUMMYFUNCTION("""COMPUTED_VALUE"""),"XXL - 54")</f>
        <v>XXL - 54</v>
      </c>
      <c r="F2383" s="133" t="str">
        <f>IFERROR(__xludf.DUMMYFUNCTION("""COMPUTED_VALUE"""),"23920BLMтемносинийXXL - 54")</f>
        <v>23920BLMтемносинийXXL - 54</v>
      </c>
      <c r="G2383" s="165">
        <f>IFERROR(__xludf.DUMMYFUNCTION("""COMPUTED_VALUE"""),1236.0)</f>
        <v>1236</v>
      </c>
    </row>
    <row r="2384" ht="15.75" customHeight="1">
      <c r="A2384" s="133" t="str">
        <f>IFERROR(__xludf.DUMMYFUNCTION("""COMPUTED_VALUE"""),"23920BLMтемносиний")</f>
        <v>23920BLMтемносиний</v>
      </c>
      <c r="B2384" s="164">
        <f>IFERROR(__xludf.DUMMYFUNCTION("""COMPUTED_VALUE"""),1.7195848E7)</f>
        <v>17195848</v>
      </c>
      <c r="C2384" s="164" t="str">
        <f>IFERROR(__xludf.DUMMYFUNCTION("""COMPUTED_VALUE"""),"17195848XXXL - 56")</f>
        <v>17195848XXXL - 56</v>
      </c>
      <c r="D2384" s="133"/>
      <c r="E2384" s="133" t="str">
        <f>IFERROR(__xludf.DUMMYFUNCTION("""COMPUTED_VALUE"""),"XXXL - 56")</f>
        <v>XXXL - 56</v>
      </c>
      <c r="F2384" s="133" t="str">
        <f>IFERROR(__xludf.DUMMYFUNCTION("""COMPUTED_VALUE"""),"23920BLMтемносинийXXXL - 56")</f>
        <v>23920BLMтемносинийXXXL - 56</v>
      </c>
      <c r="G2384" s="165">
        <f>IFERROR(__xludf.DUMMYFUNCTION("""COMPUTED_VALUE"""),1236.0)</f>
        <v>1236</v>
      </c>
    </row>
    <row r="2385" ht="15.75" customHeight="1">
      <c r="A2385" s="133" t="str">
        <f>IFERROR(__xludf.DUMMYFUNCTION("""COMPUTED_VALUE"""),"23920BLMвишня")</f>
        <v>23920BLMвишня</v>
      </c>
      <c r="B2385" s="164">
        <f>IFERROR(__xludf.DUMMYFUNCTION("""COMPUTED_VALUE"""),1.7195847E7)</f>
        <v>17195847</v>
      </c>
      <c r="C2385" s="164" t="str">
        <f>IFERROR(__xludf.DUMMYFUNCTION("""COMPUTED_VALUE"""),"17195847S -46")</f>
        <v>17195847S -46</v>
      </c>
      <c r="D2385" s="133"/>
      <c r="E2385" s="133" t="str">
        <f>IFERROR(__xludf.DUMMYFUNCTION("""COMPUTED_VALUE"""),"S -46")</f>
        <v>S -46</v>
      </c>
      <c r="F2385" s="133" t="str">
        <f>IFERROR(__xludf.DUMMYFUNCTION("""COMPUTED_VALUE"""),"23920BLMвишняS -46")</f>
        <v>23920BLMвишняS -46</v>
      </c>
      <c r="G2385" s="165">
        <f>IFERROR(__xludf.DUMMYFUNCTION("""COMPUTED_VALUE"""),1236.0)</f>
        <v>1236</v>
      </c>
    </row>
    <row r="2386" ht="15.75" customHeight="1">
      <c r="A2386" s="133" t="str">
        <f>IFERROR(__xludf.DUMMYFUNCTION("""COMPUTED_VALUE"""),"23920BLMвишня")</f>
        <v>23920BLMвишня</v>
      </c>
      <c r="B2386" s="164">
        <f>IFERROR(__xludf.DUMMYFUNCTION("""COMPUTED_VALUE"""),1.7195847E7)</f>
        <v>17195847</v>
      </c>
      <c r="C2386" s="164" t="str">
        <f>IFERROR(__xludf.DUMMYFUNCTION("""COMPUTED_VALUE"""),"17195847M - 48")</f>
        <v>17195847M - 48</v>
      </c>
      <c r="D2386" s="133"/>
      <c r="E2386" s="133" t="str">
        <f>IFERROR(__xludf.DUMMYFUNCTION("""COMPUTED_VALUE"""),"M - 48")</f>
        <v>M - 48</v>
      </c>
      <c r="F2386" s="133" t="str">
        <f>IFERROR(__xludf.DUMMYFUNCTION("""COMPUTED_VALUE"""),"23920BLMвишняM - 48")</f>
        <v>23920BLMвишняM - 48</v>
      </c>
      <c r="G2386" s="165">
        <f>IFERROR(__xludf.DUMMYFUNCTION("""COMPUTED_VALUE"""),1236.0)</f>
        <v>1236</v>
      </c>
    </row>
    <row r="2387" ht="15.75" customHeight="1">
      <c r="A2387" s="133" t="str">
        <f>IFERROR(__xludf.DUMMYFUNCTION("""COMPUTED_VALUE"""),"23920BLMвишня")</f>
        <v>23920BLMвишня</v>
      </c>
      <c r="B2387" s="164">
        <f>IFERROR(__xludf.DUMMYFUNCTION("""COMPUTED_VALUE"""),1.7195847E7)</f>
        <v>17195847</v>
      </c>
      <c r="C2387" s="164" t="str">
        <f>IFERROR(__xludf.DUMMYFUNCTION("""COMPUTED_VALUE"""),"17195847L - 50")</f>
        <v>17195847L - 50</v>
      </c>
      <c r="D2387" s="133"/>
      <c r="E2387" s="133" t="str">
        <f>IFERROR(__xludf.DUMMYFUNCTION("""COMPUTED_VALUE"""),"L - 50")</f>
        <v>L - 50</v>
      </c>
      <c r="F2387" s="133" t="str">
        <f>IFERROR(__xludf.DUMMYFUNCTION("""COMPUTED_VALUE"""),"23920BLMвишняL - 50")</f>
        <v>23920BLMвишняL - 50</v>
      </c>
      <c r="G2387" s="165">
        <f>IFERROR(__xludf.DUMMYFUNCTION("""COMPUTED_VALUE"""),1236.0)</f>
        <v>1236</v>
      </c>
    </row>
    <row r="2388" ht="15.75" customHeight="1">
      <c r="A2388" s="133" t="str">
        <f>IFERROR(__xludf.DUMMYFUNCTION("""COMPUTED_VALUE"""),"23920BLMвишня")</f>
        <v>23920BLMвишня</v>
      </c>
      <c r="B2388" s="164">
        <f>IFERROR(__xludf.DUMMYFUNCTION("""COMPUTED_VALUE"""),1.7195847E7)</f>
        <v>17195847</v>
      </c>
      <c r="C2388" s="164" t="str">
        <f>IFERROR(__xludf.DUMMYFUNCTION("""COMPUTED_VALUE"""),"17195847XL - 52")</f>
        <v>17195847XL - 52</v>
      </c>
      <c r="D2388" s="133"/>
      <c r="E2388" s="133" t="str">
        <f>IFERROR(__xludf.DUMMYFUNCTION("""COMPUTED_VALUE"""),"XL - 52")</f>
        <v>XL - 52</v>
      </c>
      <c r="F2388" s="133" t="str">
        <f>IFERROR(__xludf.DUMMYFUNCTION("""COMPUTED_VALUE"""),"23920BLMвишняXL - 52")</f>
        <v>23920BLMвишняXL - 52</v>
      </c>
      <c r="G2388" s="165">
        <f>IFERROR(__xludf.DUMMYFUNCTION("""COMPUTED_VALUE"""),1236.0)</f>
        <v>1236</v>
      </c>
    </row>
    <row r="2389" ht="15.75" customHeight="1">
      <c r="A2389" s="133" t="str">
        <f>IFERROR(__xludf.DUMMYFUNCTION("""COMPUTED_VALUE"""),"23920BLMвишня")</f>
        <v>23920BLMвишня</v>
      </c>
      <c r="B2389" s="164">
        <f>IFERROR(__xludf.DUMMYFUNCTION("""COMPUTED_VALUE"""),1.7195847E7)</f>
        <v>17195847</v>
      </c>
      <c r="C2389" s="164" t="str">
        <f>IFERROR(__xludf.DUMMYFUNCTION("""COMPUTED_VALUE"""),"17195847XXL - 54")</f>
        <v>17195847XXL - 54</v>
      </c>
      <c r="D2389" s="133"/>
      <c r="E2389" s="133" t="str">
        <f>IFERROR(__xludf.DUMMYFUNCTION("""COMPUTED_VALUE"""),"XXL - 54")</f>
        <v>XXL - 54</v>
      </c>
      <c r="F2389" s="133" t="str">
        <f>IFERROR(__xludf.DUMMYFUNCTION("""COMPUTED_VALUE"""),"23920BLMвишняXXL - 54")</f>
        <v>23920BLMвишняXXL - 54</v>
      </c>
      <c r="G2389" s="165">
        <f>IFERROR(__xludf.DUMMYFUNCTION("""COMPUTED_VALUE"""),1236.0)</f>
        <v>1236</v>
      </c>
    </row>
    <row r="2390" ht="15.75" customHeight="1">
      <c r="A2390" s="133" t="str">
        <f>IFERROR(__xludf.DUMMYFUNCTION("""COMPUTED_VALUE"""),"23920BLMвишня")</f>
        <v>23920BLMвишня</v>
      </c>
      <c r="B2390" s="164">
        <f>IFERROR(__xludf.DUMMYFUNCTION("""COMPUTED_VALUE"""),1.7195847E7)</f>
        <v>17195847</v>
      </c>
      <c r="C2390" s="164" t="str">
        <f>IFERROR(__xludf.DUMMYFUNCTION("""COMPUTED_VALUE"""),"17195847XXXL - 56")</f>
        <v>17195847XXXL - 56</v>
      </c>
      <c r="D2390" s="133"/>
      <c r="E2390" s="133" t="str">
        <f>IFERROR(__xludf.DUMMYFUNCTION("""COMPUTED_VALUE"""),"XXXL - 56")</f>
        <v>XXXL - 56</v>
      </c>
      <c r="F2390" s="133" t="str">
        <f>IFERROR(__xludf.DUMMYFUNCTION("""COMPUTED_VALUE"""),"23920BLMвишняXXXL - 56")</f>
        <v>23920BLMвишняXXXL - 56</v>
      </c>
      <c r="G2390" s="165">
        <f>IFERROR(__xludf.DUMMYFUNCTION("""COMPUTED_VALUE"""),1236.0)</f>
        <v>1236</v>
      </c>
    </row>
    <row r="2391" ht="15.75" customHeight="1">
      <c r="A2391" s="133" t="str">
        <f>IFERROR(__xludf.DUMMYFUNCTION("""COMPUTED_VALUE"""),"23520BLM23720BLM")</f>
        <v>23520BLM23720BLM</v>
      </c>
      <c r="B2391" s="164">
        <f>IFERROR(__xludf.DUMMYFUNCTION("""COMPUTED_VALUE"""),1.7182715E7)</f>
        <v>17182715</v>
      </c>
      <c r="C2391" s="164" t="str">
        <f>IFERROR(__xludf.DUMMYFUNCTION("""COMPUTED_VALUE"""),"17182715S -46")</f>
        <v>17182715S -46</v>
      </c>
      <c r="D2391" s="133"/>
      <c r="E2391" s="133" t="str">
        <f>IFERROR(__xludf.DUMMYFUNCTION("""COMPUTED_VALUE"""),"S -46")</f>
        <v>S -46</v>
      </c>
      <c r="F2391" s="133" t="str">
        <f>IFERROR(__xludf.DUMMYFUNCTION("""COMPUTED_VALUE"""),"23520BLM23720BLMS -46")</f>
        <v>23520BLM23720BLMS -46</v>
      </c>
      <c r="G2391" s="165">
        <f>IFERROR(__xludf.DUMMYFUNCTION("""COMPUTED_VALUE"""),1236.0)</f>
        <v>1236</v>
      </c>
    </row>
    <row r="2392" ht="15.75" customHeight="1">
      <c r="A2392" s="133" t="str">
        <f>IFERROR(__xludf.DUMMYFUNCTION("""COMPUTED_VALUE"""),"23520BLM23720BLM")</f>
        <v>23520BLM23720BLM</v>
      </c>
      <c r="B2392" s="164">
        <f>IFERROR(__xludf.DUMMYFUNCTION("""COMPUTED_VALUE"""),1.7182715E7)</f>
        <v>17182715</v>
      </c>
      <c r="C2392" s="164" t="str">
        <f>IFERROR(__xludf.DUMMYFUNCTION("""COMPUTED_VALUE"""),"17182715M - 48")</f>
        <v>17182715M - 48</v>
      </c>
      <c r="D2392" s="133"/>
      <c r="E2392" s="133" t="str">
        <f>IFERROR(__xludf.DUMMYFUNCTION("""COMPUTED_VALUE"""),"M - 48")</f>
        <v>M - 48</v>
      </c>
      <c r="F2392" s="133" t="str">
        <f>IFERROR(__xludf.DUMMYFUNCTION("""COMPUTED_VALUE"""),"23520BLM23720BLMM - 48")</f>
        <v>23520BLM23720BLMM - 48</v>
      </c>
      <c r="G2392" s="165">
        <f>IFERROR(__xludf.DUMMYFUNCTION("""COMPUTED_VALUE"""),1236.0)</f>
        <v>1236</v>
      </c>
    </row>
    <row r="2393" ht="15.75" customHeight="1">
      <c r="A2393" s="133" t="str">
        <f>IFERROR(__xludf.DUMMYFUNCTION("""COMPUTED_VALUE"""),"23520BLM23720BLM")</f>
        <v>23520BLM23720BLM</v>
      </c>
      <c r="B2393" s="164">
        <f>IFERROR(__xludf.DUMMYFUNCTION("""COMPUTED_VALUE"""),1.7182715E7)</f>
        <v>17182715</v>
      </c>
      <c r="C2393" s="164" t="str">
        <f>IFERROR(__xludf.DUMMYFUNCTION("""COMPUTED_VALUE"""),"17182715L - 50")</f>
        <v>17182715L - 50</v>
      </c>
      <c r="D2393" s="133"/>
      <c r="E2393" s="133" t="str">
        <f>IFERROR(__xludf.DUMMYFUNCTION("""COMPUTED_VALUE"""),"L - 50")</f>
        <v>L - 50</v>
      </c>
      <c r="F2393" s="133" t="str">
        <f>IFERROR(__xludf.DUMMYFUNCTION("""COMPUTED_VALUE"""),"23520BLM23720BLML - 50")</f>
        <v>23520BLM23720BLML - 50</v>
      </c>
      <c r="G2393" s="165">
        <f>IFERROR(__xludf.DUMMYFUNCTION("""COMPUTED_VALUE"""),1236.0)</f>
        <v>1236</v>
      </c>
    </row>
    <row r="2394" ht="15.75" customHeight="1">
      <c r="A2394" s="133" t="str">
        <f>IFERROR(__xludf.DUMMYFUNCTION("""COMPUTED_VALUE"""),"23520BLM23720BLM")</f>
        <v>23520BLM23720BLM</v>
      </c>
      <c r="B2394" s="164">
        <f>IFERROR(__xludf.DUMMYFUNCTION("""COMPUTED_VALUE"""),1.7182715E7)</f>
        <v>17182715</v>
      </c>
      <c r="C2394" s="164" t="str">
        <f>IFERROR(__xludf.DUMMYFUNCTION("""COMPUTED_VALUE"""),"17182715XL - 52")</f>
        <v>17182715XL - 52</v>
      </c>
      <c r="D2394" s="133"/>
      <c r="E2394" s="133" t="str">
        <f>IFERROR(__xludf.DUMMYFUNCTION("""COMPUTED_VALUE"""),"XL - 52")</f>
        <v>XL - 52</v>
      </c>
      <c r="F2394" s="133" t="str">
        <f>IFERROR(__xludf.DUMMYFUNCTION("""COMPUTED_VALUE"""),"23520BLM23720BLMXL - 52")</f>
        <v>23520BLM23720BLMXL - 52</v>
      </c>
      <c r="G2394" s="165">
        <f>IFERROR(__xludf.DUMMYFUNCTION("""COMPUTED_VALUE"""),1236.0)</f>
        <v>1236</v>
      </c>
    </row>
    <row r="2395" ht="15.75" customHeight="1">
      <c r="A2395" s="133" t="str">
        <f>IFERROR(__xludf.DUMMYFUNCTION("""COMPUTED_VALUE"""),"23520BLM23720BLM")</f>
        <v>23520BLM23720BLM</v>
      </c>
      <c r="B2395" s="164">
        <f>IFERROR(__xludf.DUMMYFUNCTION("""COMPUTED_VALUE"""),1.7182715E7)</f>
        <v>17182715</v>
      </c>
      <c r="C2395" s="164" t="str">
        <f>IFERROR(__xludf.DUMMYFUNCTION("""COMPUTED_VALUE"""),"17182715XXL - 54")</f>
        <v>17182715XXL - 54</v>
      </c>
      <c r="D2395" s="133"/>
      <c r="E2395" s="133" t="str">
        <f>IFERROR(__xludf.DUMMYFUNCTION("""COMPUTED_VALUE"""),"XXL - 54")</f>
        <v>XXL - 54</v>
      </c>
      <c r="F2395" s="133" t="str">
        <f>IFERROR(__xludf.DUMMYFUNCTION("""COMPUTED_VALUE"""),"23520BLM23720BLMXXL - 54")</f>
        <v>23520BLM23720BLMXXL - 54</v>
      </c>
      <c r="G2395" s="165">
        <f>IFERROR(__xludf.DUMMYFUNCTION("""COMPUTED_VALUE"""),1236.0)</f>
        <v>1236</v>
      </c>
    </row>
    <row r="2396" ht="15.75" customHeight="1">
      <c r="A2396" s="133" t="str">
        <f>IFERROR(__xludf.DUMMYFUNCTION("""COMPUTED_VALUE"""),"23520BLM23720BLM")</f>
        <v>23520BLM23720BLM</v>
      </c>
      <c r="B2396" s="164">
        <f>IFERROR(__xludf.DUMMYFUNCTION("""COMPUTED_VALUE"""),1.7182715E7)</f>
        <v>17182715</v>
      </c>
      <c r="C2396" s="164" t="str">
        <f>IFERROR(__xludf.DUMMYFUNCTION("""COMPUTED_VALUE"""),"17182715XXXL - 56")</f>
        <v>17182715XXXL - 56</v>
      </c>
      <c r="D2396" s="133"/>
      <c r="E2396" s="133" t="str">
        <f>IFERROR(__xludf.DUMMYFUNCTION("""COMPUTED_VALUE"""),"XXXL - 56")</f>
        <v>XXXL - 56</v>
      </c>
      <c r="F2396" s="133" t="str">
        <f>IFERROR(__xludf.DUMMYFUNCTION("""COMPUTED_VALUE"""),"23520BLM23720BLMXXXL - 56")</f>
        <v>23520BLM23720BLMXXXL - 56</v>
      </c>
      <c r="G2396" s="165">
        <f>IFERROR(__xludf.DUMMYFUNCTION("""COMPUTED_VALUE"""),1236.0)</f>
        <v>1236</v>
      </c>
    </row>
    <row r="2397" ht="15.75" customHeight="1">
      <c r="A2397" s="133" t="str">
        <f>IFERROR(__xludf.DUMMYFUNCTION("""COMPUTED_VALUE"""),"23520BLM23620BLM")</f>
        <v>23520BLM23620BLM</v>
      </c>
      <c r="B2397" s="164">
        <f>IFERROR(__xludf.DUMMYFUNCTION("""COMPUTED_VALUE"""),1.7182714E7)</f>
        <v>17182714</v>
      </c>
      <c r="C2397" s="164" t="str">
        <f>IFERROR(__xludf.DUMMYFUNCTION("""COMPUTED_VALUE"""),"17182714S -46")</f>
        <v>17182714S -46</v>
      </c>
      <c r="D2397" s="133"/>
      <c r="E2397" s="133" t="str">
        <f>IFERROR(__xludf.DUMMYFUNCTION("""COMPUTED_VALUE"""),"S -46")</f>
        <v>S -46</v>
      </c>
      <c r="F2397" s="133" t="str">
        <f>IFERROR(__xludf.DUMMYFUNCTION("""COMPUTED_VALUE"""),"23520BLM23620BLMS -46")</f>
        <v>23520BLM23620BLMS -46</v>
      </c>
      <c r="G2397" s="165">
        <f>IFERROR(__xludf.DUMMYFUNCTION("""COMPUTED_VALUE"""),1266.0)</f>
        <v>1266</v>
      </c>
    </row>
    <row r="2398" ht="15.75" customHeight="1">
      <c r="A2398" s="133" t="str">
        <f>IFERROR(__xludf.DUMMYFUNCTION("""COMPUTED_VALUE"""),"23520BLM23620BLM")</f>
        <v>23520BLM23620BLM</v>
      </c>
      <c r="B2398" s="164">
        <f>IFERROR(__xludf.DUMMYFUNCTION("""COMPUTED_VALUE"""),1.7182714E7)</f>
        <v>17182714</v>
      </c>
      <c r="C2398" s="164" t="str">
        <f>IFERROR(__xludf.DUMMYFUNCTION("""COMPUTED_VALUE"""),"17182714M - 48")</f>
        <v>17182714M - 48</v>
      </c>
      <c r="D2398" s="133"/>
      <c r="E2398" s="133" t="str">
        <f>IFERROR(__xludf.DUMMYFUNCTION("""COMPUTED_VALUE"""),"M - 48")</f>
        <v>M - 48</v>
      </c>
      <c r="F2398" s="133" t="str">
        <f>IFERROR(__xludf.DUMMYFUNCTION("""COMPUTED_VALUE"""),"23520BLM23620BLMM - 48")</f>
        <v>23520BLM23620BLMM - 48</v>
      </c>
      <c r="G2398" s="165">
        <f>IFERROR(__xludf.DUMMYFUNCTION("""COMPUTED_VALUE"""),1266.0)</f>
        <v>1266</v>
      </c>
    </row>
    <row r="2399" ht="15.75" customHeight="1">
      <c r="A2399" s="133" t="str">
        <f>IFERROR(__xludf.DUMMYFUNCTION("""COMPUTED_VALUE"""),"23520BLM23620BLM")</f>
        <v>23520BLM23620BLM</v>
      </c>
      <c r="B2399" s="164">
        <f>IFERROR(__xludf.DUMMYFUNCTION("""COMPUTED_VALUE"""),1.7182714E7)</f>
        <v>17182714</v>
      </c>
      <c r="C2399" s="164" t="str">
        <f>IFERROR(__xludf.DUMMYFUNCTION("""COMPUTED_VALUE"""),"17182714L - 50")</f>
        <v>17182714L - 50</v>
      </c>
      <c r="D2399" s="133"/>
      <c r="E2399" s="133" t="str">
        <f>IFERROR(__xludf.DUMMYFUNCTION("""COMPUTED_VALUE"""),"L - 50")</f>
        <v>L - 50</v>
      </c>
      <c r="F2399" s="133" t="str">
        <f>IFERROR(__xludf.DUMMYFUNCTION("""COMPUTED_VALUE"""),"23520BLM23620BLML - 50")</f>
        <v>23520BLM23620BLML - 50</v>
      </c>
      <c r="G2399" s="165">
        <f>IFERROR(__xludf.DUMMYFUNCTION("""COMPUTED_VALUE"""),1266.0)</f>
        <v>1266</v>
      </c>
    </row>
    <row r="2400" ht="15.75" customHeight="1">
      <c r="A2400" s="133" t="str">
        <f>IFERROR(__xludf.DUMMYFUNCTION("""COMPUTED_VALUE"""),"23520BLM23620BLM")</f>
        <v>23520BLM23620BLM</v>
      </c>
      <c r="B2400" s="164">
        <f>IFERROR(__xludf.DUMMYFUNCTION("""COMPUTED_VALUE"""),1.7182714E7)</f>
        <v>17182714</v>
      </c>
      <c r="C2400" s="164" t="str">
        <f>IFERROR(__xludf.DUMMYFUNCTION("""COMPUTED_VALUE"""),"17182714XL - 52")</f>
        <v>17182714XL - 52</v>
      </c>
      <c r="D2400" s="133"/>
      <c r="E2400" s="133" t="str">
        <f>IFERROR(__xludf.DUMMYFUNCTION("""COMPUTED_VALUE"""),"XL - 52")</f>
        <v>XL - 52</v>
      </c>
      <c r="F2400" s="133" t="str">
        <f>IFERROR(__xludf.DUMMYFUNCTION("""COMPUTED_VALUE"""),"23520BLM23620BLMXL - 52")</f>
        <v>23520BLM23620BLMXL - 52</v>
      </c>
      <c r="G2400" s="165">
        <f>IFERROR(__xludf.DUMMYFUNCTION("""COMPUTED_VALUE"""),1266.0)</f>
        <v>1266</v>
      </c>
    </row>
    <row r="2401" ht="15.75" customHeight="1">
      <c r="A2401" s="133" t="str">
        <f>IFERROR(__xludf.DUMMYFUNCTION("""COMPUTED_VALUE"""),"23520BLM23620BLM")</f>
        <v>23520BLM23620BLM</v>
      </c>
      <c r="B2401" s="164">
        <f>IFERROR(__xludf.DUMMYFUNCTION("""COMPUTED_VALUE"""),1.7182714E7)</f>
        <v>17182714</v>
      </c>
      <c r="C2401" s="164" t="str">
        <f>IFERROR(__xludf.DUMMYFUNCTION("""COMPUTED_VALUE"""),"17182714XXL - 54")</f>
        <v>17182714XXL - 54</v>
      </c>
      <c r="D2401" s="133"/>
      <c r="E2401" s="133" t="str">
        <f>IFERROR(__xludf.DUMMYFUNCTION("""COMPUTED_VALUE"""),"XXL - 54")</f>
        <v>XXL - 54</v>
      </c>
      <c r="F2401" s="133" t="str">
        <f>IFERROR(__xludf.DUMMYFUNCTION("""COMPUTED_VALUE"""),"23520BLM23620BLMXXL - 54")</f>
        <v>23520BLM23620BLMXXL - 54</v>
      </c>
      <c r="G2401" s="165">
        <f>IFERROR(__xludf.DUMMYFUNCTION("""COMPUTED_VALUE"""),1266.0)</f>
        <v>1266</v>
      </c>
    </row>
    <row r="2402" ht="15.75" customHeight="1">
      <c r="A2402" s="133" t="str">
        <f>IFERROR(__xludf.DUMMYFUNCTION("""COMPUTED_VALUE"""),"23520BLM23620BLM")</f>
        <v>23520BLM23620BLM</v>
      </c>
      <c r="B2402" s="164">
        <f>IFERROR(__xludf.DUMMYFUNCTION("""COMPUTED_VALUE"""),1.7182714E7)</f>
        <v>17182714</v>
      </c>
      <c r="C2402" s="164" t="str">
        <f>IFERROR(__xludf.DUMMYFUNCTION("""COMPUTED_VALUE"""),"17182714XXXL - 56")</f>
        <v>17182714XXXL - 56</v>
      </c>
      <c r="D2402" s="133"/>
      <c r="E2402" s="133" t="str">
        <f>IFERROR(__xludf.DUMMYFUNCTION("""COMPUTED_VALUE"""),"XXXL - 56")</f>
        <v>XXXL - 56</v>
      </c>
      <c r="F2402" s="133" t="str">
        <f>IFERROR(__xludf.DUMMYFUNCTION("""COMPUTED_VALUE"""),"23520BLM23620BLMXXXL - 56")</f>
        <v>23520BLM23620BLMXXXL - 56</v>
      </c>
      <c r="G2402" s="165">
        <f>IFERROR(__xludf.DUMMYFUNCTION("""COMPUTED_VALUE"""),1266.0)</f>
        <v>1266</v>
      </c>
    </row>
    <row r="2403" ht="15.75" customHeight="1">
      <c r="A2403" s="133" t="str">
        <f>IFERROR(__xludf.DUMMYFUNCTION("""COMPUTED_VALUE"""),"23520BLM23520BLM")</f>
        <v>23520BLM23520BLM</v>
      </c>
      <c r="B2403" s="164">
        <f>IFERROR(__xludf.DUMMYFUNCTION("""COMPUTED_VALUE"""),1.7182713E7)</f>
        <v>17182713</v>
      </c>
      <c r="C2403" s="164" t="str">
        <f>IFERROR(__xludf.DUMMYFUNCTION("""COMPUTED_VALUE"""),"17182713S -46")</f>
        <v>17182713S -46</v>
      </c>
      <c r="D2403" s="133"/>
      <c r="E2403" s="133" t="str">
        <f>IFERROR(__xludf.DUMMYFUNCTION("""COMPUTED_VALUE"""),"S -46")</f>
        <v>S -46</v>
      </c>
      <c r="F2403" s="133" t="str">
        <f>IFERROR(__xludf.DUMMYFUNCTION("""COMPUTED_VALUE"""),"23520BLM23520BLMS -46")</f>
        <v>23520BLM23520BLMS -46</v>
      </c>
      <c r="G2403" s="165">
        <f>IFERROR(__xludf.DUMMYFUNCTION("""COMPUTED_VALUE"""),1266.0)</f>
        <v>1266</v>
      </c>
    </row>
    <row r="2404" ht="15.75" customHeight="1">
      <c r="A2404" s="133" t="str">
        <f>IFERROR(__xludf.DUMMYFUNCTION("""COMPUTED_VALUE"""),"23520BLM23520BLM")</f>
        <v>23520BLM23520BLM</v>
      </c>
      <c r="B2404" s="164">
        <f>IFERROR(__xludf.DUMMYFUNCTION("""COMPUTED_VALUE"""),1.7182713E7)</f>
        <v>17182713</v>
      </c>
      <c r="C2404" s="164" t="str">
        <f>IFERROR(__xludf.DUMMYFUNCTION("""COMPUTED_VALUE"""),"17182713M - 48")</f>
        <v>17182713M - 48</v>
      </c>
      <c r="D2404" s="133"/>
      <c r="E2404" s="133" t="str">
        <f>IFERROR(__xludf.DUMMYFUNCTION("""COMPUTED_VALUE"""),"M - 48")</f>
        <v>M - 48</v>
      </c>
      <c r="F2404" s="133" t="str">
        <f>IFERROR(__xludf.DUMMYFUNCTION("""COMPUTED_VALUE"""),"23520BLM23520BLMM - 48")</f>
        <v>23520BLM23520BLMM - 48</v>
      </c>
      <c r="G2404" s="165">
        <f>IFERROR(__xludf.DUMMYFUNCTION("""COMPUTED_VALUE"""),1266.0)</f>
        <v>1266</v>
      </c>
    </row>
    <row r="2405" ht="15.75" customHeight="1">
      <c r="A2405" s="133" t="str">
        <f>IFERROR(__xludf.DUMMYFUNCTION("""COMPUTED_VALUE"""),"23520BLM23520BLM")</f>
        <v>23520BLM23520BLM</v>
      </c>
      <c r="B2405" s="164">
        <f>IFERROR(__xludf.DUMMYFUNCTION("""COMPUTED_VALUE"""),1.7182713E7)</f>
        <v>17182713</v>
      </c>
      <c r="C2405" s="164" t="str">
        <f>IFERROR(__xludf.DUMMYFUNCTION("""COMPUTED_VALUE"""),"17182713L - 50")</f>
        <v>17182713L - 50</v>
      </c>
      <c r="D2405" s="133"/>
      <c r="E2405" s="133" t="str">
        <f>IFERROR(__xludf.DUMMYFUNCTION("""COMPUTED_VALUE"""),"L - 50")</f>
        <v>L - 50</v>
      </c>
      <c r="F2405" s="133" t="str">
        <f>IFERROR(__xludf.DUMMYFUNCTION("""COMPUTED_VALUE"""),"23520BLM23520BLML - 50")</f>
        <v>23520BLM23520BLML - 50</v>
      </c>
      <c r="G2405" s="165">
        <f>IFERROR(__xludf.DUMMYFUNCTION("""COMPUTED_VALUE"""),1266.0)</f>
        <v>1266</v>
      </c>
    </row>
    <row r="2406" ht="15.75" customHeight="1">
      <c r="A2406" s="133" t="str">
        <f>IFERROR(__xludf.DUMMYFUNCTION("""COMPUTED_VALUE"""),"23520BLM23520BLM")</f>
        <v>23520BLM23520BLM</v>
      </c>
      <c r="B2406" s="164">
        <f>IFERROR(__xludf.DUMMYFUNCTION("""COMPUTED_VALUE"""),1.7182713E7)</f>
        <v>17182713</v>
      </c>
      <c r="C2406" s="164" t="str">
        <f>IFERROR(__xludf.DUMMYFUNCTION("""COMPUTED_VALUE"""),"17182713XL - 52")</f>
        <v>17182713XL - 52</v>
      </c>
      <c r="D2406" s="133"/>
      <c r="E2406" s="133" t="str">
        <f>IFERROR(__xludf.DUMMYFUNCTION("""COMPUTED_VALUE"""),"XL - 52")</f>
        <v>XL - 52</v>
      </c>
      <c r="F2406" s="133" t="str">
        <f>IFERROR(__xludf.DUMMYFUNCTION("""COMPUTED_VALUE"""),"23520BLM23520BLMXL - 52")</f>
        <v>23520BLM23520BLMXL - 52</v>
      </c>
      <c r="G2406" s="165">
        <f>IFERROR(__xludf.DUMMYFUNCTION("""COMPUTED_VALUE"""),1266.0)</f>
        <v>1266</v>
      </c>
    </row>
    <row r="2407" ht="15.75" customHeight="1">
      <c r="A2407" s="133" t="str">
        <f>IFERROR(__xludf.DUMMYFUNCTION("""COMPUTED_VALUE"""),"23520BLM23520BLM")</f>
        <v>23520BLM23520BLM</v>
      </c>
      <c r="B2407" s="164">
        <f>IFERROR(__xludf.DUMMYFUNCTION("""COMPUTED_VALUE"""),1.7182713E7)</f>
        <v>17182713</v>
      </c>
      <c r="C2407" s="164" t="str">
        <f>IFERROR(__xludf.DUMMYFUNCTION("""COMPUTED_VALUE"""),"17182713XXL - 54")</f>
        <v>17182713XXL - 54</v>
      </c>
      <c r="D2407" s="133"/>
      <c r="E2407" s="133" t="str">
        <f>IFERROR(__xludf.DUMMYFUNCTION("""COMPUTED_VALUE"""),"XXL - 54")</f>
        <v>XXL - 54</v>
      </c>
      <c r="F2407" s="133" t="str">
        <f>IFERROR(__xludf.DUMMYFUNCTION("""COMPUTED_VALUE"""),"23520BLM23520BLMXXL - 54")</f>
        <v>23520BLM23520BLMXXL - 54</v>
      </c>
      <c r="G2407" s="165">
        <f>IFERROR(__xludf.DUMMYFUNCTION("""COMPUTED_VALUE"""),1266.0)</f>
        <v>1266</v>
      </c>
    </row>
    <row r="2408" ht="15.75" customHeight="1">
      <c r="A2408" s="133" t="str">
        <f>IFERROR(__xludf.DUMMYFUNCTION("""COMPUTED_VALUE"""),"23520BLM23520BLM")</f>
        <v>23520BLM23520BLM</v>
      </c>
      <c r="B2408" s="164">
        <f>IFERROR(__xludf.DUMMYFUNCTION("""COMPUTED_VALUE"""),1.7182713E7)</f>
        <v>17182713</v>
      </c>
      <c r="C2408" s="164" t="str">
        <f>IFERROR(__xludf.DUMMYFUNCTION("""COMPUTED_VALUE"""),"17182713XXXL - 56")</f>
        <v>17182713XXXL - 56</v>
      </c>
      <c r="D2408" s="133"/>
      <c r="E2408" s="133" t="str">
        <f>IFERROR(__xludf.DUMMYFUNCTION("""COMPUTED_VALUE"""),"XXXL - 56")</f>
        <v>XXXL - 56</v>
      </c>
      <c r="F2408" s="133" t="str">
        <f>IFERROR(__xludf.DUMMYFUNCTION("""COMPUTED_VALUE"""),"23520BLM23520BLMXXXL - 56")</f>
        <v>23520BLM23520BLMXXXL - 56</v>
      </c>
      <c r="G2408" s="165">
        <f>IFERROR(__xludf.DUMMYFUNCTION("""COMPUTED_VALUE"""),1266.0)</f>
        <v>1266</v>
      </c>
    </row>
    <row r="2409" ht="15.75" customHeight="1">
      <c r="A2409" s="133" t="str">
        <f>IFERROR(__xludf.DUMMYFUNCTION("""COMPUTED_VALUE"""),"PL50149DGW")</f>
        <v>PL50149DGW</v>
      </c>
      <c r="B2409" s="164">
        <f>IFERROR(__xludf.DUMMYFUNCTION("""COMPUTED_VALUE"""),1.5522471E7)</f>
        <v>15522471</v>
      </c>
      <c r="C2409" s="164" t="str">
        <f>IFERROR(__xludf.DUMMYFUNCTION("""COMPUTED_VALUE"""),"1552247150")</f>
        <v>1552247150</v>
      </c>
      <c r="D2409" s="133"/>
      <c r="E2409" s="133">
        <f>IFERROR(__xludf.DUMMYFUNCTION("""COMPUTED_VALUE"""),50.0)</f>
        <v>50</v>
      </c>
      <c r="F2409" s="133" t="str">
        <f>IFERROR(__xludf.DUMMYFUNCTION("""COMPUTED_VALUE"""),"PL50149DGW50")</f>
        <v>PL50149DGW50</v>
      </c>
      <c r="G2409" s="165">
        <f>IFERROR(__xludf.DUMMYFUNCTION("""COMPUTED_VALUE"""),653.0)</f>
        <v>653</v>
      </c>
    </row>
    <row r="2410" ht="15.75" customHeight="1">
      <c r="A2410" s="133" t="str">
        <f>IFERROR(__xludf.DUMMYFUNCTION("""COMPUTED_VALUE"""),"PL50149DGW")</f>
        <v>PL50149DGW</v>
      </c>
      <c r="B2410" s="164">
        <f>IFERROR(__xludf.DUMMYFUNCTION("""COMPUTED_VALUE"""),1.5522471E7)</f>
        <v>15522471</v>
      </c>
      <c r="C2410" s="164" t="str">
        <f>IFERROR(__xludf.DUMMYFUNCTION("""COMPUTED_VALUE"""),"1552247152")</f>
        <v>1552247152</v>
      </c>
      <c r="D2410" s="133"/>
      <c r="E2410" s="133">
        <f>IFERROR(__xludf.DUMMYFUNCTION("""COMPUTED_VALUE"""),52.0)</f>
        <v>52</v>
      </c>
      <c r="F2410" s="133" t="str">
        <f>IFERROR(__xludf.DUMMYFUNCTION("""COMPUTED_VALUE"""),"PL50149DGW52")</f>
        <v>PL50149DGW52</v>
      </c>
      <c r="G2410" s="165">
        <f>IFERROR(__xludf.DUMMYFUNCTION("""COMPUTED_VALUE"""),653.0)</f>
        <v>653</v>
      </c>
    </row>
    <row r="2411" ht="15.75" customHeight="1">
      <c r="A2411" s="133" t="str">
        <f>IFERROR(__xludf.DUMMYFUNCTION("""COMPUTED_VALUE"""),"TL28620RU")</f>
        <v>TL28620RU</v>
      </c>
      <c r="B2411" s="164">
        <f>IFERROR(__xludf.DUMMYFUNCTION("""COMPUTED_VALUE"""),1.581816E7)</f>
        <v>15818160</v>
      </c>
      <c r="C2411" s="164" t="str">
        <f>IFERROR(__xludf.DUMMYFUNCTION("""COMPUTED_VALUE"""),"15818160")</f>
        <v>15818160</v>
      </c>
      <c r="D2411" s="133"/>
      <c r="E2411" s="133"/>
      <c r="F2411" s="133" t="str">
        <f>IFERROR(__xludf.DUMMYFUNCTION("""COMPUTED_VALUE"""),"TL28620RUS")</f>
        <v>TL28620RUS</v>
      </c>
      <c r="G2411" s="165">
        <f>IFERROR(__xludf.DUMMYFUNCTION("""COMPUTED_VALUE"""),292.0)</f>
        <v>292</v>
      </c>
    </row>
    <row r="2412" ht="15.75" customHeight="1">
      <c r="A2412" s="133" t="str">
        <f>IFERROR(__xludf.DUMMYFUNCTION("""COMPUTED_VALUE"""),"TL28620RU")</f>
        <v>TL28620RU</v>
      </c>
      <c r="B2412" s="164">
        <f>IFERROR(__xludf.DUMMYFUNCTION("""COMPUTED_VALUE"""),1.581816E7)</f>
        <v>15818160</v>
      </c>
      <c r="C2412" s="164" t="str">
        <f>IFERROR(__xludf.DUMMYFUNCTION("""COMPUTED_VALUE"""),"15818160")</f>
        <v>15818160</v>
      </c>
      <c r="D2412" s="133"/>
      <c r="E2412" s="133"/>
      <c r="F2412" s="133" t="str">
        <f>IFERROR(__xludf.DUMMYFUNCTION("""COMPUTED_VALUE"""),"TL28620RUM")</f>
        <v>TL28620RUM</v>
      </c>
      <c r="G2412" s="165">
        <f>IFERROR(__xludf.DUMMYFUNCTION("""COMPUTED_VALUE"""),292.0)</f>
        <v>292</v>
      </c>
    </row>
    <row r="2413" ht="15.75" customHeight="1">
      <c r="A2413" s="133" t="str">
        <f>IFERROR(__xludf.DUMMYFUNCTION("""COMPUTED_VALUE"""),"TL28620RU")</f>
        <v>TL28620RU</v>
      </c>
      <c r="B2413" s="164">
        <f>IFERROR(__xludf.DUMMYFUNCTION("""COMPUTED_VALUE"""),1.581816E7)</f>
        <v>15818160</v>
      </c>
      <c r="C2413" s="164" t="str">
        <f>IFERROR(__xludf.DUMMYFUNCTION("""COMPUTED_VALUE"""),"15818160")</f>
        <v>15818160</v>
      </c>
      <c r="D2413" s="133"/>
      <c r="E2413" s="133"/>
      <c r="F2413" s="133" t="str">
        <f>IFERROR(__xludf.DUMMYFUNCTION("""COMPUTED_VALUE"""),"TL28620RUL")</f>
        <v>TL28620RUL</v>
      </c>
      <c r="G2413" s="165">
        <f>IFERROR(__xludf.DUMMYFUNCTION("""COMPUTED_VALUE"""),292.0)</f>
        <v>292</v>
      </c>
    </row>
    <row r="2414" ht="15.75" customHeight="1">
      <c r="A2414" s="133">
        <f>IFERROR(__xludf.DUMMYFUNCTION("""COMPUTED_VALUE"""),10001.0)</f>
        <v>10001</v>
      </c>
      <c r="B2414" s="164">
        <f>IFERROR(__xludf.DUMMYFUNCTION("""COMPUTED_VALUE"""),5286901.0)</f>
        <v>5286901</v>
      </c>
      <c r="C2414" s="164" t="str">
        <f>IFERROR(__xludf.DUMMYFUNCTION("""COMPUTED_VALUE"""),"5286901XXS")</f>
        <v>5286901XXS</v>
      </c>
      <c r="D2414" s="133" t="str">
        <f>IFERROR(__xludf.DUMMYFUNCTION("""COMPUTED_VALUE"""),"Женский свитер с белкой")</f>
        <v>Женский свитер с белкой</v>
      </c>
      <c r="E2414" s="133" t="str">
        <f>IFERROR(__xludf.DUMMYFUNCTION("""COMPUTED_VALUE"""),"XXS")</f>
        <v>XXS</v>
      </c>
      <c r="F2414" s="133" t="str">
        <f>IFERROR(__xludf.DUMMYFUNCTION("""COMPUTED_VALUE"""),"10001XXS")</f>
        <v>10001XXS</v>
      </c>
      <c r="G2414" s="165">
        <f>IFERROR(__xludf.DUMMYFUNCTION("""COMPUTED_VALUE"""),1167.0)</f>
        <v>1167</v>
      </c>
    </row>
    <row r="2415" ht="15.75" customHeight="1">
      <c r="A2415" s="133">
        <f>IFERROR(__xludf.DUMMYFUNCTION("""COMPUTED_VALUE"""),10001.0)</f>
        <v>10001</v>
      </c>
      <c r="B2415" s="164">
        <f>IFERROR(__xludf.DUMMYFUNCTION("""COMPUTED_VALUE"""),5286901.0)</f>
        <v>5286901</v>
      </c>
      <c r="C2415" s="164" t="str">
        <f>IFERROR(__xludf.DUMMYFUNCTION("""COMPUTED_VALUE"""),"5286901XS")</f>
        <v>5286901XS</v>
      </c>
      <c r="D2415" s="133"/>
      <c r="E2415" s="133" t="str">
        <f>IFERROR(__xludf.DUMMYFUNCTION("""COMPUTED_VALUE"""),"XS")</f>
        <v>XS</v>
      </c>
      <c r="F2415" s="133" t="str">
        <f>IFERROR(__xludf.DUMMYFUNCTION("""COMPUTED_VALUE"""),"10001XS")</f>
        <v>10001XS</v>
      </c>
      <c r="G2415" s="165">
        <f>IFERROR(__xludf.DUMMYFUNCTION("""COMPUTED_VALUE"""),1167.0)</f>
        <v>1167</v>
      </c>
    </row>
    <row r="2416" ht="15.75" customHeight="1">
      <c r="A2416" s="133">
        <f>IFERROR(__xludf.DUMMYFUNCTION("""COMPUTED_VALUE"""),10001.0)</f>
        <v>10001</v>
      </c>
      <c r="B2416" s="164">
        <f>IFERROR(__xludf.DUMMYFUNCTION("""COMPUTED_VALUE"""),5286901.0)</f>
        <v>5286901</v>
      </c>
      <c r="C2416" s="164" t="str">
        <f>IFERROR(__xludf.DUMMYFUNCTION("""COMPUTED_VALUE"""),"5286901S")</f>
        <v>5286901S</v>
      </c>
      <c r="D2416" s="133"/>
      <c r="E2416" s="133" t="str">
        <f>IFERROR(__xludf.DUMMYFUNCTION("""COMPUTED_VALUE"""),"S")</f>
        <v>S</v>
      </c>
      <c r="F2416" s="133" t="str">
        <f>IFERROR(__xludf.DUMMYFUNCTION("""COMPUTED_VALUE"""),"10001S")</f>
        <v>10001S</v>
      </c>
      <c r="G2416" s="165">
        <f>IFERROR(__xludf.DUMMYFUNCTION("""COMPUTED_VALUE"""),1167.0)</f>
        <v>1167</v>
      </c>
    </row>
    <row r="2417" ht="15.75" customHeight="1">
      <c r="A2417" s="133">
        <f>IFERROR(__xludf.DUMMYFUNCTION("""COMPUTED_VALUE"""),10001.0)</f>
        <v>10001</v>
      </c>
      <c r="B2417" s="164">
        <f>IFERROR(__xludf.DUMMYFUNCTION("""COMPUTED_VALUE"""),5286901.0)</f>
        <v>5286901</v>
      </c>
      <c r="C2417" s="164" t="str">
        <f>IFERROR(__xludf.DUMMYFUNCTION("""COMPUTED_VALUE"""),"5286901M")</f>
        <v>5286901M</v>
      </c>
      <c r="D2417" s="133"/>
      <c r="E2417" s="133" t="str">
        <f>IFERROR(__xludf.DUMMYFUNCTION("""COMPUTED_VALUE"""),"M")</f>
        <v>M</v>
      </c>
      <c r="F2417" s="133" t="str">
        <f>IFERROR(__xludf.DUMMYFUNCTION("""COMPUTED_VALUE"""),"10001M")</f>
        <v>10001M</v>
      </c>
      <c r="G2417" s="165">
        <f>IFERROR(__xludf.DUMMYFUNCTION("""COMPUTED_VALUE"""),1167.0)</f>
        <v>1167</v>
      </c>
    </row>
    <row r="2418" ht="15.75" customHeight="1">
      <c r="A2418" s="133">
        <f>IFERROR(__xludf.DUMMYFUNCTION("""COMPUTED_VALUE"""),10001.0)</f>
        <v>10001</v>
      </c>
      <c r="B2418" s="164">
        <f>IFERROR(__xludf.DUMMYFUNCTION("""COMPUTED_VALUE"""),5286901.0)</f>
        <v>5286901</v>
      </c>
      <c r="C2418" s="164" t="str">
        <f>IFERROR(__xludf.DUMMYFUNCTION("""COMPUTED_VALUE"""),"5286901L")</f>
        <v>5286901L</v>
      </c>
      <c r="D2418" s="133"/>
      <c r="E2418" s="133" t="str">
        <f>IFERROR(__xludf.DUMMYFUNCTION("""COMPUTED_VALUE"""),"L")</f>
        <v>L</v>
      </c>
      <c r="F2418" s="133" t="str">
        <f>IFERROR(__xludf.DUMMYFUNCTION("""COMPUTED_VALUE"""),"10001L")</f>
        <v>10001L</v>
      </c>
      <c r="G2418" s="165">
        <f>IFERROR(__xludf.DUMMYFUNCTION("""COMPUTED_VALUE"""),1167.0)</f>
        <v>1167</v>
      </c>
    </row>
    <row r="2419" ht="15.75" customHeight="1">
      <c r="A2419" s="133">
        <f>IFERROR(__xludf.DUMMYFUNCTION("""COMPUTED_VALUE"""),10001.0)</f>
        <v>10001</v>
      </c>
      <c r="B2419" s="164">
        <f>IFERROR(__xludf.DUMMYFUNCTION("""COMPUTED_VALUE"""),5286901.0)</f>
        <v>5286901</v>
      </c>
      <c r="C2419" s="164" t="str">
        <f>IFERROR(__xludf.DUMMYFUNCTION("""COMPUTED_VALUE"""),"5286901XL")</f>
        <v>5286901XL</v>
      </c>
      <c r="D2419" s="133"/>
      <c r="E2419" s="133" t="str">
        <f>IFERROR(__xludf.DUMMYFUNCTION("""COMPUTED_VALUE"""),"XL")</f>
        <v>XL</v>
      </c>
      <c r="F2419" s="133" t="str">
        <f>IFERROR(__xludf.DUMMYFUNCTION("""COMPUTED_VALUE"""),"10001XL")</f>
        <v>10001XL</v>
      </c>
      <c r="G2419" s="165">
        <f>IFERROR(__xludf.DUMMYFUNCTION("""COMPUTED_VALUE"""),1167.0)</f>
        <v>1167</v>
      </c>
    </row>
    <row r="2420" ht="15.75" customHeight="1">
      <c r="A2420" s="133">
        <f>IFERROR(__xludf.DUMMYFUNCTION("""COMPUTED_VALUE"""),10003.0)</f>
        <v>10003</v>
      </c>
      <c r="B2420" s="164">
        <f>IFERROR(__xludf.DUMMYFUNCTION("""COMPUTED_VALUE"""),5286903.0)</f>
        <v>5286903</v>
      </c>
      <c r="C2420" s="164" t="str">
        <f>IFERROR(__xludf.DUMMYFUNCTION("""COMPUTED_VALUE"""),"5286903XXS")</f>
        <v>5286903XXS</v>
      </c>
      <c r="D2420" s="133" t="str">
        <f>IFERROR(__xludf.DUMMYFUNCTION("""COMPUTED_VALUE"""),"Женский свитер с белкой")</f>
        <v>Женский свитер с белкой</v>
      </c>
      <c r="E2420" s="133" t="str">
        <f>IFERROR(__xludf.DUMMYFUNCTION("""COMPUTED_VALUE"""),"XXS")</f>
        <v>XXS</v>
      </c>
      <c r="F2420" s="133" t="str">
        <f>IFERROR(__xludf.DUMMYFUNCTION("""COMPUTED_VALUE"""),"10003XXS")</f>
        <v>10003XXS</v>
      </c>
      <c r="G2420" s="165">
        <f>IFERROR(__xludf.DUMMYFUNCTION("""COMPUTED_VALUE"""),1167.0)</f>
        <v>1167</v>
      </c>
    </row>
    <row r="2421" ht="15.75" customHeight="1">
      <c r="A2421" s="133">
        <f>IFERROR(__xludf.DUMMYFUNCTION("""COMPUTED_VALUE"""),10003.0)</f>
        <v>10003</v>
      </c>
      <c r="B2421" s="164">
        <f>IFERROR(__xludf.DUMMYFUNCTION("""COMPUTED_VALUE"""),5286903.0)</f>
        <v>5286903</v>
      </c>
      <c r="C2421" s="164" t="str">
        <f>IFERROR(__xludf.DUMMYFUNCTION("""COMPUTED_VALUE"""),"5286903XS")</f>
        <v>5286903XS</v>
      </c>
      <c r="D2421" s="133"/>
      <c r="E2421" s="133" t="str">
        <f>IFERROR(__xludf.DUMMYFUNCTION("""COMPUTED_VALUE"""),"XS")</f>
        <v>XS</v>
      </c>
      <c r="F2421" s="133" t="str">
        <f>IFERROR(__xludf.DUMMYFUNCTION("""COMPUTED_VALUE"""),"10003XS")</f>
        <v>10003XS</v>
      </c>
      <c r="G2421" s="165">
        <f>IFERROR(__xludf.DUMMYFUNCTION("""COMPUTED_VALUE"""),1167.0)</f>
        <v>1167</v>
      </c>
    </row>
    <row r="2422" ht="15.75" customHeight="1">
      <c r="A2422" s="133">
        <f>IFERROR(__xludf.DUMMYFUNCTION("""COMPUTED_VALUE"""),10003.0)</f>
        <v>10003</v>
      </c>
      <c r="B2422" s="164">
        <f>IFERROR(__xludf.DUMMYFUNCTION("""COMPUTED_VALUE"""),5286903.0)</f>
        <v>5286903</v>
      </c>
      <c r="C2422" s="164" t="str">
        <f>IFERROR(__xludf.DUMMYFUNCTION("""COMPUTED_VALUE"""),"5286903S")</f>
        <v>5286903S</v>
      </c>
      <c r="D2422" s="133"/>
      <c r="E2422" s="133" t="str">
        <f>IFERROR(__xludf.DUMMYFUNCTION("""COMPUTED_VALUE"""),"S")</f>
        <v>S</v>
      </c>
      <c r="F2422" s="133" t="str">
        <f>IFERROR(__xludf.DUMMYFUNCTION("""COMPUTED_VALUE"""),"10003S")</f>
        <v>10003S</v>
      </c>
      <c r="G2422" s="165">
        <f>IFERROR(__xludf.DUMMYFUNCTION("""COMPUTED_VALUE"""),1167.0)</f>
        <v>1167</v>
      </c>
    </row>
    <row r="2423" ht="15.75" customHeight="1">
      <c r="A2423" s="133">
        <f>IFERROR(__xludf.DUMMYFUNCTION("""COMPUTED_VALUE"""),10003.0)</f>
        <v>10003</v>
      </c>
      <c r="B2423" s="164">
        <f>IFERROR(__xludf.DUMMYFUNCTION("""COMPUTED_VALUE"""),5286903.0)</f>
        <v>5286903</v>
      </c>
      <c r="C2423" s="164" t="str">
        <f>IFERROR(__xludf.DUMMYFUNCTION("""COMPUTED_VALUE"""),"5286903M")</f>
        <v>5286903M</v>
      </c>
      <c r="D2423" s="133"/>
      <c r="E2423" s="133" t="str">
        <f>IFERROR(__xludf.DUMMYFUNCTION("""COMPUTED_VALUE"""),"M")</f>
        <v>M</v>
      </c>
      <c r="F2423" s="133" t="str">
        <f>IFERROR(__xludf.DUMMYFUNCTION("""COMPUTED_VALUE"""),"10003M")</f>
        <v>10003M</v>
      </c>
      <c r="G2423" s="165">
        <f>IFERROR(__xludf.DUMMYFUNCTION("""COMPUTED_VALUE"""),1167.0)</f>
        <v>1167</v>
      </c>
    </row>
    <row r="2424" ht="15.75" customHeight="1">
      <c r="A2424" s="133">
        <f>IFERROR(__xludf.DUMMYFUNCTION("""COMPUTED_VALUE"""),10003.0)</f>
        <v>10003</v>
      </c>
      <c r="B2424" s="164">
        <f>IFERROR(__xludf.DUMMYFUNCTION("""COMPUTED_VALUE"""),5286903.0)</f>
        <v>5286903</v>
      </c>
      <c r="C2424" s="164" t="str">
        <f>IFERROR(__xludf.DUMMYFUNCTION("""COMPUTED_VALUE"""),"5286903L")</f>
        <v>5286903L</v>
      </c>
      <c r="D2424" s="133"/>
      <c r="E2424" s="133" t="str">
        <f>IFERROR(__xludf.DUMMYFUNCTION("""COMPUTED_VALUE"""),"L")</f>
        <v>L</v>
      </c>
      <c r="F2424" s="133" t="str">
        <f>IFERROR(__xludf.DUMMYFUNCTION("""COMPUTED_VALUE"""),"10003L")</f>
        <v>10003L</v>
      </c>
      <c r="G2424" s="165">
        <f>IFERROR(__xludf.DUMMYFUNCTION("""COMPUTED_VALUE"""),1167.0)</f>
        <v>1167</v>
      </c>
    </row>
    <row r="2425" ht="15.75" customHeight="1">
      <c r="A2425" s="133">
        <f>IFERROR(__xludf.DUMMYFUNCTION("""COMPUTED_VALUE"""),10003.0)</f>
        <v>10003</v>
      </c>
      <c r="B2425" s="164">
        <f>IFERROR(__xludf.DUMMYFUNCTION("""COMPUTED_VALUE"""),5286903.0)</f>
        <v>5286903</v>
      </c>
      <c r="C2425" s="164" t="str">
        <f>IFERROR(__xludf.DUMMYFUNCTION("""COMPUTED_VALUE"""),"5286903XL")</f>
        <v>5286903XL</v>
      </c>
      <c r="D2425" s="133"/>
      <c r="E2425" s="133" t="str">
        <f>IFERROR(__xludf.DUMMYFUNCTION("""COMPUTED_VALUE"""),"XL")</f>
        <v>XL</v>
      </c>
      <c r="F2425" s="133" t="str">
        <f>IFERROR(__xludf.DUMMYFUNCTION("""COMPUTED_VALUE"""),"10003XL")</f>
        <v>10003XL</v>
      </c>
      <c r="G2425" s="165">
        <f>IFERROR(__xludf.DUMMYFUNCTION("""COMPUTED_VALUE"""),1167.0)</f>
        <v>1167</v>
      </c>
    </row>
    <row r="2426" ht="15.75" customHeight="1">
      <c r="A2426" s="133" t="str">
        <f>IFERROR(__xludf.DUMMYFUNCTION("""COMPUTED_VALUE"""),"H403888SLW")</f>
        <v>H403888SLW</v>
      </c>
      <c r="B2426" s="164">
        <f>IFERROR(__xludf.DUMMYFUNCTION("""COMPUTED_VALUE"""),1.7615255E7)</f>
        <v>17615255</v>
      </c>
      <c r="C2426" s="164" t="str">
        <f>IFERROR(__xludf.DUMMYFUNCTION("""COMPUTED_VALUE"""),"1761525540-54")</f>
        <v>1761525540-54</v>
      </c>
      <c r="D2426" s="133"/>
      <c r="E2426" s="133" t="str">
        <f>IFERROR(__xludf.DUMMYFUNCTION("""COMPUTED_VALUE"""),"40-54")</f>
        <v>40-54</v>
      </c>
      <c r="F2426" s="133" t="str">
        <f>IFERROR(__xludf.DUMMYFUNCTION("""COMPUTED_VALUE"""),"H403888SLW40-54")</f>
        <v>H403888SLW40-54</v>
      </c>
      <c r="G2426" s="165">
        <f>IFERROR(__xludf.DUMMYFUNCTION("""COMPUTED_VALUE"""),883.0)</f>
        <v>883</v>
      </c>
    </row>
    <row r="2427" ht="15.75" customHeight="1">
      <c r="A2427" s="133" t="str">
        <f>IFERROR(__xludf.DUMMYFUNCTION("""COMPUTED_VALUE"""),"H403885SLW")</f>
        <v>H403885SLW</v>
      </c>
      <c r="B2427" s="164">
        <f>IFERROR(__xludf.DUMMYFUNCTION("""COMPUTED_VALUE"""),1.7615254E7)</f>
        <v>17615254</v>
      </c>
      <c r="C2427" s="164" t="str">
        <f>IFERROR(__xludf.DUMMYFUNCTION("""COMPUTED_VALUE"""),"1761525440-54")</f>
        <v>1761525440-54</v>
      </c>
      <c r="D2427" s="133"/>
      <c r="E2427" s="133" t="str">
        <f>IFERROR(__xludf.DUMMYFUNCTION("""COMPUTED_VALUE"""),"40-54")</f>
        <v>40-54</v>
      </c>
      <c r="F2427" s="133" t="str">
        <f>IFERROR(__xludf.DUMMYFUNCTION("""COMPUTED_VALUE"""),"H403885SLW40-54")</f>
        <v>H403885SLW40-54</v>
      </c>
      <c r="G2427" s="165">
        <f>IFERROR(__xludf.DUMMYFUNCTION("""COMPUTED_VALUE"""),876.0)</f>
        <v>876</v>
      </c>
    </row>
    <row r="2428" ht="15.75" customHeight="1">
      <c r="A2428" s="133" t="str">
        <f>IFERROR(__xludf.DUMMYFUNCTION("""COMPUTED_VALUE"""),"H40386SLM")</f>
        <v>H40386SLM</v>
      </c>
      <c r="B2428" s="164">
        <f>IFERROR(__xludf.DUMMYFUNCTION("""COMPUTED_VALUE"""),1.7615251E7)</f>
        <v>17615251</v>
      </c>
      <c r="C2428" s="164" t="str">
        <f>IFERROR(__xludf.DUMMYFUNCTION("""COMPUTED_VALUE"""),"1761525146-52")</f>
        <v>1761525146-52</v>
      </c>
      <c r="D2428" s="133"/>
      <c r="E2428" s="133" t="str">
        <f>IFERROR(__xludf.DUMMYFUNCTION("""COMPUTED_VALUE"""),"46-52")</f>
        <v>46-52</v>
      </c>
      <c r="F2428" s="133" t="str">
        <f>IFERROR(__xludf.DUMMYFUNCTION("""COMPUTED_VALUE"""),"H40386SLM46-52")</f>
        <v>H40386SLM46-52</v>
      </c>
      <c r="G2428" s="165">
        <f>IFERROR(__xludf.DUMMYFUNCTION("""COMPUTED_VALUE"""),876.0)</f>
        <v>876</v>
      </c>
    </row>
    <row r="2429" ht="15.75" customHeight="1">
      <c r="A2429" s="133" t="str">
        <f>IFERROR(__xludf.DUMMYFUNCTION("""COMPUTED_VALUE"""),"H40387SLM")</f>
        <v>H40387SLM</v>
      </c>
      <c r="B2429" s="164">
        <f>IFERROR(__xludf.DUMMYFUNCTION("""COMPUTED_VALUE"""),1.7615252E7)</f>
        <v>17615252</v>
      </c>
      <c r="C2429" s="164" t="str">
        <f>IFERROR(__xludf.DUMMYFUNCTION("""COMPUTED_VALUE"""),"1761525246-52")</f>
        <v>1761525246-52</v>
      </c>
      <c r="D2429" s="133"/>
      <c r="E2429" s="133" t="str">
        <f>IFERROR(__xludf.DUMMYFUNCTION("""COMPUTED_VALUE"""),"46-52")</f>
        <v>46-52</v>
      </c>
      <c r="F2429" s="133" t="str">
        <f>IFERROR(__xludf.DUMMYFUNCTION("""COMPUTED_VALUE"""),"H40387SLM46-52")</f>
        <v>H40387SLM46-52</v>
      </c>
      <c r="G2429" s="165">
        <f>IFERROR(__xludf.DUMMYFUNCTION("""COMPUTED_VALUE"""),883.0)</f>
        <v>883</v>
      </c>
    </row>
    <row r="2430" ht="15.75" customHeight="1">
      <c r="A2430" s="133" t="str">
        <f>IFERROR(__xludf.DUMMYFUNCTION("""COMPUTED_VALUE"""),"H40390SLMпудра")</f>
        <v>H40390SLMпудра</v>
      </c>
      <c r="B2430" s="164">
        <f>IFERROR(__xludf.DUMMYFUNCTION("""COMPUTED_VALUE"""),1.7615253E7)</f>
        <v>17615253</v>
      </c>
      <c r="C2430" s="164" t="str">
        <f>IFERROR(__xludf.DUMMYFUNCTION("""COMPUTED_VALUE"""),"1761525346-53")</f>
        <v>1761525346-53</v>
      </c>
      <c r="D2430" s="133"/>
      <c r="E2430" s="133" t="str">
        <f>IFERROR(__xludf.DUMMYFUNCTION("""COMPUTED_VALUE"""),"46-53")</f>
        <v>46-53</v>
      </c>
      <c r="F2430" s="133" t="str">
        <f>IFERROR(__xludf.DUMMYFUNCTION("""COMPUTED_VALUE"""),"H40390SLMпудра46-53")</f>
        <v>H40390SLMпудра46-53</v>
      </c>
      <c r="G2430" s="165">
        <f>IFERROR(__xludf.DUMMYFUNCTION("""COMPUTED_VALUE"""),877.0)</f>
        <v>877</v>
      </c>
    </row>
    <row r="2431" ht="15.75" customHeight="1">
      <c r="A2431" s="133" t="str">
        <f>IFERROR(__xludf.DUMMYFUNCTION("""COMPUTED_VALUE"""),"KO40385SLWпудра")</f>
        <v>KO40385SLWпудра</v>
      </c>
      <c r="B2431" s="164">
        <f>IFERROR(__xludf.DUMMYFUNCTION("""COMPUTED_VALUE"""),1.7615826E7)</f>
        <v>17615826</v>
      </c>
      <c r="C2431" s="164" t="str">
        <f>IFERROR(__xludf.DUMMYFUNCTION("""COMPUTED_VALUE"""),"17615826S")</f>
        <v>17615826S</v>
      </c>
      <c r="D2431" s="133"/>
      <c r="E2431" s="133" t="str">
        <f>IFERROR(__xludf.DUMMYFUNCTION("""COMPUTED_VALUE"""),"S")</f>
        <v>S</v>
      </c>
      <c r="F2431" s="133" t="str">
        <f>IFERROR(__xludf.DUMMYFUNCTION("""COMPUTED_VALUE"""),"KO40385SLWпудраS")</f>
        <v>KO40385SLWпудраS</v>
      </c>
      <c r="G2431" s="165">
        <f>IFERROR(__xludf.DUMMYFUNCTION("""COMPUTED_VALUE"""),1589.0)</f>
        <v>1589</v>
      </c>
    </row>
    <row r="2432" ht="15.75" customHeight="1">
      <c r="A2432" s="133" t="str">
        <f>IFERROR(__xludf.DUMMYFUNCTION("""COMPUTED_VALUE"""),"KO40385SLWпудра")</f>
        <v>KO40385SLWпудра</v>
      </c>
      <c r="B2432" s="164">
        <f>IFERROR(__xludf.DUMMYFUNCTION("""COMPUTED_VALUE"""),1.7615826E7)</f>
        <v>17615826</v>
      </c>
      <c r="C2432" s="164" t="str">
        <f>IFERROR(__xludf.DUMMYFUNCTION("""COMPUTED_VALUE"""),"17615826M")</f>
        <v>17615826M</v>
      </c>
      <c r="D2432" s="133"/>
      <c r="E2432" s="133" t="str">
        <f>IFERROR(__xludf.DUMMYFUNCTION("""COMPUTED_VALUE"""),"M")</f>
        <v>M</v>
      </c>
      <c r="F2432" s="133" t="str">
        <f>IFERROR(__xludf.DUMMYFUNCTION("""COMPUTED_VALUE"""),"KO40385SLWпудраM")</f>
        <v>KO40385SLWпудраM</v>
      </c>
      <c r="G2432" s="165">
        <f>IFERROR(__xludf.DUMMYFUNCTION("""COMPUTED_VALUE"""),1589.0)</f>
        <v>1589</v>
      </c>
    </row>
    <row r="2433" ht="15.75" customHeight="1">
      <c r="A2433" s="133" t="str">
        <f>IFERROR(__xludf.DUMMYFUNCTION("""COMPUTED_VALUE"""),"KO40385SLWпудра")</f>
        <v>KO40385SLWпудра</v>
      </c>
      <c r="B2433" s="164">
        <f>IFERROR(__xludf.DUMMYFUNCTION("""COMPUTED_VALUE"""),1.7615826E7)</f>
        <v>17615826</v>
      </c>
      <c r="C2433" s="164" t="str">
        <f>IFERROR(__xludf.DUMMYFUNCTION("""COMPUTED_VALUE"""),"17615826L")</f>
        <v>17615826L</v>
      </c>
      <c r="D2433" s="133"/>
      <c r="E2433" s="133" t="str">
        <f>IFERROR(__xludf.DUMMYFUNCTION("""COMPUTED_VALUE"""),"L")</f>
        <v>L</v>
      </c>
      <c r="F2433" s="133" t="str">
        <f>IFERROR(__xludf.DUMMYFUNCTION("""COMPUTED_VALUE"""),"KO40385SLWпудраL")</f>
        <v>KO40385SLWпудраL</v>
      </c>
      <c r="G2433" s="165">
        <f>IFERROR(__xludf.DUMMYFUNCTION("""COMPUTED_VALUE"""),1589.0)</f>
        <v>1589</v>
      </c>
    </row>
    <row r="2434" ht="15.75" customHeight="1">
      <c r="A2434" s="133" t="str">
        <f>IFERROR(__xludf.DUMMYFUNCTION("""COMPUTED_VALUE"""),"KO40385SLWпудра")</f>
        <v>KO40385SLWпудра</v>
      </c>
      <c r="B2434" s="164">
        <f>IFERROR(__xludf.DUMMYFUNCTION("""COMPUTED_VALUE"""),1.7615826E7)</f>
        <v>17615826</v>
      </c>
      <c r="C2434" s="164" t="str">
        <f>IFERROR(__xludf.DUMMYFUNCTION("""COMPUTED_VALUE"""),"17615826XL")</f>
        <v>17615826XL</v>
      </c>
      <c r="D2434" s="133"/>
      <c r="E2434" s="133" t="str">
        <f>IFERROR(__xludf.DUMMYFUNCTION("""COMPUTED_VALUE"""),"XL")</f>
        <v>XL</v>
      </c>
      <c r="F2434" s="133" t="str">
        <f>IFERROR(__xludf.DUMMYFUNCTION("""COMPUTED_VALUE"""),"KO40385SLWпудраXL")</f>
        <v>KO40385SLWпудраXL</v>
      </c>
      <c r="G2434" s="165">
        <f>IFERROR(__xludf.DUMMYFUNCTION("""COMPUTED_VALUE"""),1589.0)</f>
        <v>1589</v>
      </c>
    </row>
    <row r="2435" ht="15.75" customHeight="1">
      <c r="A2435" s="133" t="str">
        <f>IFERROR(__xludf.DUMMYFUNCTION("""COMPUTED_VALUE"""),"KO40385SLWкэмел")</f>
        <v>KO40385SLWкэмел</v>
      </c>
      <c r="B2435" s="164">
        <f>IFERROR(__xludf.DUMMYFUNCTION("""COMPUTED_VALUE"""),1.7615825E7)</f>
        <v>17615825</v>
      </c>
      <c r="C2435" s="164" t="str">
        <f>IFERROR(__xludf.DUMMYFUNCTION("""COMPUTED_VALUE"""),"17615825S")</f>
        <v>17615825S</v>
      </c>
      <c r="D2435" s="133"/>
      <c r="E2435" s="133" t="str">
        <f>IFERROR(__xludf.DUMMYFUNCTION("""COMPUTED_VALUE"""),"S")</f>
        <v>S</v>
      </c>
      <c r="F2435" s="133" t="str">
        <f>IFERROR(__xludf.DUMMYFUNCTION("""COMPUTED_VALUE"""),"KO40385SLWкэмелS")</f>
        <v>KO40385SLWкэмелS</v>
      </c>
      <c r="G2435" s="165">
        <f>IFERROR(__xludf.DUMMYFUNCTION("""COMPUTED_VALUE"""),1589.0)</f>
        <v>1589</v>
      </c>
    </row>
    <row r="2436" ht="15.75" customHeight="1">
      <c r="A2436" s="133" t="str">
        <f>IFERROR(__xludf.DUMMYFUNCTION("""COMPUTED_VALUE"""),"KO40385SLWкэмел")</f>
        <v>KO40385SLWкэмел</v>
      </c>
      <c r="B2436" s="164">
        <f>IFERROR(__xludf.DUMMYFUNCTION("""COMPUTED_VALUE"""),1.7615825E7)</f>
        <v>17615825</v>
      </c>
      <c r="C2436" s="164" t="str">
        <f>IFERROR(__xludf.DUMMYFUNCTION("""COMPUTED_VALUE"""),"17615825M")</f>
        <v>17615825M</v>
      </c>
      <c r="D2436" s="133"/>
      <c r="E2436" s="133" t="str">
        <f>IFERROR(__xludf.DUMMYFUNCTION("""COMPUTED_VALUE"""),"M")</f>
        <v>M</v>
      </c>
      <c r="F2436" s="133" t="str">
        <f>IFERROR(__xludf.DUMMYFUNCTION("""COMPUTED_VALUE"""),"KO40385SLWкэмелM")</f>
        <v>KO40385SLWкэмелM</v>
      </c>
      <c r="G2436" s="165">
        <f>IFERROR(__xludf.DUMMYFUNCTION("""COMPUTED_VALUE"""),1589.0)</f>
        <v>1589</v>
      </c>
    </row>
    <row r="2437" ht="15.75" customHeight="1">
      <c r="A2437" s="133" t="str">
        <f>IFERROR(__xludf.DUMMYFUNCTION("""COMPUTED_VALUE"""),"KO40385SLWкэмел")</f>
        <v>KO40385SLWкэмел</v>
      </c>
      <c r="B2437" s="164">
        <f>IFERROR(__xludf.DUMMYFUNCTION("""COMPUTED_VALUE"""),1.7615825E7)</f>
        <v>17615825</v>
      </c>
      <c r="C2437" s="164" t="str">
        <f>IFERROR(__xludf.DUMMYFUNCTION("""COMPUTED_VALUE"""),"17615825L")</f>
        <v>17615825L</v>
      </c>
      <c r="D2437" s="133"/>
      <c r="E2437" s="133" t="str">
        <f>IFERROR(__xludf.DUMMYFUNCTION("""COMPUTED_VALUE"""),"L")</f>
        <v>L</v>
      </c>
      <c r="F2437" s="133" t="str">
        <f>IFERROR(__xludf.DUMMYFUNCTION("""COMPUTED_VALUE"""),"KO40385SLWкэмелL")</f>
        <v>KO40385SLWкэмелL</v>
      </c>
      <c r="G2437" s="165">
        <f>IFERROR(__xludf.DUMMYFUNCTION("""COMPUTED_VALUE"""),1589.0)</f>
        <v>1589</v>
      </c>
    </row>
    <row r="2438" ht="15.75" customHeight="1">
      <c r="A2438" s="133" t="str">
        <f>IFERROR(__xludf.DUMMYFUNCTION("""COMPUTED_VALUE"""),"KO40385SLWкэмел")</f>
        <v>KO40385SLWкэмел</v>
      </c>
      <c r="B2438" s="164">
        <f>IFERROR(__xludf.DUMMYFUNCTION("""COMPUTED_VALUE"""),1.7615825E7)</f>
        <v>17615825</v>
      </c>
      <c r="C2438" s="164" t="str">
        <f>IFERROR(__xludf.DUMMYFUNCTION("""COMPUTED_VALUE"""),"17615825XL")</f>
        <v>17615825XL</v>
      </c>
      <c r="D2438" s="133"/>
      <c r="E2438" s="133" t="str">
        <f>IFERROR(__xludf.DUMMYFUNCTION("""COMPUTED_VALUE"""),"XL")</f>
        <v>XL</v>
      </c>
      <c r="F2438" s="133" t="str">
        <f>IFERROR(__xludf.DUMMYFUNCTION("""COMPUTED_VALUE"""),"KO40385SLWкэмелXL")</f>
        <v>KO40385SLWкэмелXL</v>
      </c>
      <c r="G2438" s="165">
        <f>IFERROR(__xludf.DUMMYFUNCTION("""COMPUTED_VALUE"""),1589.0)</f>
        <v>1589</v>
      </c>
    </row>
    <row r="2439" ht="15.75" customHeight="1">
      <c r="A2439" s="133" t="str">
        <f>IFERROR(__xludf.DUMMYFUNCTION("""COMPUTED_VALUE"""),"SV60300BLM")</f>
        <v>SV60300BLM</v>
      </c>
      <c r="B2439" s="164">
        <f>IFERROR(__xludf.DUMMYFUNCTION("""COMPUTED_VALUE"""),1.7723125E7)</f>
        <v>17723125</v>
      </c>
      <c r="C2439" s="164" t="str">
        <f>IFERROR(__xludf.DUMMYFUNCTION("""COMPUTED_VALUE"""),"17723125M - 48")</f>
        <v>17723125M - 48</v>
      </c>
      <c r="D2439" s="133"/>
      <c r="E2439" s="133" t="str">
        <f>IFERROR(__xludf.DUMMYFUNCTION("""COMPUTED_VALUE"""),"M - 48")</f>
        <v>M - 48</v>
      </c>
      <c r="F2439" s="133" t="str">
        <f>IFERROR(__xludf.DUMMYFUNCTION("""COMPUTED_VALUE"""),"SV60300BLMM - 48")</f>
        <v>SV60300BLMM - 48</v>
      </c>
      <c r="G2439" s="165">
        <f>IFERROR(__xludf.DUMMYFUNCTION("""COMPUTED_VALUE"""),1114.0)</f>
        <v>1114</v>
      </c>
    </row>
    <row r="2440" ht="15.75" customHeight="1">
      <c r="A2440" s="133" t="str">
        <f>IFERROR(__xludf.DUMMYFUNCTION("""COMPUTED_VALUE"""),"SV60300BLM")</f>
        <v>SV60300BLM</v>
      </c>
      <c r="B2440" s="164">
        <f>IFERROR(__xludf.DUMMYFUNCTION("""COMPUTED_VALUE"""),1.7723125E7)</f>
        <v>17723125</v>
      </c>
      <c r="C2440" s="164" t="str">
        <f>IFERROR(__xludf.DUMMYFUNCTION("""COMPUTED_VALUE"""),"17723125L - 50")</f>
        <v>17723125L - 50</v>
      </c>
      <c r="D2440" s="133"/>
      <c r="E2440" s="133" t="str">
        <f>IFERROR(__xludf.DUMMYFUNCTION("""COMPUTED_VALUE"""),"L - 50")</f>
        <v>L - 50</v>
      </c>
      <c r="F2440" s="133" t="str">
        <f>IFERROR(__xludf.DUMMYFUNCTION("""COMPUTED_VALUE"""),"SV60300BLML - 50")</f>
        <v>SV60300BLML - 50</v>
      </c>
      <c r="G2440" s="165">
        <f>IFERROR(__xludf.DUMMYFUNCTION("""COMPUTED_VALUE"""),1114.0)</f>
        <v>1114</v>
      </c>
    </row>
    <row r="2441" ht="15.75" customHeight="1">
      <c r="A2441" s="133" t="str">
        <f>IFERROR(__xludf.DUMMYFUNCTION("""COMPUTED_VALUE"""),"SV60300BLM")</f>
        <v>SV60300BLM</v>
      </c>
      <c r="B2441" s="164">
        <f>IFERROR(__xludf.DUMMYFUNCTION("""COMPUTED_VALUE"""),1.7723125E7)</f>
        <v>17723125</v>
      </c>
      <c r="C2441" s="164" t="str">
        <f>IFERROR(__xludf.DUMMYFUNCTION("""COMPUTED_VALUE"""),"17723125XL - 52")</f>
        <v>17723125XL - 52</v>
      </c>
      <c r="D2441" s="133"/>
      <c r="E2441" s="133" t="str">
        <f>IFERROR(__xludf.DUMMYFUNCTION("""COMPUTED_VALUE"""),"XL - 52")</f>
        <v>XL - 52</v>
      </c>
      <c r="F2441" s="133" t="str">
        <f>IFERROR(__xludf.DUMMYFUNCTION("""COMPUTED_VALUE"""),"SV60300BLMXL - 52")</f>
        <v>SV60300BLMXL - 52</v>
      </c>
      <c r="G2441" s="165">
        <f>IFERROR(__xludf.DUMMYFUNCTION("""COMPUTED_VALUE"""),1114.0)</f>
        <v>1114</v>
      </c>
    </row>
    <row r="2442" ht="15.75" customHeight="1">
      <c r="A2442" s="133" t="str">
        <f>IFERROR(__xludf.DUMMYFUNCTION("""COMPUTED_VALUE"""),"SV60300BLM")</f>
        <v>SV60300BLM</v>
      </c>
      <c r="B2442" s="164">
        <f>IFERROR(__xludf.DUMMYFUNCTION("""COMPUTED_VALUE"""),1.7723125E7)</f>
        <v>17723125</v>
      </c>
      <c r="C2442" s="164" t="str">
        <f>IFERROR(__xludf.DUMMYFUNCTION("""COMPUTED_VALUE"""),"17723125XXL - 54")</f>
        <v>17723125XXL - 54</v>
      </c>
      <c r="D2442" s="133"/>
      <c r="E2442" s="133" t="str">
        <f>IFERROR(__xludf.DUMMYFUNCTION("""COMPUTED_VALUE"""),"XXL - 54")</f>
        <v>XXL - 54</v>
      </c>
      <c r="F2442" s="133" t="str">
        <f>IFERROR(__xludf.DUMMYFUNCTION("""COMPUTED_VALUE"""),"SV60300BLMXXL - 54")</f>
        <v>SV60300BLMXXL - 54</v>
      </c>
      <c r="G2442" s="165">
        <f>IFERROR(__xludf.DUMMYFUNCTION("""COMPUTED_VALUE"""),1114.0)</f>
        <v>1114</v>
      </c>
    </row>
    <row r="2443" ht="15.75" customHeight="1">
      <c r="A2443" s="133" t="str">
        <f>IFERROR(__xludf.DUMMYFUNCTION("""COMPUTED_VALUE"""),"SV60299BLM")</f>
        <v>SV60299BLM</v>
      </c>
      <c r="B2443" s="164">
        <f>IFERROR(__xludf.DUMMYFUNCTION("""COMPUTED_VALUE"""),1.7723124E7)</f>
        <v>17723124</v>
      </c>
      <c r="C2443" s="164" t="str">
        <f>IFERROR(__xludf.DUMMYFUNCTION("""COMPUTED_VALUE"""),"17723124M - 48")</f>
        <v>17723124M - 48</v>
      </c>
      <c r="D2443" s="133"/>
      <c r="E2443" s="133" t="str">
        <f>IFERROR(__xludf.DUMMYFUNCTION("""COMPUTED_VALUE"""),"M - 48")</f>
        <v>M - 48</v>
      </c>
      <c r="F2443" s="133" t="str">
        <f>IFERROR(__xludf.DUMMYFUNCTION("""COMPUTED_VALUE"""),"SV60299BLMM - 48")</f>
        <v>SV60299BLMM - 48</v>
      </c>
      <c r="G2443" s="165">
        <f>IFERROR(__xludf.DUMMYFUNCTION("""COMPUTED_VALUE"""),1114.0)</f>
        <v>1114</v>
      </c>
    </row>
    <row r="2444" ht="15.75" customHeight="1">
      <c r="A2444" s="133" t="str">
        <f>IFERROR(__xludf.DUMMYFUNCTION("""COMPUTED_VALUE"""),"SV60299BLM")</f>
        <v>SV60299BLM</v>
      </c>
      <c r="B2444" s="164">
        <f>IFERROR(__xludf.DUMMYFUNCTION("""COMPUTED_VALUE"""),1.7723124E7)</f>
        <v>17723124</v>
      </c>
      <c r="C2444" s="164" t="str">
        <f>IFERROR(__xludf.DUMMYFUNCTION("""COMPUTED_VALUE"""),"17723124L - 50")</f>
        <v>17723124L - 50</v>
      </c>
      <c r="D2444" s="133"/>
      <c r="E2444" s="133" t="str">
        <f>IFERROR(__xludf.DUMMYFUNCTION("""COMPUTED_VALUE"""),"L - 50")</f>
        <v>L - 50</v>
      </c>
      <c r="F2444" s="133" t="str">
        <f>IFERROR(__xludf.DUMMYFUNCTION("""COMPUTED_VALUE"""),"SV60299BLML - 50")</f>
        <v>SV60299BLML - 50</v>
      </c>
      <c r="G2444" s="165">
        <f>IFERROR(__xludf.DUMMYFUNCTION("""COMPUTED_VALUE"""),1114.0)</f>
        <v>1114</v>
      </c>
    </row>
    <row r="2445" ht="15.75" customHeight="1">
      <c r="A2445" s="133" t="str">
        <f>IFERROR(__xludf.DUMMYFUNCTION("""COMPUTED_VALUE"""),"SV60299BLM")</f>
        <v>SV60299BLM</v>
      </c>
      <c r="B2445" s="164">
        <f>IFERROR(__xludf.DUMMYFUNCTION("""COMPUTED_VALUE"""),1.7723124E7)</f>
        <v>17723124</v>
      </c>
      <c r="C2445" s="164" t="str">
        <f>IFERROR(__xludf.DUMMYFUNCTION("""COMPUTED_VALUE"""),"17723124XL - 52")</f>
        <v>17723124XL - 52</v>
      </c>
      <c r="D2445" s="133"/>
      <c r="E2445" s="133" t="str">
        <f>IFERROR(__xludf.DUMMYFUNCTION("""COMPUTED_VALUE"""),"XL - 52")</f>
        <v>XL - 52</v>
      </c>
      <c r="F2445" s="133" t="str">
        <f>IFERROR(__xludf.DUMMYFUNCTION("""COMPUTED_VALUE"""),"SV60299BLMXL - 52")</f>
        <v>SV60299BLMXL - 52</v>
      </c>
      <c r="G2445" s="165">
        <f>IFERROR(__xludf.DUMMYFUNCTION("""COMPUTED_VALUE"""),1114.0)</f>
        <v>1114</v>
      </c>
    </row>
    <row r="2446" ht="15.75" customHeight="1">
      <c r="A2446" s="133" t="str">
        <f>IFERROR(__xludf.DUMMYFUNCTION("""COMPUTED_VALUE"""),"SV60299BLM")</f>
        <v>SV60299BLM</v>
      </c>
      <c r="B2446" s="164">
        <f>IFERROR(__xludf.DUMMYFUNCTION("""COMPUTED_VALUE"""),1.7723124E7)</f>
        <v>17723124</v>
      </c>
      <c r="C2446" s="164" t="str">
        <f>IFERROR(__xludf.DUMMYFUNCTION("""COMPUTED_VALUE"""),"17723124XXL - 54")</f>
        <v>17723124XXL - 54</v>
      </c>
      <c r="D2446" s="133"/>
      <c r="E2446" s="133" t="str">
        <f>IFERROR(__xludf.DUMMYFUNCTION("""COMPUTED_VALUE"""),"XXL - 54")</f>
        <v>XXL - 54</v>
      </c>
      <c r="F2446" s="133" t="str">
        <f>IFERROR(__xludf.DUMMYFUNCTION("""COMPUTED_VALUE"""),"SV60299BLMXXL - 54")</f>
        <v>SV60299BLMXXL - 54</v>
      </c>
      <c r="G2446" s="165">
        <f>IFERROR(__xludf.DUMMYFUNCTION("""COMPUTED_VALUE"""),1114.0)</f>
        <v>1114</v>
      </c>
    </row>
    <row r="2447" ht="15.75" customHeight="1">
      <c r="A2447" s="133" t="str">
        <f>IFERROR(__xludf.DUMMYFUNCTION("""COMPUTED_VALUE"""),"DZ60291BLW")</f>
        <v>DZ60291BLW</v>
      </c>
      <c r="B2447" s="164">
        <f>IFERROR(__xludf.DUMMYFUNCTION("""COMPUTED_VALUE"""),1.7842024E7)</f>
        <v>17842024</v>
      </c>
      <c r="C2447" s="164" t="str">
        <f>IFERROR(__xludf.DUMMYFUNCTION("""COMPUTED_VALUE"""),"17842024ХS - 48")</f>
        <v>17842024ХS - 48</v>
      </c>
      <c r="D2447" s="133"/>
      <c r="E2447" s="133" t="str">
        <f>IFERROR(__xludf.DUMMYFUNCTION("""COMPUTED_VALUE"""),"ХS - 48")</f>
        <v>ХS - 48</v>
      </c>
      <c r="F2447" s="133" t="str">
        <f>IFERROR(__xludf.DUMMYFUNCTION("""COMPUTED_VALUE"""),"DZ60291BLWХS - 48")</f>
        <v>DZ60291BLWХS - 48</v>
      </c>
      <c r="G2447" s="165">
        <f>IFERROR(__xludf.DUMMYFUNCTION("""COMPUTED_VALUE"""),1216.0)</f>
        <v>1216</v>
      </c>
    </row>
    <row r="2448" ht="15.75" customHeight="1">
      <c r="A2448" s="133" t="str">
        <f>IFERROR(__xludf.DUMMYFUNCTION("""COMPUTED_VALUE"""),"DZ60291BLW")</f>
        <v>DZ60291BLW</v>
      </c>
      <c r="B2448" s="164">
        <f>IFERROR(__xludf.DUMMYFUNCTION("""COMPUTED_VALUE"""),1.7842024E7)</f>
        <v>17842024</v>
      </c>
      <c r="C2448" s="164" t="str">
        <f>IFERROR(__xludf.DUMMYFUNCTION("""COMPUTED_VALUE"""),"17842024S - 50")</f>
        <v>17842024S - 50</v>
      </c>
      <c r="D2448" s="133"/>
      <c r="E2448" s="133" t="str">
        <f>IFERROR(__xludf.DUMMYFUNCTION("""COMPUTED_VALUE"""),"S - 50")</f>
        <v>S - 50</v>
      </c>
      <c r="F2448" s="133" t="str">
        <f>IFERROR(__xludf.DUMMYFUNCTION("""COMPUTED_VALUE"""),"DZ60291BLWS - 50")</f>
        <v>DZ60291BLWS - 50</v>
      </c>
      <c r="G2448" s="165">
        <f>IFERROR(__xludf.DUMMYFUNCTION("""COMPUTED_VALUE"""),1216.0)</f>
        <v>1216</v>
      </c>
    </row>
    <row r="2449" ht="15.75" customHeight="1">
      <c r="A2449" s="133" t="str">
        <f>IFERROR(__xludf.DUMMYFUNCTION("""COMPUTED_VALUE"""),"DZ60291BLW")</f>
        <v>DZ60291BLW</v>
      </c>
      <c r="B2449" s="164">
        <f>IFERROR(__xludf.DUMMYFUNCTION("""COMPUTED_VALUE"""),1.7842024E7)</f>
        <v>17842024</v>
      </c>
      <c r="C2449" s="164" t="str">
        <f>IFERROR(__xludf.DUMMYFUNCTION("""COMPUTED_VALUE"""),"17842024M - 52")</f>
        <v>17842024M - 52</v>
      </c>
      <c r="D2449" s="133"/>
      <c r="E2449" s="133" t="str">
        <f>IFERROR(__xludf.DUMMYFUNCTION("""COMPUTED_VALUE"""),"M - 52")</f>
        <v>M - 52</v>
      </c>
      <c r="F2449" s="133" t="str">
        <f>IFERROR(__xludf.DUMMYFUNCTION("""COMPUTED_VALUE"""),"DZ60291BLWM - 52")</f>
        <v>DZ60291BLWM - 52</v>
      </c>
      <c r="G2449" s="165">
        <f>IFERROR(__xludf.DUMMYFUNCTION("""COMPUTED_VALUE"""),1216.0)</f>
        <v>1216</v>
      </c>
    </row>
    <row r="2450" ht="15.75" customHeight="1">
      <c r="A2450" s="133" t="str">
        <f>IFERROR(__xludf.DUMMYFUNCTION("""COMPUTED_VALUE"""),"DZ60291BLW")</f>
        <v>DZ60291BLW</v>
      </c>
      <c r="B2450" s="164">
        <f>IFERROR(__xludf.DUMMYFUNCTION("""COMPUTED_VALUE"""),1.7842024E7)</f>
        <v>17842024</v>
      </c>
      <c r="C2450" s="164" t="str">
        <f>IFERROR(__xludf.DUMMYFUNCTION("""COMPUTED_VALUE"""),"17842024L - 54")</f>
        <v>17842024L - 54</v>
      </c>
      <c r="D2450" s="133"/>
      <c r="E2450" s="133" t="str">
        <f>IFERROR(__xludf.DUMMYFUNCTION("""COMPUTED_VALUE"""),"L - 54")</f>
        <v>L - 54</v>
      </c>
      <c r="F2450" s="133" t="str">
        <f>IFERROR(__xludf.DUMMYFUNCTION("""COMPUTED_VALUE"""),"DZ60291BLWL - 54")</f>
        <v>DZ60291BLWL - 54</v>
      </c>
      <c r="G2450" s="165">
        <f>IFERROR(__xludf.DUMMYFUNCTION("""COMPUTED_VALUE"""),1216.0)</f>
        <v>1216</v>
      </c>
    </row>
    <row r="2451" ht="15.75" customHeight="1">
      <c r="A2451" s="133" t="str">
        <f>IFERROR(__xludf.DUMMYFUNCTION("""COMPUTED_VALUE"""),"DZ60292BLW")</f>
        <v>DZ60292BLW</v>
      </c>
      <c r="B2451" s="164">
        <f>IFERROR(__xludf.DUMMYFUNCTION("""COMPUTED_VALUE"""),1.7842025E7)</f>
        <v>17842025</v>
      </c>
      <c r="C2451" s="164" t="str">
        <f>IFERROR(__xludf.DUMMYFUNCTION("""COMPUTED_VALUE"""),"17842025ХS - 48")</f>
        <v>17842025ХS - 48</v>
      </c>
      <c r="D2451" s="133"/>
      <c r="E2451" s="133" t="str">
        <f>IFERROR(__xludf.DUMMYFUNCTION("""COMPUTED_VALUE"""),"ХS - 48")</f>
        <v>ХS - 48</v>
      </c>
      <c r="F2451" s="133" t="str">
        <f>IFERROR(__xludf.DUMMYFUNCTION("""COMPUTED_VALUE"""),"DZ60292BLWХS - 48")</f>
        <v>DZ60292BLWХS - 48</v>
      </c>
      <c r="G2451" s="165">
        <f>IFERROR(__xludf.DUMMYFUNCTION("""COMPUTED_VALUE"""),1216.0)</f>
        <v>1216</v>
      </c>
    </row>
    <row r="2452" ht="15.75" customHeight="1">
      <c r="A2452" s="133" t="str">
        <f>IFERROR(__xludf.DUMMYFUNCTION("""COMPUTED_VALUE"""),"DZ60292BLW")</f>
        <v>DZ60292BLW</v>
      </c>
      <c r="B2452" s="164">
        <f>IFERROR(__xludf.DUMMYFUNCTION("""COMPUTED_VALUE"""),1.7842025E7)</f>
        <v>17842025</v>
      </c>
      <c r="C2452" s="164" t="str">
        <f>IFERROR(__xludf.DUMMYFUNCTION("""COMPUTED_VALUE"""),"17842025S - 50")</f>
        <v>17842025S - 50</v>
      </c>
      <c r="D2452" s="133"/>
      <c r="E2452" s="133" t="str">
        <f>IFERROR(__xludf.DUMMYFUNCTION("""COMPUTED_VALUE"""),"S - 50")</f>
        <v>S - 50</v>
      </c>
      <c r="F2452" s="133" t="str">
        <f>IFERROR(__xludf.DUMMYFUNCTION("""COMPUTED_VALUE"""),"DZ60292BLWS - 50")</f>
        <v>DZ60292BLWS - 50</v>
      </c>
      <c r="G2452" s="165">
        <f>IFERROR(__xludf.DUMMYFUNCTION("""COMPUTED_VALUE"""),1216.0)</f>
        <v>1216</v>
      </c>
    </row>
    <row r="2453" ht="15.75" customHeight="1">
      <c r="A2453" s="133" t="str">
        <f>IFERROR(__xludf.DUMMYFUNCTION("""COMPUTED_VALUE"""),"DZ60292BLW")</f>
        <v>DZ60292BLW</v>
      </c>
      <c r="B2453" s="164">
        <f>IFERROR(__xludf.DUMMYFUNCTION("""COMPUTED_VALUE"""),1.7842025E7)</f>
        <v>17842025</v>
      </c>
      <c r="C2453" s="164" t="str">
        <f>IFERROR(__xludf.DUMMYFUNCTION("""COMPUTED_VALUE"""),"17842025M - 52")</f>
        <v>17842025M - 52</v>
      </c>
      <c r="D2453" s="133"/>
      <c r="E2453" s="133" t="str">
        <f>IFERROR(__xludf.DUMMYFUNCTION("""COMPUTED_VALUE"""),"M - 52")</f>
        <v>M - 52</v>
      </c>
      <c r="F2453" s="133" t="str">
        <f>IFERROR(__xludf.DUMMYFUNCTION("""COMPUTED_VALUE"""),"DZ60292BLWM - 52")</f>
        <v>DZ60292BLWM - 52</v>
      </c>
      <c r="G2453" s="165">
        <f>IFERROR(__xludf.DUMMYFUNCTION("""COMPUTED_VALUE"""),1216.0)</f>
        <v>1216</v>
      </c>
    </row>
    <row r="2454" ht="15.75" customHeight="1">
      <c r="A2454" s="133" t="str">
        <f>IFERROR(__xludf.DUMMYFUNCTION("""COMPUTED_VALUE"""),"DZ60292BLW")</f>
        <v>DZ60292BLW</v>
      </c>
      <c r="B2454" s="164">
        <f>IFERROR(__xludf.DUMMYFUNCTION("""COMPUTED_VALUE"""),1.7842025E7)</f>
        <v>17842025</v>
      </c>
      <c r="C2454" s="164" t="str">
        <f>IFERROR(__xludf.DUMMYFUNCTION("""COMPUTED_VALUE"""),"17842025L - 54")</f>
        <v>17842025L - 54</v>
      </c>
      <c r="D2454" s="133"/>
      <c r="E2454" s="133" t="str">
        <f>IFERROR(__xludf.DUMMYFUNCTION("""COMPUTED_VALUE"""),"L - 54")</f>
        <v>L - 54</v>
      </c>
      <c r="F2454" s="133" t="str">
        <f>IFERROR(__xludf.DUMMYFUNCTION("""COMPUTED_VALUE"""),"DZ60292BLWL - 54")</f>
        <v>DZ60292BLWL - 54</v>
      </c>
      <c r="G2454" s="165">
        <f>IFERROR(__xludf.DUMMYFUNCTION("""COMPUTED_VALUE"""),1216.0)</f>
        <v>1216</v>
      </c>
    </row>
    <row r="2455" ht="15.75" customHeight="1">
      <c r="A2455" s="133" t="str">
        <f>IFERROR(__xludf.DUMMYFUNCTION("""COMPUTED_VALUE"""),"KA60293BLW")</f>
        <v>KA60293BLW</v>
      </c>
      <c r="B2455" s="164">
        <f>IFERROR(__xludf.DUMMYFUNCTION("""COMPUTED_VALUE"""),1.7842026E7)</f>
        <v>17842026</v>
      </c>
      <c r="C2455" s="164" t="str">
        <f>IFERROR(__xludf.DUMMYFUNCTION("""COMPUTED_VALUE"""),"17842026ХS - 48")</f>
        <v>17842026ХS - 48</v>
      </c>
      <c r="D2455" s="133"/>
      <c r="E2455" s="133" t="str">
        <f>IFERROR(__xludf.DUMMYFUNCTION("""COMPUTED_VALUE"""),"ХS - 48")</f>
        <v>ХS - 48</v>
      </c>
      <c r="F2455" s="133" t="str">
        <f>IFERROR(__xludf.DUMMYFUNCTION("""COMPUTED_VALUE"""),"KA60293BLWХS - 48")</f>
        <v>KA60293BLWХS - 48</v>
      </c>
      <c r="G2455" s="165">
        <f>IFERROR(__xludf.DUMMYFUNCTION("""COMPUTED_VALUE"""),1283.0)</f>
        <v>1283</v>
      </c>
    </row>
    <row r="2456" ht="15.75" customHeight="1">
      <c r="A2456" s="133" t="str">
        <f>IFERROR(__xludf.DUMMYFUNCTION("""COMPUTED_VALUE"""),"KA60293BLW")</f>
        <v>KA60293BLW</v>
      </c>
      <c r="B2456" s="164">
        <f>IFERROR(__xludf.DUMMYFUNCTION("""COMPUTED_VALUE"""),1.7842026E7)</f>
        <v>17842026</v>
      </c>
      <c r="C2456" s="164" t="str">
        <f>IFERROR(__xludf.DUMMYFUNCTION("""COMPUTED_VALUE"""),"17842026S - 50")</f>
        <v>17842026S - 50</v>
      </c>
      <c r="D2456" s="133"/>
      <c r="E2456" s="133" t="str">
        <f>IFERROR(__xludf.DUMMYFUNCTION("""COMPUTED_VALUE"""),"S - 50")</f>
        <v>S - 50</v>
      </c>
      <c r="F2456" s="133" t="str">
        <f>IFERROR(__xludf.DUMMYFUNCTION("""COMPUTED_VALUE"""),"KA60293BLWS - 50")</f>
        <v>KA60293BLWS - 50</v>
      </c>
      <c r="G2456" s="165">
        <f>IFERROR(__xludf.DUMMYFUNCTION("""COMPUTED_VALUE"""),1283.0)</f>
        <v>1283</v>
      </c>
    </row>
    <row r="2457" ht="15.75" customHeight="1">
      <c r="A2457" s="133" t="str">
        <f>IFERROR(__xludf.DUMMYFUNCTION("""COMPUTED_VALUE"""),"KA60293BLW")</f>
        <v>KA60293BLW</v>
      </c>
      <c r="B2457" s="164">
        <f>IFERROR(__xludf.DUMMYFUNCTION("""COMPUTED_VALUE"""),1.7842026E7)</f>
        <v>17842026</v>
      </c>
      <c r="C2457" s="164" t="str">
        <f>IFERROR(__xludf.DUMMYFUNCTION("""COMPUTED_VALUE"""),"17842026M - 52")</f>
        <v>17842026M - 52</v>
      </c>
      <c r="D2457" s="133"/>
      <c r="E2457" s="133" t="str">
        <f>IFERROR(__xludf.DUMMYFUNCTION("""COMPUTED_VALUE"""),"M - 52")</f>
        <v>M - 52</v>
      </c>
      <c r="F2457" s="133" t="str">
        <f>IFERROR(__xludf.DUMMYFUNCTION("""COMPUTED_VALUE"""),"KA60293BLWM - 52")</f>
        <v>KA60293BLWM - 52</v>
      </c>
      <c r="G2457" s="165">
        <f>IFERROR(__xludf.DUMMYFUNCTION("""COMPUTED_VALUE"""),1283.0)</f>
        <v>1283</v>
      </c>
    </row>
    <row r="2458" ht="15.75" customHeight="1">
      <c r="A2458" s="133" t="str">
        <f>IFERROR(__xludf.DUMMYFUNCTION("""COMPUTED_VALUE"""),"KA60293BLW")</f>
        <v>KA60293BLW</v>
      </c>
      <c r="B2458" s="164">
        <f>IFERROR(__xludf.DUMMYFUNCTION("""COMPUTED_VALUE"""),1.7842026E7)</f>
        <v>17842026</v>
      </c>
      <c r="C2458" s="164" t="str">
        <f>IFERROR(__xludf.DUMMYFUNCTION("""COMPUTED_VALUE"""),"17842026L - 54")</f>
        <v>17842026L - 54</v>
      </c>
      <c r="D2458" s="133"/>
      <c r="E2458" s="133" t="str">
        <f>IFERROR(__xludf.DUMMYFUNCTION("""COMPUTED_VALUE"""),"L - 54")</f>
        <v>L - 54</v>
      </c>
      <c r="F2458" s="133" t="str">
        <f>IFERROR(__xludf.DUMMYFUNCTION("""COMPUTED_VALUE"""),"KA60293BLWL - 54")</f>
        <v>KA60293BLWL - 54</v>
      </c>
      <c r="G2458" s="165">
        <f>IFERROR(__xludf.DUMMYFUNCTION("""COMPUTED_VALUE"""),1283.0)</f>
        <v>1283</v>
      </c>
    </row>
    <row r="2459" ht="15.75" customHeight="1">
      <c r="A2459" s="133" t="str">
        <f>IFERROR(__xludf.DUMMYFUNCTION("""COMPUTED_VALUE"""),"KA60294BLW")</f>
        <v>KA60294BLW</v>
      </c>
      <c r="B2459" s="164">
        <f>IFERROR(__xludf.DUMMYFUNCTION("""COMPUTED_VALUE"""),1.7842027E7)</f>
        <v>17842027</v>
      </c>
      <c r="C2459" s="164" t="str">
        <f>IFERROR(__xludf.DUMMYFUNCTION("""COMPUTED_VALUE"""),"17842027ХS - 48")</f>
        <v>17842027ХS - 48</v>
      </c>
      <c r="D2459" s="133"/>
      <c r="E2459" s="133" t="str">
        <f>IFERROR(__xludf.DUMMYFUNCTION("""COMPUTED_VALUE"""),"ХS - 48")</f>
        <v>ХS - 48</v>
      </c>
      <c r="F2459" s="133" t="str">
        <f>IFERROR(__xludf.DUMMYFUNCTION("""COMPUTED_VALUE"""),"KA60294BLWХS - 48")</f>
        <v>KA60294BLWХS - 48</v>
      </c>
      <c r="G2459" s="165">
        <f>IFERROR(__xludf.DUMMYFUNCTION("""COMPUTED_VALUE"""),1282.0)</f>
        <v>1282</v>
      </c>
    </row>
    <row r="2460" ht="15.75" customHeight="1">
      <c r="A2460" s="133" t="str">
        <f>IFERROR(__xludf.DUMMYFUNCTION("""COMPUTED_VALUE"""),"KA60294BLW")</f>
        <v>KA60294BLW</v>
      </c>
      <c r="B2460" s="164">
        <f>IFERROR(__xludf.DUMMYFUNCTION("""COMPUTED_VALUE"""),1.7842027E7)</f>
        <v>17842027</v>
      </c>
      <c r="C2460" s="164" t="str">
        <f>IFERROR(__xludf.DUMMYFUNCTION("""COMPUTED_VALUE"""),"17842027S - 50")</f>
        <v>17842027S - 50</v>
      </c>
      <c r="D2460" s="133"/>
      <c r="E2460" s="133" t="str">
        <f>IFERROR(__xludf.DUMMYFUNCTION("""COMPUTED_VALUE"""),"S - 50")</f>
        <v>S - 50</v>
      </c>
      <c r="F2460" s="133" t="str">
        <f>IFERROR(__xludf.DUMMYFUNCTION("""COMPUTED_VALUE"""),"KA60294BLWS - 50")</f>
        <v>KA60294BLWS - 50</v>
      </c>
      <c r="G2460" s="165">
        <f>IFERROR(__xludf.DUMMYFUNCTION("""COMPUTED_VALUE"""),1282.0)</f>
        <v>1282</v>
      </c>
    </row>
    <row r="2461" ht="15.75" customHeight="1">
      <c r="A2461" s="133" t="str">
        <f>IFERROR(__xludf.DUMMYFUNCTION("""COMPUTED_VALUE"""),"KA60294BLW")</f>
        <v>KA60294BLW</v>
      </c>
      <c r="B2461" s="164">
        <f>IFERROR(__xludf.DUMMYFUNCTION("""COMPUTED_VALUE"""),1.7842027E7)</f>
        <v>17842027</v>
      </c>
      <c r="C2461" s="164" t="str">
        <f>IFERROR(__xludf.DUMMYFUNCTION("""COMPUTED_VALUE"""),"17842027M - 52")</f>
        <v>17842027M - 52</v>
      </c>
      <c r="D2461" s="133"/>
      <c r="E2461" s="133" t="str">
        <f>IFERROR(__xludf.DUMMYFUNCTION("""COMPUTED_VALUE"""),"M - 52")</f>
        <v>M - 52</v>
      </c>
      <c r="F2461" s="133" t="str">
        <f>IFERROR(__xludf.DUMMYFUNCTION("""COMPUTED_VALUE"""),"KA60294BLWM - 52")</f>
        <v>KA60294BLWM - 52</v>
      </c>
      <c r="G2461" s="165">
        <f>IFERROR(__xludf.DUMMYFUNCTION("""COMPUTED_VALUE"""),1282.0)</f>
        <v>1282</v>
      </c>
    </row>
    <row r="2462" ht="15.75" customHeight="1">
      <c r="A2462" s="133" t="str">
        <f>IFERROR(__xludf.DUMMYFUNCTION("""COMPUTED_VALUE"""),"KA60294BLW")</f>
        <v>KA60294BLW</v>
      </c>
      <c r="B2462" s="164">
        <f>IFERROR(__xludf.DUMMYFUNCTION("""COMPUTED_VALUE"""),1.7842027E7)</f>
        <v>17842027</v>
      </c>
      <c r="C2462" s="164" t="str">
        <f>IFERROR(__xludf.DUMMYFUNCTION("""COMPUTED_VALUE"""),"17842027L - 54")</f>
        <v>17842027L - 54</v>
      </c>
      <c r="D2462" s="133"/>
      <c r="E2462" s="133" t="str">
        <f>IFERROR(__xludf.DUMMYFUNCTION("""COMPUTED_VALUE"""),"L - 54")</f>
        <v>L - 54</v>
      </c>
      <c r="F2462" s="133" t="str">
        <f>IFERROR(__xludf.DUMMYFUNCTION("""COMPUTED_VALUE"""),"KA60294BLWL - 54")</f>
        <v>KA60294BLWL - 54</v>
      </c>
      <c r="G2462" s="165">
        <f>IFERROR(__xludf.DUMMYFUNCTION("""COMPUTED_VALUE"""),1282.0)</f>
        <v>1282</v>
      </c>
    </row>
    <row r="2463" ht="15.75" customHeight="1">
      <c r="A2463" s="133" t="str">
        <f>IFERROR(__xludf.DUMMYFUNCTION("""COMPUTED_VALUE"""),"PL50146DGWбордовый")</f>
        <v>PL50146DGWбордовый</v>
      </c>
      <c r="B2463" s="164">
        <f>IFERROR(__xludf.DUMMYFUNCTION("""COMPUTED_VALUE"""),1.7832092E7)</f>
        <v>17832092</v>
      </c>
      <c r="C2463" s="164" t="str">
        <f>IFERROR(__xludf.DUMMYFUNCTION("""COMPUTED_VALUE"""),"1783209242")</f>
        <v>1783209242</v>
      </c>
      <c r="D2463" s="133"/>
      <c r="E2463" s="133">
        <f>IFERROR(__xludf.DUMMYFUNCTION("""COMPUTED_VALUE"""),42.0)</f>
        <v>42</v>
      </c>
      <c r="F2463" s="133" t="str">
        <f>IFERROR(__xludf.DUMMYFUNCTION("""COMPUTED_VALUE"""),"PL50146DGWбордовый42")</f>
        <v>PL50146DGWбордовый42</v>
      </c>
      <c r="G2463" s="165">
        <f>IFERROR(__xludf.DUMMYFUNCTION("""COMPUTED_VALUE"""),659.0)</f>
        <v>659</v>
      </c>
    </row>
    <row r="2464" ht="15.75" customHeight="1">
      <c r="A2464" s="133" t="str">
        <f>IFERROR(__xludf.DUMMYFUNCTION("""COMPUTED_VALUE"""),"PL50146DGWбордовый")</f>
        <v>PL50146DGWбордовый</v>
      </c>
      <c r="B2464" s="164">
        <f>IFERROR(__xludf.DUMMYFUNCTION("""COMPUTED_VALUE"""),1.7832092E7)</f>
        <v>17832092</v>
      </c>
      <c r="C2464" s="164" t="str">
        <f>IFERROR(__xludf.DUMMYFUNCTION("""COMPUTED_VALUE"""),"1783209244")</f>
        <v>1783209244</v>
      </c>
      <c r="D2464" s="133"/>
      <c r="E2464" s="133">
        <f>IFERROR(__xludf.DUMMYFUNCTION("""COMPUTED_VALUE"""),44.0)</f>
        <v>44</v>
      </c>
      <c r="F2464" s="133" t="str">
        <f>IFERROR(__xludf.DUMMYFUNCTION("""COMPUTED_VALUE"""),"PL50146DGWбордовый44")</f>
        <v>PL50146DGWбордовый44</v>
      </c>
      <c r="G2464" s="165">
        <f>IFERROR(__xludf.DUMMYFUNCTION("""COMPUTED_VALUE"""),659.0)</f>
        <v>659</v>
      </c>
    </row>
    <row r="2465" ht="15.75" customHeight="1">
      <c r="A2465" s="133" t="str">
        <f>IFERROR(__xludf.DUMMYFUNCTION("""COMPUTED_VALUE"""),"PL50146DGWбордовый")</f>
        <v>PL50146DGWбордовый</v>
      </c>
      <c r="B2465" s="164">
        <f>IFERROR(__xludf.DUMMYFUNCTION("""COMPUTED_VALUE"""),1.7832092E7)</f>
        <v>17832092</v>
      </c>
      <c r="C2465" s="164" t="str">
        <f>IFERROR(__xludf.DUMMYFUNCTION("""COMPUTED_VALUE"""),"1783209246")</f>
        <v>1783209246</v>
      </c>
      <c r="D2465" s="133"/>
      <c r="E2465" s="133">
        <f>IFERROR(__xludf.DUMMYFUNCTION("""COMPUTED_VALUE"""),46.0)</f>
        <v>46</v>
      </c>
      <c r="F2465" s="133" t="str">
        <f>IFERROR(__xludf.DUMMYFUNCTION("""COMPUTED_VALUE"""),"PL50146DGWбордовый46")</f>
        <v>PL50146DGWбордовый46</v>
      </c>
      <c r="G2465" s="165">
        <f>IFERROR(__xludf.DUMMYFUNCTION("""COMPUTED_VALUE"""),659.0)</f>
        <v>659</v>
      </c>
    </row>
    <row r="2466" ht="15.75" customHeight="1">
      <c r="A2466" s="133" t="str">
        <f>IFERROR(__xludf.DUMMYFUNCTION("""COMPUTED_VALUE"""),"PL50146DGWбордовый")</f>
        <v>PL50146DGWбордовый</v>
      </c>
      <c r="B2466" s="164">
        <f>IFERROR(__xludf.DUMMYFUNCTION("""COMPUTED_VALUE"""),1.7832092E7)</f>
        <v>17832092</v>
      </c>
      <c r="C2466" s="164" t="str">
        <f>IFERROR(__xludf.DUMMYFUNCTION("""COMPUTED_VALUE"""),"1783209248")</f>
        <v>1783209248</v>
      </c>
      <c r="D2466" s="133"/>
      <c r="E2466" s="133">
        <f>IFERROR(__xludf.DUMMYFUNCTION("""COMPUTED_VALUE"""),48.0)</f>
        <v>48</v>
      </c>
      <c r="F2466" s="133" t="str">
        <f>IFERROR(__xludf.DUMMYFUNCTION("""COMPUTED_VALUE"""),"PL50146DGWбордовый48")</f>
        <v>PL50146DGWбордовый48</v>
      </c>
      <c r="G2466" s="165">
        <f>IFERROR(__xludf.DUMMYFUNCTION("""COMPUTED_VALUE"""),659.0)</f>
        <v>659</v>
      </c>
    </row>
    <row r="2467" ht="15.75" customHeight="1">
      <c r="A2467" s="133" t="str">
        <f>IFERROR(__xludf.DUMMYFUNCTION("""COMPUTED_VALUE"""),"PL50146DGWбордовый")</f>
        <v>PL50146DGWбордовый</v>
      </c>
      <c r="B2467" s="164">
        <f>IFERROR(__xludf.DUMMYFUNCTION("""COMPUTED_VALUE"""),1.7832092E7)</f>
        <v>17832092</v>
      </c>
      <c r="C2467" s="164" t="str">
        <f>IFERROR(__xludf.DUMMYFUNCTION("""COMPUTED_VALUE"""),"1783209250")</f>
        <v>1783209250</v>
      </c>
      <c r="D2467" s="133"/>
      <c r="E2467" s="133">
        <f>IFERROR(__xludf.DUMMYFUNCTION("""COMPUTED_VALUE"""),50.0)</f>
        <v>50</v>
      </c>
      <c r="F2467" s="133" t="str">
        <f>IFERROR(__xludf.DUMMYFUNCTION("""COMPUTED_VALUE"""),"PL50146DGWбордовый50")</f>
        <v>PL50146DGWбордовый50</v>
      </c>
      <c r="G2467" s="165">
        <f>IFERROR(__xludf.DUMMYFUNCTION("""COMPUTED_VALUE"""),659.0)</f>
        <v>659</v>
      </c>
    </row>
    <row r="2468" ht="15.75" customHeight="1">
      <c r="A2468" s="133" t="str">
        <f>IFERROR(__xludf.DUMMYFUNCTION("""COMPUTED_VALUE"""),"PL50146DGWбордовый")</f>
        <v>PL50146DGWбордовый</v>
      </c>
      <c r="B2468" s="164">
        <f>IFERROR(__xludf.DUMMYFUNCTION("""COMPUTED_VALUE"""),1.7832092E7)</f>
        <v>17832092</v>
      </c>
      <c r="C2468" s="164" t="str">
        <f>IFERROR(__xludf.DUMMYFUNCTION("""COMPUTED_VALUE"""),"1783209252")</f>
        <v>1783209252</v>
      </c>
      <c r="D2468" s="133"/>
      <c r="E2468" s="133">
        <f>IFERROR(__xludf.DUMMYFUNCTION("""COMPUTED_VALUE"""),52.0)</f>
        <v>52</v>
      </c>
      <c r="F2468" s="133" t="str">
        <f>IFERROR(__xludf.DUMMYFUNCTION("""COMPUTED_VALUE"""),"PL50146DGWбордовый52")</f>
        <v>PL50146DGWбордовый52</v>
      </c>
      <c r="G2468" s="165">
        <f>IFERROR(__xludf.DUMMYFUNCTION("""COMPUTED_VALUE"""),659.0)</f>
        <v>659</v>
      </c>
    </row>
    <row r="2469" ht="15.75" customHeight="1">
      <c r="A2469" s="133" t="str">
        <f>IFERROR(__xludf.DUMMYFUNCTION("""COMPUTED_VALUE"""),"PL50146DGWбордовый")</f>
        <v>PL50146DGWбордовый</v>
      </c>
      <c r="B2469" s="164">
        <f>IFERROR(__xludf.DUMMYFUNCTION("""COMPUTED_VALUE"""),1.7832092E7)</f>
        <v>17832092</v>
      </c>
      <c r="C2469" s="164" t="str">
        <f>IFERROR(__xludf.DUMMYFUNCTION("""COMPUTED_VALUE"""),"1783209254")</f>
        <v>1783209254</v>
      </c>
      <c r="D2469" s="133"/>
      <c r="E2469" s="133">
        <f>IFERROR(__xludf.DUMMYFUNCTION("""COMPUTED_VALUE"""),54.0)</f>
        <v>54</v>
      </c>
      <c r="F2469" s="133" t="str">
        <f>IFERROR(__xludf.DUMMYFUNCTION("""COMPUTED_VALUE"""),"PL50146DGWбордовый54")</f>
        <v>PL50146DGWбордовый54</v>
      </c>
      <c r="G2469" s="165">
        <f>IFERROR(__xludf.DUMMYFUNCTION("""COMPUTED_VALUE"""),659.0)</f>
        <v>659</v>
      </c>
    </row>
    <row r="2470" ht="15.75" customHeight="1">
      <c r="A2470" s="133" t="str">
        <f>IFERROR(__xludf.DUMMYFUNCTION("""COMPUTED_VALUE"""),"PL50146DGWкрасный")</f>
        <v>PL50146DGWкрасный</v>
      </c>
      <c r="B2470" s="164">
        <f>IFERROR(__xludf.DUMMYFUNCTION("""COMPUTED_VALUE"""),1.7832093E7)</f>
        <v>17832093</v>
      </c>
      <c r="C2470" s="164" t="str">
        <f>IFERROR(__xludf.DUMMYFUNCTION("""COMPUTED_VALUE"""),"1783209342")</f>
        <v>1783209342</v>
      </c>
      <c r="D2470" s="133"/>
      <c r="E2470" s="133">
        <f>IFERROR(__xludf.DUMMYFUNCTION("""COMPUTED_VALUE"""),42.0)</f>
        <v>42</v>
      </c>
      <c r="F2470" s="133" t="str">
        <f>IFERROR(__xludf.DUMMYFUNCTION("""COMPUTED_VALUE"""),"PL50146DGWкрасный42")</f>
        <v>PL50146DGWкрасный42</v>
      </c>
      <c r="G2470" s="165">
        <f>IFERROR(__xludf.DUMMYFUNCTION("""COMPUTED_VALUE"""),656.0)</f>
        <v>656</v>
      </c>
    </row>
    <row r="2471" ht="15.75" customHeight="1">
      <c r="A2471" s="133" t="str">
        <f>IFERROR(__xludf.DUMMYFUNCTION("""COMPUTED_VALUE"""),"PL50146DGWкрасный")</f>
        <v>PL50146DGWкрасный</v>
      </c>
      <c r="B2471" s="164">
        <f>IFERROR(__xludf.DUMMYFUNCTION("""COMPUTED_VALUE"""),1.7832093E7)</f>
        <v>17832093</v>
      </c>
      <c r="C2471" s="164" t="str">
        <f>IFERROR(__xludf.DUMMYFUNCTION("""COMPUTED_VALUE"""),"1783209344")</f>
        <v>1783209344</v>
      </c>
      <c r="D2471" s="133"/>
      <c r="E2471" s="133">
        <f>IFERROR(__xludf.DUMMYFUNCTION("""COMPUTED_VALUE"""),44.0)</f>
        <v>44</v>
      </c>
      <c r="F2471" s="133" t="str">
        <f>IFERROR(__xludf.DUMMYFUNCTION("""COMPUTED_VALUE"""),"PL50146DGWкрасный44")</f>
        <v>PL50146DGWкрасный44</v>
      </c>
      <c r="G2471" s="165">
        <f>IFERROR(__xludf.DUMMYFUNCTION("""COMPUTED_VALUE"""),656.0)</f>
        <v>656</v>
      </c>
    </row>
    <row r="2472" ht="15.75" customHeight="1">
      <c r="A2472" s="133" t="str">
        <f>IFERROR(__xludf.DUMMYFUNCTION("""COMPUTED_VALUE"""),"PL50146DGWкрасный")</f>
        <v>PL50146DGWкрасный</v>
      </c>
      <c r="B2472" s="164">
        <f>IFERROR(__xludf.DUMMYFUNCTION("""COMPUTED_VALUE"""),1.7832093E7)</f>
        <v>17832093</v>
      </c>
      <c r="C2472" s="164" t="str">
        <f>IFERROR(__xludf.DUMMYFUNCTION("""COMPUTED_VALUE"""),"1783209346")</f>
        <v>1783209346</v>
      </c>
      <c r="D2472" s="133"/>
      <c r="E2472" s="133">
        <f>IFERROR(__xludf.DUMMYFUNCTION("""COMPUTED_VALUE"""),46.0)</f>
        <v>46</v>
      </c>
      <c r="F2472" s="133" t="str">
        <f>IFERROR(__xludf.DUMMYFUNCTION("""COMPUTED_VALUE"""),"PL50146DGWкрасный46")</f>
        <v>PL50146DGWкрасный46</v>
      </c>
      <c r="G2472" s="165">
        <f>IFERROR(__xludf.DUMMYFUNCTION("""COMPUTED_VALUE"""),656.0)</f>
        <v>656</v>
      </c>
    </row>
    <row r="2473" ht="15.75" customHeight="1">
      <c r="A2473" s="133" t="str">
        <f>IFERROR(__xludf.DUMMYFUNCTION("""COMPUTED_VALUE"""),"PL50146DGWкрасный")</f>
        <v>PL50146DGWкрасный</v>
      </c>
      <c r="B2473" s="164">
        <f>IFERROR(__xludf.DUMMYFUNCTION("""COMPUTED_VALUE"""),1.7832093E7)</f>
        <v>17832093</v>
      </c>
      <c r="C2473" s="164" t="str">
        <f>IFERROR(__xludf.DUMMYFUNCTION("""COMPUTED_VALUE"""),"1783209348")</f>
        <v>1783209348</v>
      </c>
      <c r="D2473" s="133"/>
      <c r="E2473" s="133">
        <f>IFERROR(__xludf.DUMMYFUNCTION("""COMPUTED_VALUE"""),48.0)</f>
        <v>48</v>
      </c>
      <c r="F2473" s="133" t="str">
        <f>IFERROR(__xludf.DUMMYFUNCTION("""COMPUTED_VALUE"""),"PL50146DGWкрасный48")</f>
        <v>PL50146DGWкрасный48</v>
      </c>
      <c r="G2473" s="165">
        <f>IFERROR(__xludf.DUMMYFUNCTION("""COMPUTED_VALUE"""),656.0)</f>
        <v>656</v>
      </c>
    </row>
    <row r="2474" ht="15.75" customHeight="1">
      <c r="A2474" s="133" t="str">
        <f>IFERROR(__xludf.DUMMYFUNCTION("""COMPUTED_VALUE"""),"PL50146DGWкрасный")</f>
        <v>PL50146DGWкрасный</v>
      </c>
      <c r="B2474" s="164">
        <f>IFERROR(__xludf.DUMMYFUNCTION("""COMPUTED_VALUE"""),1.7832093E7)</f>
        <v>17832093</v>
      </c>
      <c r="C2474" s="164" t="str">
        <f>IFERROR(__xludf.DUMMYFUNCTION("""COMPUTED_VALUE"""),"1783209350")</f>
        <v>1783209350</v>
      </c>
      <c r="D2474" s="133"/>
      <c r="E2474" s="133">
        <f>IFERROR(__xludf.DUMMYFUNCTION("""COMPUTED_VALUE"""),50.0)</f>
        <v>50</v>
      </c>
      <c r="F2474" s="133" t="str">
        <f>IFERROR(__xludf.DUMMYFUNCTION("""COMPUTED_VALUE"""),"PL50146DGWкрасный50")</f>
        <v>PL50146DGWкрасный50</v>
      </c>
      <c r="G2474" s="165">
        <f>IFERROR(__xludf.DUMMYFUNCTION("""COMPUTED_VALUE"""),656.0)</f>
        <v>656</v>
      </c>
    </row>
    <row r="2475" ht="15.75" customHeight="1">
      <c r="A2475" s="133" t="str">
        <f>IFERROR(__xludf.DUMMYFUNCTION("""COMPUTED_VALUE"""),"PL50146DGWкрасный")</f>
        <v>PL50146DGWкрасный</v>
      </c>
      <c r="B2475" s="164">
        <f>IFERROR(__xludf.DUMMYFUNCTION("""COMPUTED_VALUE"""),1.7832093E7)</f>
        <v>17832093</v>
      </c>
      <c r="C2475" s="164" t="str">
        <f>IFERROR(__xludf.DUMMYFUNCTION("""COMPUTED_VALUE"""),"1783209352")</f>
        <v>1783209352</v>
      </c>
      <c r="D2475" s="133"/>
      <c r="E2475" s="133">
        <f>IFERROR(__xludf.DUMMYFUNCTION("""COMPUTED_VALUE"""),52.0)</f>
        <v>52</v>
      </c>
      <c r="F2475" s="133" t="str">
        <f>IFERROR(__xludf.DUMMYFUNCTION("""COMPUTED_VALUE"""),"PL50146DGWкрасный52")</f>
        <v>PL50146DGWкрасный52</v>
      </c>
      <c r="G2475" s="165">
        <f>IFERROR(__xludf.DUMMYFUNCTION("""COMPUTED_VALUE"""),656.0)</f>
        <v>656</v>
      </c>
    </row>
    <row r="2476" ht="15.75" customHeight="1">
      <c r="A2476" s="133" t="str">
        <f>IFERROR(__xludf.DUMMYFUNCTION("""COMPUTED_VALUE"""),"PL50146DGWкрасный")</f>
        <v>PL50146DGWкрасный</v>
      </c>
      <c r="B2476" s="164">
        <f>IFERROR(__xludf.DUMMYFUNCTION("""COMPUTED_VALUE"""),1.7832093E7)</f>
        <v>17832093</v>
      </c>
      <c r="C2476" s="164" t="str">
        <f>IFERROR(__xludf.DUMMYFUNCTION("""COMPUTED_VALUE"""),"1783209354")</f>
        <v>1783209354</v>
      </c>
      <c r="D2476" s="133"/>
      <c r="E2476" s="133">
        <f>IFERROR(__xludf.DUMMYFUNCTION("""COMPUTED_VALUE"""),54.0)</f>
        <v>54</v>
      </c>
      <c r="F2476" s="133" t="str">
        <f>IFERROR(__xludf.DUMMYFUNCTION("""COMPUTED_VALUE"""),"PL50146DGWкрасный54")</f>
        <v>PL50146DGWкрасный54</v>
      </c>
      <c r="G2476" s="165">
        <f>IFERROR(__xludf.DUMMYFUNCTION("""COMPUTED_VALUE"""),656.0)</f>
        <v>656</v>
      </c>
    </row>
    <row r="2477" ht="15.75" customHeight="1">
      <c r="A2477" s="133" t="str">
        <f>IFERROR(__xludf.DUMMYFUNCTION("""COMPUTED_VALUE"""),"PL50146DGWрозовый")</f>
        <v>PL50146DGWрозовый</v>
      </c>
      <c r="B2477" s="164">
        <f>IFERROR(__xludf.DUMMYFUNCTION("""COMPUTED_VALUE"""),1.7832094E7)</f>
        <v>17832094</v>
      </c>
      <c r="C2477" s="164" t="str">
        <f>IFERROR(__xludf.DUMMYFUNCTION("""COMPUTED_VALUE"""),"1783209442")</f>
        <v>1783209442</v>
      </c>
      <c r="D2477" s="133"/>
      <c r="E2477" s="133">
        <f>IFERROR(__xludf.DUMMYFUNCTION("""COMPUTED_VALUE"""),42.0)</f>
        <v>42</v>
      </c>
      <c r="F2477" s="133" t="str">
        <f>IFERROR(__xludf.DUMMYFUNCTION("""COMPUTED_VALUE"""),"PL50146DGWрозовый42")</f>
        <v>PL50146DGWрозовый42</v>
      </c>
      <c r="G2477" s="165">
        <f>IFERROR(__xludf.DUMMYFUNCTION("""COMPUTED_VALUE"""),656.0)</f>
        <v>656</v>
      </c>
    </row>
    <row r="2478" ht="15.75" customHeight="1">
      <c r="A2478" s="133" t="str">
        <f>IFERROR(__xludf.DUMMYFUNCTION("""COMPUTED_VALUE"""),"PL50146DGWрозовый")</f>
        <v>PL50146DGWрозовый</v>
      </c>
      <c r="B2478" s="164">
        <f>IFERROR(__xludf.DUMMYFUNCTION("""COMPUTED_VALUE"""),1.7832094E7)</f>
        <v>17832094</v>
      </c>
      <c r="C2478" s="164" t="str">
        <f>IFERROR(__xludf.DUMMYFUNCTION("""COMPUTED_VALUE"""),"1783209444")</f>
        <v>1783209444</v>
      </c>
      <c r="D2478" s="133"/>
      <c r="E2478" s="133">
        <f>IFERROR(__xludf.DUMMYFUNCTION("""COMPUTED_VALUE"""),44.0)</f>
        <v>44</v>
      </c>
      <c r="F2478" s="133" t="str">
        <f>IFERROR(__xludf.DUMMYFUNCTION("""COMPUTED_VALUE"""),"PL50146DGWрозовый44")</f>
        <v>PL50146DGWрозовый44</v>
      </c>
      <c r="G2478" s="165">
        <f>IFERROR(__xludf.DUMMYFUNCTION("""COMPUTED_VALUE"""),656.0)</f>
        <v>656</v>
      </c>
    </row>
    <row r="2479" ht="15.75" customHeight="1">
      <c r="A2479" s="133" t="str">
        <f>IFERROR(__xludf.DUMMYFUNCTION("""COMPUTED_VALUE"""),"PL50146DGWрозовый")</f>
        <v>PL50146DGWрозовый</v>
      </c>
      <c r="B2479" s="164">
        <f>IFERROR(__xludf.DUMMYFUNCTION("""COMPUTED_VALUE"""),1.7832094E7)</f>
        <v>17832094</v>
      </c>
      <c r="C2479" s="164" t="str">
        <f>IFERROR(__xludf.DUMMYFUNCTION("""COMPUTED_VALUE"""),"1783209446")</f>
        <v>1783209446</v>
      </c>
      <c r="D2479" s="133"/>
      <c r="E2479" s="133">
        <f>IFERROR(__xludf.DUMMYFUNCTION("""COMPUTED_VALUE"""),46.0)</f>
        <v>46</v>
      </c>
      <c r="F2479" s="133" t="str">
        <f>IFERROR(__xludf.DUMMYFUNCTION("""COMPUTED_VALUE"""),"PL50146DGWрозовый46")</f>
        <v>PL50146DGWрозовый46</v>
      </c>
      <c r="G2479" s="165">
        <f>IFERROR(__xludf.DUMMYFUNCTION("""COMPUTED_VALUE"""),656.0)</f>
        <v>656</v>
      </c>
    </row>
    <row r="2480" ht="15.75" customHeight="1">
      <c r="A2480" s="133" t="str">
        <f>IFERROR(__xludf.DUMMYFUNCTION("""COMPUTED_VALUE"""),"PL50146DGWрозовый")</f>
        <v>PL50146DGWрозовый</v>
      </c>
      <c r="B2480" s="164">
        <f>IFERROR(__xludf.DUMMYFUNCTION("""COMPUTED_VALUE"""),1.7832094E7)</f>
        <v>17832094</v>
      </c>
      <c r="C2480" s="164" t="str">
        <f>IFERROR(__xludf.DUMMYFUNCTION("""COMPUTED_VALUE"""),"1783209448")</f>
        <v>1783209448</v>
      </c>
      <c r="D2480" s="133"/>
      <c r="E2480" s="133">
        <f>IFERROR(__xludf.DUMMYFUNCTION("""COMPUTED_VALUE"""),48.0)</f>
        <v>48</v>
      </c>
      <c r="F2480" s="133" t="str">
        <f>IFERROR(__xludf.DUMMYFUNCTION("""COMPUTED_VALUE"""),"PL50146DGWрозовый48")</f>
        <v>PL50146DGWрозовый48</v>
      </c>
      <c r="G2480" s="165">
        <f>IFERROR(__xludf.DUMMYFUNCTION("""COMPUTED_VALUE"""),656.0)</f>
        <v>656</v>
      </c>
    </row>
    <row r="2481" ht="15.75" customHeight="1">
      <c r="A2481" s="133" t="str">
        <f>IFERROR(__xludf.DUMMYFUNCTION("""COMPUTED_VALUE"""),"PL50146DGWрозовый")</f>
        <v>PL50146DGWрозовый</v>
      </c>
      <c r="B2481" s="164">
        <f>IFERROR(__xludf.DUMMYFUNCTION("""COMPUTED_VALUE"""),1.7832094E7)</f>
        <v>17832094</v>
      </c>
      <c r="C2481" s="164" t="str">
        <f>IFERROR(__xludf.DUMMYFUNCTION("""COMPUTED_VALUE"""),"1783209450")</f>
        <v>1783209450</v>
      </c>
      <c r="D2481" s="133"/>
      <c r="E2481" s="133">
        <f>IFERROR(__xludf.DUMMYFUNCTION("""COMPUTED_VALUE"""),50.0)</f>
        <v>50</v>
      </c>
      <c r="F2481" s="133" t="str">
        <f>IFERROR(__xludf.DUMMYFUNCTION("""COMPUTED_VALUE"""),"PL50146DGWрозовый50")</f>
        <v>PL50146DGWрозовый50</v>
      </c>
      <c r="G2481" s="165">
        <f>IFERROR(__xludf.DUMMYFUNCTION("""COMPUTED_VALUE"""),656.0)</f>
        <v>656</v>
      </c>
    </row>
    <row r="2482" ht="15.75" customHeight="1">
      <c r="A2482" s="133" t="str">
        <f>IFERROR(__xludf.DUMMYFUNCTION("""COMPUTED_VALUE"""),"PL50146DGWрозовый")</f>
        <v>PL50146DGWрозовый</v>
      </c>
      <c r="B2482" s="164">
        <f>IFERROR(__xludf.DUMMYFUNCTION("""COMPUTED_VALUE"""),1.7832094E7)</f>
        <v>17832094</v>
      </c>
      <c r="C2482" s="164" t="str">
        <f>IFERROR(__xludf.DUMMYFUNCTION("""COMPUTED_VALUE"""),"1783209452")</f>
        <v>1783209452</v>
      </c>
      <c r="D2482" s="133"/>
      <c r="E2482" s="133">
        <f>IFERROR(__xludf.DUMMYFUNCTION("""COMPUTED_VALUE"""),52.0)</f>
        <v>52</v>
      </c>
      <c r="F2482" s="133" t="str">
        <f>IFERROR(__xludf.DUMMYFUNCTION("""COMPUTED_VALUE"""),"PL50146DGWрозовый52")</f>
        <v>PL50146DGWрозовый52</v>
      </c>
      <c r="G2482" s="165">
        <f>IFERROR(__xludf.DUMMYFUNCTION("""COMPUTED_VALUE"""),656.0)</f>
        <v>656</v>
      </c>
    </row>
    <row r="2483" ht="15.75" customHeight="1">
      <c r="A2483" s="133" t="str">
        <f>IFERROR(__xludf.DUMMYFUNCTION("""COMPUTED_VALUE"""),"PL50146DGWрозовый")</f>
        <v>PL50146DGWрозовый</v>
      </c>
      <c r="B2483" s="164">
        <f>IFERROR(__xludf.DUMMYFUNCTION("""COMPUTED_VALUE"""),1.7832094E7)</f>
        <v>17832094</v>
      </c>
      <c r="C2483" s="164" t="str">
        <f>IFERROR(__xludf.DUMMYFUNCTION("""COMPUTED_VALUE"""),"1783209454")</f>
        <v>1783209454</v>
      </c>
      <c r="D2483" s="133"/>
      <c r="E2483" s="133">
        <f>IFERROR(__xludf.DUMMYFUNCTION("""COMPUTED_VALUE"""),54.0)</f>
        <v>54</v>
      </c>
      <c r="F2483" s="133" t="str">
        <f>IFERROR(__xludf.DUMMYFUNCTION("""COMPUTED_VALUE"""),"PL50146DGWрозовый54")</f>
        <v>PL50146DGWрозовый54</v>
      </c>
      <c r="G2483" s="165">
        <f>IFERROR(__xludf.DUMMYFUNCTION("""COMPUTED_VALUE"""),656.0)</f>
        <v>656</v>
      </c>
    </row>
    <row r="2484" ht="15.75" customHeight="1">
      <c r="A2484" s="133" t="str">
        <f>IFERROR(__xludf.DUMMYFUNCTION("""COMPUTED_VALUE"""),"SV40367SLW")</f>
        <v>SV40367SLW</v>
      </c>
      <c r="B2484" s="164">
        <f>IFERROR(__xludf.DUMMYFUNCTION("""COMPUTED_VALUE"""),1.7782149E7)</f>
        <v>17782149</v>
      </c>
      <c r="C2484" s="164" t="str">
        <f>IFERROR(__xludf.DUMMYFUNCTION("""COMPUTED_VALUE"""),"1778214940-54")</f>
        <v>1778214940-54</v>
      </c>
      <c r="D2484" s="133"/>
      <c r="E2484" s="133" t="str">
        <f>IFERROR(__xludf.DUMMYFUNCTION("""COMPUTED_VALUE"""),"40-54")</f>
        <v>40-54</v>
      </c>
      <c r="F2484" s="133" t="str">
        <f>IFERROR(__xludf.DUMMYFUNCTION("""COMPUTED_VALUE"""),"SV40367SLW40-54")</f>
        <v>SV40367SLW40-54</v>
      </c>
      <c r="G2484" s="165">
        <f>IFERROR(__xludf.DUMMYFUNCTION("""COMPUTED_VALUE"""),789.0)</f>
        <v>789</v>
      </c>
    </row>
    <row r="2485" ht="15.75" customHeight="1">
      <c r="A2485" s="133">
        <f>IFERROR(__xludf.DUMMYFUNCTION("""COMPUTED_VALUE"""),40001.0)</f>
        <v>40001</v>
      </c>
      <c r="B2485" s="164">
        <f>IFERROR(__xludf.DUMMYFUNCTION("""COMPUTED_VALUE"""),1.7797233E7)</f>
        <v>17797233</v>
      </c>
      <c r="C2485" s="164" t="str">
        <f>IFERROR(__xludf.DUMMYFUNCTION("""COMPUTED_VALUE"""),"17797233198-104")</f>
        <v>17797233198-104</v>
      </c>
      <c r="D2485" s="133"/>
      <c r="E2485" s="133" t="str">
        <f>IFERROR(__xludf.DUMMYFUNCTION("""COMPUTED_VALUE"""),"198-104")</f>
        <v>198-104</v>
      </c>
      <c r="F2485" s="165" t="str">
        <f>IFERROR(__xludf.DUMMYFUNCTION("""COMPUTED_VALUE"""),"4000198-104")</f>
        <v>4000198-104</v>
      </c>
      <c r="G2485" s="165">
        <f>IFERROR(__xludf.DUMMYFUNCTION("""COMPUTED_VALUE"""),674.0)</f>
        <v>674</v>
      </c>
    </row>
    <row r="2486" ht="15.75" customHeight="1">
      <c r="A2486" s="133">
        <f>IFERROR(__xludf.DUMMYFUNCTION("""COMPUTED_VALUE"""),40001.0)</f>
        <v>40001</v>
      </c>
      <c r="B2486" s="164">
        <f>IFERROR(__xludf.DUMMYFUNCTION("""COMPUTED_VALUE"""),1.7797233E7)</f>
        <v>17797233</v>
      </c>
      <c r="C2486" s="164" t="str">
        <f>IFERROR(__xludf.DUMMYFUNCTION("""COMPUTED_VALUE"""),"17797233110-116")</f>
        <v>17797233110-116</v>
      </c>
      <c r="D2486" s="133"/>
      <c r="E2486" s="133" t="str">
        <f>IFERROR(__xludf.DUMMYFUNCTION("""COMPUTED_VALUE"""),"110-116")</f>
        <v>110-116</v>
      </c>
      <c r="F2486" s="165" t="str">
        <f>IFERROR(__xludf.DUMMYFUNCTION("""COMPUTED_VALUE"""),"40001110-116")</f>
        <v>40001110-116</v>
      </c>
      <c r="G2486" s="165">
        <f>IFERROR(__xludf.DUMMYFUNCTION("""COMPUTED_VALUE"""),674.0)</f>
        <v>674</v>
      </c>
    </row>
    <row r="2487" ht="15.75" customHeight="1">
      <c r="A2487" s="133">
        <f>IFERROR(__xludf.DUMMYFUNCTION("""COMPUTED_VALUE"""),40001.0)</f>
        <v>40001</v>
      </c>
      <c r="B2487" s="164">
        <f>IFERROR(__xludf.DUMMYFUNCTION("""COMPUTED_VALUE"""),1.7797233E7)</f>
        <v>17797233</v>
      </c>
      <c r="C2487" s="164" t="str">
        <f>IFERROR(__xludf.DUMMYFUNCTION("""COMPUTED_VALUE"""),"17797233122-128")</f>
        <v>17797233122-128</v>
      </c>
      <c r="D2487" s="133"/>
      <c r="E2487" s="133" t="str">
        <f>IFERROR(__xludf.DUMMYFUNCTION("""COMPUTED_VALUE"""),"122-128")</f>
        <v>122-128</v>
      </c>
      <c r="F2487" s="165" t="str">
        <f>IFERROR(__xludf.DUMMYFUNCTION("""COMPUTED_VALUE"""),"40001122-128")</f>
        <v>40001122-128</v>
      </c>
      <c r="G2487" s="165">
        <f>IFERROR(__xludf.DUMMYFUNCTION("""COMPUTED_VALUE"""),674.0)</f>
        <v>674</v>
      </c>
    </row>
    <row r="2488" ht="15.75" customHeight="1">
      <c r="A2488" s="133">
        <f>IFERROR(__xludf.DUMMYFUNCTION("""COMPUTED_VALUE"""),40001.0)</f>
        <v>40001</v>
      </c>
      <c r="B2488" s="164">
        <f>IFERROR(__xludf.DUMMYFUNCTION("""COMPUTED_VALUE"""),1.7797233E7)</f>
        <v>17797233</v>
      </c>
      <c r="C2488" s="164" t="str">
        <f>IFERROR(__xludf.DUMMYFUNCTION("""COMPUTED_VALUE"""),"17797233134-140")</f>
        <v>17797233134-140</v>
      </c>
      <c r="D2488" s="133"/>
      <c r="E2488" s="133" t="str">
        <f>IFERROR(__xludf.DUMMYFUNCTION("""COMPUTED_VALUE"""),"134-140")</f>
        <v>134-140</v>
      </c>
      <c r="F2488" s="165" t="str">
        <f>IFERROR(__xludf.DUMMYFUNCTION("""COMPUTED_VALUE"""),"40001134-140")</f>
        <v>40001134-140</v>
      </c>
      <c r="G2488" s="165">
        <f>IFERROR(__xludf.DUMMYFUNCTION("""COMPUTED_VALUE"""),674.0)</f>
        <v>674</v>
      </c>
    </row>
    <row r="2489" ht="15.75" customHeight="1">
      <c r="A2489" s="133">
        <f>IFERROR(__xludf.DUMMYFUNCTION("""COMPUTED_VALUE"""),40001.0)</f>
        <v>40001</v>
      </c>
      <c r="B2489" s="164">
        <f>IFERROR(__xludf.DUMMYFUNCTION("""COMPUTED_VALUE"""),1.7797233E7)</f>
        <v>17797233</v>
      </c>
      <c r="C2489" s="164" t="str">
        <f>IFERROR(__xludf.DUMMYFUNCTION("""COMPUTED_VALUE"""),"17797233140-146")</f>
        <v>17797233140-146</v>
      </c>
      <c r="D2489" s="133"/>
      <c r="E2489" s="133" t="str">
        <f>IFERROR(__xludf.DUMMYFUNCTION("""COMPUTED_VALUE"""),"140-146")</f>
        <v>140-146</v>
      </c>
      <c r="F2489" s="165" t="str">
        <f>IFERROR(__xludf.DUMMYFUNCTION("""COMPUTED_VALUE"""),"40001140-146")</f>
        <v>40001140-146</v>
      </c>
      <c r="G2489" s="165">
        <f>IFERROR(__xludf.DUMMYFUNCTION("""COMPUTED_VALUE"""),674.0)</f>
        <v>674</v>
      </c>
    </row>
    <row r="2490" ht="15.75" customHeight="1">
      <c r="A2490" s="133">
        <f>IFERROR(__xludf.DUMMYFUNCTION("""COMPUTED_VALUE"""),40002.0)</f>
        <v>40002</v>
      </c>
      <c r="B2490" s="164">
        <f>IFERROR(__xludf.DUMMYFUNCTION("""COMPUTED_VALUE"""),1.7797234E7)</f>
        <v>17797234</v>
      </c>
      <c r="C2490" s="164" t="str">
        <f>IFERROR(__xludf.DUMMYFUNCTION("""COMPUTED_VALUE"""),"1779723498-104")</f>
        <v>1779723498-104</v>
      </c>
      <c r="D2490" s="133" t="str">
        <f>IFERROR(__xludf.DUMMYFUNCTION("""COMPUTED_VALUE"""),"Детский свитер с хаски")</f>
        <v>Детский свитер с хаски</v>
      </c>
      <c r="E2490" s="133" t="str">
        <f>IFERROR(__xludf.DUMMYFUNCTION("""COMPUTED_VALUE"""),"98-104")</f>
        <v>98-104</v>
      </c>
      <c r="F2490" s="165" t="str">
        <f>IFERROR(__xludf.DUMMYFUNCTION("""COMPUTED_VALUE"""),"4000298-104")</f>
        <v>4000298-104</v>
      </c>
      <c r="G2490" s="165">
        <f>IFERROR(__xludf.DUMMYFUNCTION("""COMPUTED_VALUE"""),674.0)</f>
        <v>674</v>
      </c>
    </row>
    <row r="2491" ht="15.75" customHeight="1">
      <c r="A2491" s="133">
        <f>IFERROR(__xludf.DUMMYFUNCTION("""COMPUTED_VALUE"""),40002.0)</f>
        <v>40002</v>
      </c>
      <c r="B2491" s="164">
        <f>IFERROR(__xludf.DUMMYFUNCTION("""COMPUTED_VALUE"""),1.7797234E7)</f>
        <v>17797234</v>
      </c>
      <c r="C2491" s="164" t="str">
        <f>IFERROR(__xludf.DUMMYFUNCTION("""COMPUTED_VALUE"""),"17797234110-116")</f>
        <v>17797234110-116</v>
      </c>
      <c r="D2491" s="133"/>
      <c r="E2491" s="133" t="str">
        <f>IFERROR(__xludf.DUMMYFUNCTION("""COMPUTED_VALUE"""),"110-116")</f>
        <v>110-116</v>
      </c>
      <c r="F2491" s="165" t="str">
        <f>IFERROR(__xludf.DUMMYFUNCTION("""COMPUTED_VALUE"""),"40002110-116")</f>
        <v>40002110-116</v>
      </c>
      <c r="G2491" s="165">
        <f>IFERROR(__xludf.DUMMYFUNCTION("""COMPUTED_VALUE"""),674.0)</f>
        <v>674</v>
      </c>
    </row>
    <row r="2492" ht="15.75" customHeight="1">
      <c r="A2492" s="133">
        <f>IFERROR(__xludf.DUMMYFUNCTION("""COMPUTED_VALUE"""),40002.0)</f>
        <v>40002</v>
      </c>
      <c r="B2492" s="164">
        <f>IFERROR(__xludf.DUMMYFUNCTION("""COMPUTED_VALUE"""),1.7797234E7)</f>
        <v>17797234</v>
      </c>
      <c r="C2492" s="164" t="str">
        <f>IFERROR(__xludf.DUMMYFUNCTION("""COMPUTED_VALUE"""),"17797234122-128")</f>
        <v>17797234122-128</v>
      </c>
      <c r="D2492" s="133"/>
      <c r="E2492" s="133" t="str">
        <f>IFERROR(__xludf.DUMMYFUNCTION("""COMPUTED_VALUE"""),"122-128")</f>
        <v>122-128</v>
      </c>
      <c r="F2492" s="165" t="str">
        <f>IFERROR(__xludf.DUMMYFUNCTION("""COMPUTED_VALUE"""),"40002122-128")</f>
        <v>40002122-128</v>
      </c>
      <c r="G2492" s="165">
        <f>IFERROR(__xludf.DUMMYFUNCTION("""COMPUTED_VALUE"""),674.0)</f>
        <v>674</v>
      </c>
    </row>
    <row r="2493" ht="15.75" customHeight="1">
      <c r="A2493" s="133">
        <f>IFERROR(__xludf.DUMMYFUNCTION("""COMPUTED_VALUE"""),40002.0)</f>
        <v>40002</v>
      </c>
      <c r="B2493" s="164">
        <f>IFERROR(__xludf.DUMMYFUNCTION("""COMPUTED_VALUE"""),1.7797234E7)</f>
        <v>17797234</v>
      </c>
      <c r="C2493" s="164" t="str">
        <f>IFERROR(__xludf.DUMMYFUNCTION("""COMPUTED_VALUE"""),"17797234134-140")</f>
        <v>17797234134-140</v>
      </c>
      <c r="D2493" s="133"/>
      <c r="E2493" s="133" t="str">
        <f>IFERROR(__xludf.DUMMYFUNCTION("""COMPUTED_VALUE"""),"134-140")</f>
        <v>134-140</v>
      </c>
      <c r="F2493" s="165" t="str">
        <f>IFERROR(__xludf.DUMMYFUNCTION("""COMPUTED_VALUE"""),"40002134-140")</f>
        <v>40002134-140</v>
      </c>
      <c r="G2493" s="165">
        <f>IFERROR(__xludf.DUMMYFUNCTION("""COMPUTED_VALUE"""),674.0)</f>
        <v>674</v>
      </c>
    </row>
    <row r="2494" ht="15.75" customHeight="1">
      <c r="A2494" s="133">
        <f>IFERROR(__xludf.DUMMYFUNCTION("""COMPUTED_VALUE"""),40002.0)</f>
        <v>40002</v>
      </c>
      <c r="B2494" s="164">
        <f>IFERROR(__xludf.DUMMYFUNCTION("""COMPUTED_VALUE"""),1.7797234E7)</f>
        <v>17797234</v>
      </c>
      <c r="C2494" s="164" t="str">
        <f>IFERROR(__xludf.DUMMYFUNCTION("""COMPUTED_VALUE"""),"17797234140-146")</f>
        <v>17797234140-146</v>
      </c>
      <c r="D2494" s="133"/>
      <c r="E2494" s="133" t="str">
        <f>IFERROR(__xludf.DUMMYFUNCTION("""COMPUTED_VALUE"""),"140-146")</f>
        <v>140-146</v>
      </c>
      <c r="F2494" s="165" t="str">
        <f>IFERROR(__xludf.DUMMYFUNCTION("""COMPUTED_VALUE"""),"40002140-146")</f>
        <v>40002140-146</v>
      </c>
      <c r="G2494" s="165">
        <f>IFERROR(__xludf.DUMMYFUNCTION("""COMPUTED_VALUE"""),674.0)</f>
        <v>674</v>
      </c>
    </row>
    <row r="2495" ht="15.75" customHeight="1">
      <c r="A2495" s="133">
        <f>IFERROR(__xludf.DUMMYFUNCTION("""COMPUTED_VALUE"""),40003.0)</f>
        <v>40003</v>
      </c>
      <c r="B2495" s="164">
        <f>IFERROR(__xludf.DUMMYFUNCTION("""COMPUTED_VALUE"""),1.7797235E7)</f>
        <v>17797235</v>
      </c>
      <c r="C2495" s="164" t="str">
        <f>IFERROR(__xludf.DUMMYFUNCTION("""COMPUTED_VALUE"""),"1779723598-104")</f>
        <v>1779723598-104</v>
      </c>
      <c r="D2495" s="133" t="str">
        <f>IFERROR(__xludf.DUMMYFUNCTION("""COMPUTED_VALUE"""),"Детский свитер с хаски")</f>
        <v>Детский свитер с хаски</v>
      </c>
      <c r="E2495" s="133" t="str">
        <f>IFERROR(__xludf.DUMMYFUNCTION("""COMPUTED_VALUE"""),"98-104")</f>
        <v>98-104</v>
      </c>
      <c r="F2495" s="165" t="str">
        <f>IFERROR(__xludf.DUMMYFUNCTION("""COMPUTED_VALUE"""),"4000398-104")</f>
        <v>4000398-104</v>
      </c>
      <c r="G2495" s="165">
        <f>IFERROR(__xludf.DUMMYFUNCTION("""COMPUTED_VALUE"""),674.0)</f>
        <v>674</v>
      </c>
    </row>
    <row r="2496" ht="15.75" customHeight="1">
      <c r="A2496" s="133">
        <f>IFERROR(__xludf.DUMMYFUNCTION("""COMPUTED_VALUE"""),40003.0)</f>
        <v>40003</v>
      </c>
      <c r="B2496" s="164">
        <f>IFERROR(__xludf.DUMMYFUNCTION("""COMPUTED_VALUE"""),1.7797235E7)</f>
        <v>17797235</v>
      </c>
      <c r="C2496" s="164" t="str">
        <f>IFERROR(__xludf.DUMMYFUNCTION("""COMPUTED_VALUE"""),"17797235110-116")</f>
        <v>17797235110-116</v>
      </c>
      <c r="D2496" s="133"/>
      <c r="E2496" s="133" t="str">
        <f>IFERROR(__xludf.DUMMYFUNCTION("""COMPUTED_VALUE"""),"110-116")</f>
        <v>110-116</v>
      </c>
      <c r="F2496" s="165" t="str">
        <f>IFERROR(__xludf.DUMMYFUNCTION("""COMPUTED_VALUE"""),"40003110-116")</f>
        <v>40003110-116</v>
      </c>
      <c r="G2496" s="165">
        <f>IFERROR(__xludf.DUMMYFUNCTION("""COMPUTED_VALUE"""),674.0)</f>
        <v>674</v>
      </c>
    </row>
    <row r="2497" ht="15.75" customHeight="1">
      <c r="A2497" s="133">
        <f>IFERROR(__xludf.DUMMYFUNCTION("""COMPUTED_VALUE"""),40003.0)</f>
        <v>40003</v>
      </c>
      <c r="B2497" s="164">
        <f>IFERROR(__xludf.DUMMYFUNCTION("""COMPUTED_VALUE"""),1.7797235E7)</f>
        <v>17797235</v>
      </c>
      <c r="C2497" s="164" t="str">
        <f>IFERROR(__xludf.DUMMYFUNCTION("""COMPUTED_VALUE"""),"17797235122-128")</f>
        <v>17797235122-128</v>
      </c>
      <c r="D2497" s="133"/>
      <c r="E2497" s="133" t="str">
        <f>IFERROR(__xludf.DUMMYFUNCTION("""COMPUTED_VALUE"""),"122-128")</f>
        <v>122-128</v>
      </c>
      <c r="F2497" s="165" t="str">
        <f>IFERROR(__xludf.DUMMYFUNCTION("""COMPUTED_VALUE"""),"40003122-128")</f>
        <v>40003122-128</v>
      </c>
      <c r="G2497" s="165">
        <f>IFERROR(__xludf.DUMMYFUNCTION("""COMPUTED_VALUE"""),674.0)</f>
        <v>674</v>
      </c>
    </row>
    <row r="2498" ht="15.75" customHeight="1">
      <c r="A2498" s="133">
        <f>IFERROR(__xludf.DUMMYFUNCTION("""COMPUTED_VALUE"""),40003.0)</f>
        <v>40003</v>
      </c>
      <c r="B2498" s="164">
        <f>IFERROR(__xludf.DUMMYFUNCTION("""COMPUTED_VALUE"""),1.7797235E7)</f>
        <v>17797235</v>
      </c>
      <c r="C2498" s="164" t="str">
        <f>IFERROR(__xludf.DUMMYFUNCTION("""COMPUTED_VALUE"""),"17797235134-140")</f>
        <v>17797235134-140</v>
      </c>
      <c r="D2498" s="133"/>
      <c r="E2498" s="133" t="str">
        <f>IFERROR(__xludf.DUMMYFUNCTION("""COMPUTED_VALUE"""),"134-140")</f>
        <v>134-140</v>
      </c>
      <c r="F2498" s="165" t="str">
        <f>IFERROR(__xludf.DUMMYFUNCTION("""COMPUTED_VALUE"""),"40003134-140")</f>
        <v>40003134-140</v>
      </c>
      <c r="G2498" s="165">
        <f>IFERROR(__xludf.DUMMYFUNCTION("""COMPUTED_VALUE"""),674.0)</f>
        <v>674</v>
      </c>
    </row>
    <row r="2499" ht="15.75" customHeight="1">
      <c r="A2499" s="133">
        <f>IFERROR(__xludf.DUMMYFUNCTION("""COMPUTED_VALUE"""),40003.0)</f>
        <v>40003</v>
      </c>
      <c r="B2499" s="164">
        <f>IFERROR(__xludf.DUMMYFUNCTION("""COMPUTED_VALUE"""),1.7797235E7)</f>
        <v>17797235</v>
      </c>
      <c r="C2499" s="164" t="str">
        <f>IFERROR(__xludf.DUMMYFUNCTION("""COMPUTED_VALUE"""),"17797235140-146")</f>
        <v>17797235140-146</v>
      </c>
      <c r="D2499" s="133"/>
      <c r="E2499" s="133" t="str">
        <f>IFERROR(__xludf.DUMMYFUNCTION("""COMPUTED_VALUE"""),"140-146")</f>
        <v>140-146</v>
      </c>
      <c r="F2499" s="165" t="str">
        <f>IFERROR(__xludf.DUMMYFUNCTION("""COMPUTED_VALUE"""),"40003140-146")</f>
        <v>40003140-146</v>
      </c>
      <c r="G2499" s="165">
        <f>IFERROR(__xludf.DUMMYFUNCTION("""COMPUTED_VALUE"""),674.0)</f>
        <v>674</v>
      </c>
    </row>
    <row r="2500" ht="15.75" customHeight="1">
      <c r="A2500" s="133">
        <f>IFERROR(__xludf.DUMMYFUNCTION("""COMPUTED_VALUE"""),40005.0)</f>
        <v>40005</v>
      </c>
      <c r="B2500" s="164">
        <f>IFERROR(__xludf.DUMMYFUNCTION("""COMPUTED_VALUE"""),6313131.0)</f>
        <v>6313131</v>
      </c>
      <c r="C2500" s="164" t="str">
        <f>IFERROR(__xludf.DUMMYFUNCTION("""COMPUTED_VALUE"""),"631313198-104")</f>
        <v>631313198-104</v>
      </c>
      <c r="D2500" s="133" t="str">
        <f>IFERROR(__xludf.DUMMYFUNCTION("""COMPUTED_VALUE"""),"Детский свитер с медведем")</f>
        <v>Детский свитер с медведем</v>
      </c>
      <c r="E2500" s="133" t="str">
        <f>IFERROR(__xludf.DUMMYFUNCTION("""COMPUTED_VALUE"""),"98-104")</f>
        <v>98-104</v>
      </c>
      <c r="F2500" s="165" t="str">
        <f>IFERROR(__xludf.DUMMYFUNCTION("""COMPUTED_VALUE"""),"4000598-104")</f>
        <v>4000598-104</v>
      </c>
      <c r="G2500" s="165">
        <f>IFERROR(__xludf.DUMMYFUNCTION("""COMPUTED_VALUE"""),757.0)</f>
        <v>757</v>
      </c>
    </row>
    <row r="2501" ht="15.75" customHeight="1">
      <c r="A2501" s="133">
        <f>IFERROR(__xludf.DUMMYFUNCTION("""COMPUTED_VALUE"""),40005.0)</f>
        <v>40005</v>
      </c>
      <c r="B2501" s="164">
        <f>IFERROR(__xludf.DUMMYFUNCTION("""COMPUTED_VALUE"""),6313131.0)</f>
        <v>6313131</v>
      </c>
      <c r="C2501" s="164" t="str">
        <f>IFERROR(__xludf.DUMMYFUNCTION("""COMPUTED_VALUE"""),"6313131110-116")</f>
        <v>6313131110-116</v>
      </c>
      <c r="D2501" s="133"/>
      <c r="E2501" s="133" t="str">
        <f>IFERROR(__xludf.DUMMYFUNCTION("""COMPUTED_VALUE"""),"110-116")</f>
        <v>110-116</v>
      </c>
      <c r="F2501" s="165" t="str">
        <f>IFERROR(__xludf.DUMMYFUNCTION("""COMPUTED_VALUE"""),"40005110-116")</f>
        <v>40005110-116</v>
      </c>
      <c r="G2501" s="165">
        <f>IFERROR(__xludf.DUMMYFUNCTION("""COMPUTED_VALUE"""),757.0)</f>
        <v>757</v>
      </c>
    </row>
    <row r="2502" ht="15.75" customHeight="1">
      <c r="A2502" s="133">
        <f>IFERROR(__xludf.DUMMYFUNCTION("""COMPUTED_VALUE"""),40005.0)</f>
        <v>40005</v>
      </c>
      <c r="B2502" s="164">
        <f>IFERROR(__xludf.DUMMYFUNCTION("""COMPUTED_VALUE"""),6313131.0)</f>
        <v>6313131</v>
      </c>
      <c r="C2502" s="164" t="str">
        <f>IFERROR(__xludf.DUMMYFUNCTION("""COMPUTED_VALUE"""),"6313131122-128")</f>
        <v>6313131122-128</v>
      </c>
      <c r="D2502" s="133"/>
      <c r="E2502" s="133" t="str">
        <f>IFERROR(__xludf.DUMMYFUNCTION("""COMPUTED_VALUE"""),"122-128")</f>
        <v>122-128</v>
      </c>
      <c r="F2502" s="165" t="str">
        <f>IFERROR(__xludf.DUMMYFUNCTION("""COMPUTED_VALUE"""),"40005122-128")</f>
        <v>40005122-128</v>
      </c>
      <c r="G2502" s="165">
        <f>IFERROR(__xludf.DUMMYFUNCTION("""COMPUTED_VALUE"""),757.0)</f>
        <v>757</v>
      </c>
    </row>
    <row r="2503" ht="15.75" customHeight="1">
      <c r="A2503" s="133">
        <f>IFERROR(__xludf.DUMMYFUNCTION("""COMPUTED_VALUE"""),40005.0)</f>
        <v>40005</v>
      </c>
      <c r="B2503" s="164">
        <f>IFERROR(__xludf.DUMMYFUNCTION("""COMPUTED_VALUE"""),6313131.0)</f>
        <v>6313131</v>
      </c>
      <c r="C2503" s="164" t="str">
        <f>IFERROR(__xludf.DUMMYFUNCTION("""COMPUTED_VALUE"""),"6313131134-140")</f>
        <v>6313131134-140</v>
      </c>
      <c r="D2503" s="133"/>
      <c r="E2503" s="133" t="str">
        <f>IFERROR(__xludf.DUMMYFUNCTION("""COMPUTED_VALUE"""),"134-140")</f>
        <v>134-140</v>
      </c>
      <c r="F2503" s="165" t="str">
        <f>IFERROR(__xludf.DUMMYFUNCTION("""COMPUTED_VALUE"""),"40005134-140")</f>
        <v>40005134-140</v>
      </c>
      <c r="G2503" s="165">
        <f>IFERROR(__xludf.DUMMYFUNCTION("""COMPUTED_VALUE"""),757.0)</f>
        <v>757</v>
      </c>
    </row>
    <row r="2504" ht="15.75" customHeight="1">
      <c r="A2504" s="133">
        <f>IFERROR(__xludf.DUMMYFUNCTION("""COMPUTED_VALUE"""),40005.0)</f>
        <v>40005</v>
      </c>
      <c r="B2504" s="164">
        <f>IFERROR(__xludf.DUMMYFUNCTION("""COMPUTED_VALUE"""),6313131.0)</f>
        <v>6313131</v>
      </c>
      <c r="C2504" s="164" t="str">
        <f>IFERROR(__xludf.DUMMYFUNCTION("""COMPUTED_VALUE"""),"6313131140-146")</f>
        <v>6313131140-146</v>
      </c>
      <c r="D2504" s="133"/>
      <c r="E2504" s="133" t="str">
        <f>IFERROR(__xludf.DUMMYFUNCTION("""COMPUTED_VALUE"""),"140-146")</f>
        <v>140-146</v>
      </c>
      <c r="F2504" s="165" t="str">
        <f>IFERROR(__xludf.DUMMYFUNCTION("""COMPUTED_VALUE"""),"40005140-146")</f>
        <v>40005140-146</v>
      </c>
      <c r="G2504" s="165">
        <f>IFERROR(__xludf.DUMMYFUNCTION("""COMPUTED_VALUE"""),757.0)</f>
        <v>757</v>
      </c>
    </row>
    <row r="2505" ht="15.75" customHeight="1">
      <c r="A2505" s="133">
        <f>IFERROR(__xludf.DUMMYFUNCTION("""COMPUTED_VALUE"""),40006.0)</f>
        <v>40006</v>
      </c>
      <c r="B2505" s="164">
        <f>IFERROR(__xludf.DUMMYFUNCTION("""COMPUTED_VALUE"""),6313132.0)</f>
        <v>6313132</v>
      </c>
      <c r="C2505" s="164" t="str">
        <f>IFERROR(__xludf.DUMMYFUNCTION("""COMPUTED_VALUE"""),"631313298-104")</f>
        <v>631313298-104</v>
      </c>
      <c r="D2505" s="133" t="str">
        <f>IFERROR(__xludf.DUMMYFUNCTION("""COMPUTED_VALUE"""),"Детский свитер с медведем")</f>
        <v>Детский свитер с медведем</v>
      </c>
      <c r="E2505" s="133" t="str">
        <f>IFERROR(__xludf.DUMMYFUNCTION("""COMPUTED_VALUE"""),"98-104")</f>
        <v>98-104</v>
      </c>
      <c r="F2505" s="165" t="str">
        <f>IFERROR(__xludf.DUMMYFUNCTION("""COMPUTED_VALUE"""),"4000698-104")</f>
        <v>4000698-104</v>
      </c>
      <c r="G2505" s="165">
        <f>IFERROR(__xludf.DUMMYFUNCTION("""COMPUTED_VALUE"""),757.0)</f>
        <v>757</v>
      </c>
    </row>
    <row r="2506" ht="15.75" customHeight="1">
      <c r="A2506" s="133">
        <f>IFERROR(__xludf.DUMMYFUNCTION("""COMPUTED_VALUE"""),40006.0)</f>
        <v>40006</v>
      </c>
      <c r="B2506" s="164">
        <f>IFERROR(__xludf.DUMMYFUNCTION("""COMPUTED_VALUE"""),6313132.0)</f>
        <v>6313132</v>
      </c>
      <c r="C2506" s="164" t="str">
        <f>IFERROR(__xludf.DUMMYFUNCTION("""COMPUTED_VALUE"""),"6313132110-116")</f>
        <v>6313132110-116</v>
      </c>
      <c r="D2506" s="133"/>
      <c r="E2506" s="133" t="str">
        <f>IFERROR(__xludf.DUMMYFUNCTION("""COMPUTED_VALUE"""),"110-116")</f>
        <v>110-116</v>
      </c>
      <c r="F2506" s="165" t="str">
        <f>IFERROR(__xludf.DUMMYFUNCTION("""COMPUTED_VALUE"""),"40006110-116")</f>
        <v>40006110-116</v>
      </c>
      <c r="G2506" s="165">
        <f>IFERROR(__xludf.DUMMYFUNCTION("""COMPUTED_VALUE"""),757.0)</f>
        <v>757</v>
      </c>
    </row>
    <row r="2507" ht="15.75" customHeight="1">
      <c r="A2507" s="133">
        <f>IFERROR(__xludf.DUMMYFUNCTION("""COMPUTED_VALUE"""),40006.0)</f>
        <v>40006</v>
      </c>
      <c r="B2507" s="164">
        <f>IFERROR(__xludf.DUMMYFUNCTION("""COMPUTED_VALUE"""),6313132.0)</f>
        <v>6313132</v>
      </c>
      <c r="C2507" s="164" t="str">
        <f>IFERROR(__xludf.DUMMYFUNCTION("""COMPUTED_VALUE"""),"6313132122-128")</f>
        <v>6313132122-128</v>
      </c>
      <c r="D2507" s="133"/>
      <c r="E2507" s="133" t="str">
        <f>IFERROR(__xludf.DUMMYFUNCTION("""COMPUTED_VALUE"""),"122-128")</f>
        <v>122-128</v>
      </c>
      <c r="F2507" s="165" t="str">
        <f>IFERROR(__xludf.DUMMYFUNCTION("""COMPUTED_VALUE"""),"40006122-128")</f>
        <v>40006122-128</v>
      </c>
      <c r="G2507" s="165">
        <f>IFERROR(__xludf.DUMMYFUNCTION("""COMPUTED_VALUE"""),757.0)</f>
        <v>757</v>
      </c>
    </row>
    <row r="2508" ht="15.75" customHeight="1">
      <c r="A2508" s="133">
        <f>IFERROR(__xludf.DUMMYFUNCTION("""COMPUTED_VALUE"""),40006.0)</f>
        <v>40006</v>
      </c>
      <c r="B2508" s="164">
        <f>IFERROR(__xludf.DUMMYFUNCTION("""COMPUTED_VALUE"""),6313132.0)</f>
        <v>6313132</v>
      </c>
      <c r="C2508" s="164" t="str">
        <f>IFERROR(__xludf.DUMMYFUNCTION("""COMPUTED_VALUE"""),"6313132134-140")</f>
        <v>6313132134-140</v>
      </c>
      <c r="D2508" s="133"/>
      <c r="E2508" s="133" t="str">
        <f>IFERROR(__xludf.DUMMYFUNCTION("""COMPUTED_VALUE"""),"134-140")</f>
        <v>134-140</v>
      </c>
      <c r="F2508" s="165" t="str">
        <f>IFERROR(__xludf.DUMMYFUNCTION("""COMPUTED_VALUE"""),"40006134-140")</f>
        <v>40006134-140</v>
      </c>
      <c r="G2508" s="165">
        <f>IFERROR(__xludf.DUMMYFUNCTION("""COMPUTED_VALUE"""),757.0)</f>
        <v>757</v>
      </c>
    </row>
    <row r="2509" ht="15.75" customHeight="1">
      <c r="A2509" s="133">
        <f>IFERROR(__xludf.DUMMYFUNCTION("""COMPUTED_VALUE"""),40006.0)</f>
        <v>40006</v>
      </c>
      <c r="B2509" s="164">
        <f>IFERROR(__xludf.DUMMYFUNCTION("""COMPUTED_VALUE"""),6313132.0)</f>
        <v>6313132</v>
      </c>
      <c r="C2509" s="164" t="str">
        <f>IFERROR(__xludf.DUMMYFUNCTION("""COMPUTED_VALUE"""),"6313132140-146")</f>
        <v>6313132140-146</v>
      </c>
      <c r="D2509" s="133"/>
      <c r="E2509" s="133" t="str">
        <f>IFERROR(__xludf.DUMMYFUNCTION("""COMPUTED_VALUE"""),"140-146")</f>
        <v>140-146</v>
      </c>
      <c r="F2509" s="165" t="str">
        <f>IFERROR(__xludf.DUMMYFUNCTION("""COMPUTED_VALUE"""),"40006140-146")</f>
        <v>40006140-146</v>
      </c>
      <c r="G2509" s="165">
        <f>IFERROR(__xludf.DUMMYFUNCTION("""COMPUTED_VALUE"""),757.0)</f>
        <v>757</v>
      </c>
    </row>
    <row r="2510" ht="15.75" customHeight="1">
      <c r="A2510" s="133">
        <f>IFERROR(__xludf.DUMMYFUNCTION("""COMPUTED_VALUE"""),440007.0)</f>
        <v>440007</v>
      </c>
      <c r="B2510" s="164">
        <f>IFERROR(__xludf.DUMMYFUNCTION("""COMPUTED_VALUE"""),1.7796505E7)</f>
        <v>17796505</v>
      </c>
      <c r="C2510" s="164" t="str">
        <f>IFERROR(__xludf.DUMMYFUNCTION("""COMPUTED_VALUE"""),"1779650598-104")</f>
        <v>1779650598-104</v>
      </c>
      <c r="D2510" s="133" t="str">
        <f>IFERROR(__xludf.DUMMYFUNCTION("""COMPUTED_VALUE"""),"Детский свитер со снегирем")</f>
        <v>Детский свитер со снегирем</v>
      </c>
      <c r="E2510" s="133" t="str">
        <f>IFERROR(__xludf.DUMMYFUNCTION("""COMPUTED_VALUE"""),"98-104")</f>
        <v>98-104</v>
      </c>
      <c r="F2510" s="165" t="str">
        <f>IFERROR(__xludf.DUMMYFUNCTION("""COMPUTED_VALUE"""),"44000798-104")</f>
        <v>44000798-104</v>
      </c>
      <c r="G2510" s="165">
        <f>IFERROR(__xludf.DUMMYFUNCTION("""COMPUTED_VALUE"""),1124.0)</f>
        <v>1124</v>
      </c>
    </row>
    <row r="2511" ht="15.75" customHeight="1">
      <c r="A2511" s="133">
        <f>IFERROR(__xludf.DUMMYFUNCTION("""COMPUTED_VALUE"""),440007.0)</f>
        <v>440007</v>
      </c>
      <c r="B2511" s="164">
        <f>IFERROR(__xludf.DUMMYFUNCTION("""COMPUTED_VALUE"""),1.7796505E7)</f>
        <v>17796505</v>
      </c>
      <c r="C2511" s="164" t="str">
        <f>IFERROR(__xludf.DUMMYFUNCTION("""COMPUTED_VALUE"""),"17796505110-116")</f>
        <v>17796505110-116</v>
      </c>
      <c r="D2511" s="133"/>
      <c r="E2511" s="133" t="str">
        <f>IFERROR(__xludf.DUMMYFUNCTION("""COMPUTED_VALUE"""),"110-116")</f>
        <v>110-116</v>
      </c>
      <c r="F2511" s="165" t="str">
        <f>IFERROR(__xludf.DUMMYFUNCTION("""COMPUTED_VALUE"""),"440007110-116")</f>
        <v>440007110-116</v>
      </c>
      <c r="G2511" s="165">
        <f>IFERROR(__xludf.DUMMYFUNCTION("""COMPUTED_VALUE"""),1124.0)</f>
        <v>1124</v>
      </c>
    </row>
    <row r="2512" ht="15.75" customHeight="1">
      <c r="A2512" s="133">
        <f>IFERROR(__xludf.DUMMYFUNCTION("""COMPUTED_VALUE"""),440007.0)</f>
        <v>440007</v>
      </c>
      <c r="B2512" s="164">
        <f>IFERROR(__xludf.DUMMYFUNCTION("""COMPUTED_VALUE"""),1.7796505E7)</f>
        <v>17796505</v>
      </c>
      <c r="C2512" s="164" t="str">
        <f>IFERROR(__xludf.DUMMYFUNCTION("""COMPUTED_VALUE"""),"17796505122-128")</f>
        <v>17796505122-128</v>
      </c>
      <c r="D2512" s="133"/>
      <c r="E2512" s="133" t="str">
        <f>IFERROR(__xludf.DUMMYFUNCTION("""COMPUTED_VALUE"""),"122-128")</f>
        <v>122-128</v>
      </c>
      <c r="F2512" s="165" t="str">
        <f>IFERROR(__xludf.DUMMYFUNCTION("""COMPUTED_VALUE"""),"440007122-128")</f>
        <v>440007122-128</v>
      </c>
      <c r="G2512" s="165">
        <f>IFERROR(__xludf.DUMMYFUNCTION("""COMPUTED_VALUE"""),1124.0)</f>
        <v>1124</v>
      </c>
    </row>
    <row r="2513" ht="15.75" customHeight="1">
      <c r="A2513" s="133">
        <f>IFERROR(__xludf.DUMMYFUNCTION("""COMPUTED_VALUE"""),440007.0)</f>
        <v>440007</v>
      </c>
      <c r="B2513" s="164">
        <f>IFERROR(__xludf.DUMMYFUNCTION("""COMPUTED_VALUE"""),1.7796505E7)</f>
        <v>17796505</v>
      </c>
      <c r="C2513" s="164" t="str">
        <f>IFERROR(__xludf.DUMMYFUNCTION("""COMPUTED_VALUE"""),"17796505134-140")</f>
        <v>17796505134-140</v>
      </c>
      <c r="D2513" s="133"/>
      <c r="E2513" s="133" t="str">
        <f>IFERROR(__xludf.DUMMYFUNCTION("""COMPUTED_VALUE"""),"134-140")</f>
        <v>134-140</v>
      </c>
      <c r="F2513" s="165" t="str">
        <f>IFERROR(__xludf.DUMMYFUNCTION("""COMPUTED_VALUE"""),"440007134-140")</f>
        <v>440007134-140</v>
      </c>
      <c r="G2513" s="165">
        <f>IFERROR(__xludf.DUMMYFUNCTION("""COMPUTED_VALUE"""),1124.0)</f>
        <v>1124</v>
      </c>
    </row>
    <row r="2514" ht="15.75" customHeight="1">
      <c r="A2514" s="133">
        <f>IFERROR(__xludf.DUMMYFUNCTION("""COMPUTED_VALUE"""),440007.0)</f>
        <v>440007</v>
      </c>
      <c r="B2514" s="164">
        <f>IFERROR(__xludf.DUMMYFUNCTION("""COMPUTED_VALUE"""),1.7796505E7)</f>
        <v>17796505</v>
      </c>
      <c r="C2514" s="164" t="str">
        <f>IFERROR(__xludf.DUMMYFUNCTION("""COMPUTED_VALUE"""),"17796505140-146")</f>
        <v>17796505140-146</v>
      </c>
      <c r="D2514" s="133"/>
      <c r="E2514" s="133" t="str">
        <f>IFERROR(__xludf.DUMMYFUNCTION("""COMPUTED_VALUE"""),"140-146")</f>
        <v>140-146</v>
      </c>
      <c r="F2514" s="165" t="str">
        <f>IFERROR(__xludf.DUMMYFUNCTION("""COMPUTED_VALUE"""),"440007140-146")</f>
        <v>440007140-146</v>
      </c>
      <c r="G2514" s="165">
        <f>IFERROR(__xludf.DUMMYFUNCTION("""COMPUTED_VALUE"""),1124.0)</f>
        <v>1124</v>
      </c>
    </row>
    <row r="2515" ht="15.75" customHeight="1">
      <c r="A2515" s="133">
        <f>IFERROR(__xludf.DUMMYFUNCTION("""COMPUTED_VALUE"""),440008.0)</f>
        <v>440008</v>
      </c>
      <c r="B2515" s="164">
        <f>IFERROR(__xludf.DUMMYFUNCTION("""COMPUTED_VALUE"""),1.7796506E7)</f>
        <v>17796506</v>
      </c>
      <c r="C2515" s="164" t="str">
        <f>IFERROR(__xludf.DUMMYFUNCTION("""COMPUTED_VALUE"""),"1779650698-104")</f>
        <v>1779650698-104</v>
      </c>
      <c r="D2515" s="133" t="str">
        <f>IFERROR(__xludf.DUMMYFUNCTION("""COMPUTED_VALUE"""),"Детский свитер со снегирем")</f>
        <v>Детский свитер со снегирем</v>
      </c>
      <c r="E2515" s="133" t="str">
        <f>IFERROR(__xludf.DUMMYFUNCTION("""COMPUTED_VALUE"""),"98-104")</f>
        <v>98-104</v>
      </c>
      <c r="F2515" s="165" t="str">
        <f>IFERROR(__xludf.DUMMYFUNCTION("""COMPUTED_VALUE"""),"44000898-104")</f>
        <v>44000898-104</v>
      </c>
      <c r="G2515" s="165">
        <f>IFERROR(__xludf.DUMMYFUNCTION("""COMPUTED_VALUE"""),1124.0)</f>
        <v>1124</v>
      </c>
    </row>
    <row r="2516" ht="15.75" customHeight="1">
      <c r="A2516" s="133">
        <f>IFERROR(__xludf.DUMMYFUNCTION("""COMPUTED_VALUE"""),440008.0)</f>
        <v>440008</v>
      </c>
      <c r="B2516" s="164">
        <f>IFERROR(__xludf.DUMMYFUNCTION("""COMPUTED_VALUE"""),1.7796506E7)</f>
        <v>17796506</v>
      </c>
      <c r="C2516" s="164" t="str">
        <f>IFERROR(__xludf.DUMMYFUNCTION("""COMPUTED_VALUE"""),"17796506110-116")</f>
        <v>17796506110-116</v>
      </c>
      <c r="D2516" s="133"/>
      <c r="E2516" s="133" t="str">
        <f>IFERROR(__xludf.DUMMYFUNCTION("""COMPUTED_VALUE"""),"110-116")</f>
        <v>110-116</v>
      </c>
      <c r="F2516" s="165" t="str">
        <f>IFERROR(__xludf.DUMMYFUNCTION("""COMPUTED_VALUE"""),"440008110-116")</f>
        <v>440008110-116</v>
      </c>
      <c r="G2516" s="165">
        <f>IFERROR(__xludf.DUMMYFUNCTION("""COMPUTED_VALUE"""),1124.0)</f>
        <v>1124</v>
      </c>
    </row>
    <row r="2517" ht="15.75" customHeight="1">
      <c r="A2517" s="133">
        <f>IFERROR(__xludf.DUMMYFUNCTION("""COMPUTED_VALUE"""),440008.0)</f>
        <v>440008</v>
      </c>
      <c r="B2517" s="164">
        <f>IFERROR(__xludf.DUMMYFUNCTION("""COMPUTED_VALUE"""),1.7796506E7)</f>
        <v>17796506</v>
      </c>
      <c r="C2517" s="164" t="str">
        <f>IFERROR(__xludf.DUMMYFUNCTION("""COMPUTED_VALUE"""),"17796506122-128")</f>
        <v>17796506122-128</v>
      </c>
      <c r="D2517" s="133"/>
      <c r="E2517" s="133" t="str">
        <f>IFERROR(__xludf.DUMMYFUNCTION("""COMPUTED_VALUE"""),"122-128")</f>
        <v>122-128</v>
      </c>
      <c r="F2517" s="165" t="str">
        <f>IFERROR(__xludf.DUMMYFUNCTION("""COMPUTED_VALUE"""),"440008122-128")</f>
        <v>440008122-128</v>
      </c>
      <c r="G2517" s="165">
        <f>IFERROR(__xludf.DUMMYFUNCTION("""COMPUTED_VALUE"""),1124.0)</f>
        <v>1124</v>
      </c>
    </row>
    <row r="2518" ht="15.75" customHeight="1">
      <c r="A2518" s="133">
        <f>IFERROR(__xludf.DUMMYFUNCTION("""COMPUTED_VALUE"""),440008.0)</f>
        <v>440008</v>
      </c>
      <c r="B2518" s="164">
        <f>IFERROR(__xludf.DUMMYFUNCTION("""COMPUTED_VALUE"""),1.7796506E7)</f>
        <v>17796506</v>
      </c>
      <c r="C2518" s="164" t="str">
        <f>IFERROR(__xludf.DUMMYFUNCTION("""COMPUTED_VALUE"""),"17796506134-140")</f>
        <v>17796506134-140</v>
      </c>
      <c r="D2518" s="133"/>
      <c r="E2518" s="133" t="str">
        <f>IFERROR(__xludf.DUMMYFUNCTION("""COMPUTED_VALUE"""),"134-140")</f>
        <v>134-140</v>
      </c>
      <c r="F2518" s="165" t="str">
        <f>IFERROR(__xludf.DUMMYFUNCTION("""COMPUTED_VALUE"""),"440008134-140")</f>
        <v>440008134-140</v>
      </c>
      <c r="G2518" s="165">
        <f>IFERROR(__xludf.DUMMYFUNCTION("""COMPUTED_VALUE"""),1124.0)</f>
        <v>1124</v>
      </c>
    </row>
    <row r="2519" ht="15.75" customHeight="1">
      <c r="A2519" s="133">
        <f>IFERROR(__xludf.DUMMYFUNCTION("""COMPUTED_VALUE"""),440008.0)</f>
        <v>440008</v>
      </c>
      <c r="B2519" s="164">
        <f>IFERROR(__xludf.DUMMYFUNCTION("""COMPUTED_VALUE"""),1.7796506E7)</f>
        <v>17796506</v>
      </c>
      <c r="C2519" s="164" t="str">
        <f>IFERROR(__xludf.DUMMYFUNCTION("""COMPUTED_VALUE"""),"17796506140-146")</f>
        <v>17796506140-146</v>
      </c>
      <c r="D2519" s="133"/>
      <c r="E2519" s="133" t="str">
        <f>IFERROR(__xludf.DUMMYFUNCTION("""COMPUTED_VALUE"""),"140-146")</f>
        <v>140-146</v>
      </c>
      <c r="F2519" s="165" t="str">
        <f>IFERROR(__xludf.DUMMYFUNCTION("""COMPUTED_VALUE"""),"440008140-146")</f>
        <v>440008140-146</v>
      </c>
      <c r="G2519" s="165">
        <f>IFERROR(__xludf.DUMMYFUNCTION("""COMPUTED_VALUE"""),1124.0)</f>
        <v>1124</v>
      </c>
    </row>
    <row r="2520" ht="15.75" customHeight="1">
      <c r="A2520" s="133">
        <f>IFERROR(__xludf.DUMMYFUNCTION("""COMPUTED_VALUE"""),440009.0)</f>
        <v>440009</v>
      </c>
      <c r="B2520" s="164">
        <f>IFERROR(__xludf.DUMMYFUNCTION("""COMPUTED_VALUE"""),1.7796507E7)</f>
        <v>17796507</v>
      </c>
      <c r="C2520" s="164" t="str">
        <f>IFERROR(__xludf.DUMMYFUNCTION("""COMPUTED_VALUE"""),"1779650798-104")</f>
        <v>1779650798-104</v>
      </c>
      <c r="D2520" s="133" t="str">
        <f>IFERROR(__xludf.DUMMYFUNCTION("""COMPUTED_VALUE"""),"Детский свитер с совой")</f>
        <v>Детский свитер с совой</v>
      </c>
      <c r="E2520" s="133" t="str">
        <f>IFERROR(__xludf.DUMMYFUNCTION("""COMPUTED_VALUE"""),"98-104")</f>
        <v>98-104</v>
      </c>
      <c r="F2520" s="165" t="str">
        <f>IFERROR(__xludf.DUMMYFUNCTION("""COMPUTED_VALUE"""),"44000998-104")</f>
        <v>44000998-104</v>
      </c>
      <c r="G2520" s="165">
        <f>IFERROR(__xludf.DUMMYFUNCTION("""COMPUTED_VALUE"""),1124.0)</f>
        <v>1124</v>
      </c>
    </row>
    <row r="2521" ht="15.75" customHeight="1">
      <c r="A2521" s="133">
        <f>IFERROR(__xludf.DUMMYFUNCTION("""COMPUTED_VALUE"""),440009.0)</f>
        <v>440009</v>
      </c>
      <c r="B2521" s="164">
        <f>IFERROR(__xludf.DUMMYFUNCTION("""COMPUTED_VALUE"""),1.7796507E7)</f>
        <v>17796507</v>
      </c>
      <c r="C2521" s="164" t="str">
        <f>IFERROR(__xludf.DUMMYFUNCTION("""COMPUTED_VALUE"""),"17796507110-116")</f>
        <v>17796507110-116</v>
      </c>
      <c r="D2521" s="133"/>
      <c r="E2521" s="133" t="str">
        <f>IFERROR(__xludf.DUMMYFUNCTION("""COMPUTED_VALUE"""),"110-116")</f>
        <v>110-116</v>
      </c>
      <c r="F2521" s="165" t="str">
        <f>IFERROR(__xludf.DUMMYFUNCTION("""COMPUTED_VALUE"""),"440009110-116")</f>
        <v>440009110-116</v>
      </c>
      <c r="G2521" s="165">
        <f>IFERROR(__xludf.DUMMYFUNCTION("""COMPUTED_VALUE"""),1124.0)</f>
        <v>1124</v>
      </c>
    </row>
    <row r="2522" ht="15.75" customHeight="1">
      <c r="A2522" s="133">
        <f>IFERROR(__xludf.DUMMYFUNCTION("""COMPUTED_VALUE"""),440009.0)</f>
        <v>440009</v>
      </c>
      <c r="B2522" s="164">
        <f>IFERROR(__xludf.DUMMYFUNCTION("""COMPUTED_VALUE"""),1.7796507E7)</f>
        <v>17796507</v>
      </c>
      <c r="C2522" s="164" t="str">
        <f>IFERROR(__xludf.DUMMYFUNCTION("""COMPUTED_VALUE"""),"17796507122-128")</f>
        <v>17796507122-128</v>
      </c>
      <c r="D2522" s="133"/>
      <c r="E2522" s="133" t="str">
        <f>IFERROR(__xludf.DUMMYFUNCTION("""COMPUTED_VALUE"""),"122-128")</f>
        <v>122-128</v>
      </c>
      <c r="F2522" s="165" t="str">
        <f>IFERROR(__xludf.DUMMYFUNCTION("""COMPUTED_VALUE"""),"440009122-128")</f>
        <v>440009122-128</v>
      </c>
      <c r="G2522" s="165">
        <f>IFERROR(__xludf.DUMMYFUNCTION("""COMPUTED_VALUE"""),1124.0)</f>
        <v>1124</v>
      </c>
    </row>
    <row r="2523" ht="15.75" customHeight="1">
      <c r="A2523" s="133">
        <f>IFERROR(__xludf.DUMMYFUNCTION("""COMPUTED_VALUE"""),440009.0)</f>
        <v>440009</v>
      </c>
      <c r="B2523" s="164">
        <f>IFERROR(__xludf.DUMMYFUNCTION("""COMPUTED_VALUE"""),1.7796507E7)</f>
        <v>17796507</v>
      </c>
      <c r="C2523" s="164" t="str">
        <f>IFERROR(__xludf.DUMMYFUNCTION("""COMPUTED_VALUE"""),"17796507134-140")</f>
        <v>17796507134-140</v>
      </c>
      <c r="D2523" s="133"/>
      <c r="E2523" s="133" t="str">
        <f>IFERROR(__xludf.DUMMYFUNCTION("""COMPUTED_VALUE"""),"134-140")</f>
        <v>134-140</v>
      </c>
      <c r="F2523" s="165" t="str">
        <f>IFERROR(__xludf.DUMMYFUNCTION("""COMPUTED_VALUE"""),"440009134-140")</f>
        <v>440009134-140</v>
      </c>
      <c r="G2523" s="165">
        <f>IFERROR(__xludf.DUMMYFUNCTION("""COMPUTED_VALUE"""),1124.0)</f>
        <v>1124</v>
      </c>
    </row>
    <row r="2524" ht="15.75" customHeight="1">
      <c r="A2524" s="133">
        <f>IFERROR(__xludf.DUMMYFUNCTION("""COMPUTED_VALUE"""),440009.0)</f>
        <v>440009</v>
      </c>
      <c r="B2524" s="164">
        <f>IFERROR(__xludf.DUMMYFUNCTION("""COMPUTED_VALUE"""),1.7796507E7)</f>
        <v>17796507</v>
      </c>
      <c r="C2524" s="164" t="str">
        <f>IFERROR(__xludf.DUMMYFUNCTION("""COMPUTED_VALUE"""),"17796507140-146")</f>
        <v>17796507140-146</v>
      </c>
      <c r="D2524" s="133"/>
      <c r="E2524" s="133" t="str">
        <f>IFERROR(__xludf.DUMMYFUNCTION("""COMPUTED_VALUE"""),"140-146")</f>
        <v>140-146</v>
      </c>
      <c r="F2524" s="165" t="str">
        <f>IFERROR(__xludf.DUMMYFUNCTION("""COMPUTED_VALUE"""),"440009140-146")</f>
        <v>440009140-146</v>
      </c>
      <c r="G2524" s="165">
        <f>IFERROR(__xludf.DUMMYFUNCTION("""COMPUTED_VALUE"""),1124.0)</f>
        <v>1124</v>
      </c>
    </row>
    <row r="2525" ht="15.75" customHeight="1">
      <c r="A2525" s="133">
        <f>IFERROR(__xludf.DUMMYFUNCTION("""COMPUTED_VALUE"""),440010.0)</f>
        <v>440010</v>
      </c>
      <c r="B2525" s="164">
        <f>IFERROR(__xludf.DUMMYFUNCTION("""COMPUTED_VALUE"""),1.7796508E7)</f>
        <v>17796508</v>
      </c>
      <c r="C2525" s="164" t="str">
        <f>IFERROR(__xludf.DUMMYFUNCTION("""COMPUTED_VALUE"""),"1779650898-104")</f>
        <v>1779650898-104</v>
      </c>
      <c r="D2525" s="133"/>
      <c r="E2525" s="133" t="str">
        <f>IFERROR(__xludf.DUMMYFUNCTION("""COMPUTED_VALUE"""),"98-104")</f>
        <v>98-104</v>
      </c>
      <c r="F2525" s="165" t="str">
        <f>IFERROR(__xludf.DUMMYFUNCTION("""COMPUTED_VALUE"""),"44001098-104")</f>
        <v>44001098-104</v>
      </c>
      <c r="G2525" s="165">
        <f>IFERROR(__xludf.DUMMYFUNCTION("""COMPUTED_VALUE"""),1124.0)</f>
        <v>1124</v>
      </c>
    </row>
    <row r="2526" ht="15.75" customHeight="1">
      <c r="A2526" s="133">
        <f>IFERROR(__xludf.DUMMYFUNCTION("""COMPUTED_VALUE"""),440010.0)</f>
        <v>440010</v>
      </c>
      <c r="B2526" s="164">
        <f>IFERROR(__xludf.DUMMYFUNCTION("""COMPUTED_VALUE"""),1.7796508E7)</f>
        <v>17796508</v>
      </c>
      <c r="C2526" s="164" t="str">
        <f>IFERROR(__xludf.DUMMYFUNCTION("""COMPUTED_VALUE"""),"17796508110-116")</f>
        <v>17796508110-116</v>
      </c>
      <c r="D2526" s="133"/>
      <c r="E2526" s="133" t="str">
        <f>IFERROR(__xludf.DUMMYFUNCTION("""COMPUTED_VALUE"""),"110-116")</f>
        <v>110-116</v>
      </c>
      <c r="F2526" s="165" t="str">
        <f>IFERROR(__xludf.DUMMYFUNCTION("""COMPUTED_VALUE"""),"440010110-116")</f>
        <v>440010110-116</v>
      </c>
      <c r="G2526" s="165">
        <f>IFERROR(__xludf.DUMMYFUNCTION("""COMPUTED_VALUE"""),1124.0)</f>
        <v>1124</v>
      </c>
    </row>
    <row r="2527" ht="15.75" customHeight="1">
      <c r="A2527" s="133">
        <f>IFERROR(__xludf.DUMMYFUNCTION("""COMPUTED_VALUE"""),440010.0)</f>
        <v>440010</v>
      </c>
      <c r="B2527" s="164">
        <f>IFERROR(__xludf.DUMMYFUNCTION("""COMPUTED_VALUE"""),1.7796508E7)</f>
        <v>17796508</v>
      </c>
      <c r="C2527" s="164" t="str">
        <f>IFERROR(__xludf.DUMMYFUNCTION("""COMPUTED_VALUE"""),"17796508122-128")</f>
        <v>17796508122-128</v>
      </c>
      <c r="D2527" s="133"/>
      <c r="E2527" s="133" t="str">
        <f>IFERROR(__xludf.DUMMYFUNCTION("""COMPUTED_VALUE"""),"122-128")</f>
        <v>122-128</v>
      </c>
      <c r="F2527" s="165" t="str">
        <f>IFERROR(__xludf.DUMMYFUNCTION("""COMPUTED_VALUE"""),"440010122-128")</f>
        <v>440010122-128</v>
      </c>
      <c r="G2527" s="165">
        <f>IFERROR(__xludf.DUMMYFUNCTION("""COMPUTED_VALUE"""),1124.0)</f>
        <v>1124</v>
      </c>
    </row>
    <row r="2528" ht="15.75" customHeight="1">
      <c r="A2528" s="133">
        <f>IFERROR(__xludf.DUMMYFUNCTION("""COMPUTED_VALUE"""),440010.0)</f>
        <v>440010</v>
      </c>
      <c r="B2528" s="164">
        <f>IFERROR(__xludf.DUMMYFUNCTION("""COMPUTED_VALUE"""),1.7796508E7)</f>
        <v>17796508</v>
      </c>
      <c r="C2528" s="164" t="str">
        <f>IFERROR(__xludf.DUMMYFUNCTION("""COMPUTED_VALUE"""),"17796508134-140")</f>
        <v>17796508134-140</v>
      </c>
      <c r="D2528" s="133"/>
      <c r="E2528" s="133" t="str">
        <f>IFERROR(__xludf.DUMMYFUNCTION("""COMPUTED_VALUE"""),"134-140")</f>
        <v>134-140</v>
      </c>
      <c r="F2528" s="165" t="str">
        <f>IFERROR(__xludf.DUMMYFUNCTION("""COMPUTED_VALUE"""),"440010134-140")</f>
        <v>440010134-140</v>
      </c>
      <c r="G2528" s="165">
        <f>IFERROR(__xludf.DUMMYFUNCTION("""COMPUTED_VALUE"""),1124.0)</f>
        <v>1124</v>
      </c>
    </row>
    <row r="2529" ht="15.75" customHeight="1">
      <c r="A2529" s="133">
        <f>IFERROR(__xludf.DUMMYFUNCTION("""COMPUTED_VALUE"""),440010.0)</f>
        <v>440010</v>
      </c>
      <c r="B2529" s="164">
        <f>IFERROR(__xludf.DUMMYFUNCTION("""COMPUTED_VALUE"""),1.7796508E7)</f>
        <v>17796508</v>
      </c>
      <c r="C2529" s="164" t="str">
        <f>IFERROR(__xludf.DUMMYFUNCTION("""COMPUTED_VALUE"""),"17796508140-146")</f>
        <v>17796508140-146</v>
      </c>
      <c r="D2529" s="133"/>
      <c r="E2529" s="133" t="str">
        <f>IFERROR(__xludf.DUMMYFUNCTION("""COMPUTED_VALUE"""),"140-146")</f>
        <v>140-146</v>
      </c>
      <c r="F2529" s="165" t="str">
        <f>IFERROR(__xludf.DUMMYFUNCTION("""COMPUTED_VALUE"""),"440010140-146")</f>
        <v>440010140-146</v>
      </c>
      <c r="G2529" s="165">
        <f>IFERROR(__xludf.DUMMYFUNCTION("""COMPUTED_VALUE"""),1124.0)</f>
        <v>1124</v>
      </c>
    </row>
    <row r="2530" ht="15.75" customHeight="1">
      <c r="A2530" s="133">
        <f>IFERROR(__xludf.DUMMYFUNCTION("""COMPUTED_VALUE"""),440011.0)</f>
        <v>440011</v>
      </c>
      <c r="B2530" s="164">
        <f>IFERROR(__xludf.DUMMYFUNCTION("""COMPUTED_VALUE"""),1.7796509E7)</f>
        <v>17796509</v>
      </c>
      <c r="C2530" s="164" t="str">
        <f>IFERROR(__xludf.DUMMYFUNCTION("""COMPUTED_VALUE"""),"1779650998-104")</f>
        <v>1779650998-104</v>
      </c>
      <c r="D2530" s="133" t="str">
        <f>IFERROR(__xludf.DUMMYFUNCTION("""COMPUTED_VALUE"""),"Детский свитер с совой")</f>
        <v>Детский свитер с совой</v>
      </c>
      <c r="E2530" s="133" t="str">
        <f>IFERROR(__xludf.DUMMYFUNCTION("""COMPUTED_VALUE"""),"98-104")</f>
        <v>98-104</v>
      </c>
      <c r="F2530" s="165" t="str">
        <f>IFERROR(__xludf.DUMMYFUNCTION("""COMPUTED_VALUE"""),"44001198-104")</f>
        <v>44001198-104</v>
      </c>
      <c r="G2530" s="165">
        <f>IFERROR(__xludf.DUMMYFUNCTION("""COMPUTED_VALUE"""),1124.0)</f>
        <v>1124</v>
      </c>
    </row>
    <row r="2531" ht="15.75" customHeight="1">
      <c r="A2531" s="133">
        <f>IFERROR(__xludf.DUMMYFUNCTION("""COMPUTED_VALUE"""),440011.0)</f>
        <v>440011</v>
      </c>
      <c r="B2531" s="164">
        <f>IFERROR(__xludf.DUMMYFUNCTION("""COMPUTED_VALUE"""),1.7796509E7)</f>
        <v>17796509</v>
      </c>
      <c r="C2531" s="164" t="str">
        <f>IFERROR(__xludf.DUMMYFUNCTION("""COMPUTED_VALUE"""),"17796509110-116")</f>
        <v>17796509110-116</v>
      </c>
      <c r="D2531" s="133"/>
      <c r="E2531" s="133" t="str">
        <f>IFERROR(__xludf.DUMMYFUNCTION("""COMPUTED_VALUE"""),"110-116")</f>
        <v>110-116</v>
      </c>
      <c r="F2531" s="165" t="str">
        <f>IFERROR(__xludf.DUMMYFUNCTION("""COMPUTED_VALUE"""),"440011110-116")</f>
        <v>440011110-116</v>
      </c>
      <c r="G2531" s="165">
        <f>IFERROR(__xludf.DUMMYFUNCTION("""COMPUTED_VALUE"""),1124.0)</f>
        <v>1124</v>
      </c>
    </row>
    <row r="2532" ht="15.75" customHeight="1">
      <c r="A2532" s="133">
        <f>IFERROR(__xludf.DUMMYFUNCTION("""COMPUTED_VALUE"""),440011.0)</f>
        <v>440011</v>
      </c>
      <c r="B2532" s="164">
        <f>IFERROR(__xludf.DUMMYFUNCTION("""COMPUTED_VALUE"""),1.7796509E7)</f>
        <v>17796509</v>
      </c>
      <c r="C2532" s="164" t="str">
        <f>IFERROR(__xludf.DUMMYFUNCTION("""COMPUTED_VALUE"""),"17796509122-128")</f>
        <v>17796509122-128</v>
      </c>
      <c r="D2532" s="133"/>
      <c r="E2532" s="133" t="str">
        <f>IFERROR(__xludf.DUMMYFUNCTION("""COMPUTED_VALUE"""),"122-128")</f>
        <v>122-128</v>
      </c>
      <c r="F2532" s="165" t="str">
        <f>IFERROR(__xludf.DUMMYFUNCTION("""COMPUTED_VALUE"""),"440011122-128")</f>
        <v>440011122-128</v>
      </c>
      <c r="G2532" s="165">
        <f>IFERROR(__xludf.DUMMYFUNCTION("""COMPUTED_VALUE"""),1124.0)</f>
        <v>1124</v>
      </c>
    </row>
    <row r="2533" ht="15.75" customHeight="1">
      <c r="A2533" s="133">
        <f>IFERROR(__xludf.DUMMYFUNCTION("""COMPUTED_VALUE"""),440011.0)</f>
        <v>440011</v>
      </c>
      <c r="B2533" s="164">
        <f>IFERROR(__xludf.DUMMYFUNCTION("""COMPUTED_VALUE"""),1.7796509E7)</f>
        <v>17796509</v>
      </c>
      <c r="C2533" s="164" t="str">
        <f>IFERROR(__xludf.DUMMYFUNCTION("""COMPUTED_VALUE"""),"17796509134-140")</f>
        <v>17796509134-140</v>
      </c>
      <c r="D2533" s="133"/>
      <c r="E2533" s="133" t="str">
        <f>IFERROR(__xludf.DUMMYFUNCTION("""COMPUTED_VALUE"""),"134-140")</f>
        <v>134-140</v>
      </c>
      <c r="F2533" s="165" t="str">
        <f>IFERROR(__xludf.DUMMYFUNCTION("""COMPUTED_VALUE"""),"440011134-140")</f>
        <v>440011134-140</v>
      </c>
      <c r="G2533" s="165">
        <f>IFERROR(__xludf.DUMMYFUNCTION("""COMPUTED_VALUE"""),1124.0)</f>
        <v>1124</v>
      </c>
    </row>
    <row r="2534" ht="15.75" customHeight="1">
      <c r="A2534" s="133">
        <f>IFERROR(__xludf.DUMMYFUNCTION("""COMPUTED_VALUE"""),440011.0)</f>
        <v>440011</v>
      </c>
      <c r="B2534" s="164">
        <f>IFERROR(__xludf.DUMMYFUNCTION("""COMPUTED_VALUE"""),1.7796509E7)</f>
        <v>17796509</v>
      </c>
      <c r="C2534" s="164" t="str">
        <f>IFERROR(__xludf.DUMMYFUNCTION("""COMPUTED_VALUE"""),"17796509140-146")</f>
        <v>17796509140-146</v>
      </c>
      <c r="D2534" s="133"/>
      <c r="E2534" s="133" t="str">
        <f>IFERROR(__xludf.DUMMYFUNCTION("""COMPUTED_VALUE"""),"140-146")</f>
        <v>140-146</v>
      </c>
      <c r="F2534" s="165" t="str">
        <f>IFERROR(__xludf.DUMMYFUNCTION("""COMPUTED_VALUE"""),"440011140-146")</f>
        <v>440011140-146</v>
      </c>
      <c r="G2534" s="165">
        <f>IFERROR(__xludf.DUMMYFUNCTION("""COMPUTED_VALUE"""),1124.0)</f>
        <v>1124</v>
      </c>
    </row>
    <row r="2535" ht="15.75" customHeight="1">
      <c r="A2535" s="133">
        <f>IFERROR(__xludf.DUMMYFUNCTION("""COMPUTED_VALUE"""),40012.0)</f>
        <v>40012</v>
      </c>
      <c r="B2535" s="164">
        <f>IFERROR(__xludf.DUMMYFUNCTION("""COMPUTED_VALUE"""),1.7797236E7)</f>
        <v>17797236</v>
      </c>
      <c r="C2535" s="164" t="str">
        <f>IFERROR(__xludf.DUMMYFUNCTION("""COMPUTED_VALUE"""),"1779723698-104")</f>
        <v>1779723698-104</v>
      </c>
      <c r="D2535" s="133" t="str">
        <f>IFERROR(__xludf.DUMMYFUNCTION("""COMPUTED_VALUE"""),"Детский свитер с оленями")</f>
        <v>Детский свитер с оленями</v>
      </c>
      <c r="E2535" s="133" t="str">
        <f>IFERROR(__xludf.DUMMYFUNCTION("""COMPUTED_VALUE"""),"98-104")</f>
        <v>98-104</v>
      </c>
      <c r="F2535" s="165" t="str">
        <f>IFERROR(__xludf.DUMMYFUNCTION("""COMPUTED_VALUE"""),"4001298-104")</f>
        <v>4001298-104</v>
      </c>
      <c r="G2535" s="165">
        <f>IFERROR(__xludf.DUMMYFUNCTION("""COMPUTED_VALUE"""),699.0)</f>
        <v>699</v>
      </c>
    </row>
    <row r="2536" ht="15.75" customHeight="1">
      <c r="A2536" s="133">
        <f>IFERROR(__xludf.DUMMYFUNCTION("""COMPUTED_VALUE"""),40012.0)</f>
        <v>40012</v>
      </c>
      <c r="B2536" s="164">
        <f>IFERROR(__xludf.DUMMYFUNCTION("""COMPUTED_VALUE"""),1.7797236E7)</f>
        <v>17797236</v>
      </c>
      <c r="C2536" s="164" t="str">
        <f>IFERROR(__xludf.DUMMYFUNCTION("""COMPUTED_VALUE"""),"17797236110-116")</f>
        <v>17797236110-116</v>
      </c>
      <c r="D2536" s="133"/>
      <c r="E2536" s="133" t="str">
        <f>IFERROR(__xludf.DUMMYFUNCTION("""COMPUTED_VALUE"""),"110-116")</f>
        <v>110-116</v>
      </c>
      <c r="F2536" s="165" t="str">
        <f>IFERROR(__xludf.DUMMYFUNCTION("""COMPUTED_VALUE"""),"40012110-116")</f>
        <v>40012110-116</v>
      </c>
      <c r="G2536" s="165">
        <f>IFERROR(__xludf.DUMMYFUNCTION("""COMPUTED_VALUE"""),699.0)</f>
        <v>699</v>
      </c>
    </row>
    <row r="2537" ht="15.75" customHeight="1">
      <c r="A2537" s="133">
        <f>IFERROR(__xludf.DUMMYFUNCTION("""COMPUTED_VALUE"""),40012.0)</f>
        <v>40012</v>
      </c>
      <c r="B2537" s="164">
        <f>IFERROR(__xludf.DUMMYFUNCTION("""COMPUTED_VALUE"""),1.7797236E7)</f>
        <v>17797236</v>
      </c>
      <c r="C2537" s="164" t="str">
        <f>IFERROR(__xludf.DUMMYFUNCTION("""COMPUTED_VALUE"""),"17797236122-128")</f>
        <v>17797236122-128</v>
      </c>
      <c r="D2537" s="133"/>
      <c r="E2537" s="133" t="str">
        <f>IFERROR(__xludf.DUMMYFUNCTION("""COMPUTED_VALUE"""),"122-128")</f>
        <v>122-128</v>
      </c>
      <c r="F2537" s="165" t="str">
        <f>IFERROR(__xludf.DUMMYFUNCTION("""COMPUTED_VALUE"""),"40012122-128")</f>
        <v>40012122-128</v>
      </c>
      <c r="G2537" s="165">
        <f>IFERROR(__xludf.DUMMYFUNCTION("""COMPUTED_VALUE"""),699.0)</f>
        <v>699</v>
      </c>
    </row>
    <row r="2538" ht="15.75" customHeight="1">
      <c r="A2538" s="133">
        <f>IFERROR(__xludf.DUMMYFUNCTION("""COMPUTED_VALUE"""),40012.0)</f>
        <v>40012</v>
      </c>
      <c r="B2538" s="164">
        <f>IFERROR(__xludf.DUMMYFUNCTION("""COMPUTED_VALUE"""),1.7797236E7)</f>
        <v>17797236</v>
      </c>
      <c r="C2538" s="164" t="str">
        <f>IFERROR(__xludf.DUMMYFUNCTION("""COMPUTED_VALUE"""),"17797236134-140")</f>
        <v>17797236134-140</v>
      </c>
      <c r="D2538" s="133"/>
      <c r="E2538" s="133" t="str">
        <f>IFERROR(__xludf.DUMMYFUNCTION("""COMPUTED_VALUE"""),"134-140")</f>
        <v>134-140</v>
      </c>
      <c r="F2538" s="165" t="str">
        <f>IFERROR(__xludf.DUMMYFUNCTION("""COMPUTED_VALUE"""),"40012134-140")</f>
        <v>40012134-140</v>
      </c>
      <c r="G2538" s="165">
        <f>IFERROR(__xludf.DUMMYFUNCTION("""COMPUTED_VALUE"""),699.0)</f>
        <v>699</v>
      </c>
    </row>
    <row r="2539" ht="15.75" customHeight="1">
      <c r="A2539" s="133">
        <f>IFERROR(__xludf.DUMMYFUNCTION("""COMPUTED_VALUE"""),40012.0)</f>
        <v>40012</v>
      </c>
      <c r="B2539" s="164">
        <f>IFERROR(__xludf.DUMMYFUNCTION("""COMPUTED_VALUE"""),1.7797236E7)</f>
        <v>17797236</v>
      </c>
      <c r="C2539" s="164" t="str">
        <f>IFERROR(__xludf.DUMMYFUNCTION("""COMPUTED_VALUE"""),"17797236140-146")</f>
        <v>17797236140-146</v>
      </c>
      <c r="D2539" s="133"/>
      <c r="E2539" s="133" t="str">
        <f>IFERROR(__xludf.DUMMYFUNCTION("""COMPUTED_VALUE"""),"140-146")</f>
        <v>140-146</v>
      </c>
      <c r="F2539" s="165" t="str">
        <f>IFERROR(__xludf.DUMMYFUNCTION("""COMPUTED_VALUE"""),"40012140-146")</f>
        <v>40012140-146</v>
      </c>
      <c r="G2539" s="165">
        <f>IFERROR(__xludf.DUMMYFUNCTION("""COMPUTED_VALUE"""),699.0)</f>
        <v>699</v>
      </c>
    </row>
    <row r="2540" ht="15.75" customHeight="1">
      <c r="A2540" s="133">
        <f>IFERROR(__xludf.DUMMYFUNCTION("""COMPUTED_VALUE"""),40013.0)</f>
        <v>40013</v>
      </c>
      <c r="B2540" s="164">
        <f>IFERROR(__xludf.DUMMYFUNCTION("""COMPUTED_VALUE"""),1.7797237E7)</f>
        <v>17797237</v>
      </c>
      <c r="C2540" s="164" t="str">
        <f>IFERROR(__xludf.DUMMYFUNCTION("""COMPUTED_VALUE"""),"1779723798-104")</f>
        <v>1779723798-104</v>
      </c>
      <c r="D2540" s="133" t="str">
        <f>IFERROR(__xludf.DUMMYFUNCTION("""COMPUTED_VALUE"""),"Детский свитер с оленями")</f>
        <v>Детский свитер с оленями</v>
      </c>
      <c r="E2540" s="133" t="str">
        <f>IFERROR(__xludf.DUMMYFUNCTION("""COMPUTED_VALUE"""),"98-104")</f>
        <v>98-104</v>
      </c>
      <c r="F2540" s="165" t="str">
        <f>IFERROR(__xludf.DUMMYFUNCTION("""COMPUTED_VALUE"""),"4001398-104")</f>
        <v>4001398-104</v>
      </c>
      <c r="G2540" s="165">
        <f>IFERROR(__xludf.DUMMYFUNCTION("""COMPUTED_VALUE"""),707.0)</f>
        <v>707</v>
      </c>
    </row>
    <row r="2541" ht="15.75" customHeight="1">
      <c r="A2541" s="133">
        <f>IFERROR(__xludf.DUMMYFUNCTION("""COMPUTED_VALUE"""),40013.0)</f>
        <v>40013</v>
      </c>
      <c r="B2541" s="164">
        <f>IFERROR(__xludf.DUMMYFUNCTION("""COMPUTED_VALUE"""),1.7797237E7)</f>
        <v>17797237</v>
      </c>
      <c r="C2541" s="164" t="str">
        <f>IFERROR(__xludf.DUMMYFUNCTION("""COMPUTED_VALUE"""),"17797237110-116")</f>
        <v>17797237110-116</v>
      </c>
      <c r="D2541" s="133"/>
      <c r="E2541" s="133" t="str">
        <f>IFERROR(__xludf.DUMMYFUNCTION("""COMPUTED_VALUE"""),"110-116")</f>
        <v>110-116</v>
      </c>
      <c r="F2541" s="165" t="str">
        <f>IFERROR(__xludf.DUMMYFUNCTION("""COMPUTED_VALUE"""),"40013110-116")</f>
        <v>40013110-116</v>
      </c>
      <c r="G2541" s="165">
        <f>IFERROR(__xludf.DUMMYFUNCTION("""COMPUTED_VALUE"""),707.0)</f>
        <v>707</v>
      </c>
    </row>
    <row r="2542" ht="15.75" customHeight="1">
      <c r="A2542" s="133">
        <f>IFERROR(__xludf.DUMMYFUNCTION("""COMPUTED_VALUE"""),40013.0)</f>
        <v>40013</v>
      </c>
      <c r="B2542" s="164">
        <f>IFERROR(__xludf.DUMMYFUNCTION("""COMPUTED_VALUE"""),1.7797237E7)</f>
        <v>17797237</v>
      </c>
      <c r="C2542" s="164" t="str">
        <f>IFERROR(__xludf.DUMMYFUNCTION("""COMPUTED_VALUE"""),"17797237122-128")</f>
        <v>17797237122-128</v>
      </c>
      <c r="D2542" s="133"/>
      <c r="E2542" s="133" t="str">
        <f>IFERROR(__xludf.DUMMYFUNCTION("""COMPUTED_VALUE"""),"122-128")</f>
        <v>122-128</v>
      </c>
      <c r="F2542" s="165" t="str">
        <f>IFERROR(__xludf.DUMMYFUNCTION("""COMPUTED_VALUE"""),"40013122-128")</f>
        <v>40013122-128</v>
      </c>
      <c r="G2542" s="165">
        <f>IFERROR(__xludf.DUMMYFUNCTION("""COMPUTED_VALUE"""),707.0)</f>
        <v>707</v>
      </c>
    </row>
    <row r="2543" ht="15.75" customHeight="1">
      <c r="A2543" s="133">
        <f>IFERROR(__xludf.DUMMYFUNCTION("""COMPUTED_VALUE"""),40013.0)</f>
        <v>40013</v>
      </c>
      <c r="B2543" s="164">
        <f>IFERROR(__xludf.DUMMYFUNCTION("""COMPUTED_VALUE"""),1.7797237E7)</f>
        <v>17797237</v>
      </c>
      <c r="C2543" s="164" t="str">
        <f>IFERROR(__xludf.DUMMYFUNCTION("""COMPUTED_VALUE"""),"17797237134-140")</f>
        <v>17797237134-140</v>
      </c>
      <c r="D2543" s="133"/>
      <c r="E2543" s="133" t="str">
        <f>IFERROR(__xludf.DUMMYFUNCTION("""COMPUTED_VALUE"""),"134-140")</f>
        <v>134-140</v>
      </c>
      <c r="F2543" s="165" t="str">
        <f>IFERROR(__xludf.DUMMYFUNCTION("""COMPUTED_VALUE"""),"40013134-140")</f>
        <v>40013134-140</v>
      </c>
      <c r="G2543" s="165">
        <f>IFERROR(__xludf.DUMMYFUNCTION("""COMPUTED_VALUE"""),707.0)</f>
        <v>707</v>
      </c>
    </row>
    <row r="2544" ht="15.75" customHeight="1">
      <c r="A2544" s="133">
        <f>IFERROR(__xludf.DUMMYFUNCTION("""COMPUTED_VALUE"""),40013.0)</f>
        <v>40013</v>
      </c>
      <c r="B2544" s="164">
        <f>IFERROR(__xludf.DUMMYFUNCTION("""COMPUTED_VALUE"""),1.7797237E7)</f>
        <v>17797237</v>
      </c>
      <c r="C2544" s="164" t="str">
        <f>IFERROR(__xludf.DUMMYFUNCTION("""COMPUTED_VALUE"""),"17797237140-146")</f>
        <v>17797237140-146</v>
      </c>
      <c r="D2544" s="133"/>
      <c r="E2544" s="133" t="str">
        <f>IFERROR(__xludf.DUMMYFUNCTION("""COMPUTED_VALUE"""),"140-146")</f>
        <v>140-146</v>
      </c>
      <c r="F2544" s="165" t="str">
        <f>IFERROR(__xludf.DUMMYFUNCTION("""COMPUTED_VALUE"""),"40013140-146")</f>
        <v>40013140-146</v>
      </c>
      <c r="G2544" s="165">
        <f>IFERROR(__xludf.DUMMYFUNCTION("""COMPUTED_VALUE"""),707.0)</f>
        <v>707</v>
      </c>
    </row>
    <row r="2545" ht="15.75" customHeight="1">
      <c r="A2545" s="133">
        <f>IFERROR(__xludf.DUMMYFUNCTION("""COMPUTED_VALUE"""),40014.0)</f>
        <v>40014</v>
      </c>
      <c r="B2545" s="164">
        <f>IFERROR(__xludf.DUMMYFUNCTION("""COMPUTED_VALUE"""),1.7797238E7)</f>
        <v>17797238</v>
      </c>
      <c r="C2545" s="164" t="str">
        <f>IFERROR(__xludf.DUMMYFUNCTION("""COMPUTED_VALUE"""),"1779723898-104")</f>
        <v>1779723898-104</v>
      </c>
      <c r="D2545" s="133" t="str">
        <f>IFERROR(__xludf.DUMMYFUNCTION("""COMPUTED_VALUE"""),"Детский свитер с оленями")</f>
        <v>Детский свитер с оленями</v>
      </c>
      <c r="E2545" s="133" t="str">
        <f>IFERROR(__xludf.DUMMYFUNCTION("""COMPUTED_VALUE"""),"98-104")</f>
        <v>98-104</v>
      </c>
      <c r="F2545" s="165" t="str">
        <f>IFERROR(__xludf.DUMMYFUNCTION("""COMPUTED_VALUE"""),"4001498-104")</f>
        <v>4001498-104</v>
      </c>
      <c r="G2545" s="165">
        <f>IFERROR(__xludf.DUMMYFUNCTION("""COMPUTED_VALUE"""),720.0)</f>
        <v>720</v>
      </c>
    </row>
    <row r="2546" ht="15.75" customHeight="1">
      <c r="A2546" s="133">
        <f>IFERROR(__xludf.DUMMYFUNCTION("""COMPUTED_VALUE"""),40014.0)</f>
        <v>40014</v>
      </c>
      <c r="B2546" s="164">
        <f>IFERROR(__xludf.DUMMYFUNCTION("""COMPUTED_VALUE"""),1.7797238E7)</f>
        <v>17797238</v>
      </c>
      <c r="C2546" s="164" t="str">
        <f>IFERROR(__xludf.DUMMYFUNCTION("""COMPUTED_VALUE"""),"17797238110-116")</f>
        <v>17797238110-116</v>
      </c>
      <c r="D2546" s="133"/>
      <c r="E2546" s="133" t="str">
        <f>IFERROR(__xludf.DUMMYFUNCTION("""COMPUTED_VALUE"""),"110-116")</f>
        <v>110-116</v>
      </c>
      <c r="F2546" s="165" t="str">
        <f>IFERROR(__xludf.DUMMYFUNCTION("""COMPUTED_VALUE"""),"40014110-116")</f>
        <v>40014110-116</v>
      </c>
      <c r="G2546" s="165">
        <f>IFERROR(__xludf.DUMMYFUNCTION("""COMPUTED_VALUE"""),720.0)</f>
        <v>720</v>
      </c>
    </row>
    <row r="2547" ht="15.75" customHeight="1">
      <c r="A2547" s="133">
        <f>IFERROR(__xludf.DUMMYFUNCTION("""COMPUTED_VALUE"""),40014.0)</f>
        <v>40014</v>
      </c>
      <c r="B2547" s="164">
        <f>IFERROR(__xludf.DUMMYFUNCTION("""COMPUTED_VALUE"""),1.7797238E7)</f>
        <v>17797238</v>
      </c>
      <c r="C2547" s="164" t="str">
        <f>IFERROR(__xludf.DUMMYFUNCTION("""COMPUTED_VALUE"""),"17797238122-128")</f>
        <v>17797238122-128</v>
      </c>
      <c r="D2547" s="133"/>
      <c r="E2547" s="133" t="str">
        <f>IFERROR(__xludf.DUMMYFUNCTION("""COMPUTED_VALUE"""),"122-128")</f>
        <v>122-128</v>
      </c>
      <c r="F2547" s="165" t="str">
        <f>IFERROR(__xludf.DUMMYFUNCTION("""COMPUTED_VALUE"""),"40014122-128")</f>
        <v>40014122-128</v>
      </c>
      <c r="G2547" s="165">
        <f>IFERROR(__xludf.DUMMYFUNCTION("""COMPUTED_VALUE"""),720.0)</f>
        <v>720</v>
      </c>
    </row>
    <row r="2548" ht="15.75" customHeight="1">
      <c r="A2548" s="133">
        <f>IFERROR(__xludf.DUMMYFUNCTION("""COMPUTED_VALUE"""),40014.0)</f>
        <v>40014</v>
      </c>
      <c r="B2548" s="164">
        <f>IFERROR(__xludf.DUMMYFUNCTION("""COMPUTED_VALUE"""),1.7797238E7)</f>
        <v>17797238</v>
      </c>
      <c r="C2548" s="164" t="str">
        <f>IFERROR(__xludf.DUMMYFUNCTION("""COMPUTED_VALUE"""),"17797238134-140")</f>
        <v>17797238134-140</v>
      </c>
      <c r="D2548" s="133"/>
      <c r="E2548" s="133" t="str">
        <f>IFERROR(__xludf.DUMMYFUNCTION("""COMPUTED_VALUE"""),"134-140")</f>
        <v>134-140</v>
      </c>
      <c r="F2548" s="165" t="str">
        <f>IFERROR(__xludf.DUMMYFUNCTION("""COMPUTED_VALUE"""),"40014134-140")</f>
        <v>40014134-140</v>
      </c>
      <c r="G2548" s="165">
        <f>IFERROR(__xludf.DUMMYFUNCTION("""COMPUTED_VALUE"""),720.0)</f>
        <v>720</v>
      </c>
    </row>
    <row r="2549" ht="15.75" customHeight="1">
      <c r="A2549" s="133">
        <f>IFERROR(__xludf.DUMMYFUNCTION("""COMPUTED_VALUE"""),40014.0)</f>
        <v>40014</v>
      </c>
      <c r="B2549" s="164">
        <f>IFERROR(__xludf.DUMMYFUNCTION("""COMPUTED_VALUE"""),1.7797238E7)</f>
        <v>17797238</v>
      </c>
      <c r="C2549" s="164" t="str">
        <f>IFERROR(__xludf.DUMMYFUNCTION("""COMPUTED_VALUE"""),"17797238140-146")</f>
        <v>17797238140-146</v>
      </c>
      <c r="D2549" s="133"/>
      <c r="E2549" s="133" t="str">
        <f>IFERROR(__xludf.DUMMYFUNCTION("""COMPUTED_VALUE"""),"140-146")</f>
        <v>140-146</v>
      </c>
      <c r="F2549" s="165" t="str">
        <f>IFERROR(__xludf.DUMMYFUNCTION("""COMPUTED_VALUE"""),"40014140-146")</f>
        <v>40014140-146</v>
      </c>
      <c r="G2549" s="165">
        <f>IFERROR(__xludf.DUMMYFUNCTION("""COMPUTED_VALUE"""),720.0)</f>
        <v>720</v>
      </c>
    </row>
    <row r="2550" ht="15.75" customHeight="1">
      <c r="A2550" s="133">
        <f>IFERROR(__xludf.DUMMYFUNCTION("""COMPUTED_VALUE"""),40015.0)</f>
        <v>40015</v>
      </c>
      <c r="B2550" s="164">
        <f>IFERROR(__xludf.DUMMYFUNCTION("""COMPUTED_VALUE"""),6313133.0)</f>
        <v>6313133</v>
      </c>
      <c r="C2550" s="164" t="str">
        <f>IFERROR(__xludf.DUMMYFUNCTION("""COMPUTED_VALUE"""),"631313398-104")</f>
        <v>631313398-104</v>
      </c>
      <c r="D2550" s="133" t="str">
        <f>IFERROR(__xludf.DUMMYFUNCTION("""COMPUTED_VALUE"""),"Детский свитер с оленем")</f>
        <v>Детский свитер с оленем</v>
      </c>
      <c r="E2550" s="133" t="str">
        <f>IFERROR(__xludf.DUMMYFUNCTION("""COMPUTED_VALUE"""),"98-104")</f>
        <v>98-104</v>
      </c>
      <c r="F2550" s="165" t="str">
        <f>IFERROR(__xludf.DUMMYFUNCTION("""COMPUTED_VALUE"""),"4001598-104")</f>
        <v>4001598-104</v>
      </c>
      <c r="G2550" s="165">
        <f>IFERROR(__xludf.DUMMYFUNCTION("""COMPUTED_VALUE"""),757.0)</f>
        <v>757</v>
      </c>
    </row>
    <row r="2551" ht="15.75" customHeight="1">
      <c r="A2551" s="133">
        <f>IFERROR(__xludf.DUMMYFUNCTION("""COMPUTED_VALUE"""),40015.0)</f>
        <v>40015</v>
      </c>
      <c r="B2551" s="164">
        <f>IFERROR(__xludf.DUMMYFUNCTION("""COMPUTED_VALUE"""),6313133.0)</f>
        <v>6313133</v>
      </c>
      <c r="C2551" s="164" t="str">
        <f>IFERROR(__xludf.DUMMYFUNCTION("""COMPUTED_VALUE"""),"6313133110-116")</f>
        <v>6313133110-116</v>
      </c>
      <c r="D2551" s="133"/>
      <c r="E2551" s="133" t="str">
        <f>IFERROR(__xludf.DUMMYFUNCTION("""COMPUTED_VALUE"""),"110-116")</f>
        <v>110-116</v>
      </c>
      <c r="F2551" s="165" t="str">
        <f>IFERROR(__xludf.DUMMYFUNCTION("""COMPUTED_VALUE"""),"40015110-116")</f>
        <v>40015110-116</v>
      </c>
      <c r="G2551" s="165">
        <f>IFERROR(__xludf.DUMMYFUNCTION("""COMPUTED_VALUE"""),757.0)</f>
        <v>757</v>
      </c>
    </row>
    <row r="2552" ht="15.75" customHeight="1">
      <c r="A2552" s="133">
        <f>IFERROR(__xludf.DUMMYFUNCTION("""COMPUTED_VALUE"""),40015.0)</f>
        <v>40015</v>
      </c>
      <c r="B2552" s="164">
        <f>IFERROR(__xludf.DUMMYFUNCTION("""COMPUTED_VALUE"""),6313133.0)</f>
        <v>6313133</v>
      </c>
      <c r="C2552" s="164" t="str">
        <f>IFERROR(__xludf.DUMMYFUNCTION("""COMPUTED_VALUE"""),"6313133122-128")</f>
        <v>6313133122-128</v>
      </c>
      <c r="D2552" s="133"/>
      <c r="E2552" s="133" t="str">
        <f>IFERROR(__xludf.DUMMYFUNCTION("""COMPUTED_VALUE"""),"122-128")</f>
        <v>122-128</v>
      </c>
      <c r="F2552" s="165" t="str">
        <f>IFERROR(__xludf.DUMMYFUNCTION("""COMPUTED_VALUE"""),"40015122-128")</f>
        <v>40015122-128</v>
      </c>
      <c r="G2552" s="165">
        <f>IFERROR(__xludf.DUMMYFUNCTION("""COMPUTED_VALUE"""),757.0)</f>
        <v>757</v>
      </c>
    </row>
    <row r="2553" ht="15.75" customHeight="1">
      <c r="A2553" s="133">
        <f>IFERROR(__xludf.DUMMYFUNCTION("""COMPUTED_VALUE"""),40015.0)</f>
        <v>40015</v>
      </c>
      <c r="B2553" s="164">
        <f>IFERROR(__xludf.DUMMYFUNCTION("""COMPUTED_VALUE"""),6313133.0)</f>
        <v>6313133</v>
      </c>
      <c r="C2553" s="164" t="str">
        <f>IFERROR(__xludf.DUMMYFUNCTION("""COMPUTED_VALUE"""),"6313133134-140")</f>
        <v>6313133134-140</v>
      </c>
      <c r="D2553" s="133"/>
      <c r="E2553" s="133" t="str">
        <f>IFERROR(__xludf.DUMMYFUNCTION("""COMPUTED_VALUE"""),"134-140")</f>
        <v>134-140</v>
      </c>
      <c r="F2553" s="165" t="str">
        <f>IFERROR(__xludf.DUMMYFUNCTION("""COMPUTED_VALUE"""),"40015134-140")</f>
        <v>40015134-140</v>
      </c>
      <c r="G2553" s="165">
        <f>IFERROR(__xludf.DUMMYFUNCTION("""COMPUTED_VALUE"""),757.0)</f>
        <v>757</v>
      </c>
    </row>
    <row r="2554" ht="15.75" customHeight="1">
      <c r="A2554" s="133">
        <f>IFERROR(__xludf.DUMMYFUNCTION("""COMPUTED_VALUE"""),40015.0)</f>
        <v>40015</v>
      </c>
      <c r="B2554" s="164">
        <f>IFERROR(__xludf.DUMMYFUNCTION("""COMPUTED_VALUE"""),6313133.0)</f>
        <v>6313133</v>
      </c>
      <c r="C2554" s="164" t="str">
        <f>IFERROR(__xludf.DUMMYFUNCTION("""COMPUTED_VALUE"""),"6313133140-146")</f>
        <v>6313133140-146</v>
      </c>
      <c r="D2554" s="133"/>
      <c r="E2554" s="133" t="str">
        <f>IFERROR(__xludf.DUMMYFUNCTION("""COMPUTED_VALUE"""),"140-146")</f>
        <v>140-146</v>
      </c>
      <c r="F2554" s="165" t="str">
        <f>IFERROR(__xludf.DUMMYFUNCTION("""COMPUTED_VALUE"""),"40015140-146")</f>
        <v>40015140-146</v>
      </c>
      <c r="G2554" s="165">
        <f>IFERROR(__xludf.DUMMYFUNCTION("""COMPUTED_VALUE"""),757.0)</f>
        <v>757</v>
      </c>
    </row>
    <row r="2555" ht="15.75" customHeight="1">
      <c r="A2555" s="133">
        <f>IFERROR(__xludf.DUMMYFUNCTION("""COMPUTED_VALUE"""),40016.0)</f>
        <v>40016</v>
      </c>
      <c r="B2555" s="164">
        <f>IFERROR(__xludf.DUMMYFUNCTION("""COMPUTED_VALUE"""),1.7797239E7)</f>
        <v>17797239</v>
      </c>
      <c r="C2555" s="164" t="str">
        <f>IFERROR(__xludf.DUMMYFUNCTION("""COMPUTED_VALUE"""),"1779723998-104")</f>
        <v>1779723998-104</v>
      </c>
      <c r="D2555" s="133" t="str">
        <f>IFERROR(__xludf.DUMMYFUNCTION("""COMPUTED_VALUE"""),"Детский свитер с оленем")</f>
        <v>Детский свитер с оленем</v>
      </c>
      <c r="E2555" s="133" t="str">
        <f>IFERROR(__xludf.DUMMYFUNCTION("""COMPUTED_VALUE"""),"98-104")</f>
        <v>98-104</v>
      </c>
      <c r="F2555" s="165" t="str">
        <f>IFERROR(__xludf.DUMMYFUNCTION("""COMPUTED_VALUE"""),"4001698-104")</f>
        <v>4001698-104</v>
      </c>
      <c r="G2555" s="165">
        <f>IFERROR(__xludf.DUMMYFUNCTION("""COMPUTED_VALUE"""),824.0)</f>
        <v>824</v>
      </c>
    </row>
    <row r="2556" ht="15.75" customHeight="1">
      <c r="A2556" s="133">
        <f>IFERROR(__xludf.DUMMYFUNCTION("""COMPUTED_VALUE"""),40016.0)</f>
        <v>40016</v>
      </c>
      <c r="B2556" s="164">
        <f>IFERROR(__xludf.DUMMYFUNCTION("""COMPUTED_VALUE"""),1.7797239E7)</f>
        <v>17797239</v>
      </c>
      <c r="C2556" s="164" t="str">
        <f>IFERROR(__xludf.DUMMYFUNCTION("""COMPUTED_VALUE"""),"17797239110-116")</f>
        <v>17797239110-116</v>
      </c>
      <c r="D2556" s="133"/>
      <c r="E2556" s="133" t="str">
        <f>IFERROR(__xludf.DUMMYFUNCTION("""COMPUTED_VALUE"""),"110-116")</f>
        <v>110-116</v>
      </c>
      <c r="F2556" s="165" t="str">
        <f>IFERROR(__xludf.DUMMYFUNCTION("""COMPUTED_VALUE"""),"40016110-116")</f>
        <v>40016110-116</v>
      </c>
      <c r="G2556" s="165">
        <f>IFERROR(__xludf.DUMMYFUNCTION("""COMPUTED_VALUE"""),824.0)</f>
        <v>824</v>
      </c>
    </row>
    <row r="2557" ht="15.75" customHeight="1">
      <c r="A2557" s="133">
        <f>IFERROR(__xludf.DUMMYFUNCTION("""COMPUTED_VALUE"""),40016.0)</f>
        <v>40016</v>
      </c>
      <c r="B2557" s="164">
        <f>IFERROR(__xludf.DUMMYFUNCTION("""COMPUTED_VALUE"""),1.7797239E7)</f>
        <v>17797239</v>
      </c>
      <c r="C2557" s="164" t="str">
        <f>IFERROR(__xludf.DUMMYFUNCTION("""COMPUTED_VALUE"""),"17797239122-128")</f>
        <v>17797239122-128</v>
      </c>
      <c r="D2557" s="133"/>
      <c r="E2557" s="133" t="str">
        <f>IFERROR(__xludf.DUMMYFUNCTION("""COMPUTED_VALUE"""),"122-128")</f>
        <v>122-128</v>
      </c>
      <c r="F2557" s="165" t="str">
        <f>IFERROR(__xludf.DUMMYFUNCTION("""COMPUTED_VALUE"""),"40016122-128")</f>
        <v>40016122-128</v>
      </c>
      <c r="G2557" s="165">
        <f>IFERROR(__xludf.DUMMYFUNCTION("""COMPUTED_VALUE"""),824.0)</f>
        <v>824</v>
      </c>
    </row>
    <row r="2558" ht="15.75" customHeight="1">
      <c r="A2558" s="133">
        <f>IFERROR(__xludf.DUMMYFUNCTION("""COMPUTED_VALUE"""),40016.0)</f>
        <v>40016</v>
      </c>
      <c r="B2558" s="164">
        <f>IFERROR(__xludf.DUMMYFUNCTION("""COMPUTED_VALUE"""),1.7797239E7)</f>
        <v>17797239</v>
      </c>
      <c r="C2558" s="164" t="str">
        <f>IFERROR(__xludf.DUMMYFUNCTION("""COMPUTED_VALUE"""),"17797239134-140")</f>
        <v>17797239134-140</v>
      </c>
      <c r="D2558" s="133"/>
      <c r="E2558" s="133" t="str">
        <f>IFERROR(__xludf.DUMMYFUNCTION("""COMPUTED_VALUE"""),"134-140")</f>
        <v>134-140</v>
      </c>
      <c r="F2558" s="165" t="str">
        <f>IFERROR(__xludf.DUMMYFUNCTION("""COMPUTED_VALUE"""),"40016134-140")</f>
        <v>40016134-140</v>
      </c>
      <c r="G2558" s="165">
        <f>IFERROR(__xludf.DUMMYFUNCTION("""COMPUTED_VALUE"""),824.0)</f>
        <v>824</v>
      </c>
    </row>
    <row r="2559" ht="15.75" customHeight="1">
      <c r="A2559" s="133">
        <f>IFERROR(__xludf.DUMMYFUNCTION("""COMPUTED_VALUE"""),40016.0)</f>
        <v>40016</v>
      </c>
      <c r="B2559" s="164">
        <f>IFERROR(__xludf.DUMMYFUNCTION("""COMPUTED_VALUE"""),1.7797239E7)</f>
        <v>17797239</v>
      </c>
      <c r="C2559" s="164" t="str">
        <f>IFERROR(__xludf.DUMMYFUNCTION("""COMPUTED_VALUE"""),"17797239140-146")</f>
        <v>17797239140-146</v>
      </c>
      <c r="D2559" s="133"/>
      <c r="E2559" s="133" t="str">
        <f>IFERROR(__xludf.DUMMYFUNCTION("""COMPUTED_VALUE"""),"140-146")</f>
        <v>140-146</v>
      </c>
      <c r="F2559" s="165" t="str">
        <f>IFERROR(__xludf.DUMMYFUNCTION("""COMPUTED_VALUE"""),"40016140-146")</f>
        <v>40016140-146</v>
      </c>
      <c r="G2559" s="165">
        <f>IFERROR(__xludf.DUMMYFUNCTION("""COMPUTED_VALUE"""),824.0)</f>
        <v>824</v>
      </c>
    </row>
    <row r="2560" ht="15.75" customHeight="1">
      <c r="A2560" s="133">
        <f>IFERROR(__xludf.DUMMYFUNCTION("""COMPUTED_VALUE"""),40017.0)</f>
        <v>40017</v>
      </c>
      <c r="B2560" s="164">
        <f>IFERROR(__xludf.DUMMYFUNCTION("""COMPUTED_VALUE"""),1.779724E7)</f>
        <v>17797240</v>
      </c>
      <c r="C2560" s="164" t="str">
        <f>IFERROR(__xludf.DUMMYFUNCTION("""COMPUTED_VALUE"""),"1779724098-104")</f>
        <v>1779724098-104</v>
      </c>
      <c r="D2560" s="133" t="str">
        <f>IFERROR(__xludf.DUMMYFUNCTION("""COMPUTED_VALUE"""),"Детский свитер с оленями")</f>
        <v>Детский свитер с оленями</v>
      </c>
      <c r="E2560" s="133" t="str">
        <f>IFERROR(__xludf.DUMMYFUNCTION("""COMPUTED_VALUE"""),"98-104")</f>
        <v>98-104</v>
      </c>
      <c r="F2560" s="165" t="str">
        <f>IFERROR(__xludf.DUMMYFUNCTION("""COMPUTED_VALUE"""),"4001798-104")</f>
        <v>4001798-104</v>
      </c>
      <c r="G2560" s="165">
        <f>IFERROR(__xludf.DUMMYFUNCTION("""COMPUTED_VALUE"""),824.0)</f>
        <v>824</v>
      </c>
    </row>
    <row r="2561" ht="15.75" customHeight="1">
      <c r="A2561" s="133">
        <f>IFERROR(__xludf.DUMMYFUNCTION("""COMPUTED_VALUE"""),40017.0)</f>
        <v>40017</v>
      </c>
      <c r="B2561" s="164">
        <f>IFERROR(__xludf.DUMMYFUNCTION("""COMPUTED_VALUE"""),1.779724E7)</f>
        <v>17797240</v>
      </c>
      <c r="C2561" s="164" t="str">
        <f>IFERROR(__xludf.DUMMYFUNCTION("""COMPUTED_VALUE"""),"17797240110-116")</f>
        <v>17797240110-116</v>
      </c>
      <c r="D2561" s="133"/>
      <c r="E2561" s="133" t="str">
        <f>IFERROR(__xludf.DUMMYFUNCTION("""COMPUTED_VALUE"""),"110-116")</f>
        <v>110-116</v>
      </c>
      <c r="F2561" s="165" t="str">
        <f>IFERROR(__xludf.DUMMYFUNCTION("""COMPUTED_VALUE"""),"40017110-116")</f>
        <v>40017110-116</v>
      </c>
      <c r="G2561" s="165">
        <f>IFERROR(__xludf.DUMMYFUNCTION("""COMPUTED_VALUE"""),824.0)</f>
        <v>824</v>
      </c>
    </row>
    <row r="2562" ht="15.75" customHeight="1">
      <c r="A2562" s="133">
        <f>IFERROR(__xludf.DUMMYFUNCTION("""COMPUTED_VALUE"""),40017.0)</f>
        <v>40017</v>
      </c>
      <c r="B2562" s="164">
        <f>IFERROR(__xludf.DUMMYFUNCTION("""COMPUTED_VALUE"""),1.779724E7)</f>
        <v>17797240</v>
      </c>
      <c r="C2562" s="164" t="str">
        <f>IFERROR(__xludf.DUMMYFUNCTION("""COMPUTED_VALUE"""),"17797240122-128")</f>
        <v>17797240122-128</v>
      </c>
      <c r="D2562" s="133"/>
      <c r="E2562" s="133" t="str">
        <f>IFERROR(__xludf.DUMMYFUNCTION("""COMPUTED_VALUE"""),"122-128")</f>
        <v>122-128</v>
      </c>
      <c r="F2562" s="165" t="str">
        <f>IFERROR(__xludf.DUMMYFUNCTION("""COMPUTED_VALUE"""),"40017122-128")</f>
        <v>40017122-128</v>
      </c>
      <c r="G2562" s="165">
        <f>IFERROR(__xludf.DUMMYFUNCTION("""COMPUTED_VALUE"""),824.0)</f>
        <v>824</v>
      </c>
    </row>
    <row r="2563" ht="15.75" customHeight="1">
      <c r="A2563" s="133">
        <f>IFERROR(__xludf.DUMMYFUNCTION("""COMPUTED_VALUE"""),40017.0)</f>
        <v>40017</v>
      </c>
      <c r="B2563" s="164">
        <f>IFERROR(__xludf.DUMMYFUNCTION("""COMPUTED_VALUE"""),1.779724E7)</f>
        <v>17797240</v>
      </c>
      <c r="C2563" s="164" t="str">
        <f>IFERROR(__xludf.DUMMYFUNCTION("""COMPUTED_VALUE"""),"17797240134-140")</f>
        <v>17797240134-140</v>
      </c>
      <c r="D2563" s="133"/>
      <c r="E2563" s="133" t="str">
        <f>IFERROR(__xludf.DUMMYFUNCTION("""COMPUTED_VALUE"""),"134-140")</f>
        <v>134-140</v>
      </c>
      <c r="F2563" s="165" t="str">
        <f>IFERROR(__xludf.DUMMYFUNCTION("""COMPUTED_VALUE"""),"40017134-140")</f>
        <v>40017134-140</v>
      </c>
      <c r="G2563" s="165">
        <f>IFERROR(__xludf.DUMMYFUNCTION("""COMPUTED_VALUE"""),824.0)</f>
        <v>824</v>
      </c>
    </row>
    <row r="2564" ht="15.75" customHeight="1">
      <c r="A2564" s="133">
        <f>IFERROR(__xludf.DUMMYFUNCTION("""COMPUTED_VALUE"""),40017.0)</f>
        <v>40017</v>
      </c>
      <c r="B2564" s="164">
        <f>IFERROR(__xludf.DUMMYFUNCTION("""COMPUTED_VALUE"""),1.779724E7)</f>
        <v>17797240</v>
      </c>
      <c r="C2564" s="164" t="str">
        <f>IFERROR(__xludf.DUMMYFUNCTION("""COMPUTED_VALUE"""),"17797240140-146")</f>
        <v>17797240140-146</v>
      </c>
      <c r="D2564" s="133"/>
      <c r="E2564" s="133" t="str">
        <f>IFERROR(__xludf.DUMMYFUNCTION("""COMPUTED_VALUE"""),"140-146")</f>
        <v>140-146</v>
      </c>
      <c r="F2564" s="165" t="str">
        <f>IFERROR(__xludf.DUMMYFUNCTION("""COMPUTED_VALUE"""),"40017140-146")</f>
        <v>40017140-146</v>
      </c>
      <c r="G2564" s="165">
        <f>IFERROR(__xludf.DUMMYFUNCTION("""COMPUTED_VALUE"""),824.0)</f>
        <v>824</v>
      </c>
    </row>
    <row r="2565" ht="15.75" customHeight="1">
      <c r="A2565" s="133">
        <f>IFERROR(__xludf.DUMMYFUNCTION("""COMPUTED_VALUE"""),40018.0)</f>
        <v>40018</v>
      </c>
      <c r="B2565" s="164">
        <f>IFERROR(__xludf.DUMMYFUNCTION("""COMPUTED_VALUE"""),1.7797241E7)</f>
        <v>17797241</v>
      </c>
      <c r="C2565" s="164" t="str">
        <f>IFERROR(__xludf.DUMMYFUNCTION("""COMPUTED_VALUE"""),"1779724198-104")</f>
        <v>1779724198-104</v>
      </c>
      <c r="D2565" s="133" t="str">
        <f>IFERROR(__xludf.DUMMYFUNCTION("""COMPUTED_VALUE"""),"Детский свитер с оленем")</f>
        <v>Детский свитер с оленем</v>
      </c>
      <c r="E2565" s="133" t="str">
        <f>IFERROR(__xludf.DUMMYFUNCTION("""COMPUTED_VALUE"""),"98-104")</f>
        <v>98-104</v>
      </c>
      <c r="F2565" s="165" t="str">
        <f>IFERROR(__xludf.DUMMYFUNCTION("""COMPUTED_VALUE"""),"4001898-104")</f>
        <v>4001898-104</v>
      </c>
      <c r="G2565" s="165">
        <f>IFERROR(__xludf.DUMMYFUNCTION("""COMPUTED_VALUE"""),824.0)</f>
        <v>824</v>
      </c>
    </row>
    <row r="2566" ht="15.75" customHeight="1">
      <c r="A2566" s="133">
        <f>IFERROR(__xludf.DUMMYFUNCTION("""COMPUTED_VALUE"""),40018.0)</f>
        <v>40018</v>
      </c>
      <c r="B2566" s="164">
        <f>IFERROR(__xludf.DUMMYFUNCTION("""COMPUTED_VALUE"""),1.7797241E7)</f>
        <v>17797241</v>
      </c>
      <c r="C2566" s="164" t="str">
        <f>IFERROR(__xludf.DUMMYFUNCTION("""COMPUTED_VALUE"""),"17797241110-116")</f>
        <v>17797241110-116</v>
      </c>
      <c r="D2566" s="133"/>
      <c r="E2566" s="133" t="str">
        <f>IFERROR(__xludf.DUMMYFUNCTION("""COMPUTED_VALUE"""),"110-116")</f>
        <v>110-116</v>
      </c>
      <c r="F2566" s="165" t="str">
        <f>IFERROR(__xludf.DUMMYFUNCTION("""COMPUTED_VALUE"""),"40018110-116")</f>
        <v>40018110-116</v>
      </c>
      <c r="G2566" s="165">
        <f>IFERROR(__xludf.DUMMYFUNCTION("""COMPUTED_VALUE"""),824.0)</f>
        <v>824</v>
      </c>
    </row>
    <row r="2567" ht="15.75" customHeight="1">
      <c r="A2567" s="133">
        <f>IFERROR(__xludf.DUMMYFUNCTION("""COMPUTED_VALUE"""),40018.0)</f>
        <v>40018</v>
      </c>
      <c r="B2567" s="164">
        <f>IFERROR(__xludf.DUMMYFUNCTION("""COMPUTED_VALUE"""),1.7797241E7)</f>
        <v>17797241</v>
      </c>
      <c r="C2567" s="164" t="str">
        <f>IFERROR(__xludf.DUMMYFUNCTION("""COMPUTED_VALUE"""),"17797241122-128")</f>
        <v>17797241122-128</v>
      </c>
      <c r="D2567" s="133"/>
      <c r="E2567" s="133" t="str">
        <f>IFERROR(__xludf.DUMMYFUNCTION("""COMPUTED_VALUE"""),"122-128")</f>
        <v>122-128</v>
      </c>
      <c r="F2567" s="165" t="str">
        <f>IFERROR(__xludf.DUMMYFUNCTION("""COMPUTED_VALUE"""),"40018122-128")</f>
        <v>40018122-128</v>
      </c>
      <c r="G2567" s="165">
        <f>IFERROR(__xludf.DUMMYFUNCTION("""COMPUTED_VALUE"""),824.0)</f>
        <v>824</v>
      </c>
    </row>
    <row r="2568" ht="15.75" customHeight="1">
      <c r="A2568" s="133">
        <f>IFERROR(__xludf.DUMMYFUNCTION("""COMPUTED_VALUE"""),40018.0)</f>
        <v>40018</v>
      </c>
      <c r="B2568" s="164">
        <f>IFERROR(__xludf.DUMMYFUNCTION("""COMPUTED_VALUE"""),1.7797241E7)</f>
        <v>17797241</v>
      </c>
      <c r="C2568" s="164" t="str">
        <f>IFERROR(__xludf.DUMMYFUNCTION("""COMPUTED_VALUE"""),"17797241134-140")</f>
        <v>17797241134-140</v>
      </c>
      <c r="D2568" s="133"/>
      <c r="E2568" s="133" t="str">
        <f>IFERROR(__xludf.DUMMYFUNCTION("""COMPUTED_VALUE"""),"134-140")</f>
        <v>134-140</v>
      </c>
      <c r="F2568" s="165" t="str">
        <f>IFERROR(__xludf.DUMMYFUNCTION("""COMPUTED_VALUE"""),"40018134-140")</f>
        <v>40018134-140</v>
      </c>
      <c r="G2568" s="165">
        <f>IFERROR(__xludf.DUMMYFUNCTION("""COMPUTED_VALUE"""),824.0)</f>
        <v>824</v>
      </c>
    </row>
    <row r="2569" ht="15.75" customHeight="1">
      <c r="A2569" s="133">
        <f>IFERROR(__xludf.DUMMYFUNCTION("""COMPUTED_VALUE"""),40018.0)</f>
        <v>40018</v>
      </c>
      <c r="B2569" s="164">
        <f>IFERROR(__xludf.DUMMYFUNCTION("""COMPUTED_VALUE"""),1.7797241E7)</f>
        <v>17797241</v>
      </c>
      <c r="C2569" s="164" t="str">
        <f>IFERROR(__xludf.DUMMYFUNCTION("""COMPUTED_VALUE"""),"17797241140-146")</f>
        <v>17797241140-146</v>
      </c>
      <c r="D2569" s="133"/>
      <c r="E2569" s="133" t="str">
        <f>IFERROR(__xludf.DUMMYFUNCTION("""COMPUTED_VALUE"""),"140-146")</f>
        <v>140-146</v>
      </c>
      <c r="F2569" s="165" t="str">
        <f>IFERROR(__xludf.DUMMYFUNCTION("""COMPUTED_VALUE"""),"40018140-146")</f>
        <v>40018140-146</v>
      </c>
      <c r="G2569" s="165">
        <f>IFERROR(__xludf.DUMMYFUNCTION("""COMPUTED_VALUE"""),824.0)</f>
        <v>824</v>
      </c>
    </row>
    <row r="2570" ht="15.75" customHeight="1">
      <c r="A2570" s="133">
        <f>IFERROR(__xludf.DUMMYFUNCTION("""COMPUTED_VALUE"""),440019.0)</f>
        <v>440019</v>
      </c>
      <c r="B2570" s="164">
        <f>IFERROR(__xludf.DUMMYFUNCTION("""COMPUTED_VALUE"""),1.779651E7)</f>
        <v>17796510</v>
      </c>
      <c r="C2570" s="164" t="str">
        <f>IFERROR(__xludf.DUMMYFUNCTION("""COMPUTED_VALUE"""),"1779651098-104")</f>
        <v>1779651098-104</v>
      </c>
      <c r="D2570" s="133" t="str">
        <f>IFERROR(__xludf.DUMMYFUNCTION("""COMPUTED_VALUE"""),"Детский свитер с лисой")</f>
        <v>Детский свитер с лисой</v>
      </c>
      <c r="E2570" s="133" t="str">
        <f>IFERROR(__xludf.DUMMYFUNCTION("""COMPUTED_VALUE"""),"98-104")</f>
        <v>98-104</v>
      </c>
      <c r="F2570" s="165" t="str">
        <f>IFERROR(__xludf.DUMMYFUNCTION("""COMPUTED_VALUE"""),"44001998-104")</f>
        <v>44001998-104</v>
      </c>
      <c r="G2570" s="165">
        <f>IFERROR(__xludf.DUMMYFUNCTION("""COMPUTED_VALUE"""),674.0)</f>
        <v>674</v>
      </c>
    </row>
    <row r="2571" ht="15.75" customHeight="1">
      <c r="A2571" s="133">
        <f>IFERROR(__xludf.DUMMYFUNCTION("""COMPUTED_VALUE"""),440019.0)</f>
        <v>440019</v>
      </c>
      <c r="B2571" s="164">
        <f>IFERROR(__xludf.DUMMYFUNCTION("""COMPUTED_VALUE"""),1.779651E7)</f>
        <v>17796510</v>
      </c>
      <c r="C2571" s="164" t="str">
        <f>IFERROR(__xludf.DUMMYFUNCTION("""COMPUTED_VALUE"""),"17796510110-116")</f>
        <v>17796510110-116</v>
      </c>
      <c r="D2571" s="133"/>
      <c r="E2571" s="133" t="str">
        <f>IFERROR(__xludf.DUMMYFUNCTION("""COMPUTED_VALUE"""),"110-116")</f>
        <v>110-116</v>
      </c>
      <c r="F2571" s="165" t="str">
        <f>IFERROR(__xludf.DUMMYFUNCTION("""COMPUTED_VALUE"""),"440019110-116")</f>
        <v>440019110-116</v>
      </c>
      <c r="G2571" s="165">
        <f>IFERROR(__xludf.DUMMYFUNCTION("""COMPUTED_VALUE"""),674.0)</f>
        <v>674</v>
      </c>
    </row>
    <row r="2572" ht="15.75" customHeight="1">
      <c r="A2572" s="133">
        <f>IFERROR(__xludf.DUMMYFUNCTION("""COMPUTED_VALUE"""),440019.0)</f>
        <v>440019</v>
      </c>
      <c r="B2572" s="164">
        <f>IFERROR(__xludf.DUMMYFUNCTION("""COMPUTED_VALUE"""),1.779651E7)</f>
        <v>17796510</v>
      </c>
      <c r="C2572" s="164" t="str">
        <f>IFERROR(__xludf.DUMMYFUNCTION("""COMPUTED_VALUE"""),"17796510122-128")</f>
        <v>17796510122-128</v>
      </c>
      <c r="D2572" s="133"/>
      <c r="E2572" s="133" t="str">
        <f>IFERROR(__xludf.DUMMYFUNCTION("""COMPUTED_VALUE"""),"122-128")</f>
        <v>122-128</v>
      </c>
      <c r="F2572" s="165" t="str">
        <f>IFERROR(__xludf.DUMMYFUNCTION("""COMPUTED_VALUE"""),"440019122-128")</f>
        <v>440019122-128</v>
      </c>
      <c r="G2572" s="165">
        <f>IFERROR(__xludf.DUMMYFUNCTION("""COMPUTED_VALUE"""),674.0)</f>
        <v>674</v>
      </c>
    </row>
    <row r="2573" ht="15.75" customHeight="1">
      <c r="A2573" s="133">
        <f>IFERROR(__xludf.DUMMYFUNCTION("""COMPUTED_VALUE"""),440019.0)</f>
        <v>440019</v>
      </c>
      <c r="B2573" s="164">
        <f>IFERROR(__xludf.DUMMYFUNCTION("""COMPUTED_VALUE"""),1.779651E7)</f>
        <v>17796510</v>
      </c>
      <c r="C2573" s="164" t="str">
        <f>IFERROR(__xludf.DUMMYFUNCTION("""COMPUTED_VALUE"""),"17796510134-140")</f>
        <v>17796510134-140</v>
      </c>
      <c r="D2573" s="133"/>
      <c r="E2573" s="133" t="str">
        <f>IFERROR(__xludf.DUMMYFUNCTION("""COMPUTED_VALUE"""),"134-140")</f>
        <v>134-140</v>
      </c>
      <c r="F2573" s="165" t="str">
        <f>IFERROR(__xludf.DUMMYFUNCTION("""COMPUTED_VALUE"""),"440019134-140")</f>
        <v>440019134-140</v>
      </c>
      <c r="G2573" s="165">
        <f>IFERROR(__xludf.DUMMYFUNCTION("""COMPUTED_VALUE"""),674.0)</f>
        <v>674</v>
      </c>
    </row>
    <row r="2574" ht="15.75" customHeight="1">
      <c r="A2574" s="133">
        <f>IFERROR(__xludf.DUMMYFUNCTION("""COMPUTED_VALUE"""),440019.0)</f>
        <v>440019</v>
      </c>
      <c r="B2574" s="164">
        <f>IFERROR(__xludf.DUMMYFUNCTION("""COMPUTED_VALUE"""),1.779651E7)</f>
        <v>17796510</v>
      </c>
      <c r="C2574" s="164" t="str">
        <f>IFERROR(__xludf.DUMMYFUNCTION("""COMPUTED_VALUE"""),"17796510140-146")</f>
        <v>17796510140-146</v>
      </c>
      <c r="D2574" s="133"/>
      <c r="E2574" s="133" t="str">
        <f>IFERROR(__xludf.DUMMYFUNCTION("""COMPUTED_VALUE"""),"140-146")</f>
        <v>140-146</v>
      </c>
      <c r="F2574" s="165" t="str">
        <f>IFERROR(__xludf.DUMMYFUNCTION("""COMPUTED_VALUE"""),"440019140-146")</f>
        <v>440019140-146</v>
      </c>
      <c r="G2574" s="165">
        <f>IFERROR(__xludf.DUMMYFUNCTION("""COMPUTED_VALUE"""),674.0)</f>
        <v>674</v>
      </c>
    </row>
    <row r="2575" ht="15.75" customHeight="1">
      <c r="A2575" s="133">
        <f>IFERROR(__xludf.DUMMYFUNCTION("""COMPUTED_VALUE"""),440020.0)</f>
        <v>440020</v>
      </c>
      <c r="B2575" s="164">
        <f>IFERROR(__xludf.DUMMYFUNCTION("""COMPUTED_VALUE"""),1.7796511E7)</f>
        <v>17796511</v>
      </c>
      <c r="C2575" s="164" t="str">
        <f>IFERROR(__xludf.DUMMYFUNCTION("""COMPUTED_VALUE"""),"1779651198-104")</f>
        <v>1779651198-104</v>
      </c>
      <c r="D2575" s="133" t="str">
        <f>IFERROR(__xludf.DUMMYFUNCTION("""COMPUTED_VALUE"""),"Детский свитер с лисой")</f>
        <v>Детский свитер с лисой</v>
      </c>
      <c r="E2575" s="133" t="str">
        <f>IFERROR(__xludf.DUMMYFUNCTION("""COMPUTED_VALUE"""),"98-104")</f>
        <v>98-104</v>
      </c>
      <c r="F2575" s="165" t="str">
        <f>IFERROR(__xludf.DUMMYFUNCTION("""COMPUTED_VALUE"""),"44002098-104")</f>
        <v>44002098-104</v>
      </c>
      <c r="G2575" s="165">
        <f>IFERROR(__xludf.DUMMYFUNCTION("""COMPUTED_VALUE"""),674.0)</f>
        <v>674</v>
      </c>
    </row>
    <row r="2576" ht="15.75" customHeight="1">
      <c r="A2576" s="133">
        <f>IFERROR(__xludf.DUMMYFUNCTION("""COMPUTED_VALUE"""),440020.0)</f>
        <v>440020</v>
      </c>
      <c r="B2576" s="164">
        <f>IFERROR(__xludf.DUMMYFUNCTION("""COMPUTED_VALUE"""),1.7796511E7)</f>
        <v>17796511</v>
      </c>
      <c r="C2576" s="164" t="str">
        <f>IFERROR(__xludf.DUMMYFUNCTION("""COMPUTED_VALUE"""),"17796511110-116")</f>
        <v>17796511110-116</v>
      </c>
      <c r="D2576" s="133"/>
      <c r="E2576" s="133" t="str">
        <f>IFERROR(__xludf.DUMMYFUNCTION("""COMPUTED_VALUE"""),"110-116")</f>
        <v>110-116</v>
      </c>
      <c r="F2576" s="165" t="str">
        <f>IFERROR(__xludf.DUMMYFUNCTION("""COMPUTED_VALUE"""),"440020110-116")</f>
        <v>440020110-116</v>
      </c>
      <c r="G2576" s="165">
        <f>IFERROR(__xludf.DUMMYFUNCTION("""COMPUTED_VALUE"""),674.0)</f>
        <v>674</v>
      </c>
    </row>
    <row r="2577" ht="15.75" customHeight="1">
      <c r="A2577" s="133">
        <f>IFERROR(__xludf.DUMMYFUNCTION("""COMPUTED_VALUE"""),440020.0)</f>
        <v>440020</v>
      </c>
      <c r="B2577" s="164">
        <f>IFERROR(__xludf.DUMMYFUNCTION("""COMPUTED_VALUE"""),1.7796511E7)</f>
        <v>17796511</v>
      </c>
      <c r="C2577" s="164" t="str">
        <f>IFERROR(__xludf.DUMMYFUNCTION("""COMPUTED_VALUE"""),"17796511122-128")</f>
        <v>17796511122-128</v>
      </c>
      <c r="D2577" s="133"/>
      <c r="E2577" s="133" t="str">
        <f>IFERROR(__xludf.DUMMYFUNCTION("""COMPUTED_VALUE"""),"122-128")</f>
        <v>122-128</v>
      </c>
      <c r="F2577" s="165" t="str">
        <f>IFERROR(__xludf.DUMMYFUNCTION("""COMPUTED_VALUE"""),"440020122-128")</f>
        <v>440020122-128</v>
      </c>
      <c r="G2577" s="165">
        <f>IFERROR(__xludf.DUMMYFUNCTION("""COMPUTED_VALUE"""),674.0)</f>
        <v>674</v>
      </c>
    </row>
    <row r="2578" ht="15.75" customHeight="1">
      <c r="A2578" s="133">
        <f>IFERROR(__xludf.DUMMYFUNCTION("""COMPUTED_VALUE"""),440020.0)</f>
        <v>440020</v>
      </c>
      <c r="B2578" s="164">
        <f>IFERROR(__xludf.DUMMYFUNCTION("""COMPUTED_VALUE"""),1.7796511E7)</f>
        <v>17796511</v>
      </c>
      <c r="C2578" s="164" t="str">
        <f>IFERROR(__xludf.DUMMYFUNCTION("""COMPUTED_VALUE"""),"17796511134-140")</f>
        <v>17796511134-140</v>
      </c>
      <c r="D2578" s="133"/>
      <c r="E2578" s="133" t="str">
        <f>IFERROR(__xludf.DUMMYFUNCTION("""COMPUTED_VALUE"""),"134-140")</f>
        <v>134-140</v>
      </c>
      <c r="F2578" s="165" t="str">
        <f>IFERROR(__xludf.DUMMYFUNCTION("""COMPUTED_VALUE"""),"440020134-140")</f>
        <v>440020134-140</v>
      </c>
      <c r="G2578" s="165">
        <f>IFERROR(__xludf.DUMMYFUNCTION("""COMPUTED_VALUE"""),674.0)</f>
        <v>674</v>
      </c>
    </row>
    <row r="2579" ht="15.75" customHeight="1">
      <c r="A2579" s="133">
        <f>IFERROR(__xludf.DUMMYFUNCTION("""COMPUTED_VALUE"""),440020.0)</f>
        <v>440020</v>
      </c>
      <c r="B2579" s="164">
        <f>IFERROR(__xludf.DUMMYFUNCTION("""COMPUTED_VALUE"""),1.7796511E7)</f>
        <v>17796511</v>
      </c>
      <c r="C2579" s="164" t="str">
        <f>IFERROR(__xludf.DUMMYFUNCTION("""COMPUTED_VALUE"""),"17796511140-146")</f>
        <v>17796511140-146</v>
      </c>
      <c r="D2579" s="133"/>
      <c r="E2579" s="133" t="str">
        <f>IFERROR(__xludf.DUMMYFUNCTION("""COMPUTED_VALUE"""),"140-146")</f>
        <v>140-146</v>
      </c>
      <c r="F2579" s="165" t="str">
        <f>IFERROR(__xludf.DUMMYFUNCTION("""COMPUTED_VALUE"""),"440020140-146")</f>
        <v>440020140-146</v>
      </c>
      <c r="G2579" s="165">
        <f>IFERROR(__xludf.DUMMYFUNCTION("""COMPUTED_VALUE"""),674.0)</f>
        <v>674</v>
      </c>
    </row>
    <row r="2580" ht="15.75" customHeight="1">
      <c r="A2580" s="133">
        <f>IFERROR(__xludf.DUMMYFUNCTION("""COMPUTED_VALUE"""),440021.0)</f>
        <v>440021</v>
      </c>
      <c r="B2580" s="164">
        <f>IFERROR(__xludf.DUMMYFUNCTION("""COMPUTED_VALUE"""),1.7796512E7)</f>
        <v>17796512</v>
      </c>
      <c r="C2580" s="164" t="str">
        <f>IFERROR(__xludf.DUMMYFUNCTION("""COMPUTED_VALUE"""),"1779651298-104")</f>
        <v>1779651298-104</v>
      </c>
      <c r="D2580" s="133" t="str">
        <f>IFERROR(__xludf.DUMMYFUNCTION("""COMPUTED_VALUE"""),"Детский свитер с лисой")</f>
        <v>Детский свитер с лисой</v>
      </c>
      <c r="E2580" s="133" t="str">
        <f>IFERROR(__xludf.DUMMYFUNCTION("""COMPUTED_VALUE"""),"98-104")</f>
        <v>98-104</v>
      </c>
      <c r="F2580" s="165" t="str">
        <f>IFERROR(__xludf.DUMMYFUNCTION("""COMPUTED_VALUE"""),"44002198-104")</f>
        <v>44002198-104</v>
      </c>
      <c r="G2580" s="165">
        <f>IFERROR(__xludf.DUMMYFUNCTION("""COMPUTED_VALUE"""),674.0)</f>
        <v>674</v>
      </c>
    </row>
    <row r="2581" ht="15.75" customHeight="1">
      <c r="A2581" s="133">
        <f>IFERROR(__xludf.DUMMYFUNCTION("""COMPUTED_VALUE"""),440021.0)</f>
        <v>440021</v>
      </c>
      <c r="B2581" s="164">
        <f>IFERROR(__xludf.DUMMYFUNCTION("""COMPUTED_VALUE"""),1.7796512E7)</f>
        <v>17796512</v>
      </c>
      <c r="C2581" s="164" t="str">
        <f>IFERROR(__xludf.DUMMYFUNCTION("""COMPUTED_VALUE"""),"17796512110-116")</f>
        <v>17796512110-116</v>
      </c>
      <c r="D2581" s="133"/>
      <c r="E2581" s="133" t="str">
        <f>IFERROR(__xludf.DUMMYFUNCTION("""COMPUTED_VALUE"""),"110-116")</f>
        <v>110-116</v>
      </c>
      <c r="F2581" s="165" t="str">
        <f>IFERROR(__xludf.DUMMYFUNCTION("""COMPUTED_VALUE"""),"440021110-116")</f>
        <v>440021110-116</v>
      </c>
      <c r="G2581" s="165">
        <f>IFERROR(__xludf.DUMMYFUNCTION("""COMPUTED_VALUE"""),674.0)</f>
        <v>674</v>
      </c>
    </row>
    <row r="2582" ht="15.75" customHeight="1">
      <c r="A2582" s="133">
        <f>IFERROR(__xludf.DUMMYFUNCTION("""COMPUTED_VALUE"""),440021.0)</f>
        <v>440021</v>
      </c>
      <c r="B2582" s="164">
        <f>IFERROR(__xludf.DUMMYFUNCTION("""COMPUTED_VALUE"""),1.7796512E7)</f>
        <v>17796512</v>
      </c>
      <c r="C2582" s="164" t="str">
        <f>IFERROR(__xludf.DUMMYFUNCTION("""COMPUTED_VALUE"""),"17796512122-128")</f>
        <v>17796512122-128</v>
      </c>
      <c r="D2582" s="133"/>
      <c r="E2582" s="133" t="str">
        <f>IFERROR(__xludf.DUMMYFUNCTION("""COMPUTED_VALUE"""),"122-128")</f>
        <v>122-128</v>
      </c>
      <c r="F2582" s="165" t="str">
        <f>IFERROR(__xludf.DUMMYFUNCTION("""COMPUTED_VALUE"""),"440021122-128")</f>
        <v>440021122-128</v>
      </c>
      <c r="G2582" s="165">
        <f>IFERROR(__xludf.DUMMYFUNCTION("""COMPUTED_VALUE"""),674.0)</f>
        <v>674</v>
      </c>
    </row>
    <row r="2583" ht="15.75" customHeight="1">
      <c r="A2583" s="133">
        <f>IFERROR(__xludf.DUMMYFUNCTION("""COMPUTED_VALUE"""),440021.0)</f>
        <v>440021</v>
      </c>
      <c r="B2583" s="164">
        <f>IFERROR(__xludf.DUMMYFUNCTION("""COMPUTED_VALUE"""),1.7796512E7)</f>
        <v>17796512</v>
      </c>
      <c r="C2583" s="164" t="str">
        <f>IFERROR(__xludf.DUMMYFUNCTION("""COMPUTED_VALUE"""),"17796512134-140")</f>
        <v>17796512134-140</v>
      </c>
      <c r="D2583" s="133"/>
      <c r="E2583" s="133" t="str">
        <f>IFERROR(__xludf.DUMMYFUNCTION("""COMPUTED_VALUE"""),"134-140")</f>
        <v>134-140</v>
      </c>
      <c r="F2583" s="165" t="str">
        <f>IFERROR(__xludf.DUMMYFUNCTION("""COMPUTED_VALUE"""),"440021134-140")</f>
        <v>440021134-140</v>
      </c>
      <c r="G2583" s="165">
        <f>IFERROR(__xludf.DUMMYFUNCTION("""COMPUTED_VALUE"""),674.0)</f>
        <v>674</v>
      </c>
    </row>
    <row r="2584" ht="15.75" customHeight="1">
      <c r="A2584" s="133">
        <f>IFERROR(__xludf.DUMMYFUNCTION("""COMPUTED_VALUE"""),440021.0)</f>
        <v>440021</v>
      </c>
      <c r="B2584" s="164">
        <f>IFERROR(__xludf.DUMMYFUNCTION("""COMPUTED_VALUE"""),1.7796512E7)</f>
        <v>17796512</v>
      </c>
      <c r="C2584" s="164" t="str">
        <f>IFERROR(__xludf.DUMMYFUNCTION("""COMPUTED_VALUE"""),"17796512140-146")</f>
        <v>17796512140-146</v>
      </c>
      <c r="D2584" s="133"/>
      <c r="E2584" s="133" t="str">
        <f>IFERROR(__xludf.DUMMYFUNCTION("""COMPUTED_VALUE"""),"140-146")</f>
        <v>140-146</v>
      </c>
      <c r="F2584" s="165" t="str">
        <f>IFERROR(__xludf.DUMMYFUNCTION("""COMPUTED_VALUE"""),"440021140-146")</f>
        <v>440021140-146</v>
      </c>
      <c r="G2584" s="165">
        <f>IFERROR(__xludf.DUMMYFUNCTION("""COMPUTED_VALUE"""),674.0)</f>
        <v>674</v>
      </c>
    </row>
    <row r="2585" ht="15.75" customHeight="1">
      <c r="A2585" s="133">
        <f>IFERROR(__xludf.DUMMYFUNCTION("""COMPUTED_VALUE"""),440022.0)</f>
        <v>440022</v>
      </c>
      <c r="B2585" s="164">
        <f>IFERROR(__xludf.DUMMYFUNCTION("""COMPUTED_VALUE"""),1.7796513E7)</f>
        <v>17796513</v>
      </c>
      <c r="C2585" s="164" t="str">
        <f>IFERROR(__xludf.DUMMYFUNCTION("""COMPUTED_VALUE"""),"1779651398-104")</f>
        <v>1779651398-104</v>
      </c>
      <c r="D2585" s="133" t="str">
        <f>IFERROR(__xludf.DUMMYFUNCTION("""COMPUTED_VALUE"""),"Детский свитер с ежом")</f>
        <v>Детский свитер с ежом</v>
      </c>
      <c r="E2585" s="133" t="str">
        <f>IFERROR(__xludf.DUMMYFUNCTION("""COMPUTED_VALUE"""),"98-104")</f>
        <v>98-104</v>
      </c>
      <c r="F2585" s="165" t="str">
        <f>IFERROR(__xludf.DUMMYFUNCTION("""COMPUTED_VALUE"""),"44002298-104")</f>
        <v>44002298-104</v>
      </c>
      <c r="G2585" s="165">
        <f>IFERROR(__xludf.DUMMYFUNCTION("""COMPUTED_VALUE"""),674.0)</f>
        <v>674</v>
      </c>
    </row>
    <row r="2586" ht="15.75" customHeight="1">
      <c r="A2586" s="133">
        <f>IFERROR(__xludf.DUMMYFUNCTION("""COMPUTED_VALUE"""),440022.0)</f>
        <v>440022</v>
      </c>
      <c r="B2586" s="164">
        <f>IFERROR(__xludf.DUMMYFUNCTION("""COMPUTED_VALUE"""),1.7796513E7)</f>
        <v>17796513</v>
      </c>
      <c r="C2586" s="164" t="str">
        <f>IFERROR(__xludf.DUMMYFUNCTION("""COMPUTED_VALUE"""),"17796513110-116")</f>
        <v>17796513110-116</v>
      </c>
      <c r="D2586" s="133"/>
      <c r="E2586" s="133" t="str">
        <f>IFERROR(__xludf.DUMMYFUNCTION("""COMPUTED_VALUE"""),"110-116")</f>
        <v>110-116</v>
      </c>
      <c r="F2586" s="165" t="str">
        <f>IFERROR(__xludf.DUMMYFUNCTION("""COMPUTED_VALUE"""),"440022110-116")</f>
        <v>440022110-116</v>
      </c>
      <c r="G2586" s="165">
        <f>IFERROR(__xludf.DUMMYFUNCTION("""COMPUTED_VALUE"""),674.0)</f>
        <v>674</v>
      </c>
    </row>
    <row r="2587" ht="15.75" customHeight="1">
      <c r="A2587" s="133">
        <f>IFERROR(__xludf.DUMMYFUNCTION("""COMPUTED_VALUE"""),440022.0)</f>
        <v>440022</v>
      </c>
      <c r="B2587" s="164">
        <f>IFERROR(__xludf.DUMMYFUNCTION("""COMPUTED_VALUE"""),1.7796513E7)</f>
        <v>17796513</v>
      </c>
      <c r="C2587" s="164" t="str">
        <f>IFERROR(__xludf.DUMMYFUNCTION("""COMPUTED_VALUE"""),"17796513122-128")</f>
        <v>17796513122-128</v>
      </c>
      <c r="D2587" s="133"/>
      <c r="E2587" s="133" t="str">
        <f>IFERROR(__xludf.DUMMYFUNCTION("""COMPUTED_VALUE"""),"122-128")</f>
        <v>122-128</v>
      </c>
      <c r="F2587" s="165" t="str">
        <f>IFERROR(__xludf.DUMMYFUNCTION("""COMPUTED_VALUE"""),"440022122-128")</f>
        <v>440022122-128</v>
      </c>
      <c r="G2587" s="165">
        <f>IFERROR(__xludf.DUMMYFUNCTION("""COMPUTED_VALUE"""),674.0)</f>
        <v>674</v>
      </c>
    </row>
    <row r="2588" ht="15.75" customHeight="1">
      <c r="A2588" s="133">
        <f>IFERROR(__xludf.DUMMYFUNCTION("""COMPUTED_VALUE"""),440022.0)</f>
        <v>440022</v>
      </c>
      <c r="B2588" s="164">
        <f>IFERROR(__xludf.DUMMYFUNCTION("""COMPUTED_VALUE"""),1.7796513E7)</f>
        <v>17796513</v>
      </c>
      <c r="C2588" s="164" t="str">
        <f>IFERROR(__xludf.DUMMYFUNCTION("""COMPUTED_VALUE"""),"17796513134-140")</f>
        <v>17796513134-140</v>
      </c>
      <c r="D2588" s="133"/>
      <c r="E2588" s="133" t="str">
        <f>IFERROR(__xludf.DUMMYFUNCTION("""COMPUTED_VALUE"""),"134-140")</f>
        <v>134-140</v>
      </c>
      <c r="F2588" s="165" t="str">
        <f>IFERROR(__xludf.DUMMYFUNCTION("""COMPUTED_VALUE"""),"440022134-140")</f>
        <v>440022134-140</v>
      </c>
      <c r="G2588" s="165">
        <f>IFERROR(__xludf.DUMMYFUNCTION("""COMPUTED_VALUE"""),674.0)</f>
        <v>674</v>
      </c>
    </row>
    <row r="2589" ht="15.75" customHeight="1">
      <c r="A2589" s="133">
        <f>IFERROR(__xludf.DUMMYFUNCTION("""COMPUTED_VALUE"""),440022.0)</f>
        <v>440022</v>
      </c>
      <c r="B2589" s="164">
        <f>IFERROR(__xludf.DUMMYFUNCTION("""COMPUTED_VALUE"""),1.7796513E7)</f>
        <v>17796513</v>
      </c>
      <c r="C2589" s="164" t="str">
        <f>IFERROR(__xludf.DUMMYFUNCTION("""COMPUTED_VALUE"""),"17796513140-146")</f>
        <v>17796513140-146</v>
      </c>
      <c r="D2589" s="133"/>
      <c r="E2589" s="133" t="str">
        <f>IFERROR(__xludf.DUMMYFUNCTION("""COMPUTED_VALUE"""),"140-146")</f>
        <v>140-146</v>
      </c>
      <c r="F2589" s="165" t="str">
        <f>IFERROR(__xludf.DUMMYFUNCTION("""COMPUTED_VALUE"""),"440022140-146")</f>
        <v>440022140-146</v>
      </c>
      <c r="G2589" s="165">
        <f>IFERROR(__xludf.DUMMYFUNCTION("""COMPUTED_VALUE"""),674.0)</f>
        <v>674</v>
      </c>
    </row>
    <row r="2590" ht="15.75" customHeight="1">
      <c r="A2590" s="133">
        <f>IFERROR(__xludf.DUMMYFUNCTION("""COMPUTED_VALUE"""),40023.0)</f>
        <v>40023</v>
      </c>
      <c r="B2590" s="164">
        <f>IFERROR(__xludf.DUMMYFUNCTION("""COMPUTED_VALUE"""),6313134.0)</f>
        <v>6313134</v>
      </c>
      <c r="C2590" s="164" t="str">
        <f>IFERROR(__xludf.DUMMYFUNCTION("""COMPUTED_VALUE"""),"631313498-104")</f>
        <v>631313498-104</v>
      </c>
      <c r="D2590" s="133" t="str">
        <f>IFERROR(__xludf.DUMMYFUNCTION("""COMPUTED_VALUE"""),"Детский свитер с ежом")</f>
        <v>Детский свитер с ежом</v>
      </c>
      <c r="E2590" s="133" t="str">
        <f>IFERROR(__xludf.DUMMYFUNCTION("""COMPUTED_VALUE"""),"98-104")</f>
        <v>98-104</v>
      </c>
      <c r="F2590" s="165" t="str">
        <f>IFERROR(__xludf.DUMMYFUNCTION("""COMPUTED_VALUE"""),"4002398-104")</f>
        <v>4002398-104</v>
      </c>
      <c r="G2590" s="165">
        <f>IFERROR(__xludf.DUMMYFUNCTION("""COMPUTED_VALUE"""),757.0)</f>
        <v>757</v>
      </c>
    </row>
    <row r="2591" ht="15.75" customHeight="1">
      <c r="A2591" s="133">
        <f>IFERROR(__xludf.DUMMYFUNCTION("""COMPUTED_VALUE"""),40023.0)</f>
        <v>40023</v>
      </c>
      <c r="B2591" s="164">
        <f>IFERROR(__xludf.DUMMYFUNCTION("""COMPUTED_VALUE"""),6313134.0)</f>
        <v>6313134</v>
      </c>
      <c r="C2591" s="164" t="str">
        <f>IFERROR(__xludf.DUMMYFUNCTION("""COMPUTED_VALUE"""),"6313134110-116")</f>
        <v>6313134110-116</v>
      </c>
      <c r="D2591" s="133"/>
      <c r="E2591" s="133" t="str">
        <f>IFERROR(__xludf.DUMMYFUNCTION("""COMPUTED_VALUE"""),"110-116")</f>
        <v>110-116</v>
      </c>
      <c r="F2591" s="165" t="str">
        <f>IFERROR(__xludf.DUMMYFUNCTION("""COMPUTED_VALUE"""),"40023110-116")</f>
        <v>40023110-116</v>
      </c>
      <c r="G2591" s="165">
        <f>IFERROR(__xludf.DUMMYFUNCTION("""COMPUTED_VALUE"""),757.0)</f>
        <v>757</v>
      </c>
    </row>
    <row r="2592" ht="15.75" customHeight="1">
      <c r="A2592" s="133">
        <f>IFERROR(__xludf.DUMMYFUNCTION("""COMPUTED_VALUE"""),40023.0)</f>
        <v>40023</v>
      </c>
      <c r="B2592" s="164">
        <f>IFERROR(__xludf.DUMMYFUNCTION("""COMPUTED_VALUE"""),6313134.0)</f>
        <v>6313134</v>
      </c>
      <c r="C2592" s="164" t="str">
        <f>IFERROR(__xludf.DUMMYFUNCTION("""COMPUTED_VALUE"""),"6313134122-128")</f>
        <v>6313134122-128</v>
      </c>
      <c r="D2592" s="133"/>
      <c r="E2592" s="133" t="str">
        <f>IFERROR(__xludf.DUMMYFUNCTION("""COMPUTED_VALUE"""),"122-128")</f>
        <v>122-128</v>
      </c>
      <c r="F2592" s="165" t="str">
        <f>IFERROR(__xludf.DUMMYFUNCTION("""COMPUTED_VALUE"""),"40023122-128")</f>
        <v>40023122-128</v>
      </c>
      <c r="G2592" s="165">
        <f>IFERROR(__xludf.DUMMYFUNCTION("""COMPUTED_VALUE"""),757.0)</f>
        <v>757</v>
      </c>
    </row>
    <row r="2593" ht="15.75" customHeight="1">
      <c r="A2593" s="133">
        <f>IFERROR(__xludf.DUMMYFUNCTION("""COMPUTED_VALUE"""),40023.0)</f>
        <v>40023</v>
      </c>
      <c r="B2593" s="164">
        <f>IFERROR(__xludf.DUMMYFUNCTION("""COMPUTED_VALUE"""),6313134.0)</f>
        <v>6313134</v>
      </c>
      <c r="C2593" s="164" t="str">
        <f>IFERROR(__xludf.DUMMYFUNCTION("""COMPUTED_VALUE"""),"6313134134-140")</f>
        <v>6313134134-140</v>
      </c>
      <c r="D2593" s="133"/>
      <c r="E2593" s="133" t="str">
        <f>IFERROR(__xludf.DUMMYFUNCTION("""COMPUTED_VALUE"""),"134-140")</f>
        <v>134-140</v>
      </c>
      <c r="F2593" s="165" t="str">
        <f>IFERROR(__xludf.DUMMYFUNCTION("""COMPUTED_VALUE"""),"40023134-140")</f>
        <v>40023134-140</v>
      </c>
      <c r="G2593" s="165">
        <f>IFERROR(__xludf.DUMMYFUNCTION("""COMPUTED_VALUE"""),757.0)</f>
        <v>757</v>
      </c>
    </row>
    <row r="2594" ht="15.75" customHeight="1">
      <c r="A2594" s="133">
        <f>IFERROR(__xludf.DUMMYFUNCTION("""COMPUTED_VALUE"""),40023.0)</f>
        <v>40023</v>
      </c>
      <c r="B2594" s="164">
        <f>IFERROR(__xludf.DUMMYFUNCTION("""COMPUTED_VALUE"""),6313134.0)</f>
        <v>6313134</v>
      </c>
      <c r="C2594" s="164" t="str">
        <f>IFERROR(__xludf.DUMMYFUNCTION("""COMPUTED_VALUE"""),"6313134140-146")</f>
        <v>6313134140-146</v>
      </c>
      <c r="D2594" s="133"/>
      <c r="E2594" s="133" t="str">
        <f>IFERROR(__xludf.DUMMYFUNCTION("""COMPUTED_VALUE"""),"140-146")</f>
        <v>140-146</v>
      </c>
      <c r="F2594" s="165" t="str">
        <f>IFERROR(__xludf.DUMMYFUNCTION("""COMPUTED_VALUE"""),"40023140-146")</f>
        <v>40023140-146</v>
      </c>
      <c r="G2594" s="165">
        <f>IFERROR(__xludf.DUMMYFUNCTION("""COMPUTED_VALUE"""),757.0)</f>
        <v>757</v>
      </c>
    </row>
    <row r="2595" ht="15.75" customHeight="1">
      <c r="A2595" s="133">
        <f>IFERROR(__xludf.DUMMYFUNCTION("""COMPUTED_VALUE"""),40024.0)</f>
        <v>40024</v>
      </c>
      <c r="B2595" s="164">
        <f>IFERROR(__xludf.DUMMYFUNCTION("""COMPUTED_VALUE"""),6313135.0)</f>
        <v>6313135</v>
      </c>
      <c r="C2595" s="164" t="str">
        <f>IFERROR(__xludf.DUMMYFUNCTION("""COMPUTED_VALUE"""),"631313598-104")</f>
        <v>631313598-104</v>
      </c>
      <c r="D2595" s="133" t="str">
        <f>IFERROR(__xludf.DUMMYFUNCTION("""COMPUTED_VALUE"""),"Детский свитер с ежом")</f>
        <v>Детский свитер с ежом</v>
      </c>
      <c r="E2595" s="133" t="str">
        <f>IFERROR(__xludf.DUMMYFUNCTION("""COMPUTED_VALUE"""),"98-104")</f>
        <v>98-104</v>
      </c>
      <c r="F2595" s="165" t="str">
        <f>IFERROR(__xludf.DUMMYFUNCTION("""COMPUTED_VALUE"""),"4002498-104")</f>
        <v>4002498-104</v>
      </c>
      <c r="G2595" s="165">
        <f>IFERROR(__xludf.DUMMYFUNCTION("""COMPUTED_VALUE"""),757.0)</f>
        <v>757</v>
      </c>
    </row>
    <row r="2596" ht="15.75" customHeight="1">
      <c r="A2596" s="133">
        <f>IFERROR(__xludf.DUMMYFUNCTION("""COMPUTED_VALUE"""),40024.0)</f>
        <v>40024</v>
      </c>
      <c r="B2596" s="164">
        <f>IFERROR(__xludf.DUMMYFUNCTION("""COMPUTED_VALUE"""),6313135.0)</f>
        <v>6313135</v>
      </c>
      <c r="C2596" s="164" t="str">
        <f>IFERROR(__xludf.DUMMYFUNCTION("""COMPUTED_VALUE"""),"6313135110-116")</f>
        <v>6313135110-116</v>
      </c>
      <c r="D2596" s="133"/>
      <c r="E2596" s="133" t="str">
        <f>IFERROR(__xludf.DUMMYFUNCTION("""COMPUTED_VALUE"""),"110-116")</f>
        <v>110-116</v>
      </c>
      <c r="F2596" s="165" t="str">
        <f>IFERROR(__xludf.DUMMYFUNCTION("""COMPUTED_VALUE"""),"40024110-116")</f>
        <v>40024110-116</v>
      </c>
      <c r="G2596" s="165">
        <f>IFERROR(__xludf.DUMMYFUNCTION("""COMPUTED_VALUE"""),757.0)</f>
        <v>757</v>
      </c>
    </row>
    <row r="2597" ht="15.75" customHeight="1">
      <c r="A2597" s="133">
        <f>IFERROR(__xludf.DUMMYFUNCTION("""COMPUTED_VALUE"""),40024.0)</f>
        <v>40024</v>
      </c>
      <c r="B2597" s="164">
        <f>IFERROR(__xludf.DUMMYFUNCTION("""COMPUTED_VALUE"""),6313135.0)</f>
        <v>6313135</v>
      </c>
      <c r="C2597" s="164" t="str">
        <f>IFERROR(__xludf.DUMMYFUNCTION("""COMPUTED_VALUE"""),"6313135122-128")</f>
        <v>6313135122-128</v>
      </c>
      <c r="D2597" s="133"/>
      <c r="E2597" s="133" t="str">
        <f>IFERROR(__xludf.DUMMYFUNCTION("""COMPUTED_VALUE"""),"122-128")</f>
        <v>122-128</v>
      </c>
      <c r="F2597" s="165" t="str">
        <f>IFERROR(__xludf.DUMMYFUNCTION("""COMPUTED_VALUE"""),"40024122-128")</f>
        <v>40024122-128</v>
      </c>
      <c r="G2597" s="165">
        <f>IFERROR(__xludf.DUMMYFUNCTION("""COMPUTED_VALUE"""),757.0)</f>
        <v>757</v>
      </c>
    </row>
    <row r="2598" ht="15.75" customHeight="1">
      <c r="A2598" s="133">
        <f>IFERROR(__xludf.DUMMYFUNCTION("""COMPUTED_VALUE"""),40024.0)</f>
        <v>40024</v>
      </c>
      <c r="B2598" s="164">
        <f>IFERROR(__xludf.DUMMYFUNCTION("""COMPUTED_VALUE"""),6313135.0)</f>
        <v>6313135</v>
      </c>
      <c r="C2598" s="164" t="str">
        <f>IFERROR(__xludf.DUMMYFUNCTION("""COMPUTED_VALUE"""),"6313135134-140")</f>
        <v>6313135134-140</v>
      </c>
      <c r="D2598" s="133"/>
      <c r="E2598" s="133" t="str">
        <f>IFERROR(__xludf.DUMMYFUNCTION("""COMPUTED_VALUE"""),"134-140")</f>
        <v>134-140</v>
      </c>
      <c r="F2598" s="165" t="str">
        <f>IFERROR(__xludf.DUMMYFUNCTION("""COMPUTED_VALUE"""),"40024134-140")</f>
        <v>40024134-140</v>
      </c>
      <c r="G2598" s="165">
        <f>IFERROR(__xludf.DUMMYFUNCTION("""COMPUTED_VALUE"""),757.0)</f>
        <v>757</v>
      </c>
    </row>
    <row r="2599" ht="15.75" customHeight="1">
      <c r="A2599" s="133">
        <f>IFERROR(__xludf.DUMMYFUNCTION("""COMPUTED_VALUE"""),40024.0)</f>
        <v>40024</v>
      </c>
      <c r="B2599" s="164">
        <f>IFERROR(__xludf.DUMMYFUNCTION("""COMPUTED_VALUE"""),6313135.0)</f>
        <v>6313135</v>
      </c>
      <c r="C2599" s="164" t="str">
        <f>IFERROR(__xludf.DUMMYFUNCTION("""COMPUTED_VALUE"""),"6313135140-146")</f>
        <v>6313135140-146</v>
      </c>
      <c r="D2599" s="133"/>
      <c r="E2599" s="133" t="str">
        <f>IFERROR(__xludf.DUMMYFUNCTION("""COMPUTED_VALUE"""),"140-146")</f>
        <v>140-146</v>
      </c>
      <c r="F2599" s="165" t="str">
        <f>IFERROR(__xludf.DUMMYFUNCTION("""COMPUTED_VALUE"""),"40024140-146")</f>
        <v>40024140-146</v>
      </c>
      <c r="G2599" s="165">
        <f>IFERROR(__xludf.DUMMYFUNCTION("""COMPUTED_VALUE"""),757.0)</f>
        <v>757</v>
      </c>
    </row>
    <row r="2600" ht="15.75" customHeight="1">
      <c r="A2600" s="133">
        <f>IFERROR(__xludf.DUMMYFUNCTION("""COMPUTED_VALUE"""),440025.0)</f>
        <v>440025</v>
      </c>
      <c r="B2600" s="164">
        <f>IFERROR(__xludf.DUMMYFUNCTION("""COMPUTED_VALUE"""),1.7796514E7)</f>
        <v>17796514</v>
      </c>
      <c r="C2600" s="164" t="str">
        <f>IFERROR(__xludf.DUMMYFUNCTION("""COMPUTED_VALUE"""),"1779651498-104")</f>
        <v>1779651498-104</v>
      </c>
      <c r="D2600" s="133" t="str">
        <f>IFERROR(__xludf.DUMMYFUNCTION("""COMPUTED_VALUE"""),"Детский свитер с белкой")</f>
        <v>Детский свитер с белкой</v>
      </c>
      <c r="E2600" s="133" t="str">
        <f>IFERROR(__xludf.DUMMYFUNCTION("""COMPUTED_VALUE"""),"98-104")</f>
        <v>98-104</v>
      </c>
      <c r="F2600" s="165" t="str">
        <f>IFERROR(__xludf.DUMMYFUNCTION("""COMPUTED_VALUE"""),"44002598-104")</f>
        <v>44002598-104</v>
      </c>
      <c r="G2600" s="165">
        <f>IFERROR(__xludf.DUMMYFUNCTION("""COMPUTED_VALUE"""),674.0)</f>
        <v>674</v>
      </c>
    </row>
    <row r="2601" ht="15.75" customHeight="1">
      <c r="A2601" s="133">
        <f>IFERROR(__xludf.DUMMYFUNCTION("""COMPUTED_VALUE"""),440025.0)</f>
        <v>440025</v>
      </c>
      <c r="B2601" s="164">
        <f>IFERROR(__xludf.DUMMYFUNCTION("""COMPUTED_VALUE"""),1.7796514E7)</f>
        <v>17796514</v>
      </c>
      <c r="C2601" s="164" t="str">
        <f>IFERROR(__xludf.DUMMYFUNCTION("""COMPUTED_VALUE"""),"17796514110-116")</f>
        <v>17796514110-116</v>
      </c>
      <c r="D2601" s="133"/>
      <c r="E2601" s="133" t="str">
        <f>IFERROR(__xludf.DUMMYFUNCTION("""COMPUTED_VALUE"""),"110-116")</f>
        <v>110-116</v>
      </c>
      <c r="F2601" s="165" t="str">
        <f>IFERROR(__xludf.DUMMYFUNCTION("""COMPUTED_VALUE"""),"440025110-116")</f>
        <v>440025110-116</v>
      </c>
      <c r="G2601" s="165">
        <f>IFERROR(__xludf.DUMMYFUNCTION("""COMPUTED_VALUE"""),674.0)</f>
        <v>674</v>
      </c>
    </row>
    <row r="2602" ht="15.75" customHeight="1">
      <c r="A2602" s="133">
        <f>IFERROR(__xludf.DUMMYFUNCTION("""COMPUTED_VALUE"""),440025.0)</f>
        <v>440025</v>
      </c>
      <c r="B2602" s="164">
        <f>IFERROR(__xludf.DUMMYFUNCTION("""COMPUTED_VALUE"""),1.7796514E7)</f>
        <v>17796514</v>
      </c>
      <c r="C2602" s="164" t="str">
        <f>IFERROR(__xludf.DUMMYFUNCTION("""COMPUTED_VALUE"""),"17796514122-128")</f>
        <v>17796514122-128</v>
      </c>
      <c r="D2602" s="133"/>
      <c r="E2602" s="133" t="str">
        <f>IFERROR(__xludf.DUMMYFUNCTION("""COMPUTED_VALUE"""),"122-128")</f>
        <v>122-128</v>
      </c>
      <c r="F2602" s="165" t="str">
        <f>IFERROR(__xludf.DUMMYFUNCTION("""COMPUTED_VALUE"""),"440025122-128")</f>
        <v>440025122-128</v>
      </c>
      <c r="G2602" s="165">
        <f>IFERROR(__xludf.DUMMYFUNCTION("""COMPUTED_VALUE"""),674.0)</f>
        <v>674</v>
      </c>
    </row>
    <row r="2603" ht="15.75" customHeight="1">
      <c r="A2603" s="133">
        <f>IFERROR(__xludf.DUMMYFUNCTION("""COMPUTED_VALUE"""),440025.0)</f>
        <v>440025</v>
      </c>
      <c r="B2603" s="164">
        <f>IFERROR(__xludf.DUMMYFUNCTION("""COMPUTED_VALUE"""),1.7796514E7)</f>
        <v>17796514</v>
      </c>
      <c r="C2603" s="164" t="str">
        <f>IFERROR(__xludf.DUMMYFUNCTION("""COMPUTED_VALUE"""),"17796514134-140")</f>
        <v>17796514134-140</v>
      </c>
      <c r="D2603" s="133"/>
      <c r="E2603" s="133" t="str">
        <f>IFERROR(__xludf.DUMMYFUNCTION("""COMPUTED_VALUE"""),"134-140")</f>
        <v>134-140</v>
      </c>
      <c r="F2603" s="165" t="str">
        <f>IFERROR(__xludf.DUMMYFUNCTION("""COMPUTED_VALUE"""),"440025134-140")</f>
        <v>440025134-140</v>
      </c>
      <c r="G2603" s="165">
        <f>IFERROR(__xludf.DUMMYFUNCTION("""COMPUTED_VALUE"""),674.0)</f>
        <v>674</v>
      </c>
    </row>
    <row r="2604" ht="15.75" customHeight="1">
      <c r="A2604" s="133">
        <f>IFERROR(__xludf.DUMMYFUNCTION("""COMPUTED_VALUE"""),440025.0)</f>
        <v>440025</v>
      </c>
      <c r="B2604" s="164">
        <f>IFERROR(__xludf.DUMMYFUNCTION("""COMPUTED_VALUE"""),1.7796514E7)</f>
        <v>17796514</v>
      </c>
      <c r="C2604" s="164" t="str">
        <f>IFERROR(__xludf.DUMMYFUNCTION("""COMPUTED_VALUE"""),"17796514140-146")</f>
        <v>17796514140-146</v>
      </c>
      <c r="D2604" s="133"/>
      <c r="E2604" s="133" t="str">
        <f>IFERROR(__xludf.DUMMYFUNCTION("""COMPUTED_VALUE"""),"140-146")</f>
        <v>140-146</v>
      </c>
      <c r="F2604" s="165" t="str">
        <f>IFERROR(__xludf.DUMMYFUNCTION("""COMPUTED_VALUE"""),"440025140-146")</f>
        <v>440025140-146</v>
      </c>
      <c r="G2604" s="165">
        <f>IFERROR(__xludf.DUMMYFUNCTION("""COMPUTED_VALUE"""),674.0)</f>
        <v>674</v>
      </c>
    </row>
    <row r="2605" ht="15.75" customHeight="1">
      <c r="A2605" s="133">
        <f>IFERROR(__xludf.DUMMYFUNCTION("""COMPUTED_VALUE"""),440026.0)</f>
        <v>440026</v>
      </c>
      <c r="B2605" s="164">
        <f>IFERROR(__xludf.DUMMYFUNCTION("""COMPUTED_VALUE"""),1.7796515E7)</f>
        <v>17796515</v>
      </c>
      <c r="C2605" s="164" t="str">
        <f>IFERROR(__xludf.DUMMYFUNCTION("""COMPUTED_VALUE"""),"1779651598-104")</f>
        <v>1779651598-104</v>
      </c>
      <c r="D2605" s="133" t="str">
        <f>IFERROR(__xludf.DUMMYFUNCTION("""COMPUTED_VALUE"""),"Детский свитер с белкой")</f>
        <v>Детский свитер с белкой</v>
      </c>
      <c r="E2605" s="133" t="str">
        <f>IFERROR(__xludf.DUMMYFUNCTION("""COMPUTED_VALUE"""),"98-104")</f>
        <v>98-104</v>
      </c>
      <c r="F2605" s="165" t="str">
        <f>IFERROR(__xludf.DUMMYFUNCTION("""COMPUTED_VALUE"""),"44002698-104")</f>
        <v>44002698-104</v>
      </c>
      <c r="G2605" s="165">
        <f>IFERROR(__xludf.DUMMYFUNCTION("""COMPUTED_VALUE"""),674.0)</f>
        <v>674</v>
      </c>
    </row>
    <row r="2606" ht="15.75" customHeight="1">
      <c r="A2606" s="133">
        <f>IFERROR(__xludf.DUMMYFUNCTION("""COMPUTED_VALUE"""),440026.0)</f>
        <v>440026</v>
      </c>
      <c r="B2606" s="164">
        <f>IFERROR(__xludf.DUMMYFUNCTION("""COMPUTED_VALUE"""),1.7796515E7)</f>
        <v>17796515</v>
      </c>
      <c r="C2606" s="164" t="str">
        <f>IFERROR(__xludf.DUMMYFUNCTION("""COMPUTED_VALUE"""),"17796515110-116")</f>
        <v>17796515110-116</v>
      </c>
      <c r="D2606" s="133"/>
      <c r="E2606" s="133" t="str">
        <f>IFERROR(__xludf.DUMMYFUNCTION("""COMPUTED_VALUE"""),"110-116")</f>
        <v>110-116</v>
      </c>
      <c r="F2606" s="165" t="str">
        <f>IFERROR(__xludf.DUMMYFUNCTION("""COMPUTED_VALUE"""),"440026110-116")</f>
        <v>440026110-116</v>
      </c>
      <c r="G2606" s="165">
        <f>IFERROR(__xludf.DUMMYFUNCTION("""COMPUTED_VALUE"""),674.0)</f>
        <v>674</v>
      </c>
    </row>
    <row r="2607" ht="15.75" customHeight="1">
      <c r="A2607" s="133">
        <f>IFERROR(__xludf.DUMMYFUNCTION("""COMPUTED_VALUE"""),440026.0)</f>
        <v>440026</v>
      </c>
      <c r="B2607" s="164">
        <f>IFERROR(__xludf.DUMMYFUNCTION("""COMPUTED_VALUE"""),1.7796515E7)</f>
        <v>17796515</v>
      </c>
      <c r="C2607" s="164" t="str">
        <f>IFERROR(__xludf.DUMMYFUNCTION("""COMPUTED_VALUE"""),"17796515122-128")</f>
        <v>17796515122-128</v>
      </c>
      <c r="D2607" s="133"/>
      <c r="E2607" s="133" t="str">
        <f>IFERROR(__xludf.DUMMYFUNCTION("""COMPUTED_VALUE"""),"122-128")</f>
        <v>122-128</v>
      </c>
      <c r="F2607" s="165" t="str">
        <f>IFERROR(__xludf.DUMMYFUNCTION("""COMPUTED_VALUE"""),"440026122-128")</f>
        <v>440026122-128</v>
      </c>
      <c r="G2607" s="165">
        <f>IFERROR(__xludf.DUMMYFUNCTION("""COMPUTED_VALUE"""),674.0)</f>
        <v>674</v>
      </c>
    </row>
    <row r="2608" ht="15.75" customHeight="1">
      <c r="A2608" s="133">
        <f>IFERROR(__xludf.DUMMYFUNCTION("""COMPUTED_VALUE"""),440026.0)</f>
        <v>440026</v>
      </c>
      <c r="B2608" s="164">
        <f>IFERROR(__xludf.DUMMYFUNCTION("""COMPUTED_VALUE"""),1.7796515E7)</f>
        <v>17796515</v>
      </c>
      <c r="C2608" s="164" t="str">
        <f>IFERROR(__xludf.DUMMYFUNCTION("""COMPUTED_VALUE"""),"17796515134-140")</f>
        <v>17796515134-140</v>
      </c>
      <c r="D2608" s="133"/>
      <c r="E2608" s="133" t="str">
        <f>IFERROR(__xludf.DUMMYFUNCTION("""COMPUTED_VALUE"""),"134-140")</f>
        <v>134-140</v>
      </c>
      <c r="F2608" s="165" t="str">
        <f>IFERROR(__xludf.DUMMYFUNCTION("""COMPUTED_VALUE"""),"440026134-140")</f>
        <v>440026134-140</v>
      </c>
      <c r="G2608" s="165">
        <f>IFERROR(__xludf.DUMMYFUNCTION("""COMPUTED_VALUE"""),674.0)</f>
        <v>674</v>
      </c>
    </row>
    <row r="2609" ht="15.75" customHeight="1">
      <c r="A2609" s="133">
        <f>IFERROR(__xludf.DUMMYFUNCTION("""COMPUTED_VALUE"""),440026.0)</f>
        <v>440026</v>
      </c>
      <c r="B2609" s="164">
        <f>IFERROR(__xludf.DUMMYFUNCTION("""COMPUTED_VALUE"""),1.7796515E7)</f>
        <v>17796515</v>
      </c>
      <c r="C2609" s="164" t="str">
        <f>IFERROR(__xludf.DUMMYFUNCTION("""COMPUTED_VALUE"""),"17796515140-146")</f>
        <v>17796515140-146</v>
      </c>
      <c r="D2609" s="133"/>
      <c r="E2609" s="133" t="str">
        <f>IFERROR(__xludf.DUMMYFUNCTION("""COMPUTED_VALUE"""),"140-146")</f>
        <v>140-146</v>
      </c>
      <c r="F2609" s="165" t="str">
        <f>IFERROR(__xludf.DUMMYFUNCTION("""COMPUTED_VALUE"""),"440026140-146")</f>
        <v>440026140-146</v>
      </c>
      <c r="G2609" s="165">
        <f>IFERROR(__xludf.DUMMYFUNCTION("""COMPUTED_VALUE"""),674.0)</f>
        <v>674</v>
      </c>
    </row>
    <row r="2610" ht="15.75" customHeight="1">
      <c r="A2610" s="133">
        <f>IFERROR(__xludf.DUMMYFUNCTION("""COMPUTED_VALUE"""),440027.0)</f>
        <v>440027</v>
      </c>
      <c r="B2610" s="164">
        <f>IFERROR(__xludf.DUMMYFUNCTION("""COMPUTED_VALUE"""),1.7796516E7)</f>
        <v>17796516</v>
      </c>
      <c r="C2610" s="164" t="str">
        <f>IFERROR(__xludf.DUMMYFUNCTION("""COMPUTED_VALUE"""),"1779651698-104")</f>
        <v>1779651698-104</v>
      </c>
      <c r="D2610" s="133"/>
      <c r="E2610" s="133" t="str">
        <f>IFERROR(__xludf.DUMMYFUNCTION("""COMPUTED_VALUE"""),"98-104")</f>
        <v>98-104</v>
      </c>
      <c r="F2610" s="165" t="str">
        <f>IFERROR(__xludf.DUMMYFUNCTION("""COMPUTED_VALUE"""),"44002798-104")</f>
        <v>44002798-104</v>
      </c>
      <c r="G2610" s="165">
        <f>IFERROR(__xludf.DUMMYFUNCTION("""COMPUTED_VALUE"""),674.0)</f>
        <v>674</v>
      </c>
    </row>
    <row r="2611" ht="15.75" customHeight="1">
      <c r="A2611" s="133">
        <f>IFERROR(__xludf.DUMMYFUNCTION("""COMPUTED_VALUE"""),440027.0)</f>
        <v>440027</v>
      </c>
      <c r="B2611" s="164">
        <f>IFERROR(__xludf.DUMMYFUNCTION("""COMPUTED_VALUE"""),1.7796516E7)</f>
        <v>17796516</v>
      </c>
      <c r="C2611" s="164" t="str">
        <f>IFERROR(__xludf.DUMMYFUNCTION("""COMPUTED_VALUE"""),"17796516110-116")</f>
        <v>17796516110-116</v>
      </c>
      <c r="D2611" s="133"/>
      <c r="E2611" s="133" t="str">
        <f>IFERROR(__xludf.DUMMYFUNCTION("""COMPUTED_VALUE"""),"110-116")</f>
        <v>110-116</v>
      </c>
      <c r="F2611" s="165" t="str">
        <f>IFERROR(__xludf.DUMMYFUNCTION("""COMPUTED_VALUE"""),"440027110-116")</f>
        <v>440027110-116</v>
      </c>
      <c r="G2611" s="165">
        <f>IFERROR(__xludf.DUMMYFUNCTION("""COMPUTED_VALUE"""),674.0)</f>
        <v>674</v>
      </c>
    </row>
    <row r="2612" ht="15.75" customHeight="1">
      <c r="A2612" s="133">
        <f>IFERROR(__xludf.DUMMYFUNCTION("""COMPUTED_VALUE"""),440027.0)</f>
        <v>440027</v>
      </c>
      <c r="B2612" s="164">
        <f>IFERROR(__xludf.DUMMYFUNCTION("""COMPUTED_VALUE"""),1.7796516E7)</f>
        <v>17796516</v>
      </c>
      <c r="C2612" s="164" t="str">
        <f>IFERROR(__xludf.DUMMYFUNCTION("""COMPUTED_VALUE"""),"17796516122-128")</f>
        <v>17796516122-128</v>
      </c>
      <c r="D2612" s="133"/>
      <c r="E2612" s="133" t="str">
        <f>IFERROR(__xludf.DUMMYFUNCTION("""COMPUTED_VALUE"""),"122-128")</f>
        <v>122-128</v>
      </c>
      <c r="F2612" s="165" t="str">
        <f>IFERROR(__xludf.DUMMYFUNCTION("""COMPUTED_VALUE"""),"440027122-128")</f>
        <v>440027122-128</v>
      </c>
      <c r="G2612" s="165">
        <f>IFERROR(__xludf.DUMMYFUNCTION("""COMPUTED_VALUE"""),674.0)</f>
        <v>674</v>
      </c>
    </row>
    <row r="2613" ht="15.75" customHeight="1">
      <c r="A2613" s="133">
        <f>IFERROR(__xludf.DUMMYFUNCTION("""COMPUTED_VALUE"""),440027.0)</f>
        <v>440027</v>
      </c>
      <c r="B2613" s="164">
        <f>IFERROR(__xludf.DUMMYFUNCTION("""COMPUTED_VALUE"""),1.7796516E7)</f>
        <v>17796516</v>
      </c>
      <c r="C2613" s="164" t="str">
        <f>IFERROR(__xludf.DUMMYFUNCTION("""COMPUTED_VALUE"""),"17796516134-140")</f>
        <v>17796516134-140</v>
      </c>
      <c r="D2613" s="133"/>
      <c r="E2613" s="133" t="str">
        <f>IFERROR(__xludf.DUMMYFUNCTION("""COMPUTED_VALUE"""),"134-140")</f>
        <v>134-140</v>
      </c>
      <c r="F2613" s="165" t="str">
        <f>IFERROR(__xludf.DUMMYFUNCTION("""COMPUTED_VALUE"""),"440027134-140")</f>
        <v>440027134-140</v>
      </c>
      <c r="G2613" s="165">
        <f>IFERROR(__xludf.DUMMYFUNCTION("""COMPUTED_VALUE"""),674.0)</f>
        <v>674</v>
      </c>
    </row>
    <row r="2614" ht="15.75" customHeight="1">
      <c r="A2614" s="133">
        <f>IFERROR(__xludf.DUMMYFUNCTION("""COMPUTED_VALUE"""),440027.0)</f>
        <v>440027</v>
      </c>
      <c r="B2614" s="164">
        <f>IFERROR(__xludf.DUMMYFUNCTION("""COMPUTED_VALUE"""),1.7796516E7)</f>
        <v>17796516</v>
      </c>
      <c r="C2614" s="164" t="str">
        <f>IFERROR(__xludf.DUMMYFUNCTION("""COMPUTED_VALUE"""),"17796516140-146")</f>
        <v>17796516140-146</v>
      </c>
      <c r="D2614" s="133"/>
      <c r="E2614" s="133" t="str">
        <f>IFERROR(__xludf.DUMMYFUNCTION("""COMPUTED_VALUE"""),"140-146")</f>
        <v>140-146</v>
      </c>
      <c r="F2614" s="165" t="str">
        <f>IFERROR(__xludf.DUMMYFUNCTION("""COMPUTED_VALUE"""),"440027140-146")</f>
        <v>440027140-146</v>
      </c>
      <c r="G2614" s="165">
        <f>IFERROR(__xludf.DUMMYFUNCTION("""COMPUTED_VALUE"""),674.0)</f>
        <v>674</v>
      </c>
    </row>
    <row r="2615" ht="15.75" customHeight="1">
      <c r="A2615" s="133">
        <f>IFERROR(__xludf.DUMMYFUNCTION("""COMPUTED_VALUE"""),440029.0)</f>
        <v>440029</v>
      </c>
      <c r="B2615" s="164">
        <f>IFERROR(__xludf.DUMMYFUNCTION("""COMPUTED_VALUE"""),1.7796517E7)</f>
        <v>17796517</v>
      </c>
      <c r="C2615" s="164" t="str">
        <f>IFERROR(__xludf.DUMMYFUNCTION("""COMPUTED_VALUE"""),"1779651798-104")</f>
        <v>1779651798-104</v>
      </c>
      <c r="D2615" s="133"/>
      <c r="E2615" s="133" t="str">
        <f>IFERROR(__xludf.DUMMYFUNCTION("""COMPUTED_VALUE"""),"98-104")</f>
        <v>98-104</v>
      </c>
      <c r="F2615" s="165" t="str">
        <f>IFERROR(__xludf.DUMMYFUNCTION("""COMPUTED_VALUE"""),"44002998-104")</f>
        <v>44002998-104</v>
      </c>
      <c r="G2615" s="165">
        <f>IFERROR(__xludf.DUMMYFUNCTION("""COMPUTED_VALUE"""),674.0)</f>
        <v>674</v>
      </c>
    </row>
    <row r="2616" ht="15.75" customHeight="1">
      <c r="A2616" s="133">
        <f>IFERROR(__xludf.DUMMYFUNCTION("""COMPUTED_VALUE"""),440029.0)</f>
        <v>440029</v>
      </c>
      <c r="B2616" s="164">
        <f>IFERROR(__xludf.DUMMYFUNCTION("""COMPUTED_VALUE"""),1.7796517E7)</f>
        <v>17796517</v>
      </c>
      <c r="C2616" s="164" t="str">
        <f>IFERROR(__xludf.DUMMYFUNCTION("""COMPUTED_VALUE"""),"17796517110-116")</f>
        <v>17796517110-116</v>
      </c>
      <c r="D2616" s="133"/>
      <c r="E2616" s="133" t="str">
        <f>IFERROR(__xludf.DUMMYFUNCTION("""COMPUTED_VALUE"""),"110-116")</f>
        <v>110-116</v>
      </c>
      <c r="F2616" s="165" t="str">
        <f>IFERROR(__xludf.DUMMYFUNCTION("""COMPUTED_VALUE"""),"440029110-116")</f>
        <v>440029110-116</v>
      </c>
      <c r="G2616" s="165">
        <f>IFERROR(__xludf.DUMMYFUNCTION("""COMPUTED_VALUE"""),674.0)</f>
        <v>674</v>
      </c>
    </row>
    <row r="2617" ht="15.75" customHeight="1">
      <c r="A2617" s="133">
        <f>IFERROR(__xludf.DUMMYFUNCTION("""COMPUTED_VALUE"""),440029.0)</f>
        <v>440029</v>
      </c>
      <c r="B2617" s="164">
        <f>IFERROR(__xludf.DUMMYFUNCTION("""COMPUTED_VALUE"""),1.7796517E7)</f>
        <v>17796517</v>
      </c>
      <c r="C2617" s="164" t="str">
        <f>IFERROR(__xludf.DUMMYFUNCTION("""COMPUTED_VALUE"""),"17796517122-128")</f>
        <v>17796517122-128</v>
      </c>
      <c r="D2617" s="133"/>
      <c r="E2617" s="133" t="str">
        <f>IFERROR(__xludf.DUMMYFUNCTION("""COMPUTED_VALUE"""),"122-128")</f>
        <v>122-128</v>
      </c>
      <c r="F2617" s="165" t="str">
        <f>IFERROR(__xludf.DUMMYFUNCTION("""COMPUTED_VALUE"""),"440029122-128")</f>
        <v>440029122-128</v>
      </c>
      <c r="G2617" s="165">
        <f>IFERROR(__xludf.DUMMYFUNCTION("""COMPUTED_VALUE"""),674.0)</f>
        <v>674</v>
      </c>
    </row>
    <row r="2618" ht="15.75" customHeight="1">
      <c r="A2618" s="133">
        <f>IFERROR(__xludf.DUMMYFUNCTION("""COMPUTED_VALUE"""),440029.0)</f>
        <v>440029</v>
      </c>
      <c r="B2618" s="164">
        <f>IFERROR(__xludf.DUMMYFUNCTION("""COMPUTED_VALUE"""),1.7796517E7)</f>
        <v>17796517</v>
      </c>
      <c r="C2618" s="164" t="str">
        <f>IFERROR(__xludf.DUMMYFUNCTION("""COMPUTED_VALUE"""),"17796517134-140")</f>
        <v>17796517134-140</v>
      </c>
      <c r="D2618" s="133"/>
      <c r="E2618" s="133" t="str">
        <f>IFERROR(__xludf.DUMMYFUNCTION("""COMPUTED_VALUE"""),"134-140")</f>
        <v>134-140</v>
      </c>
      <c r="F2618" s="165" t="str">
        <f>IFERROR(__xludf.DUMMYFUNCTION("""COMPUTED_VALUE"""),"440029134-140")</f>
        <v>440029134-140</v>
      </c>
      <c r="G2618" s="165">
        <f>IFERROR(__xludf.DUMMYFUNCTION("""COMPUTED_VALUE"""),674.0)</f>
        <v>674</v>
      </c>
    </row>
    <row r="2619" ht="15.75" customHeight="1">
      <c r="A2619" s="133">
        <f>IFERROR(__xludf.DUMMYFUNCTION("""COMPUTED_VALUE"""),440029.0)</f>
        <v>440029</v>
      </c>
      <c r="B2619" s="164">
        <f>IFERROR(__xludf.DUMMYFUNCTION("""COMPUTED_VALUE"""),1.7796517E7)</f>
        <v>17796517</v>
      </c>
      <c r="C2619" s="164" t="str">
        <f>IFERROR(__xludf.DUMMYFUNCTION("""COMPUTED_VALUE"""),"17796517140-146")</f>
        <v>17796517140-146</v>
      </c>
      <c r="D2619" s="133"/>
      <c r="E2619" s="133" t="str">
        <f>IFERROR(__xludf.DUMMYFUNCTION("""COMPUTED_VALUE"""),"140-146")</f>
        <v>140-146</v>
      </c>
      <c r="F2619" s="165" t="str">
        <f>IFERROR(__xludf.DUMMYFUNCTION("""COMPUTED_VALUE"""),"440029140-146")</f>
        <v>440029140-146</v>
      </c>
      <c r="G2619" s="165">
        <f>IFERROR(__xludf.DUMMYFUNCTION("""COMPUTED_VALUE"""),674.0)</f>
        <v>674</v>
      </c>
    </row>
    <row r="2620" ht="15.75" customHeight="1">
      <c r="A2620" s="133">
        <f>IFERROR(__xludf.DUMMYFUNCTION("""COMPUTED_VALUE"""),440030.0)</f>
        <v>440030</v>
      </c>
      <c r="B2620" s="164">
        <f>IFERROR(__xludf.DUMMYFUNCTION("""COMPUTED_VALUE"""),1.7796518E7)</f>
        <v>17796518</v>
      </c>
      <c r="C2620" s="164" t="str">
        <f>IFERROR(__xludf.DUMMYFUNCTION("""COMPUTED_VALUE"""),"1779651898-104")</f>
        <v>1779651898-104</v>
      </c>
      <c r="D2620" s="133"/>
      <c r="E2620" s="133" t="str">
        <f>IFERROR(__xludf.DUMMYFUNCTION("""COMPUTED_VALUE"""),"98-104")</f>
        <v>98-104</v>
      </c>
      <c r="F2620" s="165" t="str">
        <f>IFERROR(__xludf.DUMMYFUNCTION("""COMPUTED_VALUE"""),"44003098-104")</f>
        <v>44003098-104</v>
      </c>
      <c r="G2620" s="165">
        <f>IFERROR(__xludf.DUMMYFUNCTION("""COMPUTED_VALUE"""),674.0)</f>
        <v>674</v>
      </c>
    </row>
    <row r="2621" ht="15.75" customHeight="1">
      <c r="A2621" s="133">
        <f>IFERROR(__xludf.DUMMYFUNCTION("""COMPUTED_VALUE"""),440030.0)</f>
        <v>440030</v>
      </c>
      <c r="B2621" s="164">
        <f>IFERROR(__xludf.DUMMYFUNCTION("""COMPUTED_VALUE"""),1.7796518E7)</f>
        <v>17796518</v>
      </c>
      <c r="C2621" s="164" t="str">
        <f>IFERROR(__xludf.DUMMYFUNCTION("""COMPUTED_VALUE"""),"17796518110-116")</f>
        <v>17796518110-116</v>
      </c>
      <c r="D2621" s="133"/>
      <c r="E2621" s="133" t="str">
        <f>IFERROR(__xludf.DUMMYFUNCTION("""COMPUTED_VALUE"""),"110-116")</f>
        <v>110-116</v>
      </c>
      <c r="F2621" s="165" t="str">
        <f>IFERROR(__xludf.DUMMYFUNCTION("""COMPUTED_VALUE"""),"440030110-116")</f>
        <v>440030110-116</v>
      </c>
      <c r="G2621" s="165">
        <f>IFERROR(__xludf.DUMMYFUNCTION("""COMPUTED_VALUE"""),674.0)</f>
        <v>674</v>
      </c>
    </row>
    <row r="2622" ht="15.75" customHeight="1">
      <c r="A2622" s="133">
        <f>IFERROR(__xludf.DUMMYFUNCTION("""COMPUTED_VALUE"""),440030.0)</f>
        <v>440030</v>
      </c>
      <c r="B2622" s="164">
        <f>IFERROR(__xludf.DUMMYFUNCTION("""COMPUTED_VALUE"""),1.7796518E7)</f>
        <v>17796518</v>
      </c>
      <c r="C2622" s="164" t="str">
        <f>IFERROR(__xludf.DUMMYFUNCTION("""COMPUTED_VALUE"""),"17796518122-128")</f>
        <v>17796518122-128</v>
      </c>
      <c r="D2622" s="133"/>
      <c r="E2622" s="133" t="str">
        <f>IFERROR(__xludf.DUMMYFUNCTION("""COMPUTED_VALUE"""),"122-128")</f>
        <v>122-128</v>
      </c>
      <c r="F2622" s="165" t="str">
        <f>IFERROR(__xludf.DUMMYFUNCTION("""COMPUTED_VALUE"""),"440030122-128")</f>
        <v>440030122-128</v>
      </c>
      <c r="G2622" s="165">
        <f>IFERROR(__xludf.DUMMYFUNCTION("""COMPUTED_VALUE"""),674.0)</f>
        <v>674</v>
      </c>
    </row>
    <row r="2623" ht="15.75" customHeight="1">
      <c r="A2623" s="133">
        <f>IFERROR(__xludf.DUMMYFUNCTION("""COMPUTED_VALUE"""),440030.0)</f>
        <v>440030</v>
      </c>
      <c r="B2623" s="164">
        <f>IFERROR(__xludf.DUMMYFUNCTION("""COMPUTED_VALUE"""),1.7796518E7)</f>
        <v>17796518</v>
      </c>
      <c r="C2623" s="164" t="str">
        <f>IFERROR(__xludf.DUMMYFUNCTION("""COMPUTED_VALUE"""),"17796518134-140")</f>
        <v>17796518134-140</v>
      </c>
      <c r="D2623" s="133"/>
      <c r="E2623" s="133" t="str">
        <f>IFERROR(__xludf.DUMMYFUNCTION("""COMPUTED_VALUE"""),"134-140")</f>
        <v>134-140</v>
      </c>
      <c r="F2623" s="165" t="str">
        <f>IFERROR(__xludf.DUMMYFUNCTION("""COMPUTED_VALUE"""),"440030134-140")</f>
        <v>440030134-140</v>
      </c>
      <c r="G2623" s="165">
        <f>IFERROR(__xludf.DUMMYFUNCTION("""COMPUTED_VALUE"""),674.0)</f>
        <v>674</v>
      </c>
    </row>
    <row r="2624" ht="15.75" customHeight="1">
      <c r="A2624" s="133">
        <f>IFERROR(__xludf.DUMMYFUNCTION("""COMPUTED_VALUE"""),440030.0)</f>
        <v>440030</v>
      </c>
      <c r="B2624" s="164">
        <f>IFERROR(__xludf.DUMMYFUNCTION("""COMPUTED_VALUE"""),1.7796518E7)</f>
        <v>17796518</v>
      </c>
      <c r="C2624" s="164" t="str">
        <f>IFERROR(__xludf.DUMMYFUNCTION("""COMPUTED_VALUE"""),"17796518140-146")</f>
        <v>17796518140-146</v>
      </c>
      <c r="D2624" s="133"/>
      <c r="E2624" s="133" t="str">
        <f>IFERROR(__xludf.DUMMYFUNCTION("""COMPUTED_VALUE"""),"140-146")</f>
        <v>140-146</v>
      </c>
      <c r="F2624" s="165" t="str">
        <f>IFERROR(__xludf.DUMMYFUNCTION("""COMPUTED_VALUE"""),"440030140-146")</f>
        <v>440030140-146</v>
      </c>
      <c r="G2624" s="165">
        <f>IFERROR(__xludf.DUMMYFUNCTION("""COMPUTED_VALUE"""),674.0)</f>
        <v>674</v>
      </c>
    </row>
    <row r="2625" ht="15.75" customHeight="1">
      <c r="A2625" s="133">
        <f>IFERROR(__xludf.DUMMYFUNCTION("""COMPUTED_VALUE"""),440031.0)</f>
        <v>440031</v>
      </c>
      <c r="B2625" s="164">
        <f>IFERROR(__xludf.DUMMYFUNCTION("""COMPUTED_VALUE"""),1.7796519E7)</f>
        <v>17796519</v>
      </c>
      <c r="C2625" s="164" t="str">
        <f>IFERROR(__xludf.DUMMYFUNCTION("""COMPUTED_VALUE"""),"1779651998-104")</f>
        <v>1779651998-104</v>
      </c>
      <c r="D2625" s="133"/>
      <c r="E2625" s="133" t="str">
        <f>IFERROR(__xludf.DUMMYFUNCTION("""COMPUTED_VALUE"""),"98-104")</f>
        <v>98-104</v>
      </c>
      <c r="F2625" s="165" t="str">
        <f>IFERROR(__xludf.DUMMYFUNCTION("""COMPUTED_VALUE"""),"44003198-104")</f>
        <v>44003198-104</v>
      </c>
      <c r="G2625" s="165">
        <f>IFERROR(__xludf.DUMMYFUNCTION("""COMPUTED_VALUE"""),674.0)</f>
        <v>674</v>
      </c>
    </row>
    <row r="2626" ht="15.75" customHeight="1">
      <c r="A2626" s="133">
        <f>IFERROR(__xludf.DUMMYFUNCTION("""COMPUTED_VALUE"""),440031.0)</f>
        <v>440031</v>
      </c>
      <c r="B2626" s="164">
        <f>IFERROR(__xludf.DUMMYFUNCTION("""COMPUTED_VALUE"""),1.7796519E7)</f>
        <v>17796519</v>
      </c>
      <c r="C2626" s="164" t="str">
        <f>IFERROR(__xludf.DUMMYFUNCTION("""COMPUTED_VALUE"""),"17796519110-116")</f>
        <v>17796519110-116</v>
      </c>
      <c r="D2626" s="133"/>
      <c r="E2626" s="133" t="str">
        <f>IFERROR(__xludf.DUMMYFUNCTION("""COMPUTED_VALUE"""),"110-116")</f>
        <v>110-116</v>
      </c>
      <c r="F2626" s="165" t="str">
        <f>IFERROR(__xludf.DUMMYFUNCTION("""COMPUTED_VALUE"""),"440031110-116")</f>
        <v>440031110-116</v>
      </c>
      <c r="G2626" s="165">
        <f>IFERROR(__xludf.DUMMYFUNCTION("""COMPUTED_VALUE"""),674.0)</f>
        <v>674</v>
      </c>
    </row>
    <row r="2627" ht="15.75" customHeight="1">
      <c r="A2627" s="133">
        <f>IFERROR(__xludf.DUMMYFUNCTION("""COMPUTED_VALUE"""),440031.0)</f>
        <v>440031</v>
      </c>
      <c r="B2627" s="164">
        <f>IFERROR(__xludf.DUMMYFUNCTION("""COMPUTED_VALUE"""),1.7796519E7)</f>
        <v>17796519</v>
      </c>
      <c r="C2627" s="164" t="str">
        <f>IFERROR(__xludf.DUMMYFUNCTION("""COMPUTED_VALUE"""),"17796519122-128")</f>
        <v>17796519122-128</v>
      </c>
      <c r="D2627" s="133"/>
      <c r="E2627" s="133" t="str">
        <f>IFERROR(__xludf.DUMMYFUNCTION("""COMPUTED_VALUE"""),"122-128")</f>
        <v>122-128</v>
      </c>
      <c r="F2627" s="165" t="str">
        <f>IFERROR(__xludf.DUMMYFUNCTION("""COMPUTED_VALUE"""),"440031122-128")</f>
        <v>440031122-128</v>
      </c>
      <c r="G2627" s="165">
        <f>IFERROR(__xludf.DUMMYFUNCTION("""COMPUTED_VALUE"""),674.0)</f>
        <v>674</v>
      </c>
    </row>
    <row r="2628" ht="15.75" customHeight="1">
      <c r="A2628" s="133">
        <f>IFERROR(__xludf.DUMMYFUNCTION("""COMPUTED_VALUE"""),440031.0)</f>
        <v>440031</v>
      </c>
      <c r="B2628" s="164">
        <f>IFERROR(__xludf.DUMMYFUNCTION("""COMPUTED_VALUE"""),1.7796519E7)</f>
        <v>17796519</v>
      </c>
      <c r="C2628" s="164" t="str">
        <f>IFERROR(__xludf.DUMMYFUNCTION("""COMPUTED_VALUE"""),"17796519134-140")</f>
        <v>17796519134-140</v>
      </c>
      <c r="D2628" s="133"/>
      <c r="E2628" s="133" t="str">
        <f>IFERROR(__xludf.DUMMYFUNCTION("""COMPUTED_VALUE"""),"134-140")</f>
        <v>134-140</v>
      </c>
      <c r="F2628" s="165" t="str">
        <f>IFERROR(__xludf.DUMMYFUNCTION("""COMPUTED_VALUE"""),"440031134-140")</f>
        <v>440031134-140</v>
      </c>
      <c r="G2628" s="165">
        <f>IFERROR(__xludf.DUMMYFUNCTION("""COMPUTED_VALUE"""),674.0)</f>
        <v>674</v>
      </c>
    </row>
    <row r="2629" ht="15.75" customHeight="1">
      <c r="A2629" s="133">
        <f>IFERROR(__xludf.DUMMYFUNCTION("""COMPUTED_VALUE"""),440031.0)</f>
        <v>440031</v>
      </c>
      <c r="B2629" s="164">
        <f>IFERROR(__xludf.DUMMYFUNCTION("""COMPUTED_VALUE"""),1.7796519E7)</f>
        <v>17796519</v>
      </c>
      <c r="C2629" s="164" t="str">
        <f>IFERROR(__xludf.DUMMYFUNCTION("""COMPUTED_VALUE"""),"17796519140-146")</f>
        <v>17796519140-146</v>
      </c>
      <c r="D2629" s="133"/>
      <c r="E2629" s="133" t="str">
        <f>IFERROR(__xludf.DUMMYFUNCTION("""COMPUTED_VALUE"""),"140-146")</f>
        <v>140-146</v>
      </c>
      <c r="F2629" s="165" t="str">
        <f>IFERROR(__xludf.DUMMYFUNCTION("""COMPUTED_VALUE"""),"440031140-146")</f>
        <v>440031140-146</v>
      </c>
      <c r="G2629" s="165">
        <f>IFERROR(__xludf.DUMMYFUNCTION("""COMPUTED_VALUE"""),674.0)</f>
        <v>674</v>
      </c>
    </row>
    <row r="2630" ht="15.75" customHeight="1">
      <c r="A2630" s="133">
        <f>IFERROR(__xludf.DUMMYFUNCTION("""COMPUTED_VALUE"""),40032.0)</f>
        <v>40032</v>
      </c>
      <c r="B2630" s="164">
        <f>IFERROR(__xludf.DUMMYFUNCTION("""COMPUTED_VALUE"""),1.7797242E7)</f>
        <v>17797242</v>
      </c>
      <c r="C2630" s="164" t="str">
        <f>IFERROR(__xludf.DUMMYFUNCTION("""COMPUTED_VALUE"""),"1779724298-104")</f>
        <v>1779724298-104</v>
      </c>
      <c r="D2630" s="133"/>
      <c r="E2630" s="133" t="str">
        <f>IFERROR(__xludf.DUMMYFUNCTION("""COMPUTED_VALUE"""),"98-104")</f>
        <v>98-104</v>
      </c>
      <c r="F2630" s="165" t="str">
        <f>IFERROR(__xludf.DUMMYFUNCTION("""COMPUTED_VALUE"""),"4003298-104")</f>
        <v>4003298-104</v>
      </c>
      <c r="G2630" s="165">
        <f>IFERROR(__xludf.DUMMYFUNCTION("""COMPUTED_VALUE"""),717.0)</f>
        <v>717</v>
      </c>
    </row>
    <row r="2631" ht="15.75" customHeight="1">
      <c r="A2631" s="133">
        <f>IFERROR(__xludf.DUMMYFUNCTION("""COMPUTED_VALUE"""),40032.0)</f>
        <v>40032</v>
      </c>
      <c r="B2631" s="164">
        <f>IFERROR(__xludf.DUMMYFUNCTION("""COMPUTED_VALUE"""),1.7797242E7)</f>
        <v>17797242</v>
      </c>
      <c r="C2631" s="164" t="str">
        <f>IFERROR(__xludf.DUMMYFUNCTION("""COMPUTED_VALUE"""),"17797242110-116")</f>
        <v>17797242110-116</v>
      </c>
      <c r="D2631" s="133"/>
      <c r="E2631" s="133" t="str">
        <f>IFERROR(__xludf.DUMMYFUNCTION("""COMPUTED_VALUE"""),"110-116")</f>
        <v>110-116</v>
      </c>
      <c r="F2631" s="165" t="str">
        <f>IFERROR(__xludf.DUMMYFUNCTION("""COMPUTED_VALUE"""),"40032110-116")</f>
        <v>40032110-116</v>
      </c>
      <c r="G2631" s="165">
        <f>IFERROR(__xludf.DUMMYFUNCTION("""COMPUTED_VALUE"""),717.0)</f>
        <v>717</v>
      </c>
    </row>
    <row r="2632" ht="15.75" customHeight="1">
      <c r="A2632" s="133">
        <f>IFERROR(__xludf.DUMMYFUNCTION("""COMPUTED_VALUE"""),40032.0)</f>
        <v>40032</v>
      </c>
      <c r="B2632" s="164">
        <f>IFERROR(__xludf.DUMMYFUNCTION("""COMPUTED_VALUE"""),1.7797242E7)</f>
        <v>17797242</v>
      </c>
      <c r="C2632" s="164" t="str">
        <f>IFERROR(__xludf.DUMMYFUNCTION("""COMPUTED_VALUE"""),"17797242122-128")</f>
        <v>17797242122-128</v>
      </c>
      <c r="D2632" s="133"/>
      <c r="E2632" s="133" t="str">
        <f>IFERROR(__xludf.DUMMYFUNCTION("""COMPUTED_VALUE"""),"122-128")</f>
        <v>122-128</v>
      </c>
      <c r="F2632" s="165" t="str">
        <f>IFERROR(__xludf.DUMMYFUNCTION("""COMPUTED_VALUE"""),"40032122-128")</f>
        <v>40032122-128</v>
      </c>
      <c r="G2632" s="165">
        <f>IFERROR(__xludf.DUMMYFUNCTION("""COMPUTED_VALUE"""),717.0)</f>
        <v>717</v>
      </c>
    </row>
    <row r="2633" ht="15.75" customHeight="1">
      <c r="A2633" s="133">
        <f>IFERROR(__xludf.DUMMYFUNCTION("""COMPUTED_VALUE"""),40032.0)</f>
        <v>40032</v>
      </c>
      <c r="B2633" s="164">
        <f>IFERROR(__xludf.DUMMYFUNCTION("""COMPUTED_VALUE"""),1.7797242E7)</f>
        <v>17797242</v>
      </c>
      <c r="C2633" s="164" t="str">
        <f>IFERROR(__xludf.DUMMYFUNCTION("""COMPUTED_VALUE"""),"17797242134-140")</f>
        <v>17797242134-140</v>
      </c>
      <c r="D2633" s="133"/>
      <c r="E2633" s="133" t="str">
        <f>IFERROR(__xludf.DUMMYFUNCTION("""COMPUTED_VALUE"""),"134-140")</f>
        <v>134-140</v>
      </c>
      <c r="F2633" s="165" t="str">
        <f>IFERROR(__xludf.DUMMYFUNCTION("""COMPUTED_VALUE"""),"40032134-140")</f>
        <v>40032134-140</v>
      </c>
      <c r="G2633" s="165">
        <f>IFERROR(__xludf.DUMMYFUNCTION("""COMPUTED_VALUE"""),717.0)</f>
        <v>717</v>
      </c>
    </row>
    <row r="2634" ht="15.75" customHeight="1">
      <c r="A2634" s="133">
        <f>IFERROR(__xludf.DUMMYFUNCTION("""COMPUTED_VALUE"""),40032.0)</f>
        <v>40032</v>
      </c>
      <c r="B2634" s="164">
        <f>IFERROR(__xludf.DUMMYFUNCTION("""COMPUTED_VALUE"""),1.7797242E7)</f>
        <v>17797242</v>
      </c>
      <c r="C2634" s="164" t="str">
        <f>IFERROR(__xludf.DUMMYFUNCTION("""COMPUTED_VALUE"""),"17797242140-146")</f>
        <v>17797242140-146</v>
      </c>
      <c r="D2634" s="133"/>
      <c r="E2634" s="133" t="str">
        <f>IFERROR(__xludf.DUMMYFUNCTION("""COMPUTED_VALUE"""),"140-146")</f>
        <v>140-146</v>
      </c>
      <c r="F2634" s="165" t="str">
        <f>IFERROR(__xludf.DUMMYFUNCTION("""COMPUTED_VALUE"""),"40032140-146")</f>
        <v>40032140-146</v>
      </c>
      <c r="G2634" s="165">
        <f>IFERROR(__xludf.DUMMYFUNCTION("""COMPUTED_VALUE"""),717.0)</f>
        <v>717</v>
      </c>
    </row>
    <row r="2635" ht="15.75" customHeight="1">
      <c r="A2635" s="133">
        <f>IFERROR(__xludf.DUMMYFUNCTION("""COMPUTED_VALUE"""),40033.0)</f>
        <v>40033</v>
      </c>
      <c r="B2635" s="164">
        <f>IFERROR(__xludf.DUMMYFUNCTION("""COMPUTED_VALUE"""),1.7797243E7)</f>
        <v>17797243</v>
      </c>
      <c r="C2635" s="164" t="str">
        <f>IFERROR(__xludf.DUMMYFUNCTION("""COMPUTED_VALUE"""),"1779724398-104")</f>
        <v>1779724398-104</v>
      </c>
      <c r="D2635" s="133"/>
      <c r="E2635" s="133" t="str">
        <f>IFERROR(__xludf.DUMMYFUNCTION("""COMPUTED_VALUE"""),"98-104")</f>
        <v>98-104</v>
      </c>
      <c r="F2635" s="165" t="str">
        <f>IFERROR(__xludf.DUMMYFUNCTION("""COMPUTED_VALUE"""),"4003398-104")</f>
        <v>4003398-104</v>
      </c>
      <c r="G2635" s="165">
        <f>IFERROR(__xludf.DUMMYFUNCTION("""COMPUTED_VALUE"""),717.0)</f>
        <v>717</v>
      </c>
    </row>
    <row r="2636" ht="15.75" customHeight="1">
      <c r="A2636" s="133">
        <f>IFERROR(__xludf.DUMMYFUNCTION("""COMPUTED_VALUE"""),40033.0)</f>
        <v>40033</v>
      </c>
      <c r="B2636" s="164">
        <f>IFERROR(__xludf.DUMMYFUNCTION("""COMPUTED_VALUE"""),1.7797243E7)</f>
        <v>17797243</v>
      </c>
      <c r="C2636" s="164" t="str">
        <f>IFERROR(__xludf.DUMMYFUNCTION("""COMPUTED_VALUE"""),"17797243110-116")</f>
        <v>17797243110-116</v>
      </c>
      <c r="D2636" s="133"/>
      <c r="E2636" s="133" t="str">
        <f>IFERROR(__xludf.DUMMYFUNCTION("""COMPUTED_VALUE"""),"110-116")</f>
        <v>110-116</v>
      </c>
      <c r="F2636" s="165" t="str">
        <f>IFERROR(__xludf.DUMMYFUNCTION("""COMPUTED_VALUE"""),"40033110-116")</f>
        <v>40033110-116</v>
      </c>
      <c r="G2636" s="165">
        <f>IFERROR(__xludf.DUMMYFUNCTION("""COMPUTED_VALUE"""),717.0)</f>
        <v>717</v>
      </c>
    </row>
    <row r="2637" ht="15.75" customHeight="1">
      <c r="A2637" s="133">
        <f>IFERROR(__xludf.DUMMYFUNCTION("""COMPUTED_VALUE"""),40033.0)</f>
        <v>40033</v>
      </c>
      <c r="B2637" s="164">
        <f>IFERROR(__xludf.DUMMYFUNCTION("""COMPUTED_VALUE"""),1.7797243E7)</f>
        <v>17797243</v>
      </c>
      <c r="C2637" s="164" t="str">
        <f>IFERROR(__xludf.DUMMYFUNCTION("""COMPUTED_VALUE"""),"17797243122-128")</f>
        <v>17797243122-128</v>
      </c>
      <c r="D2637" s="133"/>
      <c r="E2637" s="133" t="str">
        <f>IFERROR(__xludf.DUMMYFUNCTION("""COMPUTED_VALUE"""),"122-128")</f>
        <v>122-128</v>
      </c>
      <c r="F2637" s="165" t="str">
        <f>IFERROR(__xludf.DUMMYFUNCTION("""COMPUTED_VALUE"""),"40033122-128")</f>
        <v>40033122-128</v>
      </c>
      <c r="G2637" s="165">
        <f>IFERROR(__xludf.DUMMYFUNCTION("""COMPUTED_VALUE"""),717.0)</f>
        <v>717</v>
      </c>
    </row>
    <row r="2638" ht="15.75" customHeight="1">
      <c r="A2638" s="133">
        <f>IFERROR(__xludf.DUMMYFUNCTION("""COMPUTED_VALUE"""),40033.0)</f>
        <v>40033</v>
      </c>
      <c r="B2638" s="164">
        <f>IFERROR(__xludf.DUMMYFUNCTION("""COMPUTED_VALUE"""),1.7797243E7)</f>
        <v>17797243</v>
      </c>
      <c r="C2638" s="164" t="str">
        <f>IFERROR(__xludf.DUMMYFUNCTION("""COMPUTED_VALUE"""),"17797243134-140")</f>
        <v>17797243134-140</v>
      </c>
      <c r="D2638" s="133"/>
      <c r="E2638" s="133" t="str">
        <f>IFERROR(__xludf.DUMMYFUNCTION("""COMPUTED_VALUE"""),"134-140")</f>
        <v>134-140</v>
      </c>
      <c r="F2638" s="165" t="str">
        <f>IFERROR(__xludf.DUMMYFUNCTION("""COMPUTED_VALUE"""),"40033134-140")</f>
        <v>40033134-140</v>
      </c>
      <c r="G2638" s="165">
        <f>IFERROR(__xludf.DUMMYFUNCTION("""COMPUTED_VALUE"""),717.0)</f>
        <v>717</v>
      </c>
    </row>
    <row r="2639" ht="15.75" customHeight="1">
      <c r="A2639" s="133">
        <f>IFERROR(__xludf.DUMMYFUNCTION("""COMPUTED_VALUE"""),40033.0)</f>
        <v>40033</v>
      </c>
      <c r="B2639" s="164">
        <f>IFERROR(__xludf.DUMMYFUNCTION("""COMPUTED_VALUE"""),1.7797243E7)</f>
        <v>17797243</v>
      </c>
      <c r="C2639" s="164" t="str">
        <f>IFERROR(__xludf.DUMMYFUNCTION("""COMPUTED_VALUE"""),"17797243140-146")</f>
        <v>17797243140-146</v>
      </c>
      <c r="D2639" s="133"/>
      <c r="E2639" s="133" t="str">
        <f>IFERROR(__xludf.DUMMYFUNCTION("""COMPUTED_VALUE"""),"140-146")</f>
        <v>140-146</v>
      </c>
      <c r="F2639" s="165" t="str">
        <f>IFERROR(__xludf.DUMMYFUNCTION("""COMPUTED_VALUE"""),"40033140-146")</f>
        <v>40033140-146</v>
      </c>
      <c r="G2639" s="165">
        <f>IFERROR(__xludf.DUMMYFUNCTION("""COMPUTED_VALUE"""),717.0)</f>
        <v>717</v>
      </c>
    </row>
    <row r="2640" ht="15.75" customHeight="1">
      <c r="A2640" s="133">
        <f>IFERROR(__xludf.DUMMYFUNCTION("""COMPUTED_VALUE"""),40034.0)</f>
        <v>40034</v>
      </c>
      <c r="B2640" s="164">
        <f>IFERROR(__xludf.DUMMYFUNCTION("""COMPUTED_VALUE"""),1.7797244E7)</f>
        <v>17797244</v>
      </c>
      <c r="C2640" s="164" t="str">
        <f>IFERROR(__xludf.DUMMYFUNCTION("""COMPUTED_VALUE"""),"1779724498-104")</f>
        <v>1779724498-104</v>
      </c>
      <c r="D2640" s="133"/>
      <c r="E2640" s="133" t="str">
        <f>IFERROR(__xludf.DUMMYFUNCTION("""COMPUTED_VALUE"""),"98-104")</f>
        <v>98-104</v>
      </c>
      <c r="F2640" s="165" t="str">
        <f>IFERROR(__xludf.DUMMYFUNCTION("""COMPUTED_VALUE"""),"4003498-104")</f>
        <v>4003498-104</v>
      </c>
      <c r="G2640" s="165">
        <f>IFERROR(__xludf.DUMMYFUNCTION("""COMPUTED_VALUE"""),717.0)</f>
        <v>717</v>
      </c>
    </row>
    <row r="2641" ht="15.75" customHeight="1">
      <c r="A2641" s="133">
        <f>IFERROR(__xludf.DUMMYFUNCTION("""COMPUTED_VALUE"""),40034.0)</f>
        <v>40034</v>
      </c>
      <c r="B2641" s="164">
        <f>IFERROR(__xludf.DUMMYFUNCTION("""COMPUTED_VALUE"""),1.7797244E7)</f>
        <v>17797244</v>
      </c>
      <c r="C2641" s="164" t="str">
        <f>IFERROR(__xludf.DUMMYFUNCTION("""COMPUTED_VALUE"""),"17797244110-116")</f>
        <v>17797244110-116</v>
      </c>
      <c r="D2641" s="133"/>
      <c r="E2641" s="133" t="str">
        <f>IFERROR(__xludf.DUMMYFUNCTION("""COMPUTED_VALUE"""),"110-116")</f>
        <v>110-116</v>
      </c>
      <c r="F2641" s="165" t="str">
        <f>IFERROR(__xludf.DUMMYFUNCTION("""COMPUTED_VALUE"""),"40034110-116")</f>
        <v>40034110-116</v>
      </c>
      <c r="G2641" s="165">
        <f>IFERROR(__xludf.DUMMYFUNCTION("""COMPUTED_VALUE"""),717.0)</f>
        <v>717</v>
      </c>
    </row>
    <row r="2642" ht="15.75" customHeight="1">
      <c r="A2642" s="133">
        <f>IFERROR(__xludf.DUMMYFUNCTION("""COMPUTED_VALUE"""),40034.0)</f>
        <v>40034</v>
      </c>
      <c r="B2642" s="164">
        <f>IFERROR(__xludf.DUMMYFUNCTION("""COMPUTED_VALUE"""),1.7797244E7)</f>
        <v>17797244</v>
      </c>
      <c r="C2642" s="164" t="str">
        <f>IFERROR(__xludf.DUMMYFUNCTION("""COMPUTED_VALUE"""),"17797244122-128")</f>
        <v>17797244122-128</v>
      </c>
      <c r="D2642" s="133"/>
      <c r="E2642" s="133" t="str">
        <f>IFERROR(__xludf.DUMMYFUNCTION("""COMPUTED_VALUE"""),"122-128")</f>
        <v>122-128</v>
      </c>
      <c r="F2642" s="165" t="str">
        <f>IFERROR(__xludf.DUMMYFUNCTION("""COMPUTED_VALUE"""),"40034122-128")</f>
        <v>40034122-128</v>
      </c>
      <c r="G2642" s="165">
        <f>IFERROR(__xludf.DUMMYFUNCTION("""COMPUTED_VALUE"""),717.0)</f>
        <v>717</v>
      </c>
    </row>
    <row r="2643" ht="15.75" customHeight="1">
      <c r="A2643" s="133">
        <f>IFERROR(__xludf.DUMMYFUNCTION("""COMPUTED_VALUE"""),40034.0)</f>
        <v>40034</v>
      </c>
      <c r="B2643" s="164">
        <f>IFERROR(__xludf.DUMMYFUNCTION("""COMPUTED_VALUE"""),1.7797244E7)</f>
        <v>17797244</v>
      </c>
      <c r="C2643" s="164" t="str">
        <f>IFERROR(__xludf.DUMMYFUNCTION("""COMPUTED_VALUE"""),"17797244134-140")</f>
        <v>17797244134-140</v>
      </c>
      <c r="D2643" s="133"/>
      <c r="E2643" s="133" t="str">
        <f>IFERROR(__xludf.DUMMYFUNCTION("""COMPUTED_VALUE"""),"134-140")</f>
        <v>134-140</v>
      </c>
      <c r="F2643" s="165" t="str">
        <f>IFERROR(__xludf.DUMMYFUNCTION("""COMPUTED_VALUE"""),"40034134-140")</f>
        <v>40034134-140</v>
      </c>
      <c r="G2643" s="165">
        <f>IFERROR(__xludf.DUMMYFUNCTION("""COMPUTED_VALUE"""),717.0)</f>
        <v>717</v>
      </c>
    </row>
    <row r="2644" ht="15.75" customHeight="1">
      <c r="A2644" s="133">
        <f>IFERROR(__xludf.DUMMYFUNCTION("""COMPUTED_VALUE"""),40034.0)</f>
        <v>40034</v>
      </c>
      <c r="B2644" s="164">
        <f>IFERROR(__xludf.DUMMYFUNCTION("""COMPUTED_VALUE"""),1.7797244E7)</f>
        <v>17797244</v>
      </c>
      <c r="C2644" s="164" t="str">
        <f>IFERROR(__xludf.DUMMYFUNCTION("""COMPUTED_VALUE"""),"17797244140-146")</f>
        <v>17797244140-146</v>
      </c>
      <c r="D2644" s="133"/>
      <c r="E2644" s="133" t="str">
        <f>IFERROR(__xludf.DUMMYFUNCTION("""COMPUTED_VALUE"""),"140-146")</f>
        <v>140-146</v>
      </c>
      <c r="F2644" s="165" t="str">
        <f>IFERROR(__xludf.DUMMYFUNCTION("""COMPUTED_VALUE"""),"40034140-146")</f>
        <v>40034140-146</v>
      </c>
      <c r="G2644" s="165">
        <f>IFERROR(__xludf.DUMMYFUNCTION("""COMPUTED_VALUE"""),717.0)</f>
        <v>717</v>
      </c>
    </row>
    <row r="2645" ht="15.75" customHeight="1">
      <c r="A2645" s="133">
        <f>IFERROR(__xludf.DUMMYFUNCTION("""COMPUTED_VALUE"""),40035.0)</f>
        <v>40035</v>
      </c>
      <c r="B2645" s="164">
        <f>IFERROR(__xludf.DUMMYFUNCTION("""COMPUTED_VALUE"""),1.7797245E7)</f>
        <v>17797245</v>
      </c>
      <c r="C2645" s="164" t="str">
        <f>IFERROR(__xludf.DUMMYFUNCTION("""COMPUTED_VALUE"""),"1779724598-104")</f>
        <v>1779724598-104</v>
      </c>
      <c r="D2645" s="133"/>
      <c r="E2645" s="133" t="str">
        <f>IFERROR(__xludf.DUMMYFUNCTION("""COMPUTED_VALUE"""),"98-104")</f>
        <v>98-104</v>
      </c>
      <c r="F2645" s="165" t="str">
        <f>IFERROR(__xludf.DUMMYFUNCTION("""COMPUTED_VALUE"""),"4003598-104")</f>
        <v>4003598-104</v>
      </c>
      <c r="G2645" s="165">
        <f>IFERROR(__xludf.DUMMYFUNCTION("""COMPUTED_VALUE"""),717.0)</f>
        <v>717</v>
      </c>
    </row>
    <row r="2646" ht="15.75" customHeight="1">
      <c r="A2646" s="133">
        <f>IFERROR(__xludf.DUMMYFUNCTION("""COMPUTED_VALUE"""),40035.0)</f>
        <v>40035</v>
      </c>
      <c r="B2646" s="164">
        <f>IFERROR(__xludf.DUMMYFUNCTION("""COMPUTED_VALUE"""),1.7797245E7)</f>
        <v>17797245</v>
      </c>
      <c r="C2646" s="164" t="str">
        <f>IFERROR(__xludf.DUMMYFUNCTION("""COMPUTED_VALUE"""),"17797245110-116")</f>
        <v>17797245110-116</v>
      </c>
      <c r="D2646" s="133"/>
      <c r="E2646" s="133" t="str">
        <f>IFERROR(__xludf.DUMMYFUNCTION("""COMPUTED_VALUE"""),"110-116")</f>
        <v>110-116</v>
      </c>
      <c r="F2646" s="165" t="str">
        <f>IFERROR(__xludf.DUMMYFUNCTION("""COMPUTED_VALUE"""),"40035110-116")</f>
        <v>40035110-116</v>
      </c>
      <c r="G2646" s="165">
        <f>IFERROR(__xludf.DUMMYFUNCTION("""COMPUTED_VALUE"""),717.0)</f>
        <v>717</v>
      </c>
    </row>
    <row r="2647" ht="15.75" customHeight="1">
      <c r="A2647" s="133">
        <f>IFERROR(__xludf.DUMMYFUNCTION("""COMPUTED_VALUE"""),40035.0)</f>
        <v>40035</v>
      </c>
      <c r="B2647" s="164">
        <f>IFERROR(__xludf.DUMMYFUNCTION("""COMPUTED_VALUE"""),1.7797245E7)</f>
        <v>17797245</v>
      </c>
      <c r="C2647" s="164" t="str">
        <f>IFERROR(__xludf.DUMMYFUNCTION("""COMPUTED_VALUE"""),"17797245122-128")</f>
        <v>17797245122-128</v>
      </c>
      <c r="D2647" s="133"/>
      <c r="E2647" s="133" t="str">
        <f>IFERROR(__xludf.DUMMYFUNCTION("""COMPUTED_VALUE"""),"122-128")</f>
        <v>122-128</v>
      </c>
      <c r="F2647" s="165" t="str">
        <f>IFERROR(__xludf.DUMMYFUNCTION("""COMPUTED_VALUE"""),"40035122-128")</f>
        <v>40035122-128</v>
      </c>
      <c r="G2647" s="165">
        <f>IFERROR(__xludf.DUMMYFUNCTION("""COMPUTED_VALUE"""),717.0)</f>
        <v>717</v>
      </c>
    </row>
    <row r="2648" ht="15.75" customHeight="1">
      <c r="A2648" s="133">
        <f>IFERROR(__xludf.DUMMYFUNCTION("""COMPUTED_VALUE"""),40035.0)</f>
        <v>40035</v>
      </c>
      <c r="B2648" s="164">
        <f>IFERROR(__xludf.DUMMYFUNCTION("""COMPUTED_VALUE"""),1.7797245E7)</f>
        <v>17797245</v>
      </c>
      <c r="C2648" s="164" t="str">
        <f>IFERROR(__xludf.DUMMYFUNCTION("""COMPUTED_VALUE"""),"17797245134-140")</f>
        <v>17797245134-140</v>
      </c>
      <c r="D2648" s="133"/>
      <c r="E2648" s="133" t="str">
        <f>IFERROR(__xludf.DUMMYFUNCTION("""COMPUTED_VALUE"""),"134-140")</f>
        <v>134-140</v>
      </c>
      <c r="F2648" s="165" t="str">
        <f>IFERROR(__xludf.DUMMYFUNCTION("""COMPUTED_VALUE"""),"40035134-140")</f>
        <v>40035134-140</v>
      </c>
      <c r="G2648" s="165">
        <f>IFERROR(__xludf.DUMMYFUNCTION("""COMPUTED_VALUE"""),717.0)</f>
        <v>717</v>
      </c>
    </row>
    <row r="2649" ht="15.75" customHeight="1">
      <c r="A2649" s="133">
        <f>IFERROR(__xludf.DUMMYFUNCTION("""COMPUTED_VALUE"""),40035.0)</f>
        <v>40035</v>
      </c>
      <c r="B2649" s="164">
        <f>IFERROR(__xludf.DUMMYFUNCTION("""COMPUTED_VALUE"""),1.7797245E7)</f>
        <v>17797245</v>
      </c>
      <c r="C2649" s="164" t="str">
        <f>IFERROR(__xludf.DUMMYFUNCTION("""COMPUTED_VALUE"""),"17797245140-146")</f>
        <v>17797245140-146</v>
      </c>
      <c r="D2649" s="133"/>
      <c r="E2649" s="133" t="str">
        <f>IFERROR(__xludf.DUMMYFUNCTION("""COMPUTED_VALUE"""),"140-146")</f>
        <v>140-146</v>
      </c>
      <c r="F2649" s="165" t="str">
        <f>IFERROR(__xludf.DUMMYFUNCTION("""COMPUTED_VALUE"""),"40035140-146")</f>
        <v>40035140-146</v>
      </c>
      <c r="G2649" s="165">
        <f>IFERROR(__xludf.DUMMYFUNCTION("""COMPUTED_VALUE"""),717.0)</f>
        <v>717</v>
      </c>
    </row>
    <row r="2650" ht="15.75" customHeight="1">
      <c r="A2650" s="133">
        <f>IFERROR(__xludf.DUMMYFUNCTION("""COMPUTED_VALUE"""),40036.0)</f>
        <v>40036</v>
      </c>
      <c r="B2650" s="164">
        <f>IFERROR(__xludf.DUMMYFUNCTION("""COMPUTED_VALUE"""),1.7798124E7)</f>
        <v>17798124</v>
      </c>
      <c r="C2650" s="164" t="str">
        <f>IFERROR(__xludf.DUMMYFUNCTION("""COMPUTED_VALUE"""),"1779812498-104")</f>
        <v>1779812498-104</v>
      </c>
      <c r="D2650" s="133"/>
      <c r="E2650" s="133" t="str">
        <f>IFERROR(__xludf.DUMMYFUNCTION("""COMPUTED_VALUE"""),"98-104")</f>
        <v>98-104</v>
      </c>
      <c r="F2650" s="165" t="str">
        <f>IFERROR(__xludf.DUMMYFUNCTION("""COMPUTED_VALUE"""),"4003698-104")</f>
        <v>4003698-104</v>
      </c>
      <c r="G2650" s="165">
        <f>IFERROR(__xludf.DUMMYFUNCTION("""COMPUTED_VALUE"""),707.0)</f>
        <v>707</v>
      </c>
    </row>
    <row r="2651" ht="15.75" customHeight="1">
      <c r="A2651" s="133">
        <f>IFERROR(__xludf.DUMMYFUNCTION("""COMPUTED_VALUE"""),40036.0)</f>
        <v>40036</v>
      </c>
      <c r="B2651" s="164">
        <f>IFERROR(__xludf.DUMMYFUNCTION("""COMPUTED_VALUE"""),1.7798124E7)</f>
        <v>17798124</v>
      </c>
      <c r="C2651" s="164" t="str">
        <f>IFERROR(__xludf.DUMMYFUNCTION("""COMPUTED_VALUE"""),"17798124110-116")</f>
        <v>17798124110-116</v>
      </c>
      <c r="D2651" s="133"/>
      <c r="E2651" s="133" t="str">
        <f>IFERROR(__xludf.DUMMYFUNCTION("""COMPUTED_VALUE"""),"110-116")</f>
        <v>110-116</v>
      </c>
      <c r="F2651" s="165" t="str">
        <f>IFERROR(__xludf.DUMMYFUNCTION("""COMPUTED_VALUE"""),"40036110-116")</f>
        <v>40036110-116</v>
      </c>
      <c r="G2651" s="165">
        <f>IFERROR(__xludf.DUMMYFUNCTION("""COMPUTED_VALUE"""),707.0)</f>
        <v>707</v>
      </c>
    </row>
    <row r="2652" ht="15.75" customHeight="1">
      <c r="A2652" s="133">
        <f>IFERROR(__xludf.DUMMYFUNCTION("""COMPUTED_VALUE"""),40036.0)</f>
        <v>40036</v>
      </c>
      <c r="B2652" s="164">
        <f>IFERROR(__xludf.DUMMYFUNCTION("""COMPUTED_VALUE"""),1.7798124E7)</f>
        <v>17798124</v>
      </c>
      <c r="C2652" s="164" t="str">
        <f>IFERROR(__xludf.DUMMYFUNCTION("""COMPUTED_VALUE"""),"17798124122-128")</f>
        <v>17798124122-128</v>
      </c>
      <c r="D2652" s="133"/>
      <c r="E2652" s="133" t="str">
        <f>IFERROR(__xludf.DUMMYFUNCTION("""COMPUTED_VALUE"""),"122-128")</f>
        <v>122-128</v>
      </c>
      <c r="F2652" s="165" t="str">
        <f>IFERROR(__xludf.DUMMYFUNCTION("""COMPUTED_VALUE"""),"40036122-128")</f>
        <v>40036122-128</v>
      </c>
      <c r="G2652" s="165">
        <f>IFERROR(__xludf.DUMMYFUNCTION("""COMPUTED_VALUE"""),707.0)</f>
        <v>707</v>
      </c>
    </row>
    <row r="2653" ht="15.75" customHeight="1">
      <c r="A2653" s="133">
        <f>IFERROR(__xludf.DUMMYFUNCTION("""COMPUTED_VALUE"""),40036.0)</f>
        <v>40036</v>
      </c>
      <c r="B2653" s="164">
        <f>IFERROR(__xludf.DUMMYFUNCTION("""COMPUTED_VALUE"""),1.7798124E7)</f>
        <v>17798124</v>
      </c>
      <c r="C2653" s="164" t="str">
        <f>IFERROR(__xludf.DUMMYFUNCTION("""COMPUTED_VALUE"""),"17798124134-140")</f>
        <v>17798124134-140</v>
      </c>
      <c r="D2653" s="133"/>
      <c r="E2653" s="133" t="str">
        <f>IFERROR(__xludf.DUMMYFUNCTION("""COMPUTED_VALUE"""),"134-140")</f>
        <v>134-140</v>
      </c>
      <c r="F2653" s="165" t="str">
        <f>IFERROR(__xludf.DUMMYFUNCTION("""COMPUTED_VALUE"""),"40036134-140")</f>
        <v>40036134-140</v>
      </c>
      <c r="G2653" s="165">
        <f>IFERROR(__xludf.DUMMYFUNCTION("""COMPUTED_VALUE"""),707.0)</f>
        <v>707</v>
      </c>
    </row>
    <row r="2654" ht="15.75" customHeight="1">
      <c r="A2654" s="133">
        <f>IFERROR(__xludf.DUMMYFUNCTION("""COMPUTED_VALUE"""),40036.0)</f>
        <v>40036</v>
      </c>
      <c r="B2654" s="164">
        <f>IFERROR(__xludf.DUMMYFUNCTION("""COMPUTED_VALUE"""),1.7798124E7)</f>
        <v>17798124</v>
      </c>
      <c r="C2654" s="164" t="str">
        <f>IFERROR(__xludf.DUMMYFUNCTION("""COMPUTED_VALUE"""),"17798124140-146")</f>
        <v>17798124140-146</v>
      </c>
      <c r="D2654" s="133"/>
      <c r="E2654" s="133" t="str">
        <f>IFERROR(__xludf.DUMMYFUNCTION("""COMPUTED_VALUE"""),"140-146")</f>
        <v>140-146</v>
      </c>
      <c r="F2654" s="165" t="str">
        <f>IFERROR(__xludf.DUMMYFUNCTION("""COMPUTED_VALUE"""),"40036140-146")</f>
        <v>40036140-146</v>
      </c>
      <c r="G2654" s="165">
        <f>IFERROR(__xludf.DUMMYFUNCTION("""COMPUTED_VALUE"""),707.0)</f>
        <v>707</v>
      </c>
    </row>
    <row r="2655" ht="15.75" customHeight="1">
      <c r="A2655" s="133">
        <f>IFERROR(__xludf.DUMMYFUNCTION("""COMPUTED_VALUE"""),40037.0)</f>
        <v>40037</v>
      </c>
      <c r="B2655" s="164">
        <f>IFERROR(__xludf.DUMMYFUNCTION("""COMPUTED_VALUE"""),1.7798125E7)</f>
        <v>17798125</v>
      </c>
      <c r="C2655" s="164" t="str">
        <f>IFERROR(__xludf.DUMMYFUNCTION("""COMPUTED_VALUE"""),"1779812598-104")</f>
        <v>1779812598-104</v>
      </c>
      <c r="D2655" s="133"/>
      <c r="E2655" s="133" t="str">
        <f>IFERROR(__xludf.DUMMYFUNCTION("""COMPUTED_VALUE"""),"98-104")</f>
        <v>98-104</v>
      </c>
      <c r="F2655" s="165" t="str">
        <f>IFERROR(__xludf.DUMMYFUNCTION("""COMPUTED_VALUE"""),"4003798-104")</f>
        <v>4003798-104</v>
      </c>
      <c r="G2655" s="165">
        <f>IFERROR(__xludf.DUMMYFUNCTION("""COMPUTED_VALUE"""),707.0)</f>
        <v>707</v>
      </c>
    </row>
    <row r="2656" ht="15.75" customHeight="1">
      <c r="A2656" s="133">
        <f>IFERROR(__xludf.DUMMYFUNCTION("""COMPUTED_VALUE"""),40037.0)</f>
        <v>40037</v>
      </c>
      <c r="B2656" s="164">
        <f>IFERROR(__xludf.DUMMYFUNCTION("""COMPUTED_VALUE"""),1.7798125E7)</f>
        <v>17798125</v>
      </c>
      <c r="C2656" s="164" t="str">
        <f>IFERROR(__xludf.DUMMYFUNCTION("""COMPUTED_VALUE"""),"17798125110-116")</f>
        <v>17798125110-116</v>
      </c>
      <c r="D2656" s="133"/>
      <c r="E2656" s="133" t="str">
        <f>IFERROR(__xludf.DUMMYFUNCTION("""COMPUTED_VALUE"""),"110-116")</f>
        <v>110-116</v>
      </c>
      <c r="F2656" s="165" t="str">
        <f>IFERROR(__xludf.DUMMYFUNCTION("""COMPUTED_VALUE"""),"40037110-116")</f>
        <v>40037110-116</v>
      </c>
      <c r="G2656" s="165">
        <f>IFERROR(__xludf.DUMMYFUNCTION("""COMPUTED_VALUE"""),707.0)</f>
        <v>707</v>
      </c>
    </row>
    <row r="2657" ht="15.75" customHeight="1">
      <c r="A2657" s="133">
        <f>IFERROR(__xludf.DUMMYFUNCTION("""COMPUTED_VALUE"""),40037.0)</f>
        <v>40037</v>
      </c>
      <c r="B2657" s="164">
        <f>IFERROR(__xludf.DUMMYFUNCTION("""COMPUTED_VALUE"""),1.7798125E7)</f>
        <v>17798125</v>
      </c>
      <c r="C2657" s="164" t="str">
        <f>IFERROR(__xludf.DUMMYFUNCTION("""COMPUTED_VALUE"""),"17798125122-128")</f>
        <v>17798125122-128</v>
      </c>
      <c r="D2657" s="133"/>
      <c r="E2657" s="133" t="str">
        <f>IFERROR(__xludf.DUMMYFUNCTION("""COMPUTED_VALUE"""),"122-128")</f>
        <v>122-128</v>
      </c>
      <c r="F2657" s="165" t="str">
        <f>IFERROR(__xludf.DUMMYFUNCTION("""COMPUTED_VALUE"""),"40037122-128")</f>
        <v>40037122-128</v>
      </c>
      <c r="G2657" s="165">
        <f>IFERROR(__xludf.DUMMYFUNCTION("""COMPUTED_VALUE"""),707.0)</f>
        <v>707</v>
      </c>
    </row>
    <row r="2658" ht="15.75" customHeight="1">
      <c r="A2658" s="133">
        <f>IFERROR(__xludf.DUMMYFUNCTION("""COMPUTED_VALUE"""),40037.0)</f>
        <v>40037</v>
      </c>
      <c r="B2658" s="164">
        <f>IFERROR(__xludf.DUMMYFUNCTION("""COMPUTED_VALUE"""),1.7798125E7)</f>
        <v>17798125</v>
      </c>
      <c r="C2658" s="164" t="str">
        <f>IFERROR(__xludf.DUMMYFUNCTION("""COMPUTED_VALUE"""),"17798125134-140")</f>
        <v>17798125134-140</v>
      </c>
      <c r="D2658" s="133"/>
      <c r="E2658" s="133" t="str">
        <f>IFERROR(__xludf.DUMMYFUNCTION("""COMPUTED_VALUE"""),"134-140")</f>
        <v>134-140</v>
      </c>
      <c r="F2658" s="165" t="str">
        <f>IFERROR(__xludf.DUMMYFUNCTION("""COMPUTED_VALUE"""),"40037134-140")</f>
        <v>40037134-140</v>
      </c>
      <c r="G2658" s="165">
        <f>IFERROR(__xludf.DUMMYFUNCTION("""COMPUTED_VALUE"""),707.0)</f>
        <v>707</v>
      </c>
    </row>
    <row r="2659" ht="15.75" customHeight="1">
      <c r="A2659" s="133">
        <f>IFERROR(__xludf.DUMMYFUNCTION("""COMPUTED_VALUE"""),40037.0)</f>
        <v>40037</v>
      </c>
      <c r="B2659" s="164">
        <f>IFERROR(__xludf.DUMMYFUNCTION("""COMPUTED_VALUE"""),1.7798125E7)</f>
        <v>17798125</v>
      </c>
      <c r="C2659" s="164" t="str">
        <f>IFERROR(__xludf.DUMMYFUNCTION("""COMPUTED_VALUE"""),"17798125140-146")</f>
        <v>17798125140-146</v>
      </c>
      <c r="D2659" s="133"/>
      <c r="E2659" s="133" t="str">
        <f>IFERROR(__xludf.DUMMYFUNCTION("""COMPUTED_VALUE"""),"140-146")</f>
        <v>140-146</v>
      </c>
      <c r="F2659" s="165" t="str">
        <f>IFERROR(__xludf.DUMMYFUNCTION("""COMPUTED_VALUE"""),"40037140-146")</f>
        <v>40037140-146</v>
      </c>
      <c r="G2659" s="165">
        <f>IFERROR(__xludf.DUMMYFUNCTION("""COMPUTED_VALUE"""),707.0)</f>
        <v>707</v>
      </c>
    </row>
    <row r="2660" ht="15.75" customHeight="1">
      <c r="A2660" s="133">
        <f>IFERROR(__xludf.DUMMYFUNCTION("""COMPUTED_VALUE"""),40038.0)</f>
        <v>40038</v>
      </c>
      <c r="B2660" s="164">
        <f>IFERROR(__xludf.DUMMYFUNCTION("""COMPUTED_VALUE"""),6313136.0)</f>
        <v>6313136</v>
      </c>
      <c r="C2660" s="164" t="str">
        <f>IFERROR(__xludf.DUMMYFUNCTION("""COMPUTED_VALUE"""),"631313698-104")</f>
        <v>631313698-104</v>
      </c>
      <c r="D2660" s="133" t="str">
        <f>IFERROR(__xludf.DUMMYFUNCTION("""COMPUTED_VALUE"""),"Детский свитер с оленями")</f>
        <v>Детский свитер с оленями</v>
      </c>
      <c r="E2660" s="133" t="str">
        <f>IFERROR(__xludf.DUMMYFUNCTION("""COMPUTED_VALUE"""),"98-104")</f>
        <v>98-104</v>
      </c>
      <c r="F2660" s="165" t="str">
        <f>IFERROR(__xludf.DUMMYFUNCTION("""COMPUTED_VALUE"""),"4003898-104")</f>
        <v>4003898-104</v>
      </c>
      <c r="G2660" s="165">
        <f>IFERROR(__xludf.DUMMYFUNCTION("""COMPUTED_VALUE"""),757.0)</f>
        <v>757</v>
      </c>
    </row>
    <row r="2661" ht="15.75" customHeight="1">
      <c r="A2661" s="133">
        <f>IFERROR(__xludf.DUMMYFUNCTION("""COMPUTED_VALUE"""),40038.0)</f>
        <v>40038</v>
      </c>
      <c r="B2661" s="164">
        <f>IFERROR(__xludf.DUMMYFUNCTION("""COMPUTED_VALUE"""),6313136.0)</f>
        <v>6313136</v>
      </c>
      <c r="C2661" s="164" t="str">
        <f>IFERROR(__xludf.DUMMYFUNCTION("""COMPUTED_VALUE"""),"6313136110-116")</f>
        <v>6313136110-116</v>
      </c>
      <c r="D2661" s="133"/>
      <c r="E2661" s="133" t="str">
        <f>IFERROR(__xludf.DUMMYFUNCTION("""COMPUTED_VALUE"""),"110-116")</f>
        <v>110-116</v>
      </c>
      <c r="F2661" s="165" t="str">
        <f>IFERROR(__xludf.DUMMYFUNCTION("""COMPUTED_VALUE"""),"40038110-116")</f>
        <v>40038110-116</v>
      </c>
      <c r="G2661" s="165">
        <f>IFERROR(__xludf.DUMMYFUNCTION("""COMPUTED_VALUE"""),757.0)</f>
        <v>757</v>
      </c>
    </row>
    <row r="2662" ht="15.75" customHeight="1">
      <c r="A2662" s="133">
        <f>IFERROR(__xludf.DUMMYFUNCTION("""COMPUTED_VALUE"""),40038.0)</f>
        <v>40038</v>
      </c>
      <c r="B2662" s="164">
        <f>IFERROR(__xludf.DUMMYFUNCTION("""COMPUTED_VALUE"""),6313136.0)</f>
        <v>6313136</v>
      </c>
      <c r="C2662" s="164" t="str">
        <f>IFERROR(__xludf.DUMMYFUNCTION("""COMPUTED_VALUE"""),"6313136122-128")</f>
        <v>6313136122-128</v>
      </c>
      <c r="D2662" s="133"/>
      <c r="E2662" s="133" t="str">
        <f>IFERROR(__xludf.DUMMYFUNCTION("""COMPUTED_VALUE"""),"122-128")</f>
        <v>122-128</v>
      </c>
      <c r="F2662" s="165" t="str">
        <f>IFERROR(__xludf.DUMMYFUNCTION("""COMPUTED_VALUE"""),"40038122-128")</f>
        <v>40038122-128</v>
      </c>
      <c r="G2662" s="165">
        <f>IFERROR(__xludf.DUMMYFUNCTION("""COMPUTED_VALUE"""),757.0)</f>
        <v>757</v>
      </c>
    </row>
    <row r="2663" ht="15.75" customHeight="1">
      <c r="A2663" s="133">
        <f>IFERROR(__xludf.DUMMYFUNCTION("""COMPUTED_VALUE"""),40038.0)</f>
        <v>40038</v>
      </c>
      <c r="B2663" s="164">
        <f>IFERROR(__xludf.DUMMYFUNCTION("""COMPUTED_VALUE"""),6313136.0)</f>
        <v>6313136</v>
      </c>
      <c r="C2663" s="164" t="str">
        <f>IFERROR(__xludf.DUMMYFUNCTION("""COMPUTED_VALUE"""),"6313136134-140")</f>
        <v>6313136134-140</v>
      </c>
      <c r="D2663" s="133"/>
      <c r="E2663" s="133" t="str">
        <f>IFERROR(__xludf.DUMMYFUNCTION("""COMPUTED_VALUE"""),"134-140")</f>
        <v>134-140</v>
      </c>
      <c r="F2663" s="165" t="str">
        <f>IFERROR(__xludf.DUMMYFUNCTION("""COMPUTED_VALUE"""),"40038134-140")</f>
        <v>40038134-140</v>
      </c>
      <c r="G2663" s="165">
        <f>IFERROR(__xludf.DUMMYFUNCTION("""COMPUTED_VALUE"""),757.0)</f>
        <v>757</v>
      </c>
    </row>
    <row r="2664" ht="15.75" customHeight="1">
      <c r="A2664" s="133">
        <f>IFERROR(__xludf.DUMMYFUNCTION("""COMPUTED_VALUE"""),40038.0)</f>
        <v>40038</v>
      </c>
      <c r="B2664" s="164">
        <f>IFERROR(__xludf.DUMMYFUNCTION("""COMPUTED_VALUE"""),6313136.0)</f>
        <v>6313136</v>
      </c>
      <c r="C2664" s="164" t="str">
        <f>IFERROR(__xludf.DUMMYFUNCTION("""COMPUTED_VALUE"""),"6313136140-146")</f>
        <v>6313136140-146</v>
      </c>
      <c r="D2664" s="133"/>
      <c r="E2664" s="133" t="str">
        <f>IFERROR(__xludf.DUMMYFUNCTION("""COMPUTED_VALUE"""),"140-146")</f>
        <v>140-146</v>
      </c>
      <c r="F2664" s="165" t="str">
        <f>IFERROR(__xludf.DUMMYFUNCTION("""COMPUTED_VALUE"""),"40038140-146")</f>
        <v>40038140-146</v>
      </c>
      <c r="G2664" s="165">
        <f>IFERROR(__xludf.DUMMYFUNCTION("""COMPUTED_VALUE"""),757.0)</f>
        <v>757</v>
      </c>
    </row>
    <row r="2665" ht="15.75" customHeight="1">
      <c r="A2665" s="133">
        <f>IFERROR(__xludf.DUMMYFUNCTION("""COMPUTED_VALUE"""),40039.0)</f>
        <v>40039</v>
      </c>
      <c r="B2665" s="164">
        <f>IFERROR(__xludf.DUMMYFUNCTION("""COMPUTED_VALUE"""),6313137.0)</f>
        <v>6313137</v>
      </c>
      <c r="C2665" s="164" t="str">
        <f>IFERROR(__xludf.DUMMYFUNCTION("""COMPUTED_VALUE"""),"631313798-104")</f>
        <v>631313798-104</v>
      </c>
      <c r="D2665" s="133" t="str">
        <f>IFERROR(__xludf.DUMMYFUNCTION("""COMPUTED_VALUE"""),"Детский свитер с оленями")</f>
        <v>Детский свитер с оленями</v>
      </c>
      <c r="E2665" s="133" t="str">
        <f>IFERROR(__xludf.DUMMYFUNCTION("""COMPUTED_VALUE"""),"98-104")</f>
        <v>98-104</v>
      </c>
      <c r="F2665" s="165" t="str">
        <f>IFERROR(__xludf.DUMMYFUNCTION("""COMPUTED_VALUE"""),"4003998-104")</f>
        <v>4003998-104</v>
      </c>
      <c r="G2665" s="165">
        <f>IFERROR(__xludf.DUMMYFUNCTION("""COMPUTED_VALUE"""),757.0)</f>
        <v>757</v>
      </c>
    </row>
    <row r="2666" ht="15.75" customHeight="1">
      <c r="A2666" s="133">
        <f>IFERROR(__xludf.DUMMYFUNCTION("""COMPUTED_VALUE"""),40039.0)</f>
        <v>40039</v>
      </c>
      <c r="B2666" s="164">
        <f>IFERROR(__xludf.DUMMYFUNCTION("""COMPUTED_VALUE"""),6313137.0)</f>
        <v>6313137</v>
      </c>
      <c r="C2666" s="164" t="str">
        <f>IFERROR(__xludf.DUMMYFUNCTION("""COMPUTED_VALUE"""),"6313137110-116")</f>
        <v>6313137110-116</v>
      </c>
      <c r="D2666" s="133"/>
      <c r="E2666" s="133" t="str">
        <f>IFERROR(__xludf.DUMMYFUNCTION("""COMPUTED_VALUE"""),"110-116")</f>
        <v>110-116</v>
      </c>
      <c r="F2666" s="165" t="str">
        <f>IFERROR(__xludf.DUMMYFUNCTION("""COMPUTED_VALUE"""),"40039110-116")</f>
        <v>40039110-116</v>
      </c>
      <c r="G2666" s="165">
        <f>IFERROR(__xludf.DUMMYFUNCTION("""COMPUTED_VALUE"""),757.0)</f>
        <v>757</v>
      </c>
    </row>
    <row r="2667" ht="15.75" customHeight="1">
      <c r="A2667" s="133">
        <f>IFERROR(__xludf.DUMMYFUNCTION("""COMPUTED_VALUE"""),40039.0)</f>
        <v>40039</v>
      </c>
      <c r="B2667" s="164">
        <f>IFERROR(__xludf.DUMMYFUNCTION("""COMPUTED_VALUE"""),6313137.0)</f>
        <v>6313137</v>
      </c>
      <c r="C2667" s="164" t="str">
        <f>IFERROR(__xludf.DUMMYFUNCTION("""COMPUTED_VALUE"""),"6313137122-128")</f>
        <v>6313137122-128</v>
      </c>
      <c r="D2667" s="133"/>
      <c r="E2667" s="133" t="str">
        <f>IFERROR(__xludf.DUMMYFUNCTION("""COMPUTED_VALUE"""),"122-128")</f>
        <v>122-128</v>
      </c>
      <c r="F2667" s="165" t="str">
        <f>IFERROR(__xludf.DUMMYFUNCTION("""COMPUTED_VALUE"""),"40039122-128")</f>
        <v>40039122-128</v>
      </c>
      <c r="G2667" s="165">
        <f>IFERROR(__xludf.DUMMYFUNCTION("""COMPUTED_VALUE"""),757.0)</f>
        <v>757</v>
      </c>
    </row>
    <row r="2668" ht="15.75" customHeight="1">
      <c r="A2668" s="133">
        <f>IFERROR(__xludf.DUMMYFUNCTION("""COMPUTED_VALUE"""),40039.0)</f>
        <v>40039</v>
      </c>
      <c r="B2668" s="164">
        <f>IFERROR(__xludf.DUMMYFUNCTION("""COMPUTED_VALUE"""),6313137.0)</f>
        <v>6313137</v>
      </c>
      <c r="C2668" s="164" t="str">
        <f>IFERROR(__xludf.DUMMYFUNCTION("""COMPUTED_VALUE"""),"6313137134-140")</f>
        <v>6313137134-140</v>
      </c>
      <c r="D2668" s="133"/>
      <c r="E2668" s="133" t="str">
        <f>IFERROR(__xludf.DUMMYFUNCTION("""COMPUTED_VALUE"""),"134-140")</f>
        <v>134-140</v>
      </c>
      <c r="F2668" s="165" t="str">
        <f>IFERROR(__xludf.DUMMYFUNCTION("""COMPUTED_VALUE"""),"40039134-140")</f>
        <v>40039134-140</v>
      </c>
      <c r="G2668" s="165">
        <f>IFERROR(__xludf.DUMMYFUNCTION("""COMPUTED_VALUE"""),757.0)</f>
        <v>757</v>
      </c>
    </row>
    <row r="2669" ht="15.75" customHeight="1">
      <c r="A2669" s="133">
        <f>IFERROR(__xludf.DUMMYFUNCTION("""COMPUTED_VALUE"""),40039.0)</f>
        <v>40039</v>
      </c>
      <c r="B2669" s="164">
        <f>IFERROR(__xludf.DUMMYFUNCTION("""COMPUTED_VALUE"""),6313137.0)</f>
        <v>6313137</v>
      </c>
      <c r="C2669" s="164" t="str">
        <f>IFERROR(__xludf.DUMMYFUNCTION("""COMPUTED_VALUE"""),"6313137140-146")</f>
        <v>6313137140-146</v>
      </c>
      <c r="D2669" s="133"/>
      <c r="E2669" s="133" t="str">
        <f>IFERROR(__xludf.DUMMYFUNCTION("""COMPUTED_VALUE"""),"140-146")</f>
        <v>140-146</v>
      </c>
      <c r="F2669" s="165" t="str">
        <f>IFERROR(__xludf.DUMMYFUNCTION("""COMPUTED_VALUE"""),"40039140-146")</f>
        <v>40039140-146</v>
      </c>
      <c r="G2669" s="165">
        <f>IFERROR(__xludf.DUMMYFUNCTION("""COMPUTED_VALUE"""),757.0)</f>
        <v>757</v>
      </c>
    </row>
    <row r="2670" ht="15.75" customHeight="1">
      <c r="A2670" s="133">
        <f>IFERROR(__xludf.DUMMYFUNCTION("""COMPUTED_VALUE"""),40040.0)</f>
        <v>40040</v>
      </c>
      <c r="B2670" s="164">
        <f>IFERROR(__xludf.DUMMYFUNCTION("""COMPUTED_VALUE"""),1.7797246E7)</f>
        <v>17797246</v>
      </c>
      <c r="C2670" s="164" t="str">
        <f>IFERROR(__xludf.DUMMYFUNCTION("""COMPUTED_VALUE"""),"1779724698-104")</f>
        <v>1779724698-104</v>
      </c>
      <c r="D2670" s="133" t="str">
        <f>IFERROR(__xludf.DUMMYFUNCTION("""COMPUTED_VALUE"""),"Детский свитер с енотом")</f>
        <v>Детский свитер с енотом</v>
      </c>
      <c r="E2670" s="133" t="str">
        <f>IFERROR(__xludf.DUMMYFUNCTION("""COMPUTED_VALUE"""),"98-104")</f>
        <v>98-104</v>
      </c>
      <c r="F2670" s="165" t="str">
        <f>IFERROR(__xludf.DUMMYFUNCTION("""COMPUTED_VALUE"""),"4004098-104")</f>
        <v>4004098-104</v>
      </c>
      <c r="G2670" s="165">
        <f>IFERROR(__xludf.DUMMYFUNCTION("""COMPUTED_VALUE"""),1124.0)</f>
        <v>1124</v>
      </c>
    </row>
    <row r="2671" ht="15.75" customHeight="1">
      <c r="A2671" s="133">
        <f>IFERROR(__xludf.DUMMYFUNCTION("""COMPUTED_VALUE"""),40040.0)</f>
        <v>40040</v>
      </c>
      <c r="B2671" s="164">
        <f>IFERROR(__xludf.DUMMYFUNCTION("""COMPUTED_VALUE"""),1.7797246E7)</f>
        <v>17797246</v>
      </c>
      <c r="C2671" s="164" t="str">
        <f>IFERROR(__xludf.DUMMYFUNCTION("""COMPUTED_VALUE"""),"17797246110-116")</f>
        <v>17797246110-116</v>
      </c>
      <c r="D2671" s="133"/>
      <c r="E2671" s="133" t="str">
        <f>IFERROR(__xludf.DUMMYFUNCTION("""COMPUTED_VALUE"""),"110-116")</f>
        <v>110-116</v>
      </c>
      <c r="F2671" s="165" t="str">
        <f>IFERROR(__xludf.DUMMYFUNCTION("""COMPUTED_VALUE"""),"40040110-116")</f>
        <v>40040110-116</v>
      </c>
      <c r="G2671" s="165">
        <f>IFERROR(__xludf.DUMMYFUNCTION("""COMPUTED_VALUE"""),1124.0)</f>
        <v>1124</v>
      </c>
    </row>
    <row r="2672" ht="15.75" customHeight="1">
      <c r="A2672" s="133">
        <f>IFERROR(__xludf.DUMMYFUNCTION("""COMPUTED_VALUE"""),40040.0)</f>
        <v>40040</v>
      </c>
      <c r="B2672" s="164">
        <f>IFERROR(__xludf.DUMMYFUNCTION("""COMPUTED_VALUE"""),1.7797246E7)</f>
        <v>17797246</v>
      </c>
      <c r="C2672" s="164" t="str">
        <f>IFERROR(__xludf.DUMMYFUNCTION("""COMPUTED_VALUE"""),"17797246122-128")</f>
        <v>17797246122-128</v>
      </c>
      <c r="D2672" s="133"/>
      <c r="E2672" s="133" t="str">
        <f>IFERROR(__xludf.DUMMYFUNCTION("""COMPUTED_VALUE"""),"122-128")</f>
        <v>122-128</v>
      </c>
      <c r="F2672" s="165" t="str">
        <f>IFERROR(__xludf.DUMMYFUNCTION("""COMPUTED_VALUE"""),"40040122-128")</f>
        <v>40040122-128</v>
      </c>
      <c r="G2672" s="165">
        <f>IFERROR(__xludf.DUMMYFUNCTION("""COMPUTED_VALUE"""),1124.0)</f>
        <v>1124</v>
      </c>
    </row>
    <row r="2673" ht="15.75" customHeight="1">
      <c r="A2673" s="133">
        <f>IFERROR(__xludf.DUMMYFUNCTION("""COMPUTED_VALUE"""),40040.0)</f>
        <v>40040</v>
      </c>
      <c r="B2673" s="164">
        <f>IFERROR(__xludf.DUMMYFUNCTION("""COMPUTED_VALUE"""),1.7797246E7)</f>
        <v>17797246</v>
      </c>
      <c r="C2673" s="164" t="str">
        <f>IFERROR(__xludf.DUMMYFUNCTION("""COMPUTED_VALUE"""),"17797246134-140")</f>
        <v>17797246134-140</v>
      </c>
      <c r="D2673" s="133"/>
      <c r="E2673" s="133" t="str">
        <f>IFERROR(__xludf.DUMMYFUNCTION("""COMPUTED_VALUE"""),"134-140")</f>
        <v>134-140</v>
      </c>
      <c r="F2673" s="165" t="str">
        <f>IFERROR(__xludf.DUMMYFUNCTION("""COMPUTED_VALUE"""),"40040134-140")</f>
        <v>40040134-140</v>
      </c>
      <c r="G2673" s="165">
        <f>IFERROR(__xludf.DUMMYFUNCTION("""COMPUTED_VALUE"""),1124.0)</f>
        <v>1124</v>
      </c>
    </row>
    <row r="2674" ht="15.75" customHeight="1">
      <c r="A2674" s="133">
        <f>IFERROR(__xludf.DUMMYFUNCTION("""COMPUTED_VALUE"""),40040.0)</f>
        <v>40040</v>
      </c>
      <c r="B2674" s="164">
        <f>IFERROR(__xludf.DUMMYFUNCTION("""COMPUTED_VALUE"""),1.7797246E7)</f>
        <v>17797246</v>
      </c>
      <c r="C2674" s="164" t="str">
        <f>IFERROR(__xludf.DUMMYFUNCTION("""COMPUTED_VALUE"""),"17797246140-146")</f>
        <v>17797246140-146</v>
      </c>
      <c r="D2674" s="133"/>
      <c r="E2674" s="133" t="str">
        <f>IFERROR(__xludf.DUMMYFUNCTION("""COMPUTED_VALUE"""),"140-146")</f>
        <v>140-146</v>
      </c>
      <c r="F2674" s="165" t="str">
        <f>IFERROR(__xludf.DUMMYFUNCTION("""COMPUTED_VALUE"""),"40040140-146")</f>
        <v>40040140-146</v>
      </c>
      <c r="G2674" s="165">
        <f>IFERROR(__xludf.DUMMYFUNCTION("""COMPUTED_VALUE"""),1124.0)</f>
        <v>1124</v>
      </c>
    </row>
    <row r="2675" ht="15.75" customHeight="1">
      <c r="A2675" s="133">
        <f>IFERROR(__xludf.DUMMYFUNCTION("""COMPUTED_VALUE"""),40041.0)</f>
        <v>40041</v>
      </c>
      <c r="B2675" s="164">
        <f>IFERROR(__xludf.DUMMYFUNCTION("""COMPUTED_VALUE"""),1.7797247E7)</f>
        <v>17797247</v>
      </c>
      <c r="C2675" s="164" t="str">
        <f>IFERROR(__xludf.DUMMYFUNCTION("""COMPUTED_VALUE"""),"1779724798-104")</f>
        <v>1779724798-104</v>
      </c>
      <c r="D2675" s="133" t="str">
        <f>IFERROR(__xludf.DUMMYFUNCTION("""COMPUTED_VALUE"""),"Детский свитер с енотом")</f>
        <v>Детский свитер с енотом</v>
      </c>
      <c r="E2675" s="133" t="str">
        <f>IFERROR(__xludf.DUMMYFUNCTION("""COMPUTED_VALUE"""),"98-104")</f>
        <v>98-104</v>
      </c>
      <c r="F2675" s="165" t="str">
        <f>IFERROR(__xludf.DUMMYFUNCTION("""COMPUTED_VALUE"""),"4004198-104")</f>
        <v>4004198-104</v>
      </c>
      <c r="G2675" s="165">
        <f>IFERROR(__xludf.DUMMYFUNCTION("""COMPUTED_VALUE"""),1124.0)</f>
        <v>1124</v>
      </c>
    </row>
    <row r="2676" ht="15.75" customHeight="1">
      <c r="A2676" s="133">
        <f>IFERROR(__xludf.DUMMYFUNCTION("""COMPUTED_VALUE"""),40041.0)</f>
        <v>40041</v>
      </c>
      <c r="B2676" s="164">
        <f>IFERROR(__xludf.DUMMYFUNCTION("""COMPUTED_VALUE"""),1.7797247E7)</f>
        <v>17797247</v>
      </c>
      <c r="C2676" s="164" t="str">
        <f>IFERROR(__xludf.DUMMYFUNCTION("""COMPUTED_VALUE"""),"17797247110-116")</f>
        <v>17797247110-116</v>
      </c>
      <c r="D2676" s="133"/>
      <c r="E2676" s="133" t="str">
        <f>IFERROR(__xludf.DUMMYFUNCTION("""COMPUTED_VALUE"""),"110-116")</f>
        <v>110-116</v>
      </c>
      <c r="F2676" s="165" t="str">
        <f>IFERROR(__xludf.DUMMYFUNCTION("""COMPUTED_VALUE"""),"40041110-116")</f>
        <v>40041110-116</v>
      </c>
      <c r="G2676" s="165">
        <f>IFERROR(__xludf.DUMMYFUNCTION("""COMPUTED_VALUE"""),1124.0)</f>
        <v>1124</v>
      </c>
    </row>
    <row r="2677" ht="15.75" customHeight="1">
      <c r="A2677" s="133">
        <f>IFERROR(__xludf.DUMMYFUNCTION("""COMPUTED_VALUE"""),40041.0)</f>
        <v>40041</v>
      </c>
      <c r="B2677" s="164">
        <f>IFERROR(__xludf.DUMMYFUNCTION("""COMPUTED_VALUE"""),1.7797247E7)</f>
        <v>17797247</v>
      </c>
      <c r="C2677" s="164" t="str">
        <f>IFERROR(__xludf.DUMMYFUNCTION("""COMPUTED_VALUE"""),"17797247122-128")</f>
        <v>17797247122-128</v>
      </c>
      <c r="D2677" s="133"/>
      <c r="E2677" s="133" t="str">
        <f>IFERROR(__xludf.DUMMYFUNCTION("""COMPUTED_VALUE"""),"122-128")</f>
        <v>122-128</v>
      </c>
      <c r="F2677" s="165" t="str">
        <f>IFERROR(__xludf.DUMMYFUNCTION("""COMPUTED_VALUE"""),"40041122-128")</f>
        <v>40041122-128</v>
      </c>
      <c r="G2677" s="165">
        <f>IFERROR(__xludf.DUMMYFUNCTION("""COMPUTED_VALUE"""),1124.0)</f>
        <v>1124</v>
      </c>
    </row>
    <row r="2678" ht="15.75" customHeight="1">
      <c r="A2678" s="133">
        <f>IFERROR(__xludf.DUMMYFUNCTION("""COMPUTED_VALUE"""),40041.0)</f>
        <v>40041</v>
      </c>
      <c r="B2678" s="164">
        <f>IFERROR(__xludf.DUMMYFUNCTION("""COMPUTED_VALUE"""),1.7797247E7)</f>
        <v>17797247</v>
      </c>
      <c r="C2678" s="164" t="str">
        <f>IFERROR(__xludf.DUMMYFUNCTION("""COMPUTED_VALUE"""),"17797247134-140")</f>
        <v>17797247134-140</v>
      </c>
      <c r="D2678" s="133"/>
      <c r="E2678" s="133" t="str">
        <f>IFERROR(__xludf.DUMMYFUNCTION("""COMPUTED_VALUE"""),"134-140")</f>
        <v>134-140</v>
      </c>
      <c r="F2678" s="165" t="str">
        <f>IFERROR(__xludf.DUMMYFUNCTION("""COMPUTED_VALUE"""),"40041134-140")</f>
        <v>40041134-140</v>
      </c>
      <c r="G2678" s="165">
        <f>IFERROR(__xludf.DUMMYFUNCTION("""COMPUTED_VALUE"""),1124.0)</f>
        <v>1124</v>
      </c>
    </row>
    <row r="2679" ht="15.75" customHeight="1">
      <c r="A2679" s="133">
        <f>IFERROR(__xludf.DUMMYFUNCTION("""COMPUTED_VALUE"""),40041.0)</f>
        <v>40041</v>
      </c>
      <c r="B2679" s="164">
        <f>IFERROR(__xludf.DUMMYFUNCTION("""COMPUTED_VALUE"""),1.7797247E7)</f>
        <v>17797247</v>
      </c>
      <c r="C2679" s="164" t="str">
        <f>IFERROR(__xludf.DUMMYFUNCTION("""COMPUTED_VALUE"""),"17797247140-146")</f>
        <v>17797247140-146</v>
      </c>
      <c r="D2679" s="133"/>
      <c r="E2679" s="133" t="str">
        <f>IFERROR(__xludf.DUMMYFUNCTION("""COMPUTED_VALUE"""),"140-146")</f>
        <v>140-146</v>
      </c>
      <c r="F2679" s="165" t="str">
        <f>IFERROR(__xludf.DUMMYFUNCTION("""COMPUTED_VALUE"""),"40041140-146")</f>
        <v>40041140-146</v>
      </c>
      <c r="G2679" s="165">
        <f>IFERROR(__xludf.DUMMYFUNCTION("""COMPUTED_VALUE"""),1124.0)</f>
        <v>1124</v>
      </c>
    </row>
    <row r="2680" ht="15.75" customHeight="1">
      <c r="A2680" s="133">
        <f>IFERROR(__xludf.DUMMYFUNCTION("""COMPUTED_VALUE"""),440044.0)</f>
        <v>440044</v>
      </c>
      <c r="B2680" s="164">
        <f>IFERROR(__xludf.DUMMYFUNCTION("""COMPUTED_VALUE"""),1.779652E7)</f>
        <v>17796520</v>
      </c>
      <c r="C2680" s="164" t="str">
        <f>IFERROR(__xludf.DUMMYFUNCTION("""COMPUTED_VALUE"""),"1779652098-104")</f>
        <v>1779652098-104</v>
      </c>
      <c r="D2680" s="133"/>
      <c r="E2680" s="133" t="str">
        <f>IFERROR(__xludf.DUMMYFUNCTION("""COMPUTED_VALUE"""),"98-104")</f>
        <v>98-104</v>
      </c>
      <c r="F2680" s="165" t="str">
        <f>IFERROR(__xludf.DUMMYFUNCTION("""COMPUTED_VALUE"""),"44004498-104")</f>
        <v>44004498-104</v>
      </c>
      <c r="G2680" s="165">
        <f>IFERROR(__xludf.DUMMYFUNCTION("""COMPUTED_VALUE"""),707.0)</f>
        <v>707</v>
      </c>
    </row>
    <row r="2681" ht="15.75" customHeight="1">
      <c r="A2681" s="133">
        <f>IFERROR(__xludf.DUMMYFUNCTION("""COMPUTED_VALUE"""),440044.0)</f>
        <v>440044</v>
      </c>
      <c r="B2681" s="164">
        <f>IFERROR(__xludf.DUMMYFUNCTION("""COMPUTED_VALUE"""),1.779652E7)</f>
        <v>17796520</v>
      </c>
      <c r="C2681" s="164" t="str">
        <f>IFERROR(__xludf.DUMMYFUNCTION("""COMPUTED_VALUE"""),"17796520110-116")</f>
        <v>17796520110-116</v>
      </c>
      <c r="D2681" s="133"/>
      <c r="E2681" s="133" t="str">
        <f>IFERROR(__xludf.DUMMYFUNCTION("""COMPUTED_VALUE"""),"110-116")</f>
        <v>110-116</v>
      </c>
      <c r="F2681" s="165" t="str">
        <f>IFERROR(__xludf.DUMMYFUNCTION("""COMPUTED_VALUE"""),"440044110-116")</f>
        <v>440044110-116</v>
      </c>
      <c r="G2681" s="165">
        <f>IFERROR(__xludf.DUMMYFUNCTION("""COMPUTED_VALUE"""),707.0)</f>
        <v>707</v>
      </c>
    </row>
    <row r="2682" ht="15.75" customHeight="1">
      <c r="A2682" s="133">
        <f>IFERROR(__xludf.DUMMYFUNCTION("""COMPUTED_VALUE"""),440044.0)</f>
        <v>440044</v>
      </c>
      <c r="B2682" s="164">
        <f>IFERROR(__xludf.DUMMYFUNCTION("""COMPUTED_VALUE"""),1.779652E7)</f>
        <v>17796520</v>
      </c>
      <c r="C2682" s="164" t="str">
        <f>IFERROR(__xludf.DUMMYFUNCTION("""COMPUTED_VALUE"""),"17796520122-128")</f>
        <v>17796520122-128</v>
      </c>
      <c r="D2682" s="133"/>
      <c r="E2682" s="133" t="str">
        <f>IFERROR(__xludf.DUMMYFUNCTION("""COMPUTED_VALUE"""),"122-128")</f>
        <v>122-128</v>
      </c>
      <c r="F2682" s="165" t="str">
        <f>IFERROR(__xludf.DUMMYFUNCTION("""COMPUTED_VALUE"""),"440044122-128")</f>
        <v>440044122-128</v>
      </c>
      <c r="G2682" s="165">
        <f>IFERROR(__xludf.DUMMYFUNCTION("""COMPUTED_VALUE"""),707.0)</f>
        <v>707</v>
      </c>
    </row>
    <row r="2683" ht="15.75" customHeight="1">
      <c r="A2683" s="133">
        <f>IFERROR(__xludf.DUMMYFUNCTION("""COMPUTED_VALUE"""),440044.0)</f>
        <v>440044</v>
      </c>
      <c r="B2683" s="164">
        <f>IFERROR(__xludf.DUMMYFUNCTION("""COMPUTED_VALUE"""),1.779652E7)</f>
        <v>17796520</v>
      </c>
      <c r="C2683" s="164" t="str">
        <f>IFERROR(__xludf.DUMMYFUNCTION("""COMPUTED_VALUE"""),"17796520134-140")</f>
        <v>17796520134-140</v>
      </c>
      <c r="D2683" s="133"/>
      <c r="E2683" s="133" t="str">
        <f>IFERROR(__xludf.DUMMYFUNCTION("""COMPUTED_VALUE"""),"134-140")</f>
        <v>134-140</v>
      </c>
      <c r="F2683" s="165" t="str">
        <f>IFERROR(__xludf.DUMMYFUNCTION("""COMPUTED_VALUE"""),"440044134-140")</f>
        <v>440044134-140</v>
      </c>
      <c r="G2683" s="165">
        <f>IFERROR(__xludf.DUMMYFUNCTION("""COMPUTED_VALUE"""),707.0)</f>
        <v>707</v>
      </c>
    </row>
    <row r="2684" ht="15.75" customHeight="1">
      <c r="A2684" s="133">
        <f>IFERROR(__xludf.DUMMYFUNCTION("""COMPUTED_VALUE"""),440044.0)</f>
        <v>440044</v>
      </c>
      <c r="B2684" s="164">
        <f>IFERROR(__xludf.DUMMYFUNCTION("""COMPUTED_VALUE"""),1.779652E7)</f>
        <v>17796520</v>
      </c>
      <c r="C2684" s="164" t="str">
        <f>IFERROR(__xludf.DUMMYFUNCTION("""COMPUTED_VALUE"""),"17796520140-146")</f>
        <v>17796520140-146</v>
      </c>
      <c r="D2684" s="133"/>
      <c r="E2684" s="133" t="str">
        <f>IFERROR(__xludf.DUMMYFUNCTION("""COMPUTED_VALUE"""),"140-146")</f>
        <v>140-146</v>
      </c>
      <c r="F2684" s="165" t="str">
        <f>IFERROR(__xludf.DUMMYFUNCTION("""COMPUTED_VALUE"""),"440044140-146")</f>
        <v>440044140-146</v>
      </c>
      <c r="G2684" s="165">
        <f>IFERROR(__xludf.DUMMYFUNCTION("""COMPUTED_VALUE"""),707.0)</f>
        <v>707</v>
      </c>
    </row>
    <row r="2685" ht="15.75" customHeight="1">
      <c r="A2685" s="133">
        <f>IFERROR(__xludf.DUMMYFUNCTION("""COMPUTED_VALUE"""),40045.0)</f>
        <v>40045</v>
      </c>
      <c r="B2685" s="164">
        <f>IFERROR(__xludf.DUMMYFUNCTION("""COMPUTED_VALUE"""),6313138.0)</f>
        <v>6313138</v>
      </c>
      <c r="C2685" s="164" t="str">
        <f>IFERROR(__xludf.DUMMYFUNCTION("""COMPUTED_VALUE"""),"631313898-104")</f>
        <v>631313898-104</v>
      </c>
      <c r="D2685" s="133"/>
      <c r="E2685" s="133" t="str">
        <f>IFERROR(__xludf.DUMMYFUNCTION("""COMPUTED_VALUE"""),"98-104")</f>
        <v>98-104</v>
      </c>
      <c r="F2685" s="165" t="str">
        <f>IFERROR(__xludf.DUMMYFUNCTION("""COMPUTED_VALUE"""),"4004598-104")</f>
        <v>4004598-104</v>
      </c>
      <c r="G2685" s="165">
        <f>IFERROR(__xludf.DUMMYFUNCTION("""COMPUTED_VALUE"""),708.0)</f>
        <v>708</v>
      </c>
    </row>
    <row r="2686" ht="15.75" customHeight="1">
      <c r="A2686" s="133">
        <f>IFERROR(__xludf.DUMMYFUNCTION("""COMPUTED_VALUE"""),40045.0)</f>
        <v>40045</v>
      </c>
      <c r="B2686" s="164">
        <f>IFERROR(__xludf.DUMMYFUNCTION("""COMPUTED_VALUE"""),6313138.0)</f>
        <v>6313138</v>
      </c>
      <c r="C2686" s="164" t="str">
        <f>IFERROR(__xludf.DUMMYFUNCTION("""COMPUTED_VALUE"""),"6313138110-116")</f>
        <v>6313138110-116</v>
      </c>
      <c r="D2686" s="133"/>
      <c r="E2686" s="133" t="str">
        <f>IFERROR(__xludf.DUMMYFUNCTION("""COMPUTED_VALUE"""),"110-116")</f>
        <v>110-116</v>
      </c>
      <c r="F2686" s="165" t="str">
        <f>IFERROR(__xludf.DUMMYFUNCTION("""COMPUTED_VALUE"""),"40045110-116")</f>
        <v>40045110-116</v>
      </c>
      <c r="G2686" s="165">
        <f>IFERROR(__xludf.DUMMYFUNCTION("""COMPUTED_VALUE"""),708.0)</f>
        <v>708</v>
      </c>
    </row>
    <row r="2687" ht="15.75" customHeight="1">
      <c r="A2687" s="133">
        <f>IFERROR(__xludf.DUMMYFUNCTION("""COMPUTED_VALUE"""),40045.0)</f>
        <v>40045</v>
      </c>
      <c r="B2687" s="164">
        <f>IFERROR(__xludf.DUMMYFUNCTION("""COMPUTED_VALUE"""),6313138.0)</f>
        <v>6313138</v>
      </c>
      <c r="C2687" s="164" t="str">
        <f>IFERROR(__xludf.DUMMYFUNCTION("""COMPUTED_VALUE"""),"6313138122-128")</f>
        <v>6313138122-128</v>
      </c>
      <c r="D2687" s="133"/>
      <c r="E2687" s="133" t="str">
        <f>IFERROR(__xludf.DUMMYFUNCTION("""COMPUTED_VALUE"""),"122-128")</f>
        <v>122-128</v>
      </c>
      <c r="F2687" s="165" t="str">
        <f>IFERROR(__xludf.DUMMYFUNCTION("""COMPUTED_VALUE"""),"40045122-128")</f>
        <v>40045122-128</v>
      </c>
      <c r="G2687" s="165">
        <f>IFERROR(__xludf.DUMMYFUNCTION("""COMPUTED_VALUE"""),708.0)</f>
        <v>708</v>
      </c>
    </row>
    <row r="2688" ht="15.75" customHeight="1">
      <c r="A2688" s="133">
        <f>IFERROR(__xludf.DUMMYFUNCTION("""COMPUTED_VALUE"""),40045.0)</f>
        <v>40045</v>
      </c>
      <c r="B2688" s="164">
        <f>IFERROR(__xludf.DUMMYFUNCTION("""COMPUTED_VALUE"""),6313138.0)</f>
        <v>6313138</v>
      </c>
      <c r="C2688" s="164" t="str">
        <f>IFERROR(__xludf.DUMMYFUNCTION("""COMPUTED_VALUE"""),"6313138134-140")</f>
        <v>6313138134-140</v>
      </c>
      <c r="D2688" s="133"/>
      <c r="E2688" s="133" t="str">
        <f>IFERROR(__xludf.DUMMYFUNCTION("""COMPUTED_VALUE"""),"134-140")</f>
        <v>134-140</v>
      </c>
      <c r="F2688" s="165" t="str">
        <f>IFERROR(__xludf.DUMMYFUNCTION("""COMPUTED_VALUE"""),"40045134-140")</f>
        <v>40045134-140</v>
      </c>
      <c r="G2688" s="165">
        <f>IFERROR(__xludf.DUMMYFUNCTION("""COMPUTED_VALUE"""),708.0)</f>
        <v>708</v>
      </c>
    </row>
    <row r="2689" ht="15.75" customHeight="1">
      <c r="A2689" s="133">
        <f>IFERROR(__xludf.DUMMYFUNCTION("""COMPUTED_VALUE"""),40045.0)</f>
        <v>40045</v>
      </c>
      <c r="B2689" s="164">
        <f>IFERROR(__xludf.DUMMYFUNCTION("""COMPUTED_VALUE"""),6313138.0)</f>
        <v>6313138</v>
      </c>
      <c r="C2689" s="164" t="str">
        <f>IFERROR(__xludf.DUMMYFUNCTION("""COMPUTED_VALUE"""),"6313138140-146")</f>
        <v>6313138140-146</v>
      </c>
      <c r="D2689" s="133"/>
      <c r="E2689" s="133" t="str">
        <f>IFERROR(__xludf.DUMMYFUNCTION("""COMPUTED_VALUE"""),"140-146")</f>
        <v>140-146</v>
      </c>
      <c r="F2689" s="165" t="str">
        <f>IFERROR(__xludf.DUMMYFUNCTION("""COMPUTED_VALUE"""),"40045140-146")</f>
        <v>40045140-146</v>
      </c>
      <c r="G2689" s="165">
        <f>IFERROR(__xludf.DUMMYFUNCTION("""COMPUTED_VALUE"""),708.0)</f>
        <v>708</v>
      </c>
    </row>
    <row r="2690" ht="15.75" customHeight="1">
      <c r="A2690" s="133">
        <f>IFERROR(__xludf.DUMMYFUNCTION("""COMPUTED_VALUE"""),440046.0)</f>
        <v>440046</v>
      </c>
      <c r="B2690" s="164">
        <f>IFERROR(__xludf.DUMMYFUNCTION("""COMPUTED_VALUE"""),1.7796521E7)</f>
        <v>17796521</v>
      </c>
      <c r="C2690" s="164" t="str">
        <f>IFERROR(__xludf.DUMMYFUNCTION("""COMPUTED_VALUE"""),"1779652198-104")</f>
        <v>1779652198-104</v>
      </c>
      <c r="D2690" s="133" t="str">
        <f>IFERROR(__xludf.DUMMYFUNCTION("""COMPUTED_VALUE"""),"Детский свитер с оленями")</f>
        <v>Детский свитер с оленями</v>
      </c>
      <c r="E2690" s="133" t="str">
        <f>IFERROR(__xludf.DUMMYFUNCTION("""COMPUTED_VALUE"""),"98-104")</f>
        <v>98-104</v>
      </c>
      <c r="F2690" s="165" t="str">
        <f>IFERROR(__xludf.DUMMYFUNCTION("""COMPUTED_VALUE"""),"44004698-104")</f>
        <v>44004698-104</v>
      </c>
      <c r="G2690" s="165">
        <f>IFERROR(__xludf.DUMMYFUNCTION("""COMPUTED_VALUE"""),685.0)</f>
        <v>685</v>
      </c>
    </row>
    <row r="2691" ht="15.75" customHeight="1">
      <c r="A2691" s="133">
        <f>IFERROR(__xludf.DUMMYFUNCTION("""COMPUTED_VALUE"""),440046.0)</f>
        <v>440046</v>
      </c>
      <c r="B2691" s="164">
        <f>IFERROR(__xludf.DUMMYFUNCTION("""COMPUTED_VALUE"""),1.7796521E7)</f>
        <v>17796521</v>
      </c>
      <c r="C2691" s="164" t="str">
        <f>IFERROR(__xludf.DUMMYFUNCTION("""COMPUTED_VALUE"""),"17796521110-116")</f>
        <v>17796521110-116</v>
      </c>
      <c r="D2691" s="133"/>
      <c r="E2691" s="133" t="str">
        <f>IFERROR(__xludf.DUMMYFUNCTION("""COMPUTED_VALUE"""),"110-116")</f>
        <v>110-116</v>
      </c>
      <c r="F2691" s="165" t="str">
        <f>IFERROR(__xludf.DUMMYFUNCTION("""COMPUTED_VALUE"""),"440046110-116")</f>
        <v>440046110-116</v>
      </c>
      <c r="G2691" s="165">
        <f>IFERROR(__xludf.DUMMYFUNCTION("""COMPUTED_VALUE"""),685.0)</f>
        <v>685</v>
      </c>
    </row>
    <row r="2692" ht="15.75" customHeight="1">
      <c r="A2692" s="133">
        <f>IFERROR(__xludf.DUMMYFUNCTION("""COMPUTED_VALUE"""),440046.0)</f>
        <v>440046</v>
      </c>
      <c r="B2692" s="164">
        <f>IFERROR(__xludf.DUMMYFUNCTION("""COMPUTED_VALUE"""),1.7796521E7)</f>
        <v>17796521</v>
      </c>
      <c r="C2692" s="164" t="str">
        <f>IFERROR(__xludf.DUMMYFUNCTION("""COMPUTED_VALUE"""),"17796521122-128")</f>
        <v>17796521122-128</v>
      </c>
      <c r="D2692" s="133"/>
      <c r="E2692" s="133" t="str">
        <f>IFERROR(__xludf.DUMMYFUNCTION("""COMPUTED_VALUE"""),"122-128")</f>
        <v>122-128</v>
      </c>
      <c r="F2692" s="165" t="str">
        <f>IFERROR(__xludf.DUMMYFUNCTION("""COMPUTED_VALUE"""),"440046122-128")</f>
        <v>440046122-128</v>
      </c>
      <c r="G2692" s="165">
        <f>IFERROR(__xludf.DUMMYFUNCTION("""COMPUTED_VALUE"""),685.0)</f>
        <v>685</v>
      </c>
    </row>
    <row r="2693" ht="15.75" customHeight="1">
      <c r="A2693" s="133">
        <f>IFERROR(__xludf.DUMMYFUNCTION("""COMPUTED_VALUE"""),440046.0)</f>
        <v>440046</v>
      </c>
      <c r="B2693" s="164">
        <f>IFERROR(__xludf.DUMMYFUNCTION("""COMPUTED_VALUE"""),1.7796521E7)</f>
        <v>17796521</v>
      </c>
      <c r="C2693" s="164" t="str">
        <f>IFERROR(__xludf.DUMMYFUNCTION("""COMPUTED_VALUE"""),"17796521134-140")</f>
        <v>17796521134-140</v>
      </c>
      <c r="D2693" s="133"/>
      <c r="E2693" s="133" t="str">
        <f>IFERROR(__xludf.DUMMYFUNCTION("""COMPUTED_VALUE"""),"134-140")</f>
        <v>134-140</v>
      </c>
      <c r="F2693" s="165" t="str">
        <f>IFERROR(__xludf.DUMMYFUNCTION("""COMPUTED_VALUE"""),"440046134-140")</f>
        <v>440046134-140</v>
      </c>
      <c r="G2693" s="165">
        <f>IFERROR(__xludf.DUMMYFUNCTION("""COMPUTED_VALUE"""),685.0)</f>
        <v>685</v>
      </c>
    </row>
    <row r="2694" ht="15.75" customHeight="1">
      <c r="A2694" s="133">
        <f>IFERROR(__xludf.DUMMYFUNCTION("""COMPUTED_VALUE"""),440046.0)</f>
        <v>440046</v>
      </c>
      <c r="B2694" s="164">
        <f>IFERROR(__xludf.DUMMYFUNCTION("""COMPUTED_VALUE"""),1.7796521E7)</f>
        <v>17796521</v>
      </c>
      <c r="C2694" s="164" t="str">
        <f>IFERROR(__xludf.DUMMYFUNCTION("""COMPUTED_VALUE"""),"17796521140-146")</f>
        <v>17796521140-146</v>
      </c>
      <c r="D2694" s="133"/>
      <c r="E2694" s="133" t="str">
        <f>IFERROR(__xludf.DUMMYFUNCTION("""COMPUTED_VALUE"""),"140-146")</f>
        <v>140-146</v>
      </c>
      <c r="F2694" s="165" t="str">
        <f>IFERROR(__xludf.DUMMYFUNCTION("""COMPUTED_VALUE"""),"440046140-146")</f>
        <v>440046140-146</v>
      </c>
      <c r="G2694" s="165">
        <f>IFERROR(__xludf.DUMMYFUNCTION("""COMPUTED_VALUE"""),685.0)</f>
        <v>685</v>
      </c>
    </row>
    <row r="2695" ht="15.75" customHeight="1">
      <c r="A2695" s="133">
        <f>IFERROR(__xludf.DUMMYFUNCTION("""COMPUTED_VALUE"""),440047.0)</f>
        <v>440047</v>
      </c>
      <c r="B2695" s="164">
        <f>IFERROR(__xludf.DUMMYFUNCTION("""COMPUTED_VALUE"""),1.7796522E7)</f>
        <v>17796522</v>
      </c>
      <c r="C2695" s="164" t="str">
        <f>IFERROR(__xludf.DUMMYFUNCTION("""COMPUTED_VALUE"""),"1779652298-104")</f>
        <v>1779652298-104</v>
      </c>
      <c r="D2695" s="133" t="str">
        <f>IFERROR(__xludf.DUMMYFUNCTION("""COMPUTED_VALUE"""),"Детский свитер с оленем")</f>
        <v>Детский свитер с оленем</v>
      </c>
      <c r="E2695" s="133" t="str">
        <f>IFERROR(__xludf.DUMMYFUNCTION("""COMPUTED_VALUE"""),"98-104")</f>
        <v>98-104</v>
      </c>
      <c r="F2695" s="165" t="str">
        <f>IFERROR(__xludf.DUMMYFUNCTION("""COMPUTED_VALUE"""),"44004798-104")</f>
        <v>44004798-104</v>
      </c>
      <c r="G2695" s="165">
        <f>IFERROR(__xludf.DUMMYFUNCTION("""COMPUTED_VALUE"""),707.0)</f>
        <v>707</v>
      </c>
    </row>
    <row r="2696" ht="15.75" customHeight="1">
      <c r="A2696" s="133">
        <f>IFERROR(__xludf.DUMMYFUNCTION("""COMPUTED_VALUE"""),440047.0)</f>
        <v>440047</v>
      </c>
      <c r="B2696" s="164">
        <f>IFERROR(__xludf.DUMMYFUNCTION("""COMPUTED_VALUE"""),1.7796522E7)</f>
        <v>17796522</v>
      </c>
      <c r="C2696" s="164" t="str">
        <f>IFERROR(__xludf.DUMMYFUNCTION("""COMPUTED_VALUE"""),"17796522110-116")</f>
        <v>17796522110-116</v>
      </c>
      <c r="D2696" s="133"/>
      <c r="E2696" s="133" t="str">
        <f>IFERROR(__xludf.DUMMYFUNCTION("""COMPUTED_VALUE"""),"110-116")</f>
        <v>110-116</v>
      </c>
      <c r="F2696" s="165" t="str">
        <f>IFERROR(__xludf.DUMMYFUNCTION("""COMPUTED_VALUE"""),"440047110-116")</f>
        <v>440047110-116</v>
      </c>
      <c r="G2696" s="165">
        <f>IFERROR(__xludf.DUMMYFUNCTION("""COMPUTED_VALUE"""),707.0)</f>
        <v>707</v>
      </c>
    </row>
    <row r="2697" ht="15.75" customHeight="1">
      <c r="A2697" s="133">
        <f>IFERROR(__xludf.DUMMYFUNCTION("""COMPUTED_VALUE"""),440047.0)</f>
        <v>440047</v>
      </c>
      <c r="B2697" s="164">
        <f>IFERROR(__xludf.DUMMYFUNCTION("""COMPUTED_VALUE"""),1.7796522E7)</f>
        <v>17796522</v>
      </c>
      <c r="C2697" s="164" t="str">
        <f>IFERROR(__xludf.DUMMYFUNCTION("""COMPUTED_VALUE"""),"17796522122-128")</f>
        <v>17796522122-128</v>
      </c>
      <c r="D2697" s="133"/>
      <c r="E2697" s="133" t="str">
        <f>IFERROR(__xludf.DUMMYFUNCTION("""COMPUTED_VALUE"""),"122-128")</f>
        <v>122-128</v>
      </c>
      <c r="F2697" s="165" t="str">
        <f>IFERROR(__xludf.DUMMYFUNCTION("""COMPUTED_VALUE"""),"440047122-128")</f>
        <v>440047122-128</v>
      </c>
      <c r="G2697" s="165">
        <f>IFERROR(__xludf.DUMMYFUNCTION("""COMPUTED_VALUE"""),707.0)</f>
        <v>707</v>
      </c>
    </row>
    <row r="2698" ht="15.75" customHeight="1">
      <c r="A2698" s="133">
        <f>IFERROR(__xludf.DUMMYFUNCTION("""COMPUTED_VALUE"""),440047.0)</f>
        <v>440047</v>
      </c>
      <c r="B2698" s="164">
        <f>IFERROR(__xludf.DUMMYFUNCTION("""COMPUTED_VALUE"""),1.7796522E7)</f>
        <v>17796522</v>
      </c>
      <c r="C2698" s="164" t="str">
        <f>IFERROR(__xludf.DUMMYFUNCTION("""COMPUTED_VALUE"""),"17796522134-140")</f>
        <v>17796522134-140</v>
      </c>
      <c r="D2698" s="133"/>
      <c r="E2698" s="133" t="str">
        <f>IFERROR(__xludf.DUMMYFUNCTION("""COMPUTED_VALUE"""),"134-140")</f>
        <v>134-140</v>
      </c>
      <c r="F2698" s="165" t="str">
        <f>IFERROR(__xludf.DUMMYFUNCTION("""COMPUTED_VALUE"""),"440047134-140")</f>
        <v>440047134-140</v>
      </c>
      <c r="G2698" s="165">
        <f>IFERROR(__xludf.DUMMYFUNCTION("""COMPUTED_VALUE"""),707.0)</f>
        <v>707</v>
      </c>
    </row>
    <row r="2699" ht="15.75" customHeight="1">
      <c r="A2699" s="133">
        <f>IFERROR(__xludf.DUMMYFUNCTION("""COMPUTED_VALUE"""),440047.0)</f>
        <v>440047</v>
      </c>
      <c r="B2699" s="164">
        <f>IFERROR(__xludf.DUMMYFUNCTION("""COMPUTED_VALUE"""),1.7796522E7)</f>
        <v>17796522</v>
      </c>
      <c r="C2699" s="164" t="str">
        <f>IFERROR(__xludf.DUMMYFUNCTION("""COMPUTED_VALUE"""),"17796522140-146")</f>
        <v>17796522140-146</v>
      </c>
      <c r="D2699" s="133"/>
      <c r="E2699" s="133" t="str">
        <f>IFERROR(__xludf.DUMMYFUNCTION("""COMPUTED_VALUE"""),"140-146")</f>
        <v>140-146</v>
      </c>
      <c r="F2699" s="165" t="str">
        <f>IFERROR(__xludf.DUMMYFUNCTION("""COMPUTED_VALUE"""),"440047140-146")</f>
        <v>440047140-146</v>
      </c>
      <c r="G2699" s="165">
        <f>IFERROR(__xludf.DUMMYFUNCTION("""COMPUTED_VALUE"""),707.0)</f>
        <v>707</v>
      </c>
    </row>
    <row r="2700" ht="15.75" customHeight="1">
      <c r="A2700" s="133">
        <f>IFERROR(__xludf.DUMMYFUNCTION("""COMPUTED_VALUE"""),40048.0)</f>
        <v>40048</v>
      </c>
      <c r="B2700" s="164">
        <f>IFERROR(__xludf.DUMMYFUNCTION("""COMPUTED_VALUE"""),6313139.0)</f>
        <v>6313139</v>
      </c>
      <c r="C2700" s="164" t="str">
        <f>IFERROR(__xludf.DUMMYFUNCTION("""COMPUTED_VALUE"""),"631313998-104")</f>
        <v>631313998-104</v>
      </c>
      <c r="D2700" s="133" t="str">
        <f>IFERROR(__xludf.DUMMYFUNCTION("""COMPUTED_VALUE"""),"Детский свитер с оленем")</f>
        <v>Детский свитер с оленем</v>
      </c>
      <c r="E2700" s="133" t="str">
        <f>IFERROR(__xludf.DUMMYFUNCTION("""COMPUTED_VALUE"""),"98-104")</f>
        <v>98-104</v>
      </c>
      <c r="F2700" s="165" t="str">
        <f>IFERROR(__xludf.DUMMYFUNCTION("""COMPUTED_VALUE"""),"4004898-104")</f>
        <v>4004898-104</v>
      </c>
      <c r="G2700" s="165">
        <f>IFERROR(__xludf.DUMMYFUNCTION("""COMPUTED_VALUE"""),757.0)</f>
        <v>757</v>
      </c>
    </row>
    <row r="2701" ht="15.75" customHeight="1">
      <c r="A2701" s="133">
        <f>IFERROR(__xludf.DUMMYFUNCTION("""COMPUTED_VALUE"""),40048.0)</f>
        <v>40048</v>
      </c>
      <c r="B2701" s="164">
        <f>IFERROR(__xludf.DUMMYFUNCTION("""COMPUTED_VALUE"""),6313139.0)</f>
        <v>6313139</v>
      </c>
      <c r="C2701" s="164" t="str">
        <f>IFERROR(__xludf.DUMMYFUNCTION("""COMPUTED_VALUE"""),"6313139110-116")</f>
        <v>6313139110-116</v>
      </c>
      <c r="D2701" s="133"/>
      <c r="E2701" s="133" t="str">
        <f>IFERROR(__xludf.DUMMYFUNCTION("""COMPUTED_VALUE"""),"110-116")</f>
        <v>110-116</v>
      </c>
      <c r="F2701" s="165" t="str">
        <f>IFERROR(__xludf.DUMMYFUNCTION("""COMPUTED_VALUE"""),"40048110-116")</f>
        <v>40048110-116</v>
      </c>
      <c r="G2701" s="165">
        <f>IFERROR(__xludf.DUMMYFUNCTION("""COMPUTED_VALUE"""),757.0)</f>
        <v>757</v>
      </c>
    </row>
    <row r="2702" ht="15.75" customHeight="1">
      <c r="A2702" s="133">
        <f>IFERROR(__xludf.DUMMYFUNCTION("""COMPUTED_VALUE"""),40048.0)</f>
        <v>40048</v>
      </c>
      <c r="B2702" s="164">
        <f>IFERROR(__xludf.DUMMYFUNCTION("""COMPUTED_VALUE"""),6313139.0)</f>
        <v>6313139</v>
      </c>
      <c r="C2702" s="164" t="str">
        <f>IFERROR(__xludf.DUMMYFUNCTION("""COMPUTED_VALUE"""),"6313139122-128")</f>
        <v>6313139122-128</v>
      </c>
      <c r="D2702" s="133"/>
      <c r="E2702" s="133" t="str">
        <f>IFERROR(__xludf.DUMMYFUNCTION("""COMPUTED_VALUE"""),"122-128")</f>
        <v>122-128</v>
      </c>
      <c r="F2702" s="165" t="str">
        <f>IFERROR(__xludf.DUMMYFUNCTION("""COMPUTED_VALUE"""),"40048122-128")</f>
        <v>40048122-128</v>
      </c>
      <c r="G2702" s="165">
        <f>IFERROR(__xludf.DUMMYFUNCTION("""COMPUTED_VALUE"""),757.0)</f>
        <v>757</v>
      </c>
    </row>
    <row r="2703" ht="15.75" customHeight="1">
      <c r="A2703" s="133">
        <f>IFERROR(__xludf.DUMMYFUNCTION("""COMPUTED_VALUE"""),40048.0)</f>
        <v>40048</v>
      </c>
      <c r="B2703" s="164">
        <f>IFERROR(__xludf.DUMMYFUNCTION("""COMPUTED_VALUE"""),6313139.0)</f>
        <v>6313139</v>
      </c>
      <c r="C2703" s="164" t="str">
        <f>IFERROR(__xludf.DUMMYFUNCTION("""COMPUTED_VALUE"""),"6313139134-140")</f>
        <v>6313139134-140</v>
      </c>
      <c r="D2703" s="133"/>
      <c r="E2703" s="133" t="str">
        <f>IFERROR(__xludf.DUMMYFUNCTION("""COMPUTED_VALUE"""),"134-140")</f>
        <v>134-140</v>
      </c>
      <c r="F2703" s="165" t="str">
        <f>IFERROR(__xludf.DUMMYFUNCTION("""COMPUTED_VALUE"""),"40048134-140")</f>
        <v>40048134-140</v>
      </c>
      <c r="G2703" s="165">
        <f>IFERROR(__xludf.DUMMYFUNCTION("""COMPUTED_VALUE"""),757.0)</f>
        <v>757</v>
      </c>
    </row>
    <row r="2704" ht="15.75" customHeight="1">
      <c r="A2704" s="133">
        <f>IFERROR(__xludf.DUMMYFUNCTION("""COMPUTED_VALUE"""),40048.0)</f>
        <v>40048</v>
      </c>
      <c r="B2704" s="164">
        <f>IFERROR(__xludf.DUMMYFUNCTION("""COMPUTED_VALUE"""),6313139.0)</f>
        <v>6313139</v>
      </c>
      <c r="C2704" s="164" t="str">
        <f>IFERROR(__xludf.DUMMYFUNCTION("""COMPUTED_VALUE"""),"6313139140-146")</f>
        <v>6313139140-146</v>
      </c>
      <c r="D2704" s="133"/>
      <c r="E2704" s="133" t="str">
        <f>IFERROR(__xludf.DUMMYFUNCTION("""COMPUTED_VALUE"""),"140-146")</f>
        <v>140-146</v>
      </c>
      <c r="F2704" s="165" t="str">
        <f>IFERROR(__xludf.DUMMYFUNCTION("""COMPUTED_VALUE"""),"40048140-146")</f>
        <v>40048140-146</v>
      </c>
      <c r="G2704" s="165">
        <f>IFERROR(__xludf.DUMMYFUNCTION("""COMPUTED_VALUE"""),757.0)</f>
        <v>757</v>
      </c>
    </row>
    <row r="2705" ht="15.75" customHeight="1">
      <c r="A2705" s="133">
        <f>IFERROR(__xludf.DUMMYFUNCTION("""COMPUTED_VALUE"""),40049.0)</f>
        <v>40049</v>
      </c>
      <c r="B2705" s="164">
        <f>IFERROR(__xludf.DUMMYFUNCTION("""COMPUTED_VALUE"""),6313140.0)</f>
        <v>6313140</v>
      </c>
      <c r="C2705" s="164" t="str">
        <f>IFERROR(__xludf.DUMMYFUNCTION("""COMPUTED_VALUE"""),"631314098-104")</f>
        <v>631314098-104</v>
      </c>
      <c r="D2705" s="133" t="str">
        <f>IFERROR(__xludf.DUMMYFUNCTION("""COMPUTED_VALUE"""),"Детский свитер с оленем")</f>
        <v>Детский свитер с оленем</v>
      </c>
      <c r="E2705" s="133" t="str">
        <f>IFERROR(__xludf.DUMMYFUNCTION("""COMPUTED_VALUE"""),"98-104")</f>
        <v>98-104</v>
      </c>
      <c r="F2705" s="165" t="str">
        <f>IFERROR(__xludf.DUMMYFUNCTION("""COMPUTED_VALUE"""),"4004998-104")</f>
        <v>4004998-104</v>
      </c>
      <c r="G2705" s="165">
        <f>IFERROR(__xludf.DUMMYFUNCTION("""COMPUTED_VALUE"""),757.0)</f>
        <v>757</v>
      </c>
    </row>
    <row r="2706" ht="15.75" customHeight="1">
      <c r="A2706" s="133">
        <f>IFERROR(__xludf.DUMMYFUNCTION("""COMPUTED_VALUE"""),40049.0)</f>
        <v>40049</v>
      </c>
      <c r="B2706" s="164">
        <f>IFERROR(__xludf.DUMMYFUNCTION("""COMPUTED_VALUE"""),6313140.0)</f>
        <v>6313140</v>
      </c>
      <c r="C2706" s="164" t="str">
        <f>IFERROR(__xludf.DUMMYFUNCTION("""COMPUTED_VALUE"""),"6313140110-116")</f>
        <v>6313140110-116</v>
      </c>
      <c r="D2706" s="133"/>
      <c r="E2706" s="133" t="str">
        <f>IFERROR(__xludf.DUMMYFUNCTION("""COMPUTED_VALUE"""),"110-116")</f>
        <v>110-116</v>
      </c>
      <c r="F2706" s="165" t="str">
        <f>IFERROR(__xludf.DUMMYFUNCTION("""COMPUTED_VALUE"""),"40049110-116")</f>
        <v>40049110-116</v>
      </c>
      <c r="G2706" s="165">
        <f>IFERROR(__xludf.DUMMYFUNCTION("""COMPUTED_VALUE"""),757.0)</f>
        <v>757</v>
      </c>
    </row>
    <row r="2707" ht="15.75" customHeight="1">
      <c r="A2707" s="133">
        <f>IFERROR(__xludf.DUMMYFUNCTION("""COMPUTED_VALUE"""),40049.0)</f>
        <v>40049</v>
      </c>
      <c r="B2707" s="164">
        <f>IFERROR(__xludf.DUMMYFUNCTION("""COMPUTED_VALUE"""),6313140.0)</f>
        <v>6313140</v>
      </c>
      <c r="C2707" s="164" t="str">
        <f>IFERROR(__xludf.DUMMYFUNCTION("""COMPUTED_VALUE"""),"6313140122-128")</f>
        <v>6313140122-128</v>
      </c>
      <c r="D2707" s="133"/>
      <c r="E2707" s="133" t="str">
        <f>IFERROR(__xludf.DUMMYFUNCTION("""COMPUTED_VALUE"""),"122-128")</f>
        <v>122-128</v>
      </c>
      <c r="F2707" s="165" t="str">
        <f>IFERROR(__xludf.DUMMYFUNCTION("""COMPUTED_VALUE"""),"40049122-128")</f>
        <v>40049122-128</v>
      </c>
      <c r="G2707" s="165">
        <f>IFERROR(__xludf.DUMMYFUNCTION("""COMPUTED_VALUE"""),757.0)</f>
        <v>757</v>
      </c>
    </row>
    <row r="2708" ht="15.75" customHeight="1">
      <c r="A2708" s="133">
        <f>IFERROR(__xludf.DUMMYFUNCTION("""COMPUTED_VALUE"""),40049.0)</f>
        <v>40049</v>
      </c>
      <c r="B2708" s="164">
        <f>IFERROR(__xludf.DUMMYFUNCTION("""COMPUTED_VALUE"""),6313140.0)</f>
        <v>6313140</v>
      </c>
      <c r="C2708" s="164" t="str">
        <f>IFERROR(__xludf.DUMMYFUNCTION("""COMPUTED_VALUE"""),"6313140134-140")</f>
        <v>6313140134-140</v>
      </c>
      <c r="D2708" s="133"/>
      <c r="E2708" s="133" t="str">
        <f>IFERROR(__xludf.DUMMYFUNCTION("""COMPUTED_VALUE"""),"134-140")</f>
        <v>134-140</v>
      </c>
      <c r="F2708" s="165" t="str">
        <f>IFERROR(__xludf.DUMMYFUNCTION("""COMPUTED_VALUE"""),"40049134-140")</f>
        <v>40049134-140</v>
      </c>
      <c r="G2708" s="165">
        <f>IFERROR(__xludf.DUMMYFUNCTION("""COMPUTED_VALUE"""),757.0)</f>
        <v>757</v>
      </c>
    </row>
    <row r="2709" ht="15.75" customHeight="1">
      <c r="A2709" s="133">
        <f>IFERROR(__xludf.DUMMYFUNCTION("""COMPUTED_VALUE"""),40049.0)</f>
        <v>40049</v>
      </c>
      <c r="B2709" s="164">
        <f>IFERROR(__xludf.DUMMYFUNCTION("""COMPUTED_VALUE"""),6313140.0)</f>
        <v>6313140</v>
      </c>
      <c r="C2709" s="164" t="str">
        <f>IFERROR(__xludf.DUMMYFUNCTION("""COMPUTED_VALUE"""),"6313140140-146")</f>
        <v>6313140140-146</v>
      </c>
      <c r="D2709" s="133"/>
      <c r="E2709" s="133" t="str">
        <f>IFERROR(__xludf.DUMMYFUNCTION("""COMPUTED_VALUE"""),"140-146")</f>
        <v>140-146</v>
      </c>
      <c r="F2709" s="165" t="str">
        <f>IFERROR(__xludf.DUMMYFUNCTION("""COMPUTED_VALUE"""),"40049140-146")</f>
        <v>40049140-146</v>
      </c>
      <c r="G2709" s="165">
        <f>IFERROR(__xludf.DUMMYFUNCTION("""COMPUTED_VALUE"""),757.0)</f>
        <v>757</v>
      </c>
    </row>
    <row r="2710" ht="15.75" customHeight="1">
      <c r="A2710" s="133">
        <f>IFERROR(__xludf.DUMMYFUNCTION("""COMPUTED_VALUE"""),440050.0)</f>
        <v>440050</v>
      </c>
      <c r="B2710" s="164">
        <f>IFERROR(__xludf.DUMMYFUNCTION("""COMPUTED_VALUE"""),1.7796523E7)</f>
        <v>17796523</v>
      </c>
      <c r="C2710" s="164" t="str">
        <f>IFERROR(__xludf.DUMMYFUNCTION("""COMPUTED_VALUE"""),"1779652398-104")</f>
        <v>1779652398-104</v>
      </c>
      <c r="D2710" s="133"/>
      <c r="E2710" s="133" t="str">
        <f>IFERROR(__xludf.DUMMYFUNCTION("""COMPUTED_VALUE"""),"98-104")</f>
        <v>98-104</v>
      </c>
      <c r="F2710" s="165" t="str">
        <f>IFERROR(__xludf.DUMMYFUNCTION("""COMPUTED_VALUE"""),"44005098-104")</f>
        <v>44005098-104</v>
      </c>
      <c r="G2710" s="165">
        <f>IFERROR(__xludf.DUMMYFUNCTION("""COMPUTED_VALUE"""),824.0)</f>
        <v>824</v>
      </c>
    </row>
    <row r="2711" ht="15.75" customHeight="1">
      <c r="A2711" s="133">
        <f>IFERROR(__xludf.DUMMYFUNCTION("""COMPUTED_VALUE"""),440050.0)</f>
        <v>440050</v>
      </c>
      <c r="B2711" s="164">
        <f>IFERROR(__xludf.DUMMYFUNCTION("""COMPUTED_VALUE"""),1.7796523E7)</f>
        <v>17796523</v>
      </c>
      <c r="C2711" s="164" t="str">
        <f>IFERROR(__xludf.DUMMYFUNCTION("""COMPUTED_VALUE"""),"17796523110-116")</f>
        <v>17796523110-116</v>
      </c>
      <c r="D2711" s="133"/>
      <c r="E2711" s="133" t="str">
        <f>IFERROR(__xludf.DUMMYFUNCTION("""COMPUTED_VALUE"""),"110-116")</f>
        <v>110-116</v>
      </c>
      <c r="F2711" s="165" t="str">
        <f>IFERROR(__xludf.DUMMYFUNCTION("""COMPUTED_VALUE"""),"440050110-116")</f>
        <v>440050110-116</v>
      </c>
      <c r="G2711" s="165">
        <f>IFERROR(__xludf.DUMMYFUNCTION("""COMPUTED_VALUE"""),824.0)</f>
        <v>824</v>
      </c>
    </row>
    <row r="2712" ht="15.75" customHeight="1">
      <c r="A2712" s="133">
        <f>IFERROR(__xludf.DUMMYFUNCTION("""COMPUTED_VALUE"""),440050.0)</f>
        <v>440050</v>
      </c>
      <c r="B2712" s="164">
        <f>IFERROR(__xludf.DUMMYFUNCTION("""COMPUTED_VALUE"""),1.7796523E7)</f>
        <v>17796523</v>
      </c>
      <c r="C2712" s="164" t="str">
        <f>IFERROR(__xludf.DUMMYFUNCTION("""COMPUTED_VALUE"""),"17796523122-128")</f>
        <v>17796523122-128</v>
      </c>
      <c r="D2712" s="133"/>
      <c r="E2712" s="133" t="str">
        <f>IFERROR(__xludf.DUMMYFUNCTION("""COMPUTED_VALUE"""),"122-128")</f>
        <v>122-128</v>
      </c>
      <c r="F2712" s="165" t="str">
        <f>IFERROR(__xludf.DUMMYFUNCTION("""COMPUTED_VALUE"""),"440050122-128")</f>
        <v>440050122-128</v>
      </c>
      <c r="G2712" s="165">
        <f>IFERROR(__xludf.DUMMYFUNCTION("""COMPUTED_VALUE"""),824.0)</f>
        <v>824</v>
      </c>
    </row>
    <row r="2713" ht="15.75" customHeight="1">
      <c r="A2713" s="133">
        <f>IFERROR(__xludf.DUMMYFUNCTION("""COMPUTED_VALUE"""),440050.0)</f>
        <v>440050</v>
      </c>
      <c r="B2713" s="164">
        <f>IFERROR(__xludf.DUMMYFUNCTION("""COMPUTED_VALUE"""),1.7796523E7)</f>
        <v>17796523</v>
      </c>
      <c r="C2713" s="164" t="str">
        <f>IFERROR(__xludf.DUMMYFUNCTION("""COMPUTED_VALUE"""),"17796523134-140")</f>
        <v>17796523134-140</v>
      </c>
      <c r="D2713" s="133"/>
      <c r="E2713" s="133" t="str">
        <f>IFERROR(__xludf.DUMMYFUNCTION("""COMPUTED_VALUE"""),"134-140")</f>
        <v>134-140</v>
      </c>
      <c r="F2713" s="165" t="str">
        <f>IFERROR(__xludf.DUMMYFUNCTION("""COMPUTED_VALUE"""),"440050134-140")</f>
        <v>440050134-140</v>
      </c>
      <c r="G2713" s="165">
        <f>IFERROR(__xludf.DUMMYFUNCTION("""COMPUTED_VALUE"""),824.0)</f>
        <v>824</v>
      </c>
    </row>
    <row r="2714" ht="15.75" customHeight="1">
      <c r="A2714" s="133">
        <f>IFERROR(__xludf.DUMMYFUNCTION("""COMPUTED_VALUE"""),440050.0)</f>
        <v>440050</v>
      </c>
      <c r="B2714" s="164">
        <f>IFERROR(__xludf.DUMMYFUNCTION("""COMPUTED_VALUE"""),1.7796523E7)</f>
        <v>17796523</v>
      </c>
      <c r="C2714" s="164" t="str">
        <f>IFERROR(__xludf.DUMMYFUNCTION("""COMPUTED_VALUE"""),"17796523140-146")</f>
        <v>17796523140-146</v>
      </c>
      <c r="D2714" s="133"/>
      <c r="E2714" s="133" t="str">
        <f>IFERROR(__xludf.DUMMYFUNCTION("""COMPUTED_VALUE"""),"140-146")</f>
        <v>140-146</v>
      </c>
      <c r="F2714" s="165" t="str">
        <f>IFERROR(__xludf.DUMMYFUNCTION("""COMPUTED_VALUE"""),"440050140-146")</f>
        <v>440050140-146</v>
      </c>
      <c r="G2714" s="165">
        <f>IFERROR(__xludf.DUMMYFUNCTION("""COMPUTED_VALUE"""),824.0)</f>
        <v>824</v>
      </c>
    </row>
    <row r="2715" ht="15.75" customHeight="1">
      <c r="A2715" s="133">
        <f>IFERROR(__xludf.DUMMYFUNCTION("""COMPUTED_VALUE"""),440053.0)</f>
        <v>440053</v>
      </c>
      <c r="B2715" s="164">
        <f>IFERROR(__xludf.DUMMYFUNCTION("""COMPUTED_VALUE"""),1.7796524E7)</f>
        <v>17796524</v>
      </c>
      <c r="C2715" s="164" t="str">
        <f>IFERROR(__xludf.DUMMYFUNCTION("""COMPUTED_VALUE"""),"1779652498-104")</f>
        <v>1779652498-104</v>
      </c>
      <c r="D2715" s="133" t="str">
        <f>IFERROR(__xludf.DUMMYFUNCTION("""COMPUTED_VALUE"""),"Детский свитер с оленем")</f>
        <v>Детский свитер с оленем</v>
      </c>
      <c r="E2715" s="133" t="str">
        <f>IFERROR(__xludf.DUMMYFUNCTION("""COMPUTED_VALUE"""),"98-104")</f>
        <v>98-104</v>
      </c>
      <c r="F2715" s="165" t="str">
        <f>IFERROR(__xludf.DUMMYFUNCTION("""COMPUTED_VALUE"""),"44005398-104")</f>
        <v>44005398-104</v>
      </c>
      <c r="G2715" s="165">
        <f>IFERROR(__xludf.DUMMYFUNCTION("""COMPUTED_VALUE"""),667.0)</f>
        <v>667</v>
      </c>
    </row>
    <row r="2716" ht="15.75" customHeight="1">
      <c r="A2716" s="133">
        <f>IFERROR(__xludf.DUMMYFUNCTION("""COMPUTED_VALUE"""),440053.0)</f>
        <v>440053</v>
      </c>
      <c r="B2716" s="164">
        <f>IFERROR(__xludf.DUMMYFUNCTION("""COMPUTED_VALUE"""),1.7796524E7)</f>
        <v>17796524</v>
      </c>
      <c r="C2716" s="164" t="str">
        <f>IFERROR(__xludf.DUMMYFUNCTION("""COMPUTED_VALUE"""),"17796524110-116")</f>
        <v>17796524110-116</v>
      </c>
      <c r="D2716" s="133"/>
      <c r="E2716" s="133" t="str">
        <f>IFERROR(__xludf.DUMMYFUNCTION("""COMPUTED_VALUE"""),"110-116")</f>
        <v>110-116</v>
      </c>
      <c r="F2716" s="165" t="str">
        <f>IFERROR(__xludf.DUMMYFUNCTION("""COMPUTED_VALUE"""),"440053110-116")</f>
        <v>440053110-116</v>
      </c>
      <c r="G2716" s="165">
        <f>IFERROR(__xludf.DUMMYFUNCTION("""COMPUTED_VALUE"""),667.0)</f>
        <v>667</v>
      </c>
    </row>
    <row r="2717" ht="15.75" customHeight="1">
      <c r="A2717" s="133">
        <f>IFERROR(__xludf.DUMMYFUNCTION("""COMPUTED_VALUE"""),440053.0)</f>
        <v>440053</v>
      </c>
      <c r="B2717" s="164">
        <f>IFERROR(__xludf.DUMMYFUNCTION("""COMPUTED_VALUE"""),1.7796524E7)</f>
        <v>17796524</v>
      </c>
      <c r="C2717" s="164" t="str">
        <f>IFERROR(__xludf.DUMMYFUNCTION("""COMPUTED_VALUE"""),"17796524122-128")</f>
        <v>17796524122-128</v>
      </c>
      <c r="D2717" s="133"/>
      <c r="E2717" s="133" t="str">
        <f>IFERROR(__xludf.DUMMYFUNCTION("""COMPUTED_VALUE"""),"122-128")</f>
        <v>122-128</v>
      </c>
      <c r="F2717" s="165" t="str">
        <f>IFERROR(__xludf.DUMMYFUNCTION("""COMPUTED_VALUE"""),"440053122-128")</f>
        <v>440053122-128</v>
      </c>
      <c r="G2717" s="165">
        <f>IFERROR(__xludf.DUMMYFUNCTION("""COMPUTED_VALUE"""),667.0)</f>
        <v>667</v>
      </c>
    </row>
    <row r="2718" ht="15.75" customHeight="1">
      <c r="A2718" s="133">
        <f>IFERROR(__xludf.DUMMYFUNCTION("""COMPUTED_VALUE"""),440053.0)</f>
        <v>440053</v>
      </c>
      <c r="B2718" s="164">
        <f>IFERROR(__xludf.DUMMYFUNCTION("""COMPUTED_VALUE"""),1.7796524E7)</f>
        <v>17796524</v>
      </c>
      <c r="C2718" s="164" t="str">
        <f>IFERROR(__xludf.DUMMYFUNCTION("""COMPUTED_VALUE"""),"17796524134-140")</f>
        <v>17796524134-140</v>
      </c>
      <c r="D2718" s="133"/>
      <c r="E2718" s="133" t="str">
        <f>IFERROR(__xludf.DUMMYFUNCTION("""COMPUTED_VALUE"""),"134-140")</f>
        <v>134-140</v>
      </c>
      <c r="F2718" s="165" t="str">
        <f>IFERROR(__xludf.DUMMYFUNCTION("""COMPUTED_VALUE"""),"440053134-140")</f>
        <v>440053134-140</v>
      </c>
      <c r="G2718" s="165">
        <f>IFERROR(__xludf.DUMMYFUNCTION("""COMPUTED_VALUE"""),667.0)</f>
        <v>667</v>
      </c>
    </row>
    <row r="2719" ht="15.75" customHeight="1">
      <c r="A2719" s="133">
        <f>IFERROR(__xludf.DUMMYFUNCTION("""COMPUTED_VALUE"""),440053.0)</f>
        <v>440053</v>
      </c>
      <c r="B2719" s="164">
        <f>IFERROR(__xludf.DUMMYFUNCTION("""COMPUTED_VALUE"""),1.7796524E7)</f>
        <v>17796524</v>
      </c>
      <c r="C2719" s="164" t="str">
        <f>IFERROR(__xludf.DUMMYFUNCTION("""COMPUTED_VALUE"""),"17796524140-146")</f>
        <v>17796524140-146</v>
      </c>
      <c r="D2719" s="133"/>
      <c r="E2719" s="133" t="str">
        <f>IFERROR(__xludf.DUMMYFUNCTION("""COMPUTED_VALUE"""),"140-146")</f>
        <v>140-146</v>
      </c>
      <c r="F2719" s="165" t="str">
        <f>IFERROR(__xludf.DUMMYFUNCTION("""COMPUTED_VALUE"""),"440053140-146")</f>
        <v>440053140-146</v>
      </c>
      <c r="G2719" s="165">
        <f>IFERROR(__xludf.DUMMYFUNCTION("""COMPUTED_VALUE"""),667.0)</f>
        <v>667</v>
      </c>
    </row>
    <row r="2720" ht="15.75" customHeight="1">
      <c r="A2720" s="133">
        <f>IFERROR(__xludf.DUMMYFUNCTION("""COMPUTED_VALUE"""),440054.0)</f>
        <v>440054</v>
      </c>
      <c r="B2720" s="164">
        <f>IFERROR(__xludf.DUMMYFUNCTION("""COMPUTED_VALUE"""),1.7983593E7)</f>
        <v>17983593</v>
      </c>
      <c r="C2720" s="164" t="str">
        <f>IFERROR(__xludf.DUMMYFUNCTION("""COMPUTED_VALUE"""),"1798359398-104")</f>
        <v>1798359398-104</v>
      </c>
      <c r="D2720" s="133"/>
      <c r="E2720" s="133" t="str">
        <f>IFERROR(__xludf.DUMMYFUNCTION("""COMPUTED_VALUE"""),"98-104")</f>
        <v>98-104</v>
      </c>
      <c r="F2720" s="165" t="str">
        <f>IFERROR(__xludf.DUMMYFUNCTION("""COMPUTED_VALUE"""),"44005498-104")</f>
        <v>44005498-104</v>
      </c>
      <c r="G2720" s="165">
        <f>IFERROR(__xludf.DUMMYFUNCTION("""COMPUTED_VALUE"""),717.0)</f>
        <v>717</v>
      </c>
    </row>
    <row r="2721" ht="15.75" customHeight="1">
      <c r="A2721" s="133">
        <f>IFERROR(__xludf.DUMMYFUNCTION("""COMPUTED_VALUE"""),440054.0)</f>
        <v>440054</v>
      </c>
      <c r="B2721" s="164">
        <f>IFERROR(__xludf.DUMMYFUNCTION("""COMPUTED_VALUE"""),1.7983593E7)</f>
        <v>17983593</v>
      </c>
      <c r="C2721" s="164" t="str">
        <f>IFERROR(__xludf.DUMMYFUNCTION("""COMPUTED_VALUE"""),"17983593110-116")</f>
        <v>17983593110-116</v>
      </c>
      <c r="D2721" s="133"/>
      <c r="E2721" s="133" t="str">
        <f>IFERROR(__xludf.DUMMYFUNCTION("""COMPUTED_VALUE"""),"110-116")</f>
        <v>110-116</v>
      </c>
      <c r="F2721" s="165" t="str">
        <f>IFERROR(__xludf.DUMMYFUNCTION("""COMPUTED_VALUE"""),"440054110-116")</f>
        <v>440054110-116</v>
      </c>
      <c r="G2721" s="165">
        <f>IFERROR(__xludf.DUMMYFUNCTION("""COMPUTED_VALUE"""),717.0)</f>
        <v>717</v>
      </c>
    </row>
    <row r="2722" ht="15.75" customHeight="1">
      <c r="A2722" s="133">
        <f>IFERROR(__xludf.DUMMYFUNCTION("""COMPUTED_VALUE"""),440054.0)</f>
        <v>440054</v>
      </c>
      <c r="B2722" s="164">
        <f>IFERROR(__xludf.DUMMYFUNCTION("""COMPUTED_VALUE"""),1.7983593E7)</f>
        <v>17983593</v>
      </c>
      <c r="C2722" s="164" t="str">
        <f>IFERROR(__xludf.DUMMYFUNCTION("""COMPUTED_VALUE"""),"17983593122-128")</f>
        <v>17983593122-128</v>
      </c>
      <c r="D2722" s="133"/>
      <c r="E2722" s="133" t="str">
        <f>IFERROR(__xludf.DUMMYFUNCTION("""COMPUTED_VALUE"""),"122-128")</f>
        <v>122-128</v>
      </c>
      <c r="F2722" s="165" t="str">
        <f>IFERROR(__xludf.DUMMYFUNCTION("""COMPUTED_VALUE"""),"440054122-128")</f>
        <v>440054122-128</v>
      </c>
      <c r="G2722" s="165">
        <f>IFERROR(__xludf.DUMMYFUNCTION("""COMPUTED_VALUE"""),717.0)</f>
        <v>717</v>
      </c>
    </row>
    <row r="2723" ht="15.75" customHeight="1">
      <c r="A2723" s="133">
        <f>IFERROR(__xludf.DUMMYFUNCTION("""COMPUTED_VALUE"""),440054.0)</f>
        <v>440054</v>
      </c>
      <c r="B2723" s="164">
        <f>IFERROR(__xludf.DUMMYFUNCTION("""COMPUTED_VALUE"""),1.7983593E7)</f>
        <v>17983593</v>
      </c>
      <c r="C2723" s="164" t="str">
        <f>IFERROR(__xludf.DUMMYFUNCTION("""COMPUTED_VALUE"""),"17983593134-140")</f>
        <v>17983593134-140</v>
      </c>
      <c r="D2723" s="133"/>
      <c r="E2723" s="133" t="str">
        <f>IFERROR(__xludf.DUMMYFUNCTION("""COMPUTED_VALUE"""),"134-140")</f>
        <v>134-140</v>
      </c>
      <c r="F2723" s="165" t="str">
        <f>IFERROR(__xludf.DUMMYFUNCTION("""COMPUTED_VALUE"""),"440054134-140")</f>
        <v>440054134-140</v>
      </c>
      <c r="G2723" s="165">
        <f>IFERROR(__xludf.DUMMYFUNCTION("""COMPUTED_VALUE"""),717.0)</f>
        <v>717</v>
      </c>
    </row>
    <row r="2724" ht="15.75" customHeight="1">
      <c r="A2724" s="133">
        <f>IFERROR(__xludf.DUMMYFUNCTION("""COMPUTED_VALUE"""),440054.0)</f>
        <v>440054</v>
      </c>
      <c r="B2724" s="164">
        <f>IFERROR(__xludf.DUMMYFUNCTION("""COMPUTED_VALUE"""),1.7983593E7)</f>
        <v>17983593</v>
      </c>
      <c r="C2724" s="164" t="str">
        <f>IFERROR(__xludf.DUMMYFUNCTION("""COMPUTED_VALUE"""),"17983593140-146")</f>
        <v>17983593140-146</v>
      </c>
      <c r="D2724" s="133"/>
      <c r="E2724" s="133" t="str">
        <f>IFERROR(__xludf.DUMMYFUNCTION("""COMPUTED_VALUE"""),"140-146")</f>
        <v>140-146</v>
      </c>
      <c r="F2724" s="165" t="str">
        <f>IFERROR(__xludf.DUMMYFUNCTION("""COMPUTED_VALUE"""),"440054140-146")</f>
        <v>440054140-146</v>
      </c>
      <c r="G2724" s="165">
        <f>IFERROR(__xludf.DUMMYFUNCTION("""COMPUTED_VALUE"""),717.0)</f>
        <v>717</v>
      </c>
    </row>
    <row r="2725" ht="15.75" customHeight="1">
      <c r="A2725" s="133">
        <f>IFERROR(__xludf.DUMMYFUNCTION("""COMPUTED_VALUE"""),440055.0)</f>
        <v>440055</v>
      </c>
      <c r="B2725" s="164">
        <f>IFERROR(__xludf.DUMMYFUNCTION("""COMPUTED_VALUE"""),1.7796525E7)</f>
        <v>17796525</v>
      </c>
      <c r="C2725" s="164" t="str">
        <f>IFERROR(__xludf.DUMMYFUNCTION("""COMPUTED_VALUE"""),"1779652598-104")</f>
        <v>1779652598-104</v>
      </c>
      <c r="D2725" s="133"/>
      <c r="E2725" s="133" t="str">
        <f>IFERROR(__xludf.DUMMYFUNCTION("""COMPUTED_VALUE"""),"98-104")</f>
        <v>98-104</v>
      </c>
      <c r="F2725" s="165" t="str">
        <f>IFERROR(__xludf.DUMMYFUNCTION("""COMPUTED_VALUE"""),"44005598-104")</f>
        <v>44005598-104</v>
      </c>
      <c r="G2725" s="165">
        <f>IFERROR(__xludf.DUMMYFUNCTION("""COMPUTED_VALUE"""),707.0)</f>
        <v>707</v>
      </c>
    </row>
    <row r="2726" ht="15.75" customHeight="1">
      <c r="A2726" s="133">
        <f>IFERROR(__xludf.DUMMYFUNCTION("""COMPUTED_VALUE"""),440055.0)</f>
        <v>440055</v>
      </c>
      <c r="B2726" s="164">
        <f>IFERROR(__xludf.DUMMYFUNCTION("""COMPUTED_VALUE"""),1.7796525E7)</f>
        <v>17796525</v>
      </c>
      <c r="C2726" s="164" t="str">
        <f>IFERROR(__xludf.DUMMYFUNCTION("""COMPUTED_VALUE"""),"17796525110-116")</f>
        <v>17796525110-116</v>
      </c>
      <c r="D2726" s="133"/>
      <c r="E2726" s="133" t="str">
        <f>IFERROR(__xludf.DUMMYFUNCTION("""COMPUTED_VALUE"""),"110-116")</f>
        <v>110-116</v>
      </c>
      <c r="F2726" s="165" t="str">
        <f>IFERROR(__xludf.DUMMYFUNCTION("""COMPUTED_VALUE"""),"440055110-116")</f>
        <v>440055110-116</v>
      </c>
      <c r="G2726" s="165">
        <f>IFERROR(__xludf.DUMMYFUNCTION("""COMPUTED_VALUE"""),707.0)</f>
        <v>707</v>
      </c>
    </row>
    <row r="2727" ht="15.75" customHeight="1">
      <c r="A2727" s="133">
        <f>IFERROR(__xludf.DUMMYFUNCTION("""COMPUTED_VALUE"""),440055.0)</f>
        <v>440055</v>
      </c>
      <c r="B2727" s="164">
        <f>IFERROR(__xludf.DUMMYFUNCTION("""COMPUTED_VALUE"""),1.7796525E7)</f>
        <v>17796525</v>
      </c>
      <c r="C2727" s="164" t="str">
        <f>IFERROR(__xludf.DUMMYFUNCTION("""COMPUTED_VALUE"""),"17796525122-128")</f>
        <v>17796525122-128</v>
      </c>
      <c r="D2727" s="133"/>
      <c r="E2727" s="133" t="str">
        <f>IFERROR(__xludf.DUMMYFUNCTION("""COMPUTED_VALUE"""),"122-128")</f>
        <v>122-128</v>
      </c>
      <c r="F2727" s="165" t="str">
        <f>IFERROR(__xludf.DUMMYFUNCTION("""COMPUTED_VALUE"""),"440055122-128")</f>
        <v>440055122-128</v>
      </c>
      <c r="G2727" s="165">
        <f>IFERROR(__xludf.DUMMYFUNCTION("""COMPUTED_VALUE"""),707.0)</f>
        <v>707</v>
      </c>
    </row>
    <row r="2728" ht="15.75" customHeight="1">
      <c r="A2728" s="133">
        <f>IFERROR(__xludf.DUMMYFUNCTION("""COMPUTED_VALUE"""),440055.0)</f>
        <v>440055</v>
      </c>
      <c r="B2728" s="164">
        <f>IFERROR(__xludf.DUMMYFUNCTION("""COMPUTED_VALUE"""),1.7796525E7)</f>
        <v>17796525</v>
      </c>
      <c r="C2728" s="164" t="str">
        <f>IFERROR(__xludf.DUMMYFUNCTION("""COMPUTED_VALUE"""),"17796525134-140")</f>
        <v>17796525134-140</v>
      </c>
      <c r="D2728" s="133"/>
      <c r="E2728" s="133" t="str">
        <f>IFERROR(__xludf.DUMMYFUNCTION("""COMPUTED_VALUE"""),"134-140")</f>
        <v>134-140</v>
      </c>
      <c r="F2728" s="165" t="str">
        <f>IFERROR(__xludf.DUMMYFUNCTION("""COMPUTED_VALUE"""),"440055134-140")</f>
        <v>440055134-140</v>
      </c>
      <c r="G2728" s="165">
        <f>IFERROR(__xludf.DUMMYFUNCTION("""COMPUTED_VALUE"""),707.0)</f>
        <v>707</v>
      </c>
    </row>
    <row r="2729" ht="15.75" customHeight="1">
      <c r="A2729" s="133">
        <f>IFERROR(__xludf.DUMMYFUNCTION("""COMPUTED_VALUE"""),440055.0)</f>
        <v>440055</v>
      </c>
      <c r="B2729" s="164">
        <f>IFERROR(__xludf.DUMMYFUNCTION("""COMPUTED_VALUE"""),1.7796525E7)</f>
        <v>17796525</v>
      </c>
      <c r="C2729" s="164" t="str">
        <f>IFERROR(__xludf.DUMMYFUNCTION("""COMPUTED_VALUE"""),"17796525140-146")</f>
        <v>17796525140-146</v>
      </c>
      <c r="D2729" s="133"/>
      <c r="E2729" s="133" t="str">
        <f>IFERROR(__xludf.DUMMYFUNCTION("""COMPUTED_VALUE"""),"140-146")</f>
        <v>140-146</v>
      </c>
      <c r="F2729" s="165" t="str">
        <f>IFERROR(__xludf.DUMMYFUNCTION("""COMPUTED_VALUE"""),"440055140-146")</f>
        <v>440055140-146</v>
      </c>
      <c r="G2729" s="165">
        <f>IFERROR(__xludf.DUMMYFUNCTION("""COMPUTED_VALUE"""),707.0)</f>
        <v>707</v>
      </c>
    </row>
    <row r="2730" ht="15.75" customHeight="1">
      <c r="A2730" s="133">
        <f>IFERROR(__xludf.DUMMYFUNCTION("""COMPUTED_VALUE"""),440056.0)</f>
        <v>440056</v>
      </c>
      <c r="B2730" s="164">
        <f>IFERROR(__xludf.DUMMYFUNCTION("""COMPUTED_VALUE"""),1.7983594E7)</f>
        <v>17983594</v>
      </c>
      <c r="C2730" s="164" t="str">
        <f>IFERROR(__xludf.DUMMYFUNCTION("""COMPUTED_VALUE"""),"1798359498-104")</f>
        <v>1798359498-104</v>
      </c>
      <c r="D2730" s="133"/>
      <c r="E2730" s="133" t="str">
        <f>IFERROR(__xludf.DUMMYFUNCTION("""COMPUTED_VALUE"""),"98-104")</f>
        <v>98-104</v>
      </c>
      <c r="F2730" s="165" t="str">
        <f>IFERROR(__xludf.DUMMYFUNCTION("""COMPUTED_VALUE"""),"44005698-104")</f>
        <v>44005698-104</v>
      </c>
      <c r="G2730" s="165">
        <f>IFERROR(__xludf.DUMMYFUNCTION("""COMPUTED_VALUE"""),717.0)</f>
        <v>717</v>
      </c>
    </row>
    <row r="2731" ht="15.75" customHeight="1">
      <c r="A2731" s="133">
        <f>IFERROR(__xludf.DUMMYFUNCTION("""COMPUTED_VALUE"""),440056.0)</f>
        <v>440056</v>
      </c>
      <c r="B2731" s="164">
        <f>IFERROR(__xludf.DUMMYFUNCTION("""COMPUTED_VALUE"""),1.7983594E7)</f>
        <v>17983594</v>
      </c>
      <c r="C2731" s="164" t="str">
        <f>IFERROR(__xludf.DUMMYFUNCTION("""COMPUTED_VALUE"""),"17983594110-116")</f>
        <v>17983594110-116</v>
      </c>
      <c r="D2731" s="133"/>
      <c r="E2731" s="133" t="str">
        <f>IFERROR(__xludf.DUMMYFUNCTION("""COMPUTED_VALUE"""),"110-116")</f>
        <v>110-116</v>
      </c>
      <c r="F2731" s="165" t="str">
        <f>IFERROR(__xludf.DUMMYFUNCTION("""COMPUTED_VALUE"""),"440056110-116")</f>
        <v>440056110-116</v>
      </c>
      <c r="G2731" s="165">
        <f>IFERROR(__xludf.DUMMYFUNCTION("""COMPUTED_VALUE"""),717.0)</f>
        <v>717</v>
      </c>
    </row>
    <row r="2732" ht="15.75" customHeight="1">
      <c r="A2732" s="133">
        <f>IFERROR(__xludf.DUMMYFUNCTION("""COMPUTED_VALUE"""),440056.0)</f>
        <v>440056</v>
      </c>
      <c r="B2732" s="164">
        <f>IFERROR(__xludf.DUMMYFUNCTION("""COMPUTED_VALUE"""),1.7983594E7)</f>
        <v>17983594</v>
      </c>
      <c r="C2732" s="164" t="str">
        <f>IFERROR(__xludf.DUMMYFUNCTION("""COMPUTED_VALUE"""),"17983594122-128")</f>
        <v>17983594122-128</v>
      </c>
      <c r="D2732" s="133"/>
      <c r="E2732" s="133" t="str">
        <f>IFERROR(__xludf.DUMMYFUNCTION("""COMPUTED_VALUE"""),"122-128")</f>
        <v>122-128</v>
      </c>
      <c r="F2732" s="165" t="str">
        <f>IFERROR(__xludf.DUMMYFUNCTION("""COMPUTED_VALUE"""),"440056122-128")</f>
        <v>440056122-128</v>
      </c>
      <c r="G2732" s="165">
        <f>IFERROR(__xludf.DUMMYFUNCTION("""COMPUTED_VALUE"""),717.0)</f>
        <v>717</v>
      </c>
    </row>
    <row r="2733" ht="15.75" customHeight="1">
      <c r="A2733" s="133">
        <f>IFERROR(__xludf.DUMMYFUNCTION("""COMPUTED_VALUE"""),440056.0)</f>
        <v>440056</v>
      </c>
      <c r="B2733" s="164">
        <f>IFERROR(__xludf.DUMMYFUNCTION("""COMPUTED_VALUE"""),1.7983594E7)</f>
        <v>17983594</v>
      </c>
      <c r="C2733" s="164" t="str">
        <f>IFERROR(__xludf.DUMMYFUNCTION("""COMPUTED_VALUE"""),"17983594134-140")</f>
        <v>17983594134-140</v>
      </c>
      <c r="D2733" s="133"/>
      <c r="E2733" s="133" t="str">
        <f>IFERROR(__xludf.DUMMYFUNCTION("""COMPUTED_VALUE"""),"134-140")</f>
        <v>134-140</v>
      </c>
      <c r="F2733" s="165" t="str">
        <f>IFERROR(__xludf.DUMMYFUNCTION("""COMPUTED_VALUE"""),"440056134-140")</f>
        <v>440056134-140</v>
      </c>
      <c r="G2733" s="165">
        <f>IFERROR(__xludf.DUMMYFUNCTION("""COMPUTED_VALUE"""),717.0)</f>
        <v>717</v>
      </c>
    </row>
    <row r="2734" ht="15.75" customHeight="1">
      <c r="A2734" s="133">
        <f>IFERROR(__xludf.DUMMYFUNCTION("""COMPUTED_VALUE"""),440056.0)</f>
        <v>440056</v>
      </c>
      <c r="B2734" s="164">
        <f>IFERROR(__xludf.DUMMYFUNCTION("""COMPUTED_VALUE"""),1.7983594E7)</f>
        <v>17983594</v>
      </c>
      <c r="C2734" s="164" t="str">
        <f>IFERROR(__xludf.DUMMYFUNCTION("""COMPUTED_VALUE"""),"17983594140-146")</f>
        <v>17983594140-146</v>
      </c>
      <c r="D2734" s="133"/>
      <c r="E2734" s="133" t="str">
        <f>IFERROR(__xludf.DUMMYFUNCTION("""COMPUTED_VALUE"""),"140-146")</f>
        <v>140-146</v>
      </c>
      <c r="F2734" s="165" t="str">
        <f>IFERROR(__xludf.DUMMYFUNCTION("""COMPUTED_VALUE"""),"440056140-146")</f>
        <v>440056140-146</v>
      </c>
      <c r="G2734" s="165">
        <f>IFERROR(__xludf.DUMMYFUNCTION("""COMPUTED_VALUE"""),717.0)</f>
        <v>717</v>
      </c>
    </row>
    <row r="2735" ht="15.75" customHeight="1">
      <c r="A2735" s="133">
        <f>IFERROR(__xludf.DUMMYFUNCTION("""COMPUTED_VALUE"""),40061.0)</f>
        <v>40061</v>
      </c>
      <c r="B2735" s="164">
        <f>IFERROR(__xludf.DUMMYFUNCTION("""COMPUTED_VALUE"""),1.7797248E7)</f>
        <v>17797248</v>
      </c>
      <c r="C2735" s="164" t="str">
        <f>IFERROR(__xludf.DUMMYFUNCTION("""COMPUTED_VALUE"""),"1779724898-104")</f>
        <v>1779724898-104</v>
      </c>
      <c r="D2735" s="133" t="str">
        <f>IFERROR(__xludf.DUMMYFUNCTION("""COMPUTED_VALUE"""),"Детский свитер с оленем")</f>
        <v>Детский свитер с оленем</v>
      </c>
      <c r="E2735" s="133" t="str">
        <f>IFERROR(__xludf.DUMMYFUNCTION("""COMPUTED_VALUE"""),"98-104")</f>
        <v>98-104</v>
      </c>
      <c r="F2735" s="165" t="str">
        <f>IFERROR(__xludf.DUMMYFUNCTION("""COMPUTED_VALUE"""),"4006198-104")</f>
        <v>4006198-104</v>
      </c>
      <c r="G2735" s="165">
        <f>IFERROR(__xludf.DUMMYFUNCTION("""COMPUTED_VALUE"""),719.0)</f>
        <v>719</v>
      </c>
    </row>
    <row r="2736" ht="15.75" customHeight="1">
      <c r="A2736" s="133">
        <f>IFERROR(__xludf.DUMMYFUNCTION("""COMPUTED_VALUE"""),40061.0)</f>
        <v>40061</v>
      </c>
      <c r="B2736" s="164">
        <f>IFERROR(__xludf.DUMMYFUNCTION("""COMPUTED_VALUE"""),1.7797248E7)</f>
        <v>17797248</v>
      </c>
      <c r="C2736" s="164" t="str">
        <f>IFERROR(__xludf.DUMMYFUNCTION("""COMPUTED_VALUE"""),"17797248110-116")</f>
        <v>17797248110-116</v>
      </c>
      <c r="D2736" s="133"/>
      <c r="E2736" s="133" t="str">
        <f>IFERROR(__xludf.DUMMYFUNCTION("""COMPUTED_VALUE"""),"110-116")</f>
        <v>110-116</v>
      </c>
      <c r="F2736" s="165" t="str">
        <f>IFERROR(__xludf.DUMMYFUNCTION("""COMPUTED_VALUE"""),"40061110-116")</f>
        <v>40061110-116</v>
      </c>
      <c r="G2736" s="165">
        <f>IFERROR(__xludf.DUMMYFUNCTION("""COMPUTED_VALUE"""),719.0)</f>
        <v>719</v>
      </c>
    </row>
    <row r="2737" ht="15.75" customHeight="1">
      <c r="A2737" s="133">
        <f>IFERROR(__xludf.DUMMYFUNCTION("""COMPUTED_VALUE"""),40061.0)</f>
        <v>40061</v>
      </c>
      <c r="B2737" s="164">
        <f>IFERROR(__xludf.DUMMYFUNCTION("""COMPUTED_VALUE"""),1.7797248E7)</f>
        <v>17797248</v>
      </c>
      <c r="C2737" s="164" t="str">
        <f>IFERROR(__xludf.DUMMYFUNCTION("""COMPUTED_VALUE"""),"17797248122-128")</f>
        <v>17797248122-128</v>
      </c>
      <c r="D2737" s="133"/>
      <c r="E2737" s="133" t="str">
        <f>IFERROR(__xludf.DUMMYFUNCTION("""COMPUTED_VALUE"""),"122-128")</f>
        <v>122-128</v>
      </c>
      <c r="F2737" s="165" t="str">
        <f>IFERROR(__xludf.DUMMYFUNCTION("""COMPUTED_VALUE"""),"40061122-128")</f>
        <v>40061122-128</v>
      </c>
      <c r="G2737" s="165">
        <f>IFERROR(__xludf.DUMMYFUNCTION("""COMPUTED_VALUE"""),719.0)</f>
        <v>719</v>
      </c>
    </row>
    <row r="2738" ht="15.75" customHeight="1">
      <c r="A2738" s="133">
        <f>IFERROR(__xludf.DUMMYFUNCTION("""COMPUTED_VALUE"""),40061.0)</f>
        <v>40061</v>
      </c>
      <c r="B2738" s="164">
        <f>IFERROR(__xludf.DUMMYFUNCTION("""COMPUTED_VALUE"""),1.7797248E7)</f>
        <v>17797248</v>
      </c>
      <c r="C2738" s="164" t="str">
        <f>IFERROR(__xludf.DUMMYFUNCTION("""COMPUTED_VALUE"""),"17797248134-140")</f>
        <v>17797248134-140</v>
      </c>
      <c r="D2738" s="133"/>
      <c r="E2738" s="133" t="str">
        <f>IFERROR(__xludf.DUMMYFUNCTION("""COMPUTED_VALUE"""),"134-140")</f>
        <v>134-140</v>
      </c>
      <c r="F2738" s="165" t="str">
        <f>IFERROR(__xludf.DUMMYFUNCTION("""COMPUTED_VALUE"""),"40061134-140")</f>
        <v>40061134-140</v>
      </c>
      <c r="G2738" s="165">
        <f>IFERROR(__xludf.DUMMYFUNCTION("""COMPUTED_VALUE"""),719.0)</f>
        <v>719</v>
      </c>
    </row>
    <row r="2739" ht="15.75" customHeight="1">
      <c r="A2739" s="133">
        <f>IFERROR(__xludf.DUMMYFUNCTION("""COMPUTED_VALUE"""),40061.0)</f>
        <v>40061</v>
      </c>
      <c r="B2739" s="164">
        <f>IFERROR(__xludf.DUMMYFUNCTION("""COMPUTED_VALUE"""),1.7797248E7)</f>
        <v>17797248</v>
      </c>
      <c r="C2739" s="164" t="str">
        <f>IFERROR(__xludf.DUMMYFUNCTION("""COMPUTED_VALUE"""),"17797248140-146")</f>
        <v>17797248140-146</v>
      </c>
      <c r="D2739" s="133"/>
      <c r="E2739" s="133" t="str">
        <f>IFERROR(__xludf.DUMMYFUNCTION("""COMPUTED_VALUE"""),"140-146")</f>
        <v>140-146</v>
      </c>
      <c r="F2739" s="165" t="str">
        <f>IFERROR(__xludf.DUMMYFUNCTION("""COMPUTED_VALUE"""),"40061140-146")</f>
        <v>40061140-146</v>
      </c>
      <c r="G2739" s="165">
        <f>IFERROR(__xludf.DUMMYFUNCTION("""COMPUTED_VALUE"""),719.0)</f>
        <v>719</v>
      </c>
    </row>
    <row r="2740" ht="15.75" customHeight="1">
      <c r="A2740" s="133">
        <f>IFERROR(__xludf.DUMMYFUNCTION("""COMPUTED_VALUE"""),40062.0)</f>
        <v>40062</v>
      </c>
      <c r="B2740" s="164">
        <f>IFERROR(__xludf.DUMMYFUNCTION("""COMPUTED_VALUE"""),6313141.0)</f>
        <v>6313141</v>
      </c>
      <c r="C2740" s="164" t="str">
        <f>IFERROR(__xludf.DUMMYFUNCTION("""COMPUTED_VALUE"""),"631314198-104")</f>
        <v>631314198-104</v>
      </c>
      <c r="D2740" s="133" t="str">
        <f>IFERROR(__xludf.DUMMYFUNCTION("""COMPUTED_VALUE"""),"Детский свитер с оленем")</f>
        <v>Детский свитер с оленем</v>
      </c>
      <c r="E2740" s="133" t="str">
        <f>IFERROR(__xludf.DUMMYFUNCTION("""COMPUTED_VALUE"""),"98-104")</f>
        <v>98-104</v>
      </c>
      <c r="F2740" s="165" t="str">
        <f>IFERROR(__xludf.DUMMYFUNCTION("""COMPUTED_VALUE"""),"4006298-104")</f>
        <v>4006298-104</v>
      </c>
      <c r="G2740" s="165">
        <f>IFERROR(__xludf.DUMMYFUNCTION("""COMPUTED_VALUE"""),757.0)</f>
        <v>757</v>
      </c>
    </row>
    <row r="2741" ht="15.75" customHeight="1">
      <c r="A2741" s="133">
        <f>IFERROR(__xludf.DUMMYFUNCTION("""COMPUTED_VALUE"""),40062.0)</f>
        <v>40062</v>
      </c>
      <c r="B2741" s="164">
        <f>IFERROR(__xludf.DUMMYFUNCTION("""COMPUTED_VALUE"""),6313141.0)</f>
        <v>6313141</v>
      </c>
      <c r="C2741" s="164" t="str">
        <f>IFERROR(__xludf.DUMMYFUNCTION("""COMPUTED_VALUE"""),"6313141110-116")</f>
        <v>6313141110-116</v>
      </c>
      <c r="D2741" s="133"/>
      <c r="E2741" s="133" t="str">
        <f>IFERROR(__xludf.DUMMYFUNCTION("""COMPUTED_VALUE"""),"110-116")</f>
        <v>110-116</v>
      </c>
      <c r="F2741" s="165" t="str">
        <f>IFERROR(__xludf.DUMMYFUNCTION("""COMPUTED_VALUE"""),"40062110-116")</f>
        <v>40062110-116</v>
      </c>
      <c r="G2741" s="165">
        <f>IFERROR(__xludf.DUMMYFUNCTION("""COMPUTED_VALUE"""),757.0)</f>
        <v>757</v>
      </c>
    </row>
    <row r="2742" ht="15.75" customHeight="1">
      <c r="A2742" s="133">
        <f>IFERROR(__xludf.DUMMYFUNCTION("""COMPUTED_VALUE"""),40062.0)</f>
        <v>40062</v>
      </c>
      <c r="B2742" s="164">
        <f>IFERROR(__xludf.DUMMYFUNCTION("""COMPUTED_VALUE"""),6313141.0)</f>
        <v>6313141</v>
      </c>
      <c r="C2742" s="164" t="str">
        <f>IFERROR(__xludf.DUMMYFUNCTION("""COMPUTED_VALUE"""),"6313141122-128")</f>
        <v>6313141122-128</v>
      </c>
      <c r="D2742" s="133"/>
      <c r="E2742" s="133" t="str">
        <f>IFERROR(__xludf.DUMMYFUNCTION("""COMPUTED_VALUE"""),"122-128")</f>
        <v>122-128</v>
      </c>
      <c r="F2742" s="165" t="str">
        <f>IFERROR(__xludf.DUMMYFUNCTION("""COMPUTED_VALUE"""),"40062122-128")</f>
        <v>40062122-128</v>
      </c>
      <c r="G2742" s="165">
        <f>IFERROR(__xludf.DUMMYFUNCTION("""COMPUTED_VALUE"""),757.0)</f>
        <v>757</v>
      </c>
    </row>
    <row r="2743" ht="15.75" customHeight="1">
      <c r="A2743" s="133">
        <f>IFERROR(__xludf.DUMMYFUNCTION("""COMPUTED_VALUE"""),40062.0)</f>
        <v>40062</v>
      </c>
      <c r="B2743" s="164">
        <f>IFERROR(__xludf.DUMMYFUNCTION("""COMPUTED_VALUE"""),6313141.0)</f>
        <v>6313141</v>
      </c>
      <c r="C2743" s="164" t="str">
        <f>IFERROR(__xludf.DUMMYFUNCTION("""COMPUTED_VALUE"""),"6313141134-140")</f>
        <v>6313141134-140</v>
      </c>
      <c r="D2743" s="133"/>
      <c r="E2743" s="133" t="str">
        <f>IFERROR(__xludf.DUMMYFUNCTION("""COMPUTED_VALUE"""),"134-140")</f>
        <v>134-140</v>
      </c>
      <c r="F2743" s="165" t="str">
        <f>IFERROR(__xludf.DUMMYFUNCTION("""COMPUTED_VALUE"""),"40062134-140")</f>
        <v>40062134-140</v>
      </c>
      <c r="G2743" s="165">
        <f>IFERROR(__xludf.DUMMYFUNCTION("""COMPUTED_VALUE"""),757.0)</f>
        <v>757</v>
      </c>
    </row>
    <row r="2744" ht="15.75" customHeight="1">
      <c r="A2744" s="133">
        <f>IFERROR(__xludf.DUMMYFUNCTION("""COMPUTED_VALUE"""),40062.0)</f>
        <v>40062</v>
      </c>
      <c r="B2744" s="164">
        <f>IFERROR(__xludf.DUMMYFUNCTION("""COMPUTED_VALUE"""),6313141.0)</f>
        <v>6313141</v>
      </c>
      <c r="C2744" s="164" t="str">
        <f>IFERROR(__xludf.DUMMYFUNCTION("""COMPUTED_VALUE"""),"6313141140-146")</f>
        <v>6313141140-146</v>
      </c>
      <c r="D2744" s="133"/>
      <c r="E2744" s="133" t="str">
        <f>IFERROR(__xludf.DUMMYFUNCTION("""COMPUTED_VALUE"""),"140-146")</f>
        <v>140-146</v>
      </c>
      <c r="F2744" s="165" t="str">
        <f>IFERROR(__xludf.DUMMYFUNCTION("""COMPUTED_VALUE"""),"40062140-146")</f>
        <v>40062140-146</v>
      </c>
      <c r="G2744" s="165">
        <f>IFERROR(__xludf.DUMMYFUNCTION("""COMPUTED_VALUE"""),757.0)</f>
        <v>757</v>
      </c>
    </row>
    <row r="2745" ht="15.75" customHeight="1">
      <c r="A2745" s="133">
        <f>IFERROR(__xludf.DUMMYFUNCTION("""COMPUTED_VALUE"""),40063.0)</f>
        <v>40063</v>
      </c>
      <c r="B2745" s="164">
        <f>IFERROR(__xludf.DUMMYFUNCTION("""COMPUTED_VALUE"""),6313142.0)</f>
        <v>6313142</v>
      </c>
      <c r="C2745" s="164" t="str">
        <f>IFERROR(__xludf.DUMMYFUNCTION("""COMPUTED_VALUE"""),"631314298-104")</f>
        <v>631314298-104</v>
      </c>
      <c r="D2745" s="133" t="str">
        <f>IFERROR(__xludf.DUMMYFUNCTION("""COMPUTED_VALUE"""),"Детский свитер с оленем")</f>
        <v>Детский свитер с оленем</v>
      </c>
      <c r="E2745" s="133" t="str">
        <f>IFERROR(__xludf.DUMMYFUNCTION("""COMPUTED_VALUE"""),"98-104")</f>
        <v>98-104</v>
      </c>
      <c r="F2745" s="165" t="str">
        <f>IFERROR(__xludf.DUMMYFUNCTION("""COMPUTED_VALUE"""),"4006398-104")</f>
        <v>4006398-104</v>
      </c>
      <c r="G2745" s="165">
        <f>IFERROR(__xludf.DUMMYFUNCTION("""COMPUTED_VALUE"""),757.0)</f>
        <v>757</v>
      </c>
    </row>
    <row r="2746" ht="15.75" customHeight="1">
      <c r="A2746" s="133">
        <f>IFERROR(__xludf.DUMMYFUNCTION("""COMPUTED_VALUE"""),40063.0)</f>
        <v>40063</v>
      </c>
      <c r="B2746" s="164">
        <f>IFERROR(__xludf.DUMMYFUNCTION("""COMPUTED_VALUE"""),6313142.0)</f>
        <v>6313142</v>
      </c>
      <c r="C2746" s="164" t="str">
        <f>IFERROR(__xludf.DUMMYFUNCTION("""COMPUTED_VALUE"""),"6313142110-116")</f>
        <v>6313142110-116</v>
      </c>
      <c r="D2746" s="133"/>
      <c r="E2746" s="133" t="str">
        <f>IFERROR(__xludf.DUMMYFUNCTION("""COMPUTED_VALUE"""),"110-116")</f>
        <v>110-116</v>
      </c>
      <c r="F2746" s="165" t="str">
        <f>IFERROR(__xludf.DUMMYFUNCTION("""COMPUTED_VALUE"""),"40063110-116")</f>
        <v>40063110-116</v>
      </c>
      <c r="G2746" s="165">
        <f>IFERROR(__xludf.DUMMYFUNCTION("""COMPUTED_VALUE"""),757.0)</f>
        <v>757</v>
      </c>
    </row>
    <row r="2747" ht="15.75" customHeight="1">
      <c r="A2747" s="133">
        <f>IFERROR(__xludf.DUMMYFUNCTION("""COMPUTED_VALUE"""),40063.0)</f>
        <v>40063</v>
      </c>
      <c r="B2747" s="164">
        <f>IFERROR(__xludf.DUMMYFUNCTION("""COMPUTED_VALUE"""),6313142.0)</f>
        <v>6313142</v>
      </c>
      <c r="C2747" s="164" t="str">
        <f>IFERROR(__xludf.DUMMYFUNCTION("""COMPUTED_VALUE"""),"6313142122-128")</f>
        <v>6313142122-128</v>
      </c>
      <c r="D2747" s="133"/>
      <c r="E2747" s="133" t="str">
        <f>IFERROR(__xludf.DUMMYFUNCTION("""COMPUTED_VALUE"""),"122-128")</f>
        <v>122-128</v>
      </c>
      <c r="F2747" s="165" t="str">
        <f>IFERROR(__xludf.DUMMYFUNCTION("""COMPUTED_VALUE"""),"40063122-128")</f>
        <v>40063122-128</v>
      </c>
      <c r="G2747" s="165">
        <f>IFERROR(__xludf.DUMMYFUNCTION("""COMPUTED_VALUE"""),757.0)</f>
        <v>757</v>
      </c>
    </row>
    <row r="2748" ht="15.75" customHeight="1">
      <c r="A2748" s="133">
        <f>IFERROR(__xludf.DUMMYFUNCTION("""COMPUTED_VALUE"""),40063.0)</f>
        <v>40063</v>
      </c>
      <c r="B2748" s="164">
        <f>IFERROR(__xludf.DUMMYFUNCTION("""COMPUTED_VALUE"""),6313142.0)</f>
        <v>6313142</v>
      </c>
      <c r="C2748" s="164" t="str">
        <f>IFERROR(__xludf.DUMMYFUNCTION("""COMPUTED_VALUE"""),"6313142134-140")</f>
        <v>6313142134-140</v>
      </c>
      <c r="D2748" s="133"/>
      <c r="E2748" s="133" t="str">
        <f>IFERROR(__xludf.DUMMYFUNCTION("""COMPUTED_VALUE"""),"134-140")</f>
        <v>134-140</v>
      </c>
      <c r="F2748" s="165" t="str">
        <f>IFERROR(__xludf.DUMMYFUNCTION("""COMPUTED_VALUE"""),"40063134-140")</f>
        <v>40063134-140</v>
      </c>
      <c r="G2748" s="165">
        <f>IFERROR(__xludf.DUMMYFUNCTION("""COMPUTED_VALUE"""),757.0)</f>
        <v>757</v>
      </c>
    </row>
    <row r="2749" ht="15.75" customHeight="1">
      <c r="A2749" s="133">
        <f>IFERROR(__xludf.DUMMYFUNCTION("""COMPUTED_VALUE"""),40063.0)</f>
        <v>40063</v>
      </c>
      <c r="B2749" s="164">
        <f>IFERROR(__xludf.DUMMYFUNCTION("""COMPUTED_VALUE"""),6313142.0)</f>
        <v>6313142</v>
      </c>
      <c r="C2749" s="164" t="str">
        <f>IFERROR(__xludf.DUMMYFUNCTION("""COMPUTED_VALUE"""),"6313142140-146")</f>
        <v>6313142140-146</v>
      </c>
      <c r="D2749" s="133"/>
      <c r="E2749" s="133" t="str">
        <f>IFERROR(__xludf.DUMMYFUNCTION("""COMPUTED_VALUE"""),"140-146")</f>
        <v>140-146</v>
      </c>
      <c r="F2749" s="165" t="str">
        <f>IFERROR(__xludf.DUMMYFUNCTION("""COMPUTED_VALUE"""),"40063140-146")</f>
        <v>40063140-146</v>
      </c>
      <c r="G2749" s="165">
        <f>IFERROR(__xludf.DUMMYFUNCTION("""COMPUTED_VALUE"""),757.0)</f>
        <v>757</v>
      </c>
    </row>
    <row r="2750" ht="15.75" customHeight="1">
      <c r="A2750" s="133">
        <f>IFERROR(__xludf.DUMMYFUNCTION("""COMPUTED_VALUE"""),40064.0)</f>
        <v>40064</v>
      </c>
      <c r="B2750" s="164">
        <f>IFERROR(__xludf.DUMMYFUNCTION("""COMPUTED_VALUE"""),6313143.0)</f>
        <v>6313143</v>
      </c>
      <c r="C2750" s="164" t="str">
        <f>IFERROR(__xludf.DUMMYFUNCTION("""COMPUTED_VALUE"""),"631314398-104")</f>
        <v>631314398-104</v>
      </c>
      <c r="D2750" s="133" t="str">
        <f>IFERROR(__xludf.DUMMYFUNCTION("""COMPUTED_VALUE"""),"Детский свитер с оленем")</f>
        <v>Детский свитер с оленем</v>
      </c>
      <c r="E2750" s="133" t="str">
        <f>IFERROR(__xludf.DUMMYFUNCTION("""COMPUTED_VALUE"""),"98-104")</f>
        <v>98-104</v>
      </c>
      <c r="F2750" s="165" t="str">
        <f>IFERROR(__xludf.DUMMYFUNCTION("""COMPUTED_VALUE"""),"4006498-104")</f>
        <v>4006498-104</v>
      </c>
      <c r="G2750" s="165">
        <f>IFERROR(__xludf.DUMMYFUNCTION("""COMPUTED_VALUE"""),757.0)</f>
        <v>757</v>
      </c>
    </row>
    <row r="2751" ht="15.75" customHeight="1">
      <c r="A2751" s="133">
        <f>IFERROR(__xludf.DUMMYFUNCTION("""COMPUTED_VALUE"""),40064.0)</f>
        <v>40064</v>
      </c>
      <c r="B2751" s="164">
        <f>IFERROR(__xludf.DUMMYFUNCTION("""COMPUTED_VALUE"""),6313143.0)</f>
        <v>6313143</v>
      </c>
      <c r="C2751" s="164" t="str">
        <f>IFERROR(__xludf.DUMMYFUNCTION("""COMPUTED_VALUE"""),"6313143110-116")</f>
        <v>6313143110-116</v>
      </c>
      <c r="D2751" s="133"/>
      <c r="E2751" s="133" t="str">
        <f>IFERROR(__xludf.DUMMYFUNCTION("""COMPUTED_VALUE"""),"110-116")</f>
        <v>110-116</v>
      </c>
      <c r="F2751" s="165" t="str">
        <f>IFERROR(__xludf.DUMMYFUNCTION("""COMPUTED_VALUE"""),"40064110-116")</f>
        <v>40064110-116</v>
      </c>
      <c r="G2751" s="165">
        <f>IFERROR(__xludf.DUMMYFUNCTION("""COMPUTED_VALUE"""),757.0)</f>
        <v>757</v>
      </c>
    </row>
    <row r="2752" ht="15.75" customHeight="1">
      <c r="A2752" s="133">
        <f>IFERROR(__xludf.DUMMYFUNCTION("""COMPUTED_VALUE"""),40064.0)</f>
        <v>40064</v>
      </c>
      <c r="B2752" s="164">
        <f>IFERROR(__xludf.DUMMYFUNCTION("""COMPUTED_VALUE"""),6313143.0)</f>
        <v>6313143</v>
      </c>
      <c r="C2752" s="164" t="str">
        <f>IFERROR(__xludf.DUMMYFUNCTION("""COMPUTED_VALUE"""),"6313143122-128")</f>
        <v>6313143122-128</v>
      </c>
      <c r="D2752" s="133"/>
      <c r="E2752" s="133" t="str">
        <f>IFERROR(__xludf.DUMMYFUNCTION("""COMPUTED_VALUE"""),"122-128")</f>
        <v>122-128</v>
      </c>
      <c r="F2752" s="165" t="str">
        <f>IFERROR(__xludf.DUMMYFUNCTION("""COMPUTED_VALUE"""),"40064122-128")</f>
        <v>40064122-128</v>
      </c>
      <c r="G2752" s="165">
        <f>IFERROR(__xludf.DUMMYFUNCTION("""COMPUTED_VALUE"""),757.0)</f>
        <v>757</v>
      </c>
    </row>
    <row r="2753" ht="15.75" customHeight="1">
      <c r="A2753" s="133">
        <f>IFERROR(__xludf.DUMMYFUNCTION("""COMPUTED_VALUE"""),40064.0)</f>
        <v>40064</v>
      </c>
      <c r="B2753" s="164">
        <f>IFERROR(__xludf.DUMMYFUNCTION("""COMPUTED_VALUE"""),6313143.0)</f>
        <v>6313143</v>
      </c>
      <c r="C2753" s="164" t="str">
        <f>IFERROR(__xludf.DUMMYFUNCTION("""COMPUTED_VALUE"""),"6313143134-140")</f>
        <v>6313143134-140</v>
      </c>
      <c r="D2753" s="133"/>
      <c r="E2753" s="133" t="str">
        <f>IFERROR(__xludf.DUMMYFUNCTION("""COMPUTED_VALUE"""),"134-140")</f>
        <v>134-140</v>
      </c>
      <c r="F2753" s="165" t="str">
        <f>IFERROR(__xludf.DUMMYFUNCTION("""COMPUTED_VALUE"""),"40064134-140")</f>
        <v>40064134-140</v>
      </c>
      <c r="G2753" s="165">
        <f>IFERROR(__xludf.DUMMYFUNCTION("""COMPUTED_VALUE"""),757.0)</f>
        <v>757</v>
      </c>
    </row>
    <row r="2754" ht="15.75" customHeight="1">
      <c r="A2754" s="133">
        <f>IFERROR(__xludf.DUMMYFUNCTION("""COMPUTED_VALUE"""),40064.0)</f>
        <v>40064</v>
      </c>
      <c r="B2754" s="164">
        <f>IFERROR(__xludf.DUMMYFUNCTION("""COMPUTED_VALUE"""),6313143.0)</f>
        <v>6313143</v>
      </c>
      <c r="C2754" s="164" t="str">
        <f>IFERROR(__xludf.DUMMYFUNCTION("""COMPUTED_VALUE"""),"6313143140-146")</f>
        <v>6313143140-146</v>
      </c>
      <c r="D2754" s="133"/>
      <c r="E2754" s="133" t="str">
        <f>IFERROR(__xludf.DUMMYFUNCTION("""COMPUTED_VALUE"""),"140-146")</f>
        <v>140-146</v>
      </c>
      <c r="F2754" s="165" t="str">
        <f>IFERROR(__xludf.DUMMYFUNCTION("""COMPUTED_VALUE"""),"40064140-146")</f>
        <v>40064140-146</v>
      </c>
      <c r="G2754" s="165">
        <f>IFERROR(__xludf.DUMMYFUNCTION("""COMPUTED_VALUE"""),757.0)</f>
        <v>757</v>
      </c>
    </row>
    <row r="2755" ht="15.75" customHeight="1">
      <c r="A2755" s="133">
        <f>IFERROR(__xludf.DUMMYFUNCTION("""COMPUTED_VALUE"""),40065.0)</f>
        <v>40065</v>
      </c>
      <c r="B2755" s="164">
        <f>IFERROR(__xludf.DUMMYFUNCTION("""COMPUTED_VALUE"""),6313144.0)</f>
        <v>6313144</v>
      </c>
      <c r="C2755" s="164" t="str">
        <f>IFERROR(__xludf.DUMMYFUNCTION("""COMPUTED_VALUE"""),"631314498-104")</f>
        <v>631314498-104</v>
      </c>
      <c r="D2755" s="133" t="str">
        <f>IFERROR(__xludf.DUMMYFUNCTION("""COMPUTED_VALUE"""),"Детский свитер с оленем")</f>
        <v>Детский свитер с оленем</v>
      </c>
      <c r="E2755" s="133" t="str">
        <f>IFERROR(__xludf.DUMMYFUNCTION("""COMPUTED_VALUE"""),"98-104")</f>
        <v>98-104</v>
      </c>
      <c r="F2755" s="165" t="str">
        <f>IFERROR(__xludf.DUMMYFUNCTION("""COMPUTED_VALUE"""),"4006598-104")</f>
        <v>4006598-104</v>
      </c>
      <c r="G2755" s="165">
        <f>IFERROR(__xludf.DUMMYFUNCTION("""COMPUTED_VALUE"""),757.0)</f>
        <v>757</v>
      </c>
    </row>
    <row r="2756" ht="15.75" customHeight="1">
      <c r="A2756" s="133">
        <f>IFERROR(__xludf.DUMMYFUNCTION("""COMPUTED_VALUE"""),40065.0)</f>
        <v>40065</v>
      </c>
      <c r="B2756" s="164">
        <f>IFERROR(__xludf.DUMMYFUNCTION("""COMPUTED_VALUE"""),6313144.0)</f>
        <v>6313144</v>
      </c>
      <c r="C2756" s="164" t="str">
        <f>IFERROR(__xludf.DUMMYFUNCTION("""COMPUTED_VALUE"""),"6313144110-116")</f>
        <v>6313144110-116</v>
      </c>
      <c r="D2756" s="133"/>
      <c r="E2756" s="133" t="str">
        <f>IFERROR(__xludf.DUMMYFUNCTION("""COMPUTED_VALUE"""),"110-116")</f>
        <v>110-116</v>
      </c>
      <c r="F2756" s="165" t="str">
        <f>IFERROR(__xludf.DUMMYFUNCTION("""COMPUTED_VALUE"""),"40065110-116")</f>
        <v>40065110-116</v>
      </c>
      <c r="G2756" s="165">
        <f>IFERROR(__xludf.DUMMYFUNCTION("""COMPUTED_VALUE"""),757.0)</f>
        <v>757</v>
      </c>
    </row>
    <row r="2757" ht="15.75" customHeight="1">
      <c r="A2757" s="133">
        <f>IFERROR(__xludf.DUMMYFUNCTION("""COMPUTED_VALUE"""),40065.0)</f>
        <v>40065</v>
      </c>
      <c r="B2757" s="164">
        <f>IFERROR(__xludf.DUMMYFUNCTION("""COMPUTED_VALUE"""),6313144.0)</f>
        <v>6313144</v>
      </c>
      <c r="C2757" s="164" t="str">
        <f>IFERROR(__xludf.DUMMYFUNCTION("""COMPUTED_VALUE"""),"6313144122-128")</f>
        <v>6313144122-128</v>
      </c>
      <c r="D2757" s="133"/>
      <c r="E2757" s="133" t="str">
        <f>IFERROR(__xludf.DUMMYFUNCTION("""COMPUTED_VALUE"""),"122-128")</f>
        <v>122-128</v>
      </c>
      <c r="F2757" s="165" t="str">
        <f>IFERROR(__xludf.DUMMYFUNCTION("""COMPUTED_VALUE"""),"40065122-128")</f>
        <v>40065122-128</v>
      </c>
      <c r="G2757" s="165">
        <f>IFERROR(__xludf.DUMMYFUNCTION("""COMPUTED_VALUE"""),757.0)</f>
        <v>757</v>
      </c>
    </row>
    <row r="2758" ht="15.75" customHeight="1">
      <c r="A2758" s="133">
        <f>IFERROR(__xludf.DUMMYFUNCTION("""COMPUTED_VALUE"""),40065.0)</f>
        <v>40065</v>
      </c>
      <c r="B2758" s="164">
        <f>IFERROR(__xludf.DUMMYFUNCTION("""COMPUTED_VALUE"""),6313144.0)</f>
        <v>6313144</v>
      </c>
      <c r="C2758" s="164" t="str">
        <f>IFERROR(__xludf.DUMMYFUNCTION("""COMPUTED_VALUE"""),"6313144134-140")</f>
        <v>6313144134-140</v>
      </c>
      <c r="D2758" s="133"/>
      <c r="E2758" s="133" t="str">
        <f>IFERROR(__xludf.DUMMYFUNCTION("""COMPUTED_VALUE"""),"134-140")</f>
        <v>134-140</v>
      </c>
      <c r="F2758" s="165" t="str">
        <f>IFERROR(__xludf.DUMMYFUNCTION("""COMPUTED_VALUE"""),"40065134-140")</f>
        <v>40065134-140</v>
      </c>
      <c r="G2758" s="165">
        <f>IFERROR(__xludf.DUMMYFUNCTION("""COMPUTED_VALUE"""),757.0)</f>
        <v>757</v>
      </c>
    </row>
    <row r="2759" ht="15.75" customHeight="1">
      <c r="A2759" s="133">
        <f>IFERROR(__xludf.DUMMYFUNCTION("""COMPUTED_VALUE"""),40065.0)</f>
        <v>40065</v>
      </c>
      <c r="B2759" s="164">
        <f>IFERROR(__xludf.DUMMYFUNCTION("""COMPUTED_VALUE"""),6313144.0)</f>
        <v>6313144</v>
      </c>
      <c r="C2759" s="164" t="str">
        <f>IFERROR(__xludf.DUMMYFUNCTION("""COMPUTED_VALUE"""),"6313144140-146")</f>
        <v>6313144140-146</v>
      </c>
      <c r="D2759" s="133"/>
      <c r="E2759" s="133" t="str">
        <f>IFERROR(__xludf.DUMMYFUNCTION("""COMPUTED_VALUE"""),"140-146")</f>
        <v>140-146</v>
      </c>
      <c r="F2759" s="165" t="str">
        <f>IFERROR(__xludf.DUMMYFUNCTION("""COMPUTED_VALUE"""),"40065140-146")</f>
        <v>40065140-146</v>
      </c>
      <c r="G2759" s="165">
        <f>IFERROR(__xludf.DUMMYFUNCTION("""COMPUTED_VALUE"""),757.0)</f>
        <v>757</v>
      </c>
    </row>
    <row r="2760" ht="15.75" customHeight="1">
      <c r="A2760" s="133">
        <f>IFERROR(__xludf.DUMMYFUNCTION("""COMPUTED_VALUE"""),40066.0)</f>
        <v>40066</v>
      </c>
      <c r="B2760" s="164">
        <f>IFERROR(__xludf.DUMMYFUNCTION("""COMPUTED_VALUE"""),6313145.0)</f>
        <v>6313145</v>
      </c>
      <c r="C2760" s="164" t="str">
        <f>IFERROR(__xludf.DUMMYFUNCTION("""COMPUTED_VALUE"""),"631314598-104")</f>
        <v>631314598-104</v>
      </c>
      <c r="D2760" s="133" t="str">
        <f>IFERROR(__xludf.DUMMYFUNCTION("""COMPUTED_VALUE"""),"Детский свитер с оленем")</f>
        <v>Детский свитер с оленем</v>
      </c>
      <c r="E2760" s="133" t="str">
        <f>IFERROR(__xludf.DUMMYFUNCTION("""COMPUTED_VALUE"""),"98-104")</f>
        <v>98-104</v>
      </c>
      <c r="F2760" s="165" t="str">
        <f>IFERROR(__xludf.DUMMYFUNCTION("""COMPUTED_VALUE"""),"4006698-104")</f>
        <v>4006698-104</v>
      </c>
      <c r="G2760" s="165">
        <f>IFERROR(__xludf.DUMMYFUNCTION("""COMPUTED_VALUE"""),757.0)</f>
        <v>757</v>
      </c>
    </row>
    <row r="2761" ht="15.75" customHeight="1">
      <c r="A2761" s="133">
        <f>IFERROR(__xludf.DUMMYFUNCTION("""COMPUTED_VALUE"""),40066.0)</f>
        <v>40066</v>
      </c>
      <c r="B2761" s="164">
        <f>IFERROR(__xludf.DUMMYFUNCTION("""COMPUTED_VALUE"""),6313145.0)</f>
        <v>6313145</v>
      </c>
      <c r="C2761" s="164" t="str">
        <f>IFERROR(__xludf.DUMMYFUNCTION("""COMPUTED_VALUE"""),"6313145110-116")</f>
        <v>6313145110-116</v>
      </c>
      <c r="D2761" s="133"/>
      <c r="E2761" s="133" t="str">
        <f>IFERROR(__xludf.DUMMYFUNCTION("""COMPUTED_VALUE"""),"110-116")</f>
        <v>110-116</v>
      </c>
      <c r="F2761" s="165" t="str">
        <f>IFERROR(__xludf.DUMMYFUNCTION("""COMPUTED_VALUE"""),"40066110-116")</f>
        <v>40066110-116</v>
      </c>
      <c r="G2761" s="165">
        <f>IFERROR(__xludf.DUMMYFUNCTION("""COMPUTED_VALUE"""),757.0)</f>
        <v>757</v>
      </c>
    </row>
    <row r="2762" ht="15.75" customHeight="1">
      <c r="A2762" s="133">
        <f>IFERROR(__xludf.DUMMYFUNCTION("""COMPUTED_VALUE"""),40066.0)</f>
        <v>40066</v>
      </c>
      <c r="B2762" s="164">
        <f>IFERROR(__xludf.DUMMYFUNCTION("""COMPUTED_VALUE"""),6313145.0)</f>
        <v>6313145</v>
      </c>
      <c r="C2762" s="164" t="str">
        <f>IFERROR(__xludf.DUMMYFUNCTION("""COMPUTED_VALUE"""),"6313145122-128")</f>
        <v>6313145122-128</v>
      </c>
      <c r="D2762" s="133"/>
      <c r="E2762" s="133" t="str">
        <f>IFERROR(__xludf.DUMMYFUNCTION("""COMPUTED_VALUE"""),"122-128")</f>
        <v>122-128</v>
      </c>
      <c r="F2762" s="165" t="str">
        <f>IFERROR(__xludf.DUMMYFUNCTION("""COMPUTED_VALUE"""),"40066122-128")</f>
        <v>40066122-128</v>
      </c>
      <c r="G2762" s="165">
        <f>IFERROR(__xludf.DUMMYFUNCTION("""COMPUTED_VALUE"""),757.0)</f>
        <v>757</v>
      </c>
    </row>
    <row r="2763" ht="15.75" customHeight="1">
      <c r="A2763" s="133">
        <f>IFERROR(__xludf.DUMMYFUNCTION("""COMPUTED_VALUE"""),40066.0)</f>
        <v>40066</v>
      </c>
      <c r="B2763" s="164">
        <f>IFERROR(__xludf.DUMMYFUNCTION("""COMPUTED_VALUE"""),6313145.0)</f>
        <v>6313145</v>
      </c>
      <c r="C2763" s="164" t="str">
        <f>IFERROR(__xludf.DUMMYFUNCTION("""COMPUTED_VALUE"""),"6313145134-140")</f>
        <v>6313145134-140</v>
      </c>
      <c r="D2763" s="133"/>
      <c r="E2763" s="133" t="str">
        <f>IFERROR(__xludf.DUMMYFUNCTION("""COMPUTED_VALUE"""),"134-140")</f>
        <v>134-140</v>
      </c>
      <c r="F2763" s="165" t="str">
        <f>IFERROR(__xludf.DUMMYFUNCTION("""COMPUTED_VALUE"""),"40066134-140")</f>
        <v>40066134-140</v>
      </c>
      <c r="G2763" s="165">
        <f>IFERROR(__xludf.DUMMYFUNCTION("""COMPUTED_VALUE"""),757.0)</f>
        <v>757</v>
      </c>
    </row>
    <row r="2764" ht="15.75" customHeight="1">
      <c r="A2764" s="133">
        <f>IFERROR(__xludf.DUMMYFUNCTION("""COMPUTED_VALUE"""),40066.0)</f>
        <v>40066</v>
      </c>
      <c r="B2764" s="164">
        <f>IFERROR(__xludf.DUMMYFUNCTION("""COMPUTED_VALUE"""),6313145.0)</f>
        <v>6313145</v>
      </c>
      <c r="C2764" s="164" t="str">
        <f>IFERROR(__xludf.DUMMYFUNCTION("""COMPUTED_VALUE"""),"6313145140-146")</f>
        <v>6313145140-146</v>
      </c>
      <c r="D2764" s="133"/>
      <c r="E2764" s="133" t="str">
        <f>IFERROR(__xludf.DUMMYFUNCTION("""COMPUTED_VALUE"""),"140-146")</f>
        <v>140-146</v>
      </c>
      <c r="F2764" s="165" t="str">
        <f>IFERROR(__xludf.DUMMYFUNCTION("""COMPUTED_VALUE"""),"40066140-146")</f>
        <v>40066140-146</v>
      </c>
      <c r="G2764" s="165">
        <f>IFERROR(__xludf.DUMMYFUNCTION("""COMPUTED_VALUE"""),757.0)</f>
        <v>757</v>
      </c>
    </row>
    <row r="2765" ht="15.75" customHeight="1">
      <c r="A2765" s="133">
        <f>IFERROR(__xludf.DUMMYFUNCTION("""COMPUTED_VALUE"""),40067.0)</f>
        <v>40067</v>
      </c>
      <c r="B2765" s="164">
        <f>IFERROR(__xludf.DUMMYFUNCTION("""COMPUTED_VALUE"""),6313146.0)</f>
        <v>6313146</v>
      </c>
      <c r="C2765" s="164" t="str">
        <f>IFERROR(__xludf.DUMMYFUNCTION("""COMPUTED_VALUE"""),"631314698-104")</f>
        <v>631314698-104</v>
      </c>
      <c r="D2765" s="133" t="str">
        <f>IFERROR(__xludf.DUMMYFUNCTION("""COMPUTED_VALUE"""),"Детский свитер с оленем")</f>
        <v>Детский свитер с оленем</v>
      </c>
      <c r="E2765" s="133" t="str">
        <f>IFERROR(__xludf.DUMMYFUNCTION("""COMPUTED_VALUE"""),"98-104")</f>
        <v>98-104</v>
      </c>
      <c r="F2765" s="165" t="str">
        <f>IFERROR(__xludf.DUMMYFUNCTION("""COMPUTED_VALUE"""),"4006798-104")</f>
        <v>4006798-104</v>
      </c>
      <c r="G2765" s="165">
        <f>IFERROR(__xludf.DUMMYFUNCTION("""COMPUTED_VALUE"""),757.0)</f>
        <v>757</v>
      </c>
    </row>
    <row r="2766" ht="15.75" customHeight="1">
      <c r="A2766" s="133">
        <f>IFERROR(__xludf.DUMMYFUNCTION("""COMPUTED_VALUE"""),40067.0)</f>
        <v>40067</v>
      </c>
      <c r="B2766" s="164">
        <f>IFERROR(__xludf.DUMMYFUNCTION("""COMPUTED_VALUE"""),6313146.0)</f>
        <v>6313146</v>
      </c>
      <c r="C2766" s="164" t="str">
        <f>IFERROR(__xludf.DUMMYFUNCTION("""COMPUTED_VALUE"""),"6313146110-116")</f>
        <v>6313146110-116</v>
      </c>
      <c r="D2766" s="133"/>
      <c r="E2766" s="133" t="str">
        <f>IFERROR(__xludf.DUMMYFUNCTION("""COMPUTED_VALUE"""),"110-116")</f>
        <v>110-116</v>
      </c>
      <c r="F2766" s="165" t="str">
        <f>IFERROR(__xludf.DUMMYFUNCTION("""COMPUTED_VALUE"""),"40067110-116")</f>
        <v>40067110-116</v>
      </c>
      <c r="G2766" s="165">
        <f>IFERROR(__xludf.DUMMYFUNCTION("""COMPUTED_VALUE"""),757.0)</f>
        <v>757</v>
      </c>
    </row>
    <row r="2767" ht="15.75" customHeight="1">
      <c r="A2767" s="133">
        <f>IFERROR(__xludf.DUMMYFUNCTION("""COMPUTED_VALUE"""),40067.0)</f>
        <v>40067</v>
      </c>
      <c r="B2767" s="164">
        <f>IFERROR(__xludf.DUMMYFUNCTION("""COMPUTED_VALUE"""),6313146.0)</f>
        <v>6313146</v>
      </c>
      <c r="C2767" s="164" t="str">
        <f>IFERROR(__xludf.DUMMYFUNCTION("""COMPUTED_VALUE"""),"6313146122-128")</f>
        <v>6313146122-128</v>
      </c>
      <c r="D2767" s="133"/>
      <c r="E2767" s="133" t="str">
        <f>IFERROR(__xludf.DUMMYFUNCTION("""COMPUTED_VALUE"""),"122-128")</f>
        <v>122-128</v>
      </c>
      <c r="F2767" s="165" t="str">
        <f>IFERROR(__xludf.DUMMYFUNCTION("""COMPUTED_VALUE"""),"40067122-128")</f>
        <v>40067122-128</v>
      </c>
      <c r="G2767" s="165">
        <f>IFERROR(__xludf.DUMMYFUNCTION("""COMPUTED_VALUE"""),757.0)</f>
        <v>757</v>
      </c>
    </row>
    <row r="2768" ht="15.75" customHeight="1">
      <c r="A2768" s="133">
        <f>IFERROR(__xludf.DUMMYFUNCTION("""COMPUTED_VALUE"""),40067.0)</f>
        <v>40067</v>
      </c>
      <c r="B2768" s="164">
        <f>IFERROR(__xludf.DUMMYFUNCTION("""COMPUTED_VALUE"""),6313146.0)</f>
        <v>6313146</v>
      </c>
      <c r="C2768" s="164" t="str">
        <f>IFERROR(__xludf.DUMMYFUNCTION("""COMPUTED_VALUE"""),"6313146134-140")</f>
        <v>6313146134-140</v>
      </c>
      <c r="D2768" s="133"/>
      <c r="E2768" s="133" t="str">
        <f>IFERROR(__xludf.DUMMYFUNCTION("""COMPUTED_VALUE"""),"134-140")</f>
        <v>134-140</v>
      </c>
      <c r="F2768" s="165" t="str">
        <f>IFERROR(__xludf.DUMMYFUNCTION("""COMPUTED_VALUE"""),"40067134-140")</f>
        <v>40067134-140</v>
      </c>
      <c r="G2768" s="165">
        <f>IFERROR(__xludf.DUMMYFUNCTION("""COMPUTED_VALUE"""),757.0)</f>
        <v>757</v>
      </c>
    </row>
    <row r="2769" ht="15.75" customHeight="1">
      <c r="A2769" s="133">
        <f>IFERROR(__xludf.DUMMYFUNCTION("""COMPUTED_VALUE"""),40067.0)</f>
        <v>40067</v>
      </c>
      <c r="B2769" s="164">
        <f>IFERROR(__xludf.DUMMYFUNCTION("""COMPUTED_VALUE"""),6313146.0)</f>
        <v>6313146</v>
      </c>
      <c r="C2769" s="164" t="str">
        <f>IFERROR(__xludf.DUMMYFUNCTION("""COMPUTED_VALUE"""),"6313146140-146")</f>
        <v>6313146140-146</v>
      </c>
      <c r="D2769" s="133"/>
      <c r="E2769" s="133" t="str">
        <f>IFERROR(__xludf.DUMMYFUNCTION("""COMPUTED_VALUE"""),"140-146")</f>
        <v>140-146</v>
      </c>
      <c r="F2769" s="165" t="str">
        <f>IFERROR(__xludf.DUMMYFUNCTION("""COMPUTED_VALUE"""),"40067140-146")</f>
        <v>40067140-146</v>
      </c>
      <c r="G2769" s="165">
        <f>IFERROR(__xludf.DUMMYFUNCTION("""COMPUTED_VALUE"""),757.0)</f>
        <v>757</v>
      </c>
    </row>
    <row r="2770" ht="15.75" customHeight="1">
      <c r="A2770" s="133">
        <f>IFERROR(__xludf.DUMMYFUNCTION("""COMPUTED_VALUE"""),440068.0)</f>
        <v>440068</v>
      </c>
      <c r="B2770" s="164">
        <f>IFERROR(__xludf.DUMMYFUNCTION("""COMPUTED_VALUE"""),1.7796526E7)</f>
        <v>17796526</v>
      </c>
      <c r="C2770" s="164" t="str">
        <f>IFERROR(__xludf.DUMMYFUNCTION("""COMPUTED_VALUE"""),"1779652698-104")</f>
        <v>1779652698-104</v>
      </c>
      <c r="D2770" s="133" t="str">
        <f>IFERROR(__xludf.DUMMYFUNCTION("""COMPUTED_VALUE"""),"Детский свитер с оленем")</f>
        <v>Детский свитер с оленем</v>
      </c>
      <c r="E2770" s="133" t="str">
        <f>IFERROR(__xludf.DUMMYFUNCTION("""COMPUTED_VALUE"""),"98-104")</f>
        <v>98-104</v>
      </c>
      <c r="F2770" s="165" t="str">
        <f>IFERROR(__xludf.DUMMYFUNCTION("""COMPUTED_VALUE"""),"44006898-104")</f>
        <v>44006898-104</v>
      </c>
      <c r="G2770" s="165">
        <f>IFERROR(__xludf.DUMMYFUNCTION("""COMPUTED_VALUE"""),672.0)</f>
        <v>672</v>
      </c>
    </row>
    <row r="2771" ht="15.75" customHeight="1">
      <c r="A2771" s="133">
        <f>IFERROR(__xludf.DUMMYFUNCTION("""COMPUTED_VALUE"""),440068.0)</f>
        <v>440068</v>
      </c>
      <c r="B2771" s="164">
        <f>IFERROR(__xludf.DUMMYFUNCTION("""COMPUTED_VALUE"""),1.7796526E7)</f>
        <v>17796526</v>
      </c>
      <c r="C2771" s="164" t="str">
        <f>IFERROR(__xludf.DUMMYFUNCTION("""COMPUTED_VALUE"""),"17796526110-116")</f>
        <v>17796526110-116</v>
      </c>
      <c r="D2771" s="133"/>
      <c r="E2771" s="133" t="str">
        <f>IFERROR(__xludf.DUMMYFUNCTION("""COMPUTED_VALUE"""),"110-116")</f>
        <v>110-116</v>
      </c>
      <c r="F2771" s="165" t="str">
        <f>IFERROR(__xludf.DUMMYFUNCTION("""COMPUTED_VALUE"""),"440068110-116")</f>
        <v>440068110-116</v>
      </c>
      <c r="G2771" s="165">
        <f>IFERROR(__xludf.DUMMYFUNCTION("""COMPUTED_VALUE"""),672.0)</f>
        <v>672</v>
      </c>
    </row>
    <row r="2772" ht="15.75" customHeight="1">
      <c r="A2772" s="133">
        <f>IFERROR(__xludf.DUMMYFUNCTION("""COMPUTED_VALUE"""),440068.0)</f>
        <v>440068</v>
      </c>
      <c r="B2772" s="164">
        <f>IFERROR(__xludf.DUMMYFUNCTION("""COMPUTED_VALUE"""),1.7796526E7)</f>
        <v>17796526</v>
      </c>
      <c r="C2772" s="164" t="str">
        <f>IFERROR(__xludf.DUMMYFUNCTION("""COMPUTED_VALUE"""),"17796526122-128")</f>
        <v>17796526122-128</v>
      </c>
      <c r="D2772" s="133"/>
      <c r="E2772" s="133" t="str">
        <f>IFERROR(__xludf.DUMMYFUNCTION("""COMPUTED_VALUE"""),"122-128")</f>
        <v>122-128</v>
      </c>
      <c r="F2772" s="165" t="str">
        <f>IFERROR(__xludf.DUMMYFUNCTION("""COMPUTED_VALUE"""),"440068122-128")</f>
        <v>440068122-128</v>
      </c>
      <c r="G2772" s="165">
        <f>IFERROR(__xludf.DUMMYFUNCTION("""COMPUTED_VALUE"""),672.0)</f>
        <v>672</v>
      </c>
    </row>
    <row r="2773" ht="15.75" customHeight="1">
      <c r="A2773" s="133">
        <f>IFERROR(__xludf.DUMMYFUNCTION("""COMPUTED_VALUE"""),440068.0)</f>
        <v>440068</v>
      </c>
      <c r="B2773" s="164">
        <f>IFERROR(__xludf.DUMMYFUNCTION("""COMPUTED_VALUE"""),1.7796526E7)</f>
        <v>17796526</v>
      </c>
      <c r="C2773" s="164" t="str">
        <f>IFERROR(__xludf.DUMMYFUNCTION("""COMPUTED_VALUE"""),"17796526134-140")</f>
        <v>17796526134-140</v>
      </c>
      <c r="D2773" s="133"/>
      <c r="E2773" s="133" t="str">
        <f>IFERROR(__xludf.DUMMYFUNCTION("""COMPUTED_VALUE"""),"134-140")</f>
        <v>134-140</v>
      </c>
      <c r="F2773" s="165" t="str">
        <f>IFERROR(__xludf.DUMMYFUNCTION("""COMPUTED_VALUE"""),"440068134-140")</f>
        <v>440068134-140</v>
      </c>
      <c r="G2773" s="165">
        <f>IFERROR(__xludf.DUMMYFUNCTION("""COMPUTED_VALUE"""),672.0)</f>
        <v>672</v>
      </c>
    </row>
    <row r="2774" ht="15.75" customHeight="1">
      <c r="A2774" s="133">
        <f>IFERROR(__xludf.DUMMYFUNCTION("""COMPUTED_VALUE"""),440068.0)</f>
        <v>440068</v>
      </c>
      <c r="B2774" s="164">
        <f>IFERROR(__xludf.DUMMYFUNCTION("""COMPUTED_VALUE"""),1.7796526E7)</f>
        <v>17796526</v>
      </c>
      <c r="C2774" s="164" t="str">
        <f>IFERROR(__xludf.DUMMYFUNCTION("""COMPUTED_VALUE"""),"17796526140-146")</f>
        <v>17796526140-146</v>
      </c>
      <c r="D2774" s="133"/>
      <c r="E2774" s="133" t="str">
        <f>IFERROR(__xludf.DUMMYFUNCTION("""COMPUTED_VALUE"""),"140-146")</f>
        <v>140-146</v>
      </c>
      <c r="F2774" s="165" t="str">
        <f>IFERROR(__xludf.DUMMYFUNCTION("""COMPUTED_VALUE"""),"440068140-146")</f>
        <v>440068140-146</v>
      </c>
      <c r="G2774" s="165">
        <f>IFERROR(__xludf.DUMMYFUNCTION("""COMPUTED_VALUE"""),672.0)</f>
        <v>672</v>
      </c>
    </row>
    <row r="2775" ht="15.75" customHeight="1">
      <c r="A2775" s="133">
        <f>IFERROR(__xludf.DUMMYFUNCTION("""COMPUTED_VALUE"""),40069.0)</f>
        <v>40069</v>
      </c>
      <c r="B2775" s="164">
        <f>IFERROR(__xludf.DUMMYFUNCTION("""COMPUTED_VALUE"""),1.7798126E7)</f>
        <v>17798126</v>
      </c>
      <c r="C2775" s="164" t="str">
        <f>IFERROR(__xludf.DUMMYFUNCTION("""COMPUTED_VALUE"""),"1779812698-104")</f>
        <v>1779812698-104</v>
      </c>
      <c r="D2775" s="133" t="str">
        <f>IFERROR(__xludf.DUMMYFUNCTION("""COMPUTED_VALUE"""),"Детский свитер с оленем")</f>
        <v>Детский свитер с оленем</v>
      </c>
      <c r="E2775" s="133" t="str">
        <f>IFERROR(__xludf.DUMMYFUNCTION("""COMPUTED_VALUE"""),"98-104")</f>
        <v>98-104</v>
      </c>
      <c r="F2775" s="165" t="str">
        <f>IFERROR(__xludf.DUMMYFUNCTION("""COMPUTED_VALUE"""),"4006998-104")</f>
        <v>4006998-104</v>
      </c>
      <c r="G2775" s="165">
        <f>IFERROR(__xludf.DUMMYFUNCTION("""COMPUTED_VALUE"""),631.0)</f>
        <v>631</v>
      </c>
    </row>
    <row r="2776" ht="15.75" customHeight="1">
      <c r="A2776" s="133">
        <f>IFERROR(__xludf.DUMMYFUNCTION("""COMPUTED_VALUE"""),40069.0)</f>
        <v>40069</v>
      </c>
      <c r="B2776" s="164">
        <f>IFERROR(__xludf.DUMMYFUNCTION("""COMPUTED_VALUE"""),1.7798126E7)</f>
        <v>17798126</v>
      </c>
      <c r="C2776" s="164" t="str">
        <f>IFERROR(__xludf.DUMMYFUNCTION("""COMPUTED_VALUE"""),"17798126110-116")</f>
        <v>17798126110-116</v>
      </c>
      <c r="D2776" s="133"/>
      <c r="E2776" s="133" t="str">
        <f>IFERROR(__xludf.DUMMYFUNCTION("""COMPUTED_VALUE"""),"110-116")</f>
        <v>110-116</v>
      </c>
      <c r="F2776" s="165" t="str">
        <f>IFERROR(__xludf.DUMMYFUNCTION("""COMPUTED_VALUE"""),"40069110-116")</f>
        <v>40069110-116</v>
      </c>
      <c r="G2776" s="165">
        <f>IFERROR(__xludf.DUMMYFUNCTION("""COMPUTED_VALUE"""),631.0)</f>
        <v>631</v>
      </c>
    </row>
    <row r="2777" ht="15.75" customHeight="1">
      <c r="A2777" s="133">
        <f>IFERROR(__xludf.DUMMYFUNCTION("""COMPUTED_VALUE"""),40069.0)</f>
        <v>40069</v>
      </c>
      <c r="B2777" s="164">
        <f>IFERROR(__xludf.DUMMYFUNCTION("""COMPUTED_VALUE"""),1.7798126E7)</f>
        <v>17798126</v>
      </c>
      <c r="C2777" s="164" t="str">
        <f>IFERROR(__xludf.DUMMYFUNCTION("""COMPUTED_VALUE"""),"17798126122-128")</f>
        <v>17798126122-128</v>
      </c>
      <c r="D2777" s="133"/>
      <c r="E2777" s="133" t="str">
        <f>IFERROR(__xludf.DUMMYFUNCTION("""COMPUTED_VALUE"""),"122-128")</f>
        <v>122-128</v>
      </c>
      <c r="F2777" s="165" t="str">
        <f>IFERROR(__xludf.DUMMYFUNCTION("""COMPUTED_VALUE"""),"40069122-128")</f>
        <v>40069122-128</v>
      </c>
      <c r="G2777" s="165">
        <f>IFERROR(__xludf.DUMMYFUNCTION("""COMPUTED_VALUE"""),631.0)</f>
        <v>631</v>
      </c>
    </row>
    <row r="2778" ht="15.75" customHeight="1">
      <c r="A2778" s="133">
        <f>IFERROR(__xludf.DUMMYFUNCTION("""COMPUTED_VALUE"""),40069.0)</f>
        <v>40069</v>
      </c>
      <c r="B2778" s="164">
        <f>IFERROR(__xludf.DUMMYFUNCTION("""COMPUTED_VALUE"""),1.7798126E7)</f>
        <v>17798126</v>
      </c>
      <c r="C2778" s="164" t="str">
        <f>IFERROR(__xludf.DUMMYFUNCTION("""COMPUTED_VALUE"""),"17798126134-140")</f>
        <v>17798126134-140</v>
      </c>
      <c r="D2778" s="133"/>
      <c r="E2778" s="133" t="str">
        <f>IFERROR(__xludf.DUMMYFUNCTION("""COMPUTED_VALUE"""),"134-140")</f>
        <v>134-140</v>
      </c>
      <c r="F2778" s="165" t="str">
        <f>IFERROR(__xludf.DUMMYFUNCTION("""COMPUTED_VALUE"""),"40069134-140")</f>
        <v>40069134-140</v>
      </c>
      <c r="G2778" s="165">
        <f>IFERROR(__xludf.DUMMYFUNCTION("""COMPUTED_VALUE"""),631.0)</f>
        <v>631</v>
      </c>
    </row>
    <row r="2779" ht="15.75" customHeight="1">
      <c r="A2779" s="133">
        <f>IFERROR(__xludf.DUMMYFUNCTION("""COMPUTED_VALUE"""),40069.0)</f>
        <v>40069</v>
      </c>
      <c r="B2779" s="164">
        <f>IFERROR(__xludf.DUMMYFUNCTION("""COMPUTED_VALUE"""),1.7798126E7)</f>
        <v>17798126</v>
      </c>
      <c r="C2779" s="164" t="str">
        <f>IFERROR(__xludf.DUMMYFUNCTION("""COMPUTED_VALUE"""),"17798126140-146")</f>
        <v>17798126140-146</v>
      </c>
      <c r="D2779" s="133"/>
      <c r="E2779" s="133" t="str">
        <f>IFERROR(__xludf.DUMMYFUNCTION("""COMPUTED_VALUE"""),"140-146")</f>
        <v>140-146</v>
      </c>
      <c r="F2779" s="165" t="str">
        <f>IFERROR(__xludf.DUMMYFUNCTION("""COMPUTED_VALUE"""),"40069140-146")</f>
        <v>40069140-146</v>
      </c>
      <c r="G2779" s="165">
        <f>IFERROR(__xludf.DUMMYFUNCTION("""COMPUTED_VALUE"""),631.0)</f>
        <v>631</v>
      </c>
    </row>
    <row r="2780" ht="15.75" customHeight="1">
      <c r="A2780" s="133">
        <f>IFERROR(__xludf.DUMMYFUNCTION("""COMPUTED_VALUE"""),40071.0)</f>
        <v>40071</v>
      </c>
      <c r="B2780" s="164">
        <f>IFERROR(__xludf.DUMMYFUNCTION("""COMPUTED_VALUE"""),1.7798127E7)</f>
        <v>17798127</v>
      </c>
      <c r="C2780" s="164" t="str">
        <f>IFERROR(__xludf.DUMMYFUNCTION("""COMPUTED_VALUE"""),"1779812798-104")</f>
        <v>1779812798-104</v>
      </c>
      <c r="D2780" s="133"/>
      <c r="E2780" s="133" t="str">
        <f>IFERROR(__xludf.DUMMYFUNCTION("""COMPUTED_VALUE"""),"98-104")</f>
        <v>98-104</v>
      </c>
      <c r="F2780" s="165" t="str">
        <f>IFERROR(__xludf.DUMMYFUNCTION("""COMPUTED_VALUE"""),"4007198-104")</f>
        <v>4007198-104</v>
      </c>
      <c r="G2780" s="165">
        <f>IFERROR(__xludf.DUMMYFUNCTION("""COMPUTED_VALUE"""),697.0)</f>
        <v>697</v>
      </c>
    </row>
    <row r="2781" ht="15.75" customHeight="1">
      <c r="A2781" s="133">
        <f>IFERROR(__xludf.DUMMYFUNCTION("""COMPUTED_VALUE"""),40071.0)</f>
        <v>40071</v>
      </c>
      <c r="B2781" s="164">
        <f>IFERROR(__xludf.DUMMYFUNCTION("""COMPUTED_VALUE"""),1.7798127E7)</f>
        <v>17798127</v>
      </c>
      <c r="C2781" s="164" t="str">
        <f>IFERROR(__xludf.DUMMYFUNCTION("""COMPUTED_VALUE"""),"17798127110-116")</f>
        <v>17798127110-116</v>
      </c>
      <c r="D2781" s="133"/>
      <c r="E2781" s="133" t="str">
        <f>IFERROR(__xludf.DUMMYFUNCTION("""COMPUTED_VALUE"""),"110-116")</f>
        <v>110-116</v>
      </c>
      <c r="F2781" s="165" t="str">
        <f>IFERROR(__xludf.DUMMYFUNCTION("""COMPUTED_VALUE"""),"40071110-116")</f>
        <v>40071110-116</v>
      </c>
      <c r="G2781" s="165">
        <f>IFERROR(__xludf.DUMMYFUNCTION("""COMPUTED_VALUE"""),697.0)</f>
        <v>697</v>
      </c>
    </row>
    <row r="2782" ht="15.75" customHeight="1">
      <c r="A2782" s="133">
        <f>IFERROR(__xludf.DUMMYFUNCTION("""COMPUTED_VALUE"""),40071.0)</f>
        <v>40071</v>
      </c>
      <c r="B2782" s="164">
        <f>IFERROR(__xludf.DUMMYFUNCTION("""COMPUTED_VALUE"""),1.7798127E7)</f>
        <v>17798127</v>
      </c>
      <c r="C2782" s="164" t="str">
        <f>IFERROR(__xludf.DUMMYFUNCTION("""COMPUTED_VALUE"""),"17798127122-128")</f>
        <v>17798127122-128</v>
      </c>
      <c r="D2782" s="133"/>
      <c r="E2782" s="133" t="str">
        <f>IFERROR(__xludf.DUMMYFUNCTION("""COMPUTED_VALUE"""),"122-128")</f>
        <v>122-128</v>
      </c>
      <c r="F2782" s="165" t="str">
        <f>IFERROR(__xludf.DUMMYFUNCTION("""COMPUTED_VALUE"""),"40071122-128")</f>
        <v>40071122-128</v>
      </c>
      <c r="G2782" s="165">
        <f>IFERROR(__xludf.DUMMYFUNCTION("""COMPUTED_VALUE"""),697.0)</f>
        <v>697</v>
      </c>
    </row>
    <row r="2783" ht="15.75" customHeight="1">
      <c r="A2783" s="133">
        <f>IFERROR(__xludf.DUMMYFUNCTION("""COMPUTED_VALUE"""),40071.0)</f>
        <v>40071</v>
      </c>
      <c r="B2783" s="164">
        <f>IFERROR(__xludf.DUMMYFUNCTION("""COMPUTED_VALUE"""),1.7798127E7)</f>
        <v>17798127</v>
      </c>
      <c r="C2783" s="164" t="str">
        <f>IFERROR(__xludf.DUMMYFUNCTION("""COMPUTED_VALUE"""),"17798127134-140")</f>
        <v>17798127134-140</v>
      </c>
      <c r="D2783" s="133"/>
      <c r="E2783" s="133" t="str">
        <f>IFERROR(__xludf.DUMMYFUNCTION("""COMPUTED_VALUE"""),"134-140")</f>
        <v>134-140</v>
      </c>
      <c r="F2783" s="165" t="str">
        <f>IFERROR(__xludf.DUMMYFUNCTION("""COMPUTED_VALUE"""),"40071134-140")</f>
        <v>40071134-140</v>
      </c>
      <c r="G2783" s="165">
        <f>IFERROR(__xludf.DUMMYFUNCTION("""COMPUTED_VALUE"""),697.0)</f>
        <v>697</v>
      </c>
    </row>
    <row r="2784" ht="15.75" customHeight="1">
      <c r="A2784" s="133">
        <f>IFERROR(__xludf.DUMMYFUNCTION("""COMPUTED_VALUE"""),40071.0)</f>
        <v>40071</v>
      </c>
      <c r="B2784" s="164">
        <f>IFERROR(__xludf.DUMMYFUNCTION("""COMPUTED_VALUE"""),1.7798127E7)</f>
        <v>17798127</v>
      </c>
      <c r="C2784" s="164" t="str">
        <f>IFERROR(__xludf.DUMMYFUNCTION("""COMPUTED_VALUE"""),"17798127140-146")</f>
        <v>17798127140-146</v>
      </c>
      <c r="D2784" s="133"/>
      <c r="E2784" s="133" t="str">
        <f>IFERROR(__xludf.DUMMYFUNCTION("""COMPUTED_VALUE"""),"140-146")</f>
        <v>140-146</v>
      </c>
      <c r="F2784" s="165" t="str">
        <f>IFERROR(__xludf.DUMMYFUNCTION("""COMPUTED_VALUE"""),"40071140-146")</f>
        <v>40071140-146</v>
      </c>
      <c r="G2784" s="165">
        <f>IFERROR(__xludf.DUMMYFUNCTION("""COMPUTED_VALUE"""),697.0)</f>
        <v>697</v>
      </c>
    </row>
    <row r="2785" ht="15.75" customHeight="1">
      <c r="A2785" s="133">
        <f>IFERROR(__xludf.DUMMYFUNCTION("""COMPUTED_VALUE"""),40073.0)</f>
        <v>40073</v>
      </c>
      <c r="B2785" s="164">
        <f>IFERROR(__xludf.DUMMYFUNCTION("""COMPUTED_VALUE"""),1.7798128E7)</f>
        <v>17798128</v>
      </c>
      <c r="C2785" s="164" t="str">
        <f>IFERROR(__xludf.DUMMYFUNCTION("""COMPUTED_VALUE"""),"1779812898-104")</f>
        <v>1779812898-104</v>
      </c>
      <c r="D2785" s="133"/>
      <c r="E2785" s="133" t="str">
        <f>IFERROR(__xludf.DUMMYFUNCTION("""COMPUTED_VALUE"""),"98-104")</f>
        <v>98-104</v>
      </c>
      <c r="F2785" s="165" t="str">
        <f>IFERROR(__xludf.DUMMYFUNCTION("""COMPUTED_VALUE"""),"4007398-104")</f>
        <v>4007398-104</v>
      </c>
      <c r="G2785" s="165">
        <f>IFERROR(__xludf.DUMMYFUNCTION("""COMPUTED_VALUE"""),697.0)</f>
        <v>697</v>
      </c>
    </row>
    <row r="2786" ht="15.75" customHeight="1">
      <c r="A2786" s="133">
        <f>IFERROR(__xludf.DUMMYFUNCTION("""COMPUTED_VALUE"""),40073.0)</f>
        <v>40073</v>
      </c>
      <c r="B2786" s="164">
        <f>IFERROR(__xludf.DUMMYFUNCTION("""COMPUTED_VALUE"""),1.7798128E7)</f>
        <v>17798128</v>
      </c>
      <c r="C2786" s="164" t="str">
        <f>IFERROR(__xludf.DUMMYFUNCTION("""COMPUTED_VALUE"""),"17798128110-116")</f>
        <v>17798128110-116</v>
      </c>
      <c r="D2786" s="133"/>
      <c r="E2786" s="133" t="str">
        <f>IFERROR(__xludf.DUMMYFUNCTION("""COMPUTED_VALUE"""),"110-116")</f>
        <v>110-116</v>
      </c>
      <c r="F2786" s="165" t="str">
        <f>IFERROR(__xludf.DUMMYFUNCTION("""COMPUTED_VALUE"""),"40073110-116")</f>
        <v>40073110-116</v>
      </c>
      <c r="G2786" s="165">
        <f>IFERROR(__xludf.DUMMYFUNCTION("""COMPUTED_VALUE"""),697.0)</f>
        <v>697</v>
      </c>
    </row>
    <row r="2787" ht="15.75" customHeight="1">
      <c r="A2787" s="133">
        <f>IFERROR(__xludf.DUMMYFUNCTION("""COMPUTED_VALUE"""),40073.0)</f>
        <v>40073</v>
      </c>
      <c r="B2787" s="164">
        <f>IFERROR(__xludf.DUMMYFUNCTION("""COMPUTED_VALUE"""),1.7798128E7)</f>
        <v>17798128</v>
      </c>
      <c r="C2787" s="164" t="str">
        <f>IFERROR(__xludf.DUMMYFUNCTION("""COMPUTED_VALUE"""),"17798128122-128")</f>
        <v>17798128122-128</v>
      </c>
      <c r="D2787" s="133"/>
      <c r="E2787" s="133" t="str">
        <f>IFERROR(__xludf.DUMMYFUNCTION("""COMPUTED_VALUE"""),"122-128")</f>
        <v>122-128</v>
      </c>
      <c r="F2787" s="165" t="str">
        <f>IFERROR(__xludf.DUMMYFUNCTION("""COMPUTED_VALUE"""),"40073122-128")</f>
        <v>40073122-128</v>
      </c>
      <c r="G2787" s="165">
        <f>IFERROR(__xludf.DUMMYFUNCTION("""COMPUTED_VALUE"""),697.0)</f>
        <v>697</v>
      </c>
    </row>
    <row r="2788" ht="15.75" customHeight="1">
      <c r="A2788" s="133">
        <f>IFERROR(__xludf.DUMMYFUNCTION("""COMPUTED_VALUE"""),40073.0)</f>
        <v>40073</v>
      </c>
      <c r="B2788" s="164">
        <f>IFERROR(__xludf.DUMMYFUNCTION("""COMPUTED_VALUE"""),1.7798128E7)</f>
        <v>17798128</v>
      </c>
      <c r="C2788" s="164" t="str">
        <f>IFERROR(__xludf.DUMMYFUNCTION("""COMPUTED_VALUE"""),"17798128134-140")</f>
        <v>17798128134-140</v>
      </c>
      <c r="D2788" s="133"/>
      <c r="E2788" s="133" t="str">
        <f>IFERROR(__xludf.DUMMYFUNCTION("""COMPUTED_VALUE"""),"134-140")</f>
        <v>134-140</v>
      </c>
      <c r="F2788" s="165" t="str">
        <f>IFERROR(__xludf.DUMMYFUNCTION("""COMPUTED_VALUE"""),"40073134-140")</f>
        <v>40073134-140</v>
      </c>
      <c r="G2788" s="165">
        <f>IFERROR(__xludf.DUMMYFUNCTION("""COMPUTED_VALUE"""),697.0)</f>
        <v>697</v>
      </c>
    </row>
    <row r="2789" ht="15.75" customHeight="1">
      <c r="A2789" s="133">
        <f>IFERROR(__xludf.DUMMYFUNCTION("""COMPUTED_VALUE"""),40073.0)</f>
        <v>40073</v>
      </c>
      <c r="B2789" s="164">
        <f>IFERROR(__xludf.DUMMYFUNCTION("""COMPUTED_VALUE"""),1.7798128E7)</f>
        <v>17798128</v>
      </c>
      <c r="C2789" s="164" t="str">
        <f>IFERROR(__xludf.DUMMYFUNCTION("""COMPUTED_VALUE"""),"17798128140-146")</f>
        <v>17798128140-146</v>
      </c>
      <c r="D2789" s="133"/>
      <c r="E2789" s="133" t="str">
        <f>IFERROR(__xludf.DUMMYFUNCTION("""COMPUTED_VALUE"""),"140-146")</f>
        <v>140-146</v>
      </c>
      <c r="F2789" s="165" t="str">
        <f>IFERROR(__xludf.DUMMYFUNCTION("""COMPUTED_VALUE"""),"40073140-146")</f>
        <v>40073140-146</v>
      </c>
      <c r="G2789" s="165">
        <f>IFERROR(__xludf.DUMMYFUNCTION("""COMPUTED_VALUE"""),697.0)</f>
        <v>697</v>
      </c>
    </row>
    <row r="2790" ht="15.75" customHeight="1">
      <c r="A2790" s="133">
        <f>IFERROR(__xludf.DUMMYFUNCTION("""COMPUTED_VALUE"""),60003.0)</f>
        <v>60003</v>
      </c>
      <c r="B2790" s="164">
        <f>IFERROR(__xludf.DUMMYFUNCTION("""COMPUTED_VALUE"""),1.6835074E7)</f>
        <v>16835074</v>
      </c>
      <c r="C2790" s="164" t="str">
        <f>IFERROR(__xludf.DUMMYFUNCTION("""COMPUTED_VALUE"""),"168350740")</f>
        <v>168350740</v>
      </c>
      <c r="D2790" s="133"/>
      <c r="E2790" s="133">
        <f>IFERROR(__xludf.DUMMYFUNCTION("""COMPUTED_VALUE"""),0.0)</f>
        <v>0</v>
      </c>
      <c r="F2790" s="165">
        <f>IFERROR(__xludf.DUMMYFUNCTION("""COMPUTED_VALUE"""),600030.0)</f>
        <v>600030</v>
      </c>
      <c r="G2790" s="165">
        <f>IFERROR(__xludf.DUMMYFUNCTION("""COMPUTED_VALUE"""),443.0)</f>
        <v>443</v>
      </c>
    </row>
    <row r="2791" ht="15.75" customHeight="1">
      <c r="A2791" s="133" t="str">
        <f>IFERROR(__xludf.DUMMYFUNCTION("""COMPUTED_VALUE"""),"H40390SLM")</f>
        <v>H40390SLM</v>
      </c>
      <c r="B2791" s="164">
        <f>IFERROR(__xludf.DUMMYFUNCTION("""COMPUTED_VALUE"""),1.8075948E7)</f>
        <v>18075948</v>
      </c>
      <c r="C2791" s="164" t="str">
        <f>IFERROR(__xludf.DUMMYFUNCTION("""COMPUTED_VALUE"""),"1807594846-52")</f>
        <v>1807594846-52</v>
      </c>
      <c r="D2791" s="133" t="str">
        <f>IFERROR(__xludf.DUMMYFUNCTION("""COMPUTED_VALUE"""),"Оливковый")</f>
        <v>Оливковый</v>
      </c>
      <c r="E2791" s="133" t="str">
        <f>IFERROR(__xludf.DUMMYFUNCTION("""COMPUTED_VALUE"""),"46-52")</f>
        <v>46-52</v>
      </c>
      <c r="F2791" s="165" t="str">
        <f>IFERROR(__xludf.DUMMYFUNCTION("""COMPUTED_VALUE"""),"H40390SLM46-52")</f>
        <v>H40390SLM46-52</v>
      </c>
      <c r="G2791" s="165">
        <f>IFERROR(__xludf.DUMMYFUNCTION("""COMPUTED_VALUE"""),860.0)</f>
        <v>860</v>
      </c>
    </row>
    <row r="2792" ht="15.75" customHeight="1">
      <c r="A2792" s="133" t="str">
        <f>IFERROR(__xludf.DUMMYFUNCTION("""COMPUTED_VALUE"""),"H40389SLW")</f>
        <v>H40389SLW</v>
      </c>
      <c r="B2792" s="164">
        <f>IFERROR(__xludf.DUMMYFUNCTION("""COMPUTED_VALUE"""),1.807595E7)</f>
        <v>18075950</v>
      </c>
      <c r="C2792" s="164" t="str">
        <f>IFERROR(__xludf.DUMMYFUNCTION("""COMPUTED_VALUE"""),"1807595040-54")</f>
        <v>1807595040-54</v>
      </c>
      <c r="D2792" s="133" t="str">
        <f>IFERROR(__xludf.DUMMYFUNCTION("""COMPUTED_VALUE"""),"Оливковый")</f>
        <v>Оливковый</v>
      </c>
      <c r="E2792" s="133" t="str">
        <f>IFERROR(__xludf.DUMMYFUNCTION("""COMPUTED_VALUE"""),"40-54")</f>
        <v>40-54</v>
      </c>
      <c r="F2792" s="165" t="str">
        <f>IFERROR(__xludf.DUMMYFUNCTION("""COMPUTED_VALUE"""),"H40389SLW40-56")</f>
        <v>H40389SLW40-56</v>
      </c>
      <c r="G2792" s="165">
        <f>IFERROR(__xludf.DUMMYFUNCTION("""COMPUTED_VALUE"""),860.0)</f>
        <v>860</v>
      </c>
    </row>
    <row r="2793" ht="15.75" customHeight="1">
      <c r="A2793" s="133" t="str">
        <f>IFERROR(__xludf.DUMMYFUNCTION("""COMPUTED_VALUE"""),"KO40385SLWчерный")</f>
        <v>KO40385SLWчерный</v>
      </c>
      <c r="B2793" s="164">
        <f>IFERROR(__xludf.DUMMYFUNCTION("""COMPUTED_VALUE"""),1.8074632E7)</f>
        <v>18074632</v>
      </c>
      <c r="C2793" s="164" t="str">
        <f>IFERROR(__xludf.DUMMYFUNCTION("""COMPUTED_VALUE"""),"18074632S")</f>
        <v>18074632S</v>
      </c>
      <c r="D2793" s="133" t="str">
        <f>IFERROR(__xludf.DUMMYFUNCTION("""COMPUTED_VALUE"""),"Черный")</f>
        <v>Черный</v>
      </c>
      <c r="E2793" s="133" t="str">
        <f>IFERROR(__xludf.DUMMYFUNCTION("""COMPUTED_VALUE"""),"S")</f>
        <v>S</v>
      </c>
      <c r="F2793" s="165" t="str">
        <f>IFERROR(__xludf.DUMMYFUNCTION("""COMPUTED_VALUE"""),"KO40385SLWчерныйS")</f>
        <v>KO40385SLWчерныйS</v>
      </c>
      <c r="G2793" s="165">
        <f>IFERROR(__xludf.DUMMYFUNCTION("""COMPUTED_VALUE"""),1641.0)</f>
        <v>1641</v>
      </c>
    </row>
    <row r="2794" ht="15.75" customHeight="1">
      <c r="A2794" s="133" t="str">
        <f>IFERROR(__xludf.DUMMYFUNCTION("""COMPUTED_VALUE"""),"KO40385SLWчерный")</f>
        <v>KO40385SLWчерный</v>
      </c>
      <c r="B2794" s="164">
        <f>IFERROR(__xludf.DUMMYFUNCTION("""COMPUTED_VALUE"""),1.8074632E7)</f>
        <v>18074632</v>
      </c>
      <c r="C2794" s="164" t="str">
        <f>IFERROR(__xludf.DUMMYFUNCTION("""COMPUTED_VALUE"""),"18074632M")</f>
        <v>18074632M</v>
      </c>
      <c r="D2794" s="133" t="str">
        <f>IFERROR(__xludf.DUMMYFUNCTION("""COMPUTED_VALUE"""),"Черный")</f>
        <v>Черный</v>
      </c>
      <c r="E2794" s="133" t="str">
        <f>IFERROR(__xludf.DUMMYFUNCTION("""COMPUTED_VALUE"""),"M")</f>
        <v>M</v>
      </c>
      <c r="F2794" s="165" t="str">
        <f>IFERROR(__xludf.DUMMYFUNCTION("""COMPUTED_VALUE"""),"KO40385SLWчерныйM")</f>
        <v>KO40385SLWчерныйM</v>
      </c>
      <c r="G2794" s="165">
        <f>IFERROR(__xludf.DUMMYFUNCTION("""COMPUTED_VALUE"""),1641.0)</f>
        <v>1641</v>
      </c>
    </row>
    <row r="2795" ht="15.75" customHeight="1">
      <c r="A2795" s="133" t="str">
        <f>IFERROR(__xludf.DUMMYFUNCTION("""COMPUTED_VALUE"""),"KO40385SLWчерный")</f>
        <v>KO40385SLWчерный</v>
      </c>
      <c r="B2795" s="164">
        <f>IFERROR(__xludf.DUMMYFUNCTION("""COMPUTED_VALUE"""),1.8074632E7)</f>
        <v>18074632</v>
      </c>
      <c r="C2795" s="164" t="str">
        <f>IFERROR(__xludf.DUMMYFUNCTION("""COMPUTED_VALUE"""),"18074632L")</f>
        <v>18074632L</v>
      </c>
      <c r="D2795" s="133" t="str">
        <f>IFERROR(__xludf.DUMMYFUNCTION("""COMPUTED_VALUE"""),"Черный")</f>
        <v>Черный</v>
      </c>
      <c r="E2795" s="133" t="str">
        <f>IFERROR(__xludf.DUMMYFUNCTION("""COMPUTED_VALUE"""),"L")</f>
        <v>L</v>
      </c>
      <c r="F2795" s="165" t="str">
        <f>IFERROR(__xludf.DUMMYFUNCTION("""COMPUTED_VALUE"""),"KO40385SLWчерныйL")</f>
        <v>KO40385SLWчерныйL</v>
      </c>
      <c r="G2795" s="165">
        <f>IFERROR(__xludf.DUMMYFUNCTION("""COMPUTED_VALUE"""),1641.0)</f>
        <v>1641</v>
      </c>
    </row>
    <row r="2796" ht="15.75" customHeight="1">
      <c r="A2796" s="133" t="str">
        <f>IFERROR(__xludf.DUMMYFUNCTION("""COMPUTED_VALUE"""),"KO40385SLWчерный")</f>
        <v>KO40385SLWчерный</v>
      </c>
      <c r="B2796" s="164">
        <f>IFERROR(__xludf.DUMMYFUNCTION("""COMPUTED_VALUE"""),1.8074632E7)</f>
        <v>18074632</v>
      </c>
      <c r="C2796" s="164" t="str">
        <f>IFERROR(__xludf.DUMMYFUNCTION("""COMPUTED_VALUE"""),"18074632XL")</f>
        <v>18074632XL</v>
      </c>
      <c r="D2796" s="133" t="str">
        <f>IFERROR(__xludf.DUMMYFUNCTION("""COMPUTED_VALUE"""),"Черный")</f>
        <v>Черный</v>
      </c>
      <c r="E2796" s="133" t="str">
        <f>IFERROR(__xludf.DUMMYFUNCTION("""COMPUTED_VALUE"""),"XL")</f>
        <v>XL</v>
      </c>
      <c r="F2796" s="165" t="str">
        <f>IFERROR(__xludf.DUMMYFUNCTION("""COMPUTED_VALUE"""),"KO40385SLWчерныйXL")</f>
        <v>KO40385SLWчерныйXL</v>
      </c>
      <c r="G2796" s="165">
        <f>IFERROR(__xludf.DUMMYFUNCTION("""COMPUTED_VALUE"""),1641.0)</f>
        <v>1641</v>
      </c>
    </row>
    <row r="2797" ht="15.75" customHeight="1">
      <c r="A2797" s="133" t="str">
        <f>IFERROR(__xludf.DUMMYFUNCTION("""COMPUTED_VALUE"""),"KO40387SLMчерный")</f>
        <v>KO40387SLMчерный</v>
      </c>
      <c r="B2797" s="164">
        <f>IFERROR(__xludf.DUMMYFUNCTION("""COMPUTED_VALUE"""),1.8074633E7)</f>
        <v>18074633</v>
      </c>
      <c r="C2797" s="164" t="str">
        <f>IFERROR(__xludf.DUMMYFUNCTION("""COMPUTED_VALUE"""),"18074633S")</f>
        <v>18074633S</v>
      </c>
      <c r="D2797" s="133" t="str">
        <f>IFERROR(__xludf.DUMMYFUNCTION("""COMPUTED_VALUE"""),"Черный")</f>
        <v>Черный</v>
      </c>
      <c r="E2797" s="133" t="str">
        <f>IFERROR(__xludf.DUMMYFUNCTION("""COMPUTED_VALUE"""),"S")</f>
        <v>S</v>
      </c>
      <c r="F2797" s="165" t="str">
        <f>IFERROR(__xludf.DUMMYFUNCTION("""COMPUTED_VALUE"""),"KO40387SLMчерныйS")</f>
        <v>KO40387SLMчерныйS</v>
      </c>
      <c r="G2797" s="165">
        <f>IFERROR(__xludf.DUMMYFUNCTION("""COMPUTED_VALUE"""),1641.0)</f>
        <v>1641</v>
      </c>
    </row>
    <row r="2798" ht="15.75" customHeight="1">
      <c r="A2798" s="133" t="str">
        <f>IFERROR(__xludf.DUMMYFUNCTION("""COMPUTED_VALUE"""),"KO40387SLMчерный")</f>
        <v>KO40387SLMчерный</v>
      </c>
      <c r="B2798" s="164">
        <f>IFERROR(__xludf.DUMMYFUNCTION("""COMPUTED_VALUE"""),1.8074633E7)</f>
        <v>18074633</v>
      </c>
      <c r="C2798" s="164" t="str">
        <f>IFERROR(__xludf.DUMMYFUNCTION("""COMPUTED_VALUE"""),"18074633M")</f>
        <v>18074633M</v>
      </c>
      <c r="D2798" s="133" t="str">
        <f>IFERROR(__xludf.DUMMYFUNCTION("""COMPUTED_VALUE"""),"Черный")</f>
        <v>Черный</v>
      </c>
      <c r="E2798" s="133" t="str">
        <f>IFERROR(__xludf.DUMMYFUNCTION("""COMPUTED_VALUE"""),"M")</f>
        <v>M</v>
      </c>
      <c r="F2798" s="165" t="str">
        <f>IFERROR(__xludf.DUMMYFUNCTION("""COMPUTED_VALUE"""),"KO40387SLMчерныйM")</f>
        <v>KO40387SLMчерныйM</v>
      </c>
      <c r="G2798" s="165">
        <f>IFERROR(__xludf.DUMMYFUNCTION("""COMPUTED_VALUE"""),1641.0)</f>
        <v>1641</v>
      </c>
    </row>
    <row r="2799" ht="15.75" customHeight="1">
      <c r="A2799" s="133" t="str">
        <f>IFERROR(__xludf.DUMMYFUNCTION("""COMPUTED_VALUE"""),"KO40387SLMчерный")</f>
        <v>KO40387SLMчерный</v>
      </c>
      <c r="B2799" s="164">
        <f>IFERROR(__xludf.DUMMYFUNCTION("""COMPUTED_VALUE"""),1.8074633E7)</f>
        <v>18074633</v>
      </c>
      <c r="C2799" s="164" t="str">
        <f>IFERROR(__xludf.DUMMYFUNCTION("""COMPUTED_VALUE"""),"18074633L")</f>
        <v>18074633L</v>
      </c>
      <c r="D2799" s="133" t="str">
        <f>IFERROR(__xludf.DUMMYFUNCTION("""COMPUTED_VALUE"""),"Черный")</f>
        <v>Черный</v>
      </c>
      <c r="E2799" s="133" t="str">
        <f>IFERROR(__xludf.DUMMYFUNCTION("""COMPUTED_VALUE"""),"L")</f>
        <v>L</v>
      </c>
      <c r="F2799" s="165" t="str">
        <f>IFERROR(__xludf.DUMMYFUNCTION("""COMPUTED_VALUE"""),"KO40387SLMчерныйL")</f>
        <v>KO40387SLMчерныйL</v>
      </c>
      <c r="G2799" s="165">
        <f>IFERROR(__xludf.DUMMYFUNCTION("""COMPUTED_VALUE"""),1641.0)</f>
        <v>1641</v>
      </c>
    </row>
    <row r="2800" ht="15.75" customHeight="1">
      <c r="A2800" s="133" t="str">
        <f>IFERROR(__xludf.DUMMYFUNCTION("""COMPUTED_VALUE"""),"KO40387SLMчерный")</f>
        <v>KO40387SLMчерный</v>
      </c>
      <c r="B2800" s="164">
        <f>IFERROR(__xludf.DUMMYFUNCTION("""COMPUTED_VALUE"""),1.8074633E7)</f>
        <v>18074633</v>
      </c>
      <c r="C2800" s="164" t="str">
        <f>IFERROR(__xludf.DUMMYFUNCTION("""COMPUTED_VALUE"""),"18074633XL")</f>
        <v>18074633XL</v>
      </c>
      <c r="D2800" s="133" t="str">
        <f>IFERROR(__xludf.DUMMYFUNCTION("""COMPUTED_VALUE"""),"Черный")</f>
        <v>Черный</v>
      </c>
      <c r="E2800" s="133" t="str">
        <f>IFERROR(__xludf.DUMMYFUNCTION("""COMPUTED_VALUE"""),"XL")</f>
        <v>XL</v>
      </c>
      <c r="F2800" s="165" t="str">
        <f>IFERROR(__xludf.DUMMYFUNCTION("""COMPUTED_VALUE"""),"KO40387SLMчерныйXL")</f>
        <v>KO40387SLMчерныйXL</v>
      </c>
      <c r="G2800" s="165">
        <f>IFERROR(__xludf.DUMMYFUNCTION("""COMPUTED_VALUE"""),1641.0)</f>
        <v>1641</v>
      </c>
    </row>
    <row r="2801" ht="15.75" customHeight="1">
      <c r="A2801" s="133" t="str">
        <f>IFERROR(__xludf.DUMMYFUNCTION("""COMPUTED_VALUE"""),"H403864SLW")</f>
        <v>H403864SLW</v>
      </c>
      <c r="B2801" s="164">
        <f>IFERROR(__xludf.DUMMYFUNCTION("""COMPUTED_VALUE"""),1.8075949E7)</f>
        <v>18075949</v>
      </c>
      <c r="C2801" s="164" t="str">
        <f>IFERROR(__xludf.DUMMYFUNCTION("""COMPUTED_VALUE"""),"1807594940-54")</f>
        <v>1807594940-54</v>
      </c>
      <c r="D2801" s="133" t="str">
        <f>IFERROR(__xludf.DUMMYFUNCTION("""COMPUTED_VALUE"""),"серо-бежевый")</f>
        <v>серо-бежевый</v>
      </c>
      <c r="E2801" s="133" t="str">
        <f>IFERROR(__xludf.DUMMYFUNCTION("""COMPUTED_VALUE"""),"40-54")</f>
        <v>40-54</v>
      </c>
      <c r="F2801" s="165" t="str">
        <f>IFERROR(__xludf.DUMMYFUNCTION("""COMPUTED_VALUE"""),"H403864SLW40-54")</f>
        <v>H403864SLW40-54</v>
      </c>
      <c r="G2801" s="165">
        <f>IFERROR(__xludf.DUMMYFUNCTION("""COMPUTED_VALUE"""),881.0)</f>
        <v>881</v>
      </c>
    </row>
    <row r="2802" ht="15.75" customHeight="1">
      <c r="A2802" s="133" t="str">
        <f>IFERROR(__xludf.DUMMYFUNCTION("""COMPUTED_VALUE"""),"H403863SLW")</f>
        <v>H403863SLW</v>
      </c>
      <c r="B2802" s="164">
        <f>IFERROR(__xludf.DUMMYFUNCTION("""COMPUTED_VALUE"""),1.8460858E7)</f>
        <v>18460858</v>
      </c>
      <c r="C2802" s="164" t="str">
        <f>IFERROR(__xludf.DUMMYFUNCTION("""COMPUTED_VALUE"""),"1846085840-54")</f>
        <v>1846085840-54</v>
      </c>
      <c r="D2802" s="133" t="str">
        <f>IFERROR(__xludf.DUMMYFUNCTION("""COMPUTED_VALUE"""),"ментол")</f>
        <v>ментол</v>
      </c>
      <c r="E2802" s="133" t="str">
        <f>IFERROR(__xludf.DUMMYFUNCTION("""COMPUTED_VALUE"""),"40-54")</f>
        <v>40-54</v>
      </c>
      <c r="F2802" s="165" t="str">
        <f>IFERROR(__xludf.DUMMYFUNCTION("""COMPUTED_VALUE"""),"H403863SLW40-54")</f>
        <v>H403863SLW40-54</v>
      </c>
      <c r="G2802" s="165">
        <f>IFERROR(__xludf.DUMMYFUNCTION("""COMPUTED_VALUE"""),877.0)</f>
        <v>877</v>
      </c>
    </row>
    <row r="2803" ht="15.75" customHeight="1">
      <c r="A2803" s="133" t="str">
        <f>IFERROR(__xludf.DUMMYFUNCTION("""COMPUTED_VALUE"""),"H40384SLM")</f>
        <v>H40384SLM</v>
      </c>
      <c r="B2803" s="164">
        <f>IFERROR(__xludf.DUMMYFUNCTION("""COMPUTED_VALUE"""),1.8075947E7)</f>
        <v>18075947</v>
      </c>
      <c r="C2803" s="164" t="str">
        <f>IFERROR(__xludf.DUMMYFUNCTION("""COMPUTED_VALUE"""),"1807594746-52")</f>
        <v>1807594746-52</v>
      </c>
      <c r="D2803" s="133" t="str">
        <f>IFERROR(__xludf.DUMMYFUNCTION("""COMPUTED_VALUE"""),"серо-бежевый")</f>
        <v>серо-бежевый</v>
      </c>
      <c r="E2803" s="133" t="str">
        <f>IFERROR(__xludf.DUMMYFUNCTION("""COMPUTED_VALUE"""),"46-52")</f>
        <v>46-52</v>
      </c>
      <c r="F2803" s="165" t="str">
        <f>IFERROR(__xludf.DUMMYFUNCTION("""COMPUTED_VALUE"""),"H40383SLM46-52")</f>
        <v>H40383SLM46-52</v>
      </c>
      <c r="G2803" s="165">
        <f>IFERROR(__xludf.DUMMYFUNCTION("""COMPUTED_VALUE"""),877.0)</f>
        <v>877</v>
      </c>
    </row>
    <row r="2804" ht="15.75" customHeight="1">
      <c r="A2804" s="133" t="str">
        <f>IFERROR(__xludf.DUMMYFUNCTION("""COMPUTED_VALUE"""),"H40383SLM")</f>
        <v>H40383SLM</v>
      </c>
      <c r="B2804" s="164">
        <f>IFERROR(__xludf.DUMMYFUNCTION("""COMPUTED_VALUE"""),1.8460857E7)</f>
        <v>18460857</v>
      </c>
      <c r="C2804" s="164" t="str">
        <f>IFERROR(__xludf.DUMMYFUNCTION("""COMPUTED_VALUE"""),"1846085746-52")</f>
        <v>1846085746-52</v>
      </c>
      <c r="D2804" s="133" t="str">
        <f>IFERROR(__xludf.DUMMYFUNCTION("""COMPUTED_VALUE"""),"ментол")</f>
        <v>ментол</v>
      </c>
      <c r="E2804" s="133" t="str">
        <f>IFERROR(__xludf.DUMMYFUNCTION("""COMPUTED_VALUE"""),"46-52")</f>
        <v>46-52</v>
      </c>
      <c r="F2804" s="165" t="str">
        <f>IFERROR(__xludf.DUMMYFUNCTION("""COMPUTED_VALUE"""),"H40390SLM46-52")</f>
        <v>H40390SLM46-52</v>
      </c>
      <c r="G2804" s="165">
        <f>IFERROR(__xludf.DUMMYFUNCTION("""COMPUTED_VALUE"""),877.0)</f>
        <v>877</v>
      </c>
    </row>
    <row r="2805" ht="15.75" customHeight="1">
      <c r="A2805" s="133" t="str">
        <f>IFERROR(__xludf.DUMMYFUNCTION("""COMPUTED_VALUE"""),"H403888SLWслива")</f>
        <v>H403888SLWслива</v>
      </c>
      <c r="B2805" s="164">
        <f>IFERROR(__xludf.DUMMYFUNCTION("""COMPUTED_VALUE"""),1.8583836E7)</f>
        <v>18583836</v>
      </c>
      <c r="C2805" s="164" t="str">
        <f>IFERROR(__xludf.DUMMYFUNCTION("""COMPUTED_VALUE"""),"1858383640-54")</f>
        <v>1858383640-54</v>
      </c>
      <c r="D2805" s="133" t="str">
        <f>IFERROR(__xludf.DUMMYFUNCTION("""COMPUTED_VALUE"""),"сливовый")</f>
        <v>сливовый</v>
      </c>
      <c r="E2805" s="133" t="str">
        <f>IFERROR(__xludf.DUMMYFUNCTION("""COMPUTED_VALUE"""),"40-54")</f>
        <v>40-54</v>
      </c>
      <c r="F2805" s="165" t="str">
        <f>IFERROR(__xludf.DUMMYFUNCTION("""COMPUTED_VALUE"""),"H403888SLWслива40-54")</f>
        <v>H403888SLWслива40-54</v>
      </c>
      <c r="G2805" s="165">
        <f>IFERROR(__xludf.DUMMYFUNCTION("""COMPUTED_VALUE"""),885.0)</f>
        <v>885</v>
      </c>
    </row>
    <row r="2806" ht="15.75" customHeight="1">
      <c r="A2806" s="133" t="str">
        <f>IFERROR(__xludf.DUMMYFUNCTION("""COMPUTED_VALUE"""),"H403888SLWхаки")</f>
        <v>H403888SLWхаки</v>
      </c>
      <c r="B2806" s="164">
        <f>IFERROR(__xludf.DUMMYFUNCTION("""COMPUTED_VALUE"""),1.8583837E7)</f>
        <v>18583837</v>
      </c>
      <c r="C2806" s="164" t="str">
        <f>IFERROR(__xludf.DUMMYFUNCTION("""COMPUTED_VALUE"""),"1858383740-54")</f>
        <v>1858383740-54</v>
      </c>
      <c r="D2806" s="133" t="str">
        <f>IFERROR(__xludf.DUMMYFUNCTION("""COMPUTED_VALUE"""),"хаки")</f>
        <v>хаки</v>
      </c>
      <c r="E2806" s="133" t="str">
        <f>IFERROR(__xludf.DUMMYFUNCTION("""COMPUTED_VALUE"""),"40-54")</f>
        <v>40-54</v>
      </c>
      <c r="F2806" s="165" t="str">
        <f>IFERROR(__xludf.DUMMYFUNCTION("""COMPUTED_VALUE"""),"H403888SLWхаки40-54")</f>
        <v>H403888SLWхаки40-54</v>
      </c>
      <c r="G2806" s="165">
        <f>IFERROR(__xludf.DUMMYFUNCTION("""COMPUTED_VALUE"""),885.0)</f>
        <v>885</v>
      </c>
    </row>
    <row r="2807" ht="15.75" customHeight="1">
      <c r="A2807" s="133" t="str">
        <f>IFERROR(__xludf.DUMMYFUNCTION("""COMPUTED_VALUE"""),"H40390SLMслива")</f>
        <v>H40390SLMслива</v>
      </c>
      <c r="B2807" s="164">
        <f>IFERROR(__xludf.DUMMYFUNCTION("""COMPUTED_VALUE"""),1.8583834E7)</f>
        <v>18583834</v>
      </c>
      <c r="C2807" s="164" t="str">
        <f>IFERROR(__xludf.DUMMYFUNCTION("""COMPUTED_VALUE"""),"1858383446-52")</f>
        <v>1858383446-52</v>
      </c>
      <c r="D2807" s="133" t="str">
        <f>IFERROR(__xludf.DUMMYFUNCTION("""COMPUTED_VALUE"""),"сливовый")</f>
        <v>сливовый</v>
      </c>
      <c r="E2807" s="133" t="str">
        <f>IFERROR(__xludf.DUMMYFUNCTION("""COMPUTED_VALUE"""),"46-52")</f>
        <v>46-52</v>
      </c>
      <c r="F2807" s="165" t="str">
        <f>IFERROR(__xludf.DUMMYFUNCTION("""COMPUTED_VALUE"""),"H40390SLMслива46-52")</f>
        <v>H40390SLMслива46-52</v>
      </c>
      <c r="G2807" s="165">
        <f>IFERROR(__xludf.DUMMYFUNCTION("""COMPUTED_VALUE"""),885.0)</f>
        <v>885</v>
      </c>
    </row>
    <row r="2808" ht="15.75" customHeight="1">
      <c r="A2808" s="133" t="str">
        <f>IFERROR(__xludf.DUMMYFUNCTION("""COMPUTED_VALUE"""),"H40390SLMхаки")</f>
        <v>H40390SLMхаки</v>
      </c>
      <c r="B2808" s="164">
        <f>IFERROR(__xludf.DUMMYFUNCTION("""COMPUTED_VALUE"""),1.8583835E7)</f>
        <v>18583835</v>
      </c>
      <c r="C2808" s="164" t="str">
        <f>IFERROR(__xludf.DUMMYFUNCTION("""COMPUTED_VALUE"""),"1858383546-52")</f>
        <v>1858383546-52</v>
      </c>
      <c r="D2808" s="133" t="str">
        <f>IFERROR(__xludf.DUMMYFUNCTION("""COMPUTED_VALUE"""),"хаки")</f>
        <v>хаки</v>
      </c>
      <c r="E2808" s="133" t="str">
        <f>IFERROR(__xludf.DUMMYFUNCTION("""COMPUTED_VALUE"""),"46-52")</f>
        <v>46-52</v>
      </c>
      <c r="F2808" s="165" t="str">
        <f>IFERROR(__xludf.DUMMYFUNCTION("""COMPUTED_VALUE"""),"H40390SLMхаки46-52")</f>
        <v>H40390SLMхаки46-52</v>
      </c>
      <c r="G2808" s="165">
        <f>IFERROR(__xludf.DUMMYFUNCTION("""COMPUTED_VALUE"""),885.0)</f>
        <v>885</v>
      </c>
    </row>
    <row r="2809" ht="15.75" customHeight="1">
      <c r="A2809" s="133" t="str">
        <f>IFERROR(__xludf.DUMMYFUNCTION("""COMPUTED_VALUE"""),"PL50146DGWбежевый")</f>
        <v>PL50146DGWбежевый</v>
      </c>
      <c r="B2809" s="164">
        <f>IFERROR(__xludf.DUMMYFUNCTION("""COMPUTED_VALUE"""),1.7278777E7)</f>
        <v>17278777</v>
      </c>
      <c r="C2809" s="164" t="str">
        <f>IFERROR(__xludf.DUMMYFUNCTION("""COMPUTED_VALUE"""),"1727877742")</f>
        <v>1727877742</v>
      </c>
      <c r="D2809" s="133" t="str">
        <f>IFERROR(__xludf.DUMMYFUNCTION("""COMPUTED_VALUE"""),"бежевый")</f>
        <v>бежевый</v>
      </c>
      <c r="E2809" s="133">
        <f>IFERROR(__xludf.DUMMYFUNCTION("""COMPUTED_VALUE"""),42.0)</f>
        <v>42</v>
      </c>
      <c r="F2809" s="165" t="str">
        <f>IFERROR(__xludf.DUMMYFUNCTION("""COMPUTED_VALUE"""),"PL50146DGWбежевый42")</f>
        <v>PL50146DGWбежевый42</v>
      </c>
      <c r="G2809" s="165">
        <f>IFERROR(__xludf.DUMMYFUNCTION("""COMPUTED_VALUE"""),544.0)</f>
        <v>544</v>
      </c>
    </row>
    <row r="2810" ht="15.75" customHeight="1">
      <c r="A2810" s="133" t="str">
        <f>IFERROR(__xludf.DUMMYFUNCTION("""COMPUTED_VALUE"""),"PL50146DGWбежевый")</f>
        <v>PL50146DGWбежевый</v>
      </c>
      <c r="B2810" s="164">
        <f>IFERROR(__xludf.DUMMYFUNCTION("""COMPUTED_VALUE"""),1.7278777E7)</f>
        <v>17278777</v>
      </c>
      <c r="C2810" s="164" t="str">
        <f>IFERROR(__xludf.DUMMYFUNCTION("""COMPUTED_VALUE"""),"1727877744")</f>
        <v>1727877744</v>
      </c>
      <c r="D2810" s="133" t="str">
        <f>IFERROR(__xludf.DUMMYFUNCTION("""COMPUTED_VALUE"""),"бежевый")</f>
        <v>бежевый</v>
      </c>
      <c r="E2810" s="133">
        <f>IFERROR(__xludf.DUMMYFUNCTION("""COMPUTED_VALUE"""),44.0)</f>
        <v>44</v>
      </c>
      <c r="F2810" s="165" t="str">
        <f>IFERROR(__xludf.DUMMYFUNCTION("""COMPUTED_VALUE"""),"PL50146DGWбежевый44")</f>
        <v>PL50146DGWбежевый44</v>
      </c>
      <c r="G2810" s="165">
        <f>IFERROR(__xludf.DUMMYFUNCTION("""COMPUTED_VALUE"""),544.0)</f>
        <v>544</v>
      </c>
    </row>
    <row r="2811" ht="15.75" customHeight="1">
      <c r="A2811" s="133" t="str">
        <f>IFERROR(__xludf.DUMMYFUNCTION("""COMPUTED_VALUE"""),"PL50146DGWбежевый")</f>
        <v>PL50146DGWбежевый</v>
      </c>
      <c r="B2811" s="164">
        <f>IFERROR(__xludf.DUMMYFUNCTION("""COMPUTED_VALUE"""),1.7278777E7)</f>
        <v>17278777</v>
      </c>
      <c r="C2811" s="164" t="str">
        <f>IFERROR(__xludf.DUMMYFUNCTION("""COMPUTED_VALUE"""),"1727877746")</f>
        <v>1727877746</v>
      </c>
      <c r="D2811" s="133" t="str">
        <f>IFERROR(__xludf.DUMMYFUNCTION("""COMPUTED_VALUE"""),"бежевый")</f>
        <v>бежевый</v>
      </c>
      <c r="E2811" s="133">
        <f>IFERROR(__xludf.DUMMYFUNCTION("""COMPUTED_VALUE"""),46.0)</f>
        <v>46</v>
      </c>
      <c r="F2811" s="165" t="str">
        <f>IFERROR(__xludf.DUMMYFUNCTION("""COMPUTED_VALUE"""),"PL50146DGWбежевый46")</f>
        <v>PL50146DGWбежевый46</v>
      </c>
      <c r="G2811" s="165">
        <f>IFERROR(__xludf.DUMMYFUNCTION("""COMPUTED_VALUE"""),544.0)</f>
        <v>544</v>
      </c>
    </row>
    <row r="2812" ht="15.75" customHeight="1">
      <c r="A2812" s="133" t="str">
        <f>IFERROR(__xludf.DUMMYFUNCTION("""COMPUTED_VALUE"""),"PL50146DGWбежевый")</f>
        <v>PL50146DGWбежевый</v>
      </c>
      <c r="B2812" s="164">
        <f>IFERROR(__xludf.DUMMYFUNCTION("""COMPUTED_VALUE"""),1.7278777E7)</f>
        <v>17278777</v>
      </c>
      <c r="C2812" s="164" t="str">
        <f>IFERROR(__xludf.DUMMYFUNCTION("""COMPUTED_VALUE"""),"1727877748")</f>
        <v>1727877748</v>
      </c>
      <c r="D2812" s="133" t="str">
        <f>IFERROR(__xludf.DUMMYFUNCTION("""COMPUTED_VALUE"""),"бежевый")</f>
        <v>бежевый</v>
      </c>
      <c r="E2812" s="133">
        <f>IFERROR(__xludf.DUMMYFUNCTION("""COMPUTED_VALUE"""),48.0)</f>
        <v>48</v>
      </c>
      <c r="F2812" s="165" t="str">
        <f>IFERROR(__xludf.DUMMYFUNCTION("""COMPUTED_VALUE"""),"PL50146DGWбежевый48")</f>
        <v>PL50146DGWбежевый48</v>
      </c>
      <c r="G2812" s="165">
        <f>IFERROR(__xludf.DUMMYFUNCTION("""COMPUTED_VALUE"""),544.0)</f>
        <v>544</v>
      </c>
    </row>
    <row r="2813" ht="15.75" customHeight="1">
      <c r="A2813" s="133" t="str">
        <f>IFERROR(__xludf.DUMMYFUNCTION("""COMPUTED_VALUE"""),"PL50146DGWбежевый")</f>
        <v>PL50146DGWбежевый</v>
      </c>
      <c r="B2813" s="164">
        <f>IFERROR(__xludf.DUMMYFUNCTION("""COMPUTED_VALUE"""),1.7278777E7)</f>
        <v>17278777</v>
      </c>
      <c r="C2813" s="164" t="str">
        <f>IFERROR(__xludf.DUMMYFUNCTION("""COMPUTED_VALUE"""),"1727877750")</f>
        <v>1727877750</v>
      </c>
      <c r="D2813" s="133" t="str">
        <f>IFERROR(__xludf.DUMMYFUNCTION("""COMPUTED_VALUE"""),"бежевый")</f>
        <v>бежевый</v>
      </c>
      <c r="E2813" s="133">
        <f>IFERROR(__xludf.DUMMYFUNCTION("""COMPUTED_VALUE"""),50.0)</f>
        <v>50</v>
      </c>
      <c r="F2813" s="165" t="str">
        <f>IFERROR(__xludf.DUMMYFUNCTION("""COMPUTED_VALUE"""),"PL50146DGWбежевый50")</f>
        <v>PL50146DGWбежевый50</v>
      </c>
      <c r="G2813" s="165">
        <f>IFERROR(__xludf.DUMMYFUNCTION("""COMPUTED_VALUE"""),544.0)</f>
        <v>544</v>
      </c>
    </row>
    <row r="2814" ht="15.75" customHeight="1">
      <c r="A2814" s="133" t="str">
        <f>IFERROR(__xludf.DUMMYFUNCTION("""COMPUTED_VALUE"""),"PL50146DGWбежевый")</f>
        <v>PL50146DGWбежевый</v>
      </c>
      <c r="B2814" s="164">
        <f>IFERROR(__xludf.DUMMYFUNCTION("""COMPUTED_VALUE"""),1.7278777E7)</f>
        <v>17278777</v>
      </c>
      <c r="C2814" s="164" t="str">
        <f>IFERROR(__xludf.DUMMYFUNCTION("""COMPUTED_VALUE"""),"1727877752")</f>
        <v>1727877752</v>
      </c>
      <c r="D2814" s="133" t="str">
        <f>IFERROR(__xludf.DUMMYFUNCTION("""COMPUTED_VALUE"""),"бежевый")</f>
        <v>бежевый</v>
      </c>
      <c r="E2814" s="133">
        <f>IFERROR(__xludf.DUMMYFUNCTION("""COMPUTED_VALUE"""),52.0)</f>
        <v>52</v>
      </c>
      <c r="F2814" s="165" t="str">
        <f>IFERROR(__xludf.DUMMYFUNCTION("""COMPUTED_VALUE"""),"PL50146DGWбежевый52")</f>
        <v>PL50146DGWбежевый52</v>
      </c>
      <c r="G2814" s="165">
        <f>IFERROR(__xludf.DUMMYFUNCTION("""COMPUTED_VALUE"""),544.0)</f>
        <v>544</v>
      </c>
    </row>
    <row r="2815" ht="15.75" customHeight="1">
      <c r="A2815" s="133" t="str">
        <f>IFERROR(__xludf.DUMMYFUNCTION("""COMPUTED_VALUE"""),"PL50146DGWбежевый")</f>
        <v>PL50146DGWбежевый</v>
      </c>
      <c r="B2815" s="164">
        <f>IFERROR(__xludf.DUMMYFUNCTION("""COMPUTED_VALUE"""),1.7278777E7)</f>
        <v>17278777</v>
      </c>
      <c r="C2815" s="164" t="str">
        <f>IFERROR(__xludf.DUMMYFUNCTION("""COMPUTED_VALUE"""),"1727877754")</f>
        <v>1727877754</v>
      </c>
      <c r="D2815" s="133" t="str">
        <f>IFERROR(__xludf.DUMMYFUNCTION("""COMPUTED_VALUE"""),"бежевый")</f>
        <v>бежевый</v>
      </c>
      <c r="E2815" s="133">
        <f>IFERROR(__xludf.DUMMYFUNCTION("""COMPUTED_VALUE"""),54.0)</f>
        <v>54</v>
      </c>
      <c r="F2815" s="165" t="str">
        <f>IFERROR(__xludf.DUMMYFUNCTION("""COMPUTED_VALUE"""),"PL50146DGWбежевый54")</f>
        <v>PL50146DGWбежевый54</v>
      </c>
      <c r="G2815" s="165">
        <f>IFERROR(__xludf.DUMMYFUNCTION("""COMPUTED_VALUE"""),544.0)</f>
        <v>544</v>
      </c>
    </row>
    <row r="2816" ht="15.75" customHeight="1">
      <c r="A2816" s="133" t="str">
        <f>IFERROR(__xludf.DUMMYFUNCTION("""COMPUTED_VALUE"""),"KO40385SLWрозовый")</f>
        <v>KO40385SLWрозовый</v>
      </c>
      <c r="B2816" s="164">
        <f>IFERROR(__xludf.DUMMYFUNCTION("""COMPUTED_VALUE"""),1.8693271E7)</f>
        <v>18693271</v>
      </c>
      <c r="C2816" s="164" t="str">
        <f>IFERROR(__xludf.DUMMYFUNCTION("""COMPUTED_VALUE"""),"18693271S")</f>
        <v>18693271S</v>
      </c>
      <c r="D2816" s="133" t="str">
        <f>IFERROR(__xludf.DUMMYFUNCTION("""COMPUTED_VALUE"""),"розовый")</f>
        <v>розовый</v>
      </c>
      <c r="E2816" s="133" t="str">
        <f>IFERROR(__xludf.DUMMYFUNCTION("""COMPUTED_VALUE"""),"S")</f>
        <v>S</v>
      </c>
      <c r="F2816" s="165" t="str">
        <f>IFERROR(__xludf.DUMMYFUNCTION("""COMPUTED_VALUE"""),"KO40385SLWрозовыйS")</f>
        <v>KO40385SLWрозовыйS</v>
      </c>
      <c r="G2816" s="165">
        <f>IFERROR(__xludf.DUMMYFUNCTION("""COMPUTED_VALUE"""),1474.0)</f>
        <v>1474</v>
      </c>
    </row>
    <row r="2817" ht="15.75" customHeight="1">
      <c r="A2817" s="133" t="str">
        <f>IFERROR(__xludf.DUMMYFUNCTION("""COMPUTED_VALUE"""),"KO40385SLWрозовый")</f>
        <v>KO40385SLWрозовый</v>
      </c>
      <c r="B2817" s="164">
        <f>IFERROR(__xludf.DUMMYFUNCTION("""COMPUTED_VALUE"""),1.8693271E7)</f>
        <v>18693271</v>
      </c>
      <c r="C2817" s="164" t="str">
        <f>IFERROR(__xludf.DUMMYFUNCTION("""COMPUTED_VALUE"""),"18693271M")</f>
        <v>18693271M</v>
      </c>
      <c r="D2817" s="133" t="str">
        <f>IFERROR(__xludf.DUMMYFUNCTION("""COMPUTED_VALUE"""),"розовый")</f>
        <v>розовый</v>
      </c>
      <c r="E2817" s="133" t="str">
        <f>IFERROR(__xludf.DUMMYFUNCTION("""COMPUTED_VALUE"""),"M")</f>
        <v>M</v>
      </c>
      <c r="F2817" s="165" t="str">
        <f>IFERROR(__xludf.DUMMYFUNCTION("""COMPUTED_VALUE"""),"KO40385SLWрозовыйM")</f>
        <v>KO40385SLWрозовыйM</v>
      </c>
      <c r="G2817" s="165">
        <f>IFERROR(__xludf.DUMMYFUNCTION("""COMPUTED_VALUE"""),1474.0)</f>
        <v>1474</v>
      </c>
    </row>
    <row r="2818" ht="15.75" customHeight="1">
      <c r="A2818" s="133" t="str">
        <f>IFERROR(__xludf.DUMMYFUNCTION("""COMPUTED_VALUE"""),"KO40385SLWрозовый")</f>
        <v>KO40385SLWрозовый</v>
      </c>
      <c r="B2818" s="164">
        <f>IFERROR(__xludf.DUMMYFUNCTION("""COMPUTED_VALUE"""),1.8693271E7)</f>
        <v>18693271</v>
      </c>
      <c r="C2818" s="164" t="str">
        <f>IFERROR(__xludf.DUMMYFUNCTION("""COMPUTED_VALUE"""),"18693271L")</f>
        <v>18693271L</v>
      </c>
      <c r="D2818" s="133" t="str">
        <f>IFERROR(__xludf.DUMMYFUNCTION("""COMPUTED_VALUE"""),"розовый")</f>
        <v>розовый</v>
      </c>
      <c r="E2818" s="133" t="str">
        <f>IFERROR(__xludf.DUMMYFUNCTION("""COMPUTED_VALUE"""),"L")</f>
        <v>L</v>
      </c>
      <c r="F2818" s="165" t="str">
        <f>IFERROR(__xludf.DUMMYFUNCTION("""COMPUTED_VALUE"""),"KO40385SLWрозовыйL")</f>
        <v>KO40385SLWрозовыйL</v>
      </c>
      <c r="G2818" s="165">
        <f>IFERROR(__xludf.DUMMYFUNCTION("""COMPUTED_VALUE"""),1474.0)</f>
        <v>1474</v>
      </c>
    </row>
    <row r="2819" ht="15.75" customHeight="1">
      <c r="A2819" s="133" t="str">
        <f>IFERROR(__xludf.DUMMYFUNCTION("""COMPUTED_VALUE"""),"KO40385SLWрозовый")</f>
        <v>KO40385SLWрозовый</v>
      </c>
      <c r="B2819" s="164">
        <f>IFERROR(__xludf.DUMMYFUNCTION("""COMPUTED_VALUE"""),1.8693271E7)</f>
        <v>18693271</v>
      </c>
      <c r="C2819" s="164" t="str">
        <f>IFERROR(__xludf.DUMMYFUNCTION("""COMPUTED_VALUE"""),"18693271XL")</f>
        <v>18693271XL</v>
      </c>
      <c r="D2819" s="133" t="str">
        <f>IFERROR(__xludf.DUMMYFUNCTION("""COMPUTED_VALUE"""),"розовый")</f>
        <v>розовый</v>
      </c>
      <c r="E2819" s="133" t="str">
        <f>IFERROR(__xludf.DUMMYFUNCTION("""COMPUTED_VALUE"""),"XL")</f>
        <v>XL</v>
      </c>
      <c r="F2819" s="165" t="str">
        <f>IFERROR(__xludf.DUMMYFUNCTION("""COMPUTED_VALUE"""),"KO40385SLWрозовыйXL")</f>
        <v>KO40385SLWрозовыйXL</v>
      </c>
      <c r="G2819" s="165">
        <f>IFERROR(__xludf.DUMMYFUNCTION("""COMPUTED_VALUE"""),1474.0)</f>
        <v>1474</v>
      </c>
    </row>
    <row r="2820" ht="15.75" customHeight="1">
      <c r="A2820" s="133" t="str">
        <f>IFERROR(__xludf.DUMMYFUNCTION("""COMPUTED_VALUE"""),"H00350SLMпесочный")</f>
        <v>H00350SLMпесочный</v>
      </c>
      <c r="B2820" s="164">
        <f>IFERROR(__xludf.DUMMYFUNCTION("""COMPUTED_VALUE"""),1.8923931E7)</f>
        <v>18923931</v>
      </c>
      <c r="C2820" s="164" t="str">
        <f>IFERROR(__xludf.DUMMYFUNCTION("""COMPUTED_VALUE"""),"1892393146-52")</f>
        <v>1892393146-52</v>
      </c>
      <c r="D2820" s="133" t="str">
        <f>IFERROR(__xludf.DUMMYFUNCTION("""COMPUTED_VALUE"""),"песочный")</f>
        <v>песочный</v>
      </c>
      <c r="E2820" s="133" t="str">
        <f>IFERROR(__xludf.DUMMYFUNCTION("""COMPUTED_VALUE"""),"46-52")</f>
        <v>46-52</v>
      </c>
      <c r="F2820" s="165" t="str">
        <f>IFERROR(__xludf.DUMMYFUNCTION("""COMPUTED_VALUE"""),"H00350SLMпесочный46-52")</f>
        <v>H00350SLMпесочный46-52</v>
      </c>
      <c r="G2820" s="165">
        <f>IFERROR(__xludf.DUMMYFUNCTION("""COMPUTED_VALUE"""),885.0)</f>
        <v>885</v>
      </c>
    </row>
    <row r="2821" ht="15.75" customHeight="1">
      <c r="A2821" s="133" t="str">
        <f>IFERROR(__xludf.DUMMYFUNCTION("""COMPUTED_VALUE"""),"H00343SLWпесочный")</f>
        <v>H00343SLWпесочный</v>
      </c>
      <c r="B2821" s="164">
        <f>IFERROR(__xludf.DUMMYFUNCTION("""COMPUTED_VALUE"""),1.8923894E7)</f>
        <v>18923894</v>
      </c>
      <c r="C2821" s="164" t="str">
        <f>IFERROR(__xludf.DUMMYFUNCTION("""COMPUTED_VALUE"""),"1892389440-54")</f>
        <v>1892389440-54</v>
      </c>
      <c r="D2821" s="133" t="str">
        <f>IFERROR(__xludf.DUMMYFUNCTION("""COMPUTED_VALUE"""),"песочный")</f>
        <v>песочный</v>
      </c>
      <c r="E2821" s="133" t="str">
        <f>IFERROR(__xludf.DUMMYFUNCTION("""COMPUTED_VALUE"""),"40-54")</f>
        <v>40-54</v>
      </c>
      <c r="F2821" s="165" t="str">
        <f>IFERROR(__xludf.DUMMYFUNCTION("""COMPUTED_VALUE"""),"H00343SLWпесочный40-54")</f>
        <v>H00343SLWпесочный40-54</v>
      </c>
      <c r="G2821" s="165">
        <f>IFERROR(__xludf.DUMMYFUNCTION("""COMPUTED_VALUE"""),885.0)</f>
        <v>885</v>
      </c>
    </row>
    <row r="2822" ht="15.75" customHeight="1">
      <c r="A2822" s="133" t="str">
        <f>IFERROR(__xludf.DUMMYFUNCTION("""COMPUTED_VALUE"""),"BO20149KE")</f>
        <v>BO20149KE</v>
      </c>
      <c r="B2822" s="164">
        <f>IFERROR(__xludf.DUMMYFUNCTION("""COMPUTED_VALUE"""),1.9224032E7)</f>
        <v>19224032</v>
      </c>
      <c r="C2822" s="164" t="str">
        <f>IFERROR(__xludf.DUMMYFUNCTION("""COMPUTED_VALUE"""),"192240320")</f>
        <v>192240320</v>
      </c>
      <c r="D2822" s="133" t="str">
        <f>IFERROR(__xludf.DUMMYFUNCTION("""COMPUTED_VALUE"""),"Тёмное дерево")</f>
        <v>Тёмное дерево</v>
      </c>
      <c r="E2822" s="133">
        <f>IFERROR(__xludf.DUMMYFUNCTION("""COMPUTED_VALUE"""),0.0)</f>
        <v>0</v>
      </c>
      <c r="F2822" s="165" t="str">
        <f>IFERROR(__xludf.DUMMYFUNCTION("""COMPUTED_VALUE"""),"BO20149KE0")</f>
        <v>BO20149KE0</v>
      </c>
      <c r="G2822" s="165">
        <f>IFERROR(__xludf.DUMMYFUNCTION("""COMPUTED_VALUE"""),1076.0)</f>
        <v>1076</v>
      </c>
    </row>
    <row r="2823" ht="15.75" customHeight="1">
      <c r="A2823" s="133" t="str">
        <f>IFERROR(__xludf.DUMMYFUNCTION("""COMPUTED_VALUE"""),"SR20155KE")</f>
        <v>SR20155KE</v>
      </c>
      <c r="B2823" s="164">
        <f>IFERROR(__xludf.DUMMYFUNCTION("""COMPUTED_VALUE"""),1.9226985E7)</f>
        <v>19226985</v>
      </c>
      <c r="C2823" s="164" t="str">
        <f>IFERROR(__xludf.DUMMYFUNCTION("""COMPUTED_VALUE"""),"192269850")</f>
        <v>192269850</v>
      </c>
      <c r="D2823" s="133" t="str">
        <f>IFERROR(__xludf.DUMMYFUNCTION("""COMPUTED_VALUE"""),"Без цвета")</f>
        <v>Без цвета</v>
      </c>
      <c r="E2823" s="133">
        <f>IFERROR(__xludf.DUMMYFUNCTION("""COMPUTED_VALUE"""),0.0)</f>
        <v>0</v>
      </c>
      <c r="F2823" s="165" t="str">
        <f>IFERROR(__xludf.DUMMYFUNCTION("""COMPUTED_VALUE"""),"SR20155KE0")</f>
        <v>SR20155KE0</v>
      </c>
      <c r="G2823" s="165">
        <f>IFERROR(__xludf.DUMMYFUNCTION("""COMPUTED_VALUE"""),113.0)</f>
        <v>113</v>
      </c>
    </row>
    <row r="2824" ht="15.75" customHeight="1">
      <c r="A2824" s="133" t="str">
        <f>IFERROR(__xludf.DUMMYFUNCTION("""COMPUTED_VALUE"""),"KA20152KE")</f>
        <v>KA20152KE</v>
      </c>
      <c r="B2824" s="164">
        <f>IFERROR(__xludf.DUMMYFUNCTION("""COMPUTED_VALUE"""),1.922552E7)</f>
        <v>19225520</v>
      </c>
      <c r="C2824" s="164" t="str">
        <f>IFERROR(__xludf.DUMMYFUNCTION("""COMPUTED_VALUE"""),"192255200")</f>
        <v>192255200</v>
      </c>
      <c r="D2824" s="133" t="str">
        <f>IFERROR(__xludf.DUMMYFUNCTION("""COMPUTED_VALUE"""),"Черный")</f>
        <v>Черный</v>
      </c>
      <c r="E2824" s="133">
        <f>IFERROR(__xludf.DUMMYFUNCTION("""COMPUTED_VALUE"""),0.0)</f>
        <v>0</v>
      </c>
      <c r="F2824" s="165" t="str">
        <f>IFERROR(__xludf.DUMMYFUNCTION("""COMPUTED_VALUE"""),"KA20152KE0")</f>
        <v>KA20152KE0</v>
      </c>
      <c r="G2824" s="165">
        <f>IFERROR(__xludf.DUMMYFUNCTION("""COMPUTED_VALUE"""),517.0)</f>
        <v>517</v>
      </c>
    </row>
    <row r="2825" ht="15.75" customHeight="1">
      <c r="A2825" s="133" t="str">
        <f>IFERROR(__xludf.DUMMYFUNCTION("""COMPUTED_VALUE"""),"H40391SLM")</f>
        <v>H40391SLM</v>
      </c>
      <c r="B2825" s="164">
        <f>IFERROR(__xludf.DUMMYFUNCTION("""COMPUTED_VALUE"""),1.9459471E7)</f>
        <v>19459471</v>
      </c>
      <c r="C2825" s="164" t="str">
        <f>IFERROR(__xludf.DUMMYFUNCTION("""COMPUTED_VALUE"""),"1945947140-54")</f>
        <v>1945947140-54</v>
      </c>
      <c r="D2825" s="133"/>
      <c r="E2825" s="133" t="str">
        <f>IFERROR(__xludf.DUMMYFUNCTION("""COMPUTED_VALUE"""),"40-54")</f>
        <v>40-54</v>
      </c>
      <c r="F2825" s="165" t="str">
        <f>IFERROR(__xludf.DUMMYFUNCTION("""COMPUTED_VALUE"""),"H40391SLM40-54")</f>
        <v>H40391SLM40-54</v>
      </c>
      <c r="G2825" s="165">
        <f>IFERROR(__xludf.DUMMYFUNCTION("""COMPUTED_VALUE"""),885.0)</f>
        <v>885</v>
      </c>
    </row>
    <row r="2826" ht="15.75" customHeight="1">
      <c r="A2826" s="133" t="str">
        <f>IFERROR(__xludf.DUMMYFUNCTION("""COMPUTED_VALUE"""),"H40400SLW")</f>
        <v>H40400SLW</v>
      </c>
      <c r="B2826" s="164">
        <f>IFERROR(__xludf.DUMMYFUNCTION("""COMPUTED_VALUE"""),1.9454469E7)</f>
        <v>19454469</v>
      </c>
      <c r="C2826" s="164" t="str">
        <f>IFERROR(__xludf.DUMMYFUNCTION("""COMPUTED_VALUE"""),"1945446946-52")</f>
        <v>1945446946-52</v>
      </c>
      <c r="D2826" s="133"/>
      <c r="E2826" s="133" t="str">
        <f>IFERROR(__xludf.DUMMYFUNCTION("""COMPUTED_VALUE"""),"46-52")</f>
        <v>46-52</v>
      </c>
      <c r="F2826" s="165" t="str">
        <f>IFERROR(__xludf.DUMMYFUNCTION("""COMPUTED_VALUE"""),"H40400SLW46-52")</f>
        <v>H40400SLW46-52</v>
      </c>
      <c r="G2826" s="165">
        <f>IFERROR(__xludf.DUMMYFUNCTION("""COMPUTED_VALUE"""),885.0)</f>
        <v>885</v>
      </c>
    </row>
    <row r="2827" ht="15.75" customHeight="1">
      <c r="A2827" s="133" t="str">
        <f>IFERROR(__xludf.DUMMYFUNCTION("""COMPUTED_VALUE"""),"PL50157DGW")</f>
        <v>PL50157DGW</v>
      </c>
      <c r="B2827" s="164">
        <f>IFERROR(__xludf.DUMMYFUNCTION("""COMPUTED_VALUE"""),1.9474303E7)</f>
        <v>19474303</v>
      </c>
      <c r="C2827" s="164" t="str">
        <f>IFERROR(__xludf.DUMMYFUNCTION("""COMPUTED_VALUE"""),"1947430342")</f>
        <v>1947430342</v>
      </c>
      <c r="D2827" s="133"/>
      <c r="E2827" s="133">
        <f>IFERROR(__xludf.DUMMYFUNCTION("""COMPUTED_VALUE"""),42.0)</f>
        <v>42</v>
      </c>
      <c r="F2827" s="165" t="str">
        <f>IFERROR(__xludf.DUMMYFUNCTION("""COMPUTED_VALUE"""),"PL50157DGW42")</f>
        <v>PL50157DGW42</v>
      </c>
      <c r="G2827" s="165">
        <f>IFERROR(__xludf.DUMMYFUNCTION("""COMPUTED_VALUE"""),590.0)</f>
        <v>590</v>
      </c>
    </row>
    <row r="2828" ht="15.75" customHeight="1">
      <c r="A2828" s="133" t="str">
        <f>IFERROR(__xludf.DUMMYFUNCTION("""COMPUTED_VALUE"""),"PL50157DGW")</f>
        <v>PL50157DGW</v>
      </c>
      <c r="B2828" s="164">
        <f>IFERROR(__xludf.DUMMYFUNCTION("""COMPUTED_VALUE"""),1.9474303E7)</f>
        <v>19474303</v>
      </c>
      <c r="C2828" s="164" t="str">
        <f>IFERROR(__xludf.DUMMYFUNCTION("""COMPUTED_VALUE"""),"1947430344")</f>
        <v>1947430344</v>
      </c>
      <c r="D2828" s="133"/>
      <c r="E2828" s="133">
        <f>IFERROR(__xludf.DUMMYFUNCTION("""COMPUTED_VALUE"""),44.0)</f>
        <v>44</v>
      </c>
      <c r="F2828" s="165" t="str">
        <f>IFERROR(__xludf.DUMMYFUNCTION("""COMPUTED_VALUE"""),"PL50157DGW44")</f>
        <v>PL50157DGW44</v>
      </c>
      <c r="G2828" s="165">
        <f>IFERROR(__xludf.DUMMYFUNCTION("""COMPUTED_VALUE"""),590.0)</f>
        <v>590</v>
      </c>
    </row>
    <row r="2829" ht="15.75" customHeight="1">
      <c r="A2829" s="133" t="str">
        <f>IFERROR(__xludf.DUMMYFUNCTION("""COMPUTED_VALUE"""),"PL50157DGW")</f>
        <v>PL50157DGW</v>
      </c>
      <c r="B2829" s="164">
        <f>IFERROR(__xludf.DUMMYFUNCTION("""COMPUTED_VALUE"""),1.9474303E7)</f>
        <v>19474303</v>
      </c>
      <c r="C2829" s="164" t="str">
        <f>IFERROR(__xludf.DUMMYFUNCTION("""COMPUTED_VALUE"""),"1947430346")</f>
        <v>1947430346</v>
      </c>
      <c r="D2829" s="133"/>
      <c r="E2829" s="133">
        <f>IFERROR(__xludf.DUMMYFUNCTION("""COMPUTED_VALUE"""),46.0)</f>
        <v>46</v>
      </c>
      <c r="F2829" s="165" t="str">
        <f>IFERROR(__xludf.DUMMYFUNCTION("""COMPUTED_VALUE"""),"PL50157DGW46")</f>
        <v>PL50157DGW46</v>
      </c>
      <c r="G2829" s="165">
        <f>IFERROR(__xludf.DUMMYFUNCTION("""COMPUTED_VALUE"""),590.0)</f>
        <v>590</v>
      </c>
    </row>
    <row r="2830" ht="15.75" customHeight="1">
      <c r="A2830" s="133" t="str">
        <f>IFERROR(__xludf.DUMMYFUNCTION("""COMPUTED_VALUE"""),"PL50157DGW")</f>
        <v>PL50157DGW</v>
      </c>
      <c r="B2830" s="164">
        <f>IFERROR(__xludf.DUMMYFUNCTION("""COMPUTED_VALUE"""),1.9474303E7)</f>
        <v>19474303</v>
      </c>
      <c r="C2830" s="164" t="str">
        <f>IFERROR(__xludf.DUMMYFUNCTION("""COMPUTED_VALUE"""),"1947430348")</f>
        <v>1947430348</v>
      </c>
      <c r="D2830" s="133"/>
      <c r="E2830" s="133">
        <f>IFERROR(__xludf.DUMMYFUNCTION("""COMPUTED_VALUE"""),48.0)</f>
        <v>48</v>
      </c>
      <c r="F2830" s="165" t="str">
        <f>IFERROR(__xludf.DUMMYFUNCTION("""COMPUTED_VALUE"""),"PL50157DGW48")</f>
        <v>PL50157DGW48</v>
      </c>
      <c r="G2830" s="165">
        <f>IFERROR(__xludf.DUMMYFUNCTION("""COMPUTED_VALUE"""),590.0)</f>
        <v>590</v>
      </c>
    </row>
    <row r="2831" ht="15.75" customHeight="1">
      <c r="A2831" s="133" t="str">
        <f>IFERROR(__xludf.DUMMYFUNCTION("""COMPUTED_VALUE"""),"PL50157DGW")</f>
        <v>PL50157DGW</v>
      </c>
      <c r="B2831" s="164">
        <f>IFERROR(__xludf.DUMMYFUNCTION("""COMPUTED_VALUE"""),1.9474303E7)</f>
        <v>19474303</v>
      </c>
      <c r="C2831" s="164" t="str">
        <f>IFERROR(__xludf.DUMMYFUNCTION("""COMPUTED_VALUE"""),"1947430350")</f>
        <v>1947430350</v>
      </c>
      <c r="D2831" s="133"/>
      <c r="E2831" s="133">
        <f>IFERROR(__xludf.DUMMYFUNCTION("""COMPUTED_VALUE"""),50.0)</f>
        <v>50</v>
      </c>
      <c r="F2831" s="165" t="str">
        <f>IFERROR(__xludf.DUMMYFUNCTION("""COMPUTED_VALUE"""),"PL50157DGW50")</f>
        <v>PL50157DGW50</v>
      </c>
      <c r="G2831" s="165">
        <f>IFERROR(__xludf.DUMMYFUNCTION("""COMPUTED_VALUE"""),590.0)</f>
        <v>590</v>
      </c>
    </row>
    <row r="2832" ht="15.75" customHeight="1">
      <c r="A2832" s="133" t="str">
        <f>IFERROR(__xludf.DUMMYFUNCTION("""COMPUTED_VALUE"""),"PL50157DGW")</f>
        <v>PL50157DGW</v>
      </c>
      <c r="B2832" s="164">
        <f>IFERROR(__xludf.DUMMYFUNCTION("""COMPUTED_VALUE"""),1.9474303E7)</f>
        <v>19474303</v>
      </c>
      <c r="C2832" s="164" t="str">
        <f>IFERROR(__xludf.DUMMYFUNCTION("""COMPUTED_VALUE"""),"1947430352")</f>
        <v>1947430352</v>
      </c>
      <c r="D2832" s="133"/>
      <c r="E2832" s="133">
        <f>IFERROR(__xludf.DUMMYFUNCTION("""COMPUTED_VALUE"""),52.0)</f>
        <v>52</v>
      </c>
      <c r="F2832" s="165" t="str">
        <f>IFERROR(__xludf.DUMMYFUNCTION("""COMPUTED_VALUE"""),"PL50157DGW52")</f>
        <v>PL50157DGW52</v>
      </c>
      <c r="G2832" s="165">
        <f>IFERROR(__xludf.DUMMYFUNCTION("""COMPUTED_VALUE"""),590.0)</f>
        <v>590</v>
      </c>
    </row>
    <row r="2833" ht="15.75" customHeight="1">
      <c r="A2833" s="133" t="str">
        <f>IFERROR(__xludf.DUMMYFUNCTION("""COMPUTED_VALUE"""),"PL50157DGW")</f>
        <v>PL50157DGW</v>
      </c>
      <c r="B2833" s="164">
        <f>IFERROR(__xludf.DUMMYFUNCTION("""COMPUTED_VALUE"""),1.9474303E7)</f>
        <v>19474303</v>
      </c>
      <c r="C2833" s="164" t="str">
        <f>IFERROR(__xludf.DUMMYFUNCTION("""COMPUTED_VALUE"""),"1947430354")</f>
        <v>1947430354</v>
      </c>
      <c r="D2833" s="133"/>
      <c r="E2833" s="133">
        <f>IFERROR(__xludf.DUMMYFUNCTION("""COMPUTED_VALUE"""),54.0)</f>
        <v>54</v>
      </c>
      <c r="F2833" s="165" t="str">
        <f>IFERROR(__xludf.DUMMYFUNCTION("""COMPUTED_VALUE"""),"PL50157DGW54")</f>
        <v>PL50157DGW54</v>
      </c>
      <c r="G2833" s="165">
        <f>IFERROR(__xludf.DUMMYFUNCTION("""COMPUTED_VALUE"""),590.0)</f>
        <v>590</v>
      </c>
    </row>
    <row r="2834" ht="15.75" customHeight="1">
      <c r="A2834" s="133" t="str">
        <f>IFERROR(__xludf.DUMMYFUNCTION("""COMPUTED_VALUE"""),"IG00100KG")</f>
        <v>IG00100KG</v>
      </c>
      <c r="B2834" s="164" t="str">
        <f>IFERROR(__xludf.DUMMYFUNCTION("""COMPUTED_VALUE"""),"19955742")</f>
        <v>19955742</v>
      </c>
      <c r="C2834" s="164" t="str">
        <f>IFERROR(__xludf.DUMMYFUNCTION("""COMPUTED_VALUE"""),"199557420")</f>
        <v>199557420</v>
      </c>
      <c r="D2834" s="133"/>
      <c r="E2834" s="133">
        <f>IFERROR(__xludf.DUMMYFUNCTION("""COMPUTED_VALUE"""),0.0)</f>
        <v>0</v>
      </c>
      <c r="F2834" s="165" t="str">
        <f>IFERROR(__xludf.DUMMYFUNCTION("""COMPUTED_VALUE"""),"IG00100KG0")</f>
        <v>IG00100KG0</v>
      </c>
      <c r="G2834" s="165">
        <f>IFERROR(__xludf.DUMMYFUNCTION("""COMPUTED_VALUE"""),327.0)</f>
        <v>327</v>
      </c>
    </row>
    <row r="2835" ht="15.75" customHeight="1">
      <c r="A2835" s="133" t="str">
        <f>IFERROR(__xludf.DUMMYFUNCTION("""COMPUTED_VALUE"""),"FI00104KG")</f>
        <v>FI00104KG</v>
      </c>
      <c r="B2835" s="164" t="str">
        <f>IFERROR(__xludf.DUMMYFUNCTION("""COMPUTED_VALUE"""),"19957313")</f>
        <v>19957313</v>
      </c>
      <c r="C2835" s="164" t="str">
        <f>IFERROR(__xludf.DUMMYFUNCTION("""COMPUTED_VALUE"""),"199573130")</f>
        <v>199573130</v>
      </c>
      <c r="D2835" s="164" t="str">
        <f>IFERROR(__xludf.DUMMYFUNCTION("""COMPUTED_VALUE"""),"Чёрный")</f>
        <v>Чёрный</v>
      </c>
      <c r="E2835" s="133">
        <f>IFERROR(__xludf.DUMMYFUNCTION("""COMPUTED_VALUE"""),0.0)</f>
        <v>0</v>
      </c>
      <c r="F2835" s="165" t="str">
        <f>IFERROR(__xludf.DUMMYFUNCTION("""COMPUTED_VALUE"""),"FI00104KG0")</f>
        <v>FI00104KG0</v>
      </c>
      <c r="G2835" s="165">
        <f>IFERROR(__xludf.DUMMYFUNCTION("""COMPUTED_VALUE"""),132.0)</f>
        <v>132</v>
      </c>
    </row>
    <row r="2836" ht="15.75" customHeight="1">
      <c r="A2836" s="133" t="str">
        <f>IFERROR(__xludf.DUMMYFUNCTION("""COMPUTED_VALUE"""),"FI00105KG")</f>
        <v>FI00105KG</v>
      </c>
      <c r="B2836" s="164" t="str">
        <f>IFERROR(__xludf.DUMMYFUNCTION("""COMPUTED_VALUE"""),"19957369")</f>
        <v>19957369</v>
      </c>
      <c r="C2836" s="164" t="str">
        <f>IFERROR(__xludf.DUMMYFUNCTION("""COMPUTED_VALUE"""),"199573690")</f>
        <v>199573690</v>
      </c>
      <c r="D2836" s="164" t="str">
        <f>IFERROR(__xludf.DUMMYFUNCTION("""COMPUTED_VALUE"""),"Чёрный")</f>
        <v>Чёрный</v>
      </c>
      <c r="E2836" s="133">
        <f>IFERROR(__xludf.DUMMYFUNCTION("""COMPUTED_VALUE"""),0.0)</f>
        <v>0</v>
      </c>
      <c r="F2836" s="165" t="str">
        <f>IFERROR(__xludf.DUMMYFUNCTION("""COMPUTED_VALUE"""),"FI00105KG0")</f>
        <v>FI00105KG0</v>
      </c>
      <c r="G2836" s="165">
        <f>IFERROR(__xludf.DUMMYFUNCTION("""COMPUTED_VALUE"""),130.0)</f>
        <v>130</v>
      </c>
    </row>
    <row r="2837" ht="15.75" customHeight="1">
      <c r="A2837" s="133" t="str">
        <f>IFERROR(__xludf.DUMMYFUNCTION("""COMPUTED_VALUE"""),"FI00106KG")</f>
        <v>FI00106KG</v>
      </c>
      <c r="B2837" s="164" t="str">
        <f>IFERROR(__xludf.DUMMYFUNCTION("""COMPUTED_VALUE"""),"19957424")</f>
        <v>19957424</v>
      </c>
      <c r="C2837" s="164" t="str">
        <f>IFERROR(__xludf.DUMMYFUNCTION("""COMPUTED_VALUE"""),"199574240")</f>
        <v>199574240</v>
      </c>
      <c r="D2837" s="164" t="str">
        <f>IFERROR(__xludf.DUMMYFUNCTION("""COMPUTED_VALUE"""),"Чёрный")</f>
        <v>Чёрный</v>
      </c>
      <c r="E2837" s="133">
        <f>IFERROR(__xludf.DUMMYFUNCTION("""COMPUTED_VALUE"""),0.0)</f>
        <v>0</v>
      </c>
      <c r="F2837" s="165" t="str">
        <f>IFERROR(__xludf.DUMMYFUNCTION("""COMPUTED_VALUE"""),"FI00106KG0")</f>
        <v>FI00106KG0</v>
      </c>
      <c r="G2837" s="165">
        <f>IFERROR(__xludf.DUMMYFUNCTION("""COMPUTED_VALUE"""),132.0)</f>
        <v>132</v>
      </c>
    </row>
    <row r="2838" ht="15.75" customHeight="1">
      <c r="A2838" s="133" t="str">
        <f>IFERROR(__xludf.DUMMYFUNCTION("""COMPUTED_VALUE"""),"PO00107KG")</f>
        <v>PO00107KG</v>
      </c>
      <c r="B2838" s="164" t="str">
        <f>IFERROR(__xludf.DUMMYFUNCTION("""COMPUTED_VALUE"""),"19960124")</f>
        <v>19960124</v>
      </c>
      <c r="C2838" s="164" t="str">
        <f>IFERROR(__xludf.DUMMYFUNCTION("""COMPUTED_VALUE"""),"199601240")</f>
        <v>199601240</v>
      </c>
      <c r="D2838" s="164" t="str">
        <f>IFERROR(__xludf.DUMMYFUNCTION("""COMPUTED_VALUE"""),"Желтый")</f>
        <v>Желтый</v>
      </c>
      <c r="E2838" s="133">
        <f>IFERROR(__xludf.DUMMYFUNCTION("""COMPUTED_VALUE"""),0.0)</f>
        <v>0</v>
      </c>
      <c r="F2838" s="165" t="str">
        <f>IFERROR(__xludf.DUMMYFUNCTION("""COMPUTED_VALUE"""),"PO00107KG0")</f>
        <v>PO00107KG0</v>
      </c>
      <c r="G2838" s="165">
        <f>IFERROR(__xludf.DUMMYFUNCTION("""COMPUTED_VALUE"""),153.0)</f>
        <v>153</v>
      </c>
    </row>
    <row r="2839" ht="15.75" customHeight="1">
      <c r="A2839" s="133" t="str">
        <f>IFERROR(__xludf.DUMMYFUNCTION("""COMPUTED_VALUE"""),"PO00108KG")</f>
        <v>PO00108KG</v>
      </c>
      <c r="B2839" s="164" t="str">
        <f>IFERROR(__xludf.DUMMYFUNCTION("""COMPUTED_VALUE"""),"19965721")</f>
        <v>19965721</v>
      </c>
      <c r="C2839" s="164" t="str">
        <f>IFERROR(__xludf.DUMMYFUNCTION("""COMPUTED_VALUE"""),"199657210")</f>
        <v>199657210</v>
      </c>
      <c r="D2839" s="164" t="str">
        <f>IFERROR(__xludf.DUMMYFUNCTION("""COMPUTED_VALUE"""),"Розовый")</f>
        <v>Розовый</v>
      </c>
      <c r="E2839" s="133">
        <f>IFERROR(__xludf.DUMMYFUNCTION("""COMPUTED_VALUE"""),0.0)</f>
        <v>0</v>
      </c>
      <c r="F2839" s="165" t="str">
        <f>IFERROR(__xludf.DUMMYFUNCTION("""COMPUTED_VALUE"""),"PO00108KG0")</f>
        <v>PO00108KG0</v>
      </c>
      <c r="G2839" s="165">
        <f>IFERROR(__xludf.DUMMYFUNCTION("""COMPUTED_VALUE"""),153.0)</f>
        <v>153</v>
      </c>
    </row>
    <row r="2840" ht="15.75" customHeight="1">
      <c r="A2840" s="133" t="str">
        <f>IFERROR(__xludf.DUMMYFUNCTION("""COMPUTED_VALUE"""),"PO00109KG")</f>
        <v>PO00109KG</v>
      </c>
      <c r="B2840" s="164" t="str">
        <f>IFERROR(__xludf.DUMMYFUNCTION("""COMPUTED_VALUE"""),"19959556")</f>
        <v>19959556</v>
      </c>
      <c r="C2840" s="164" t="str">
        <f>IFERROR(__xludf.DUMMYFUNCTION("""COMPUTED_VALUE"""),"199595560")</f>
        <v>199595560</v>
      </c>
      <c r="D2840" s="164" t="str">
        <f>IFERROR(__xludf.DUMMYFUNCTION("""COMPUTED_VALUE"""),"Голубой")</f>
        <v>Голубой</v>
      </c>
      <c r="E2840" s="133">
        <f>IFERROR(__xludf.DUMMYFUNCTION("""COMPUTED_VALUE"""),0.0)</f>
        <v>0</v>
      </c>
      <c r="F2840" s="165" t="str">
        <f>IFERROR(__xludf.DUMMYFUNCTION("""COMPUTED_VALUE"""),"PO00109KG0")</f>
        <v>PO00109KG0</v>
      </c>
      <c r="G2840" s="165">
        <f>IFERROR(__xludf.DUMMYFUNCTION("""COMPUTED_VALUE"""),296.0)</f>
        <v>296</v>
      </c>
    </row>
    <row r="2841" ht="15.75" customHeight="1">
      <c r="A2841" s="133" t="str">
        <f>IFERROR(__xludf.DUMMYFUNCTION("""COMPUTED_VALUE"""),"IG00101KG")</f>
        <v>IG00101KG</v>
      </c>
      <c r="B2841" s="164" t="str">
        <f>IFERROR(__xludf.DUMMYFUNCTION("""COMPUTED_VALUE"""),"20869102")</f>
        <v>20869102</v>
      </c>
      <c r="C2841" s="164" t="str">
        <f>IFERROR(__xludf.DUMMYFUNCTION("""COMPUTED_VALUE"""),"208691020")</f>
        <v>208691020</v>
      </c>
      <c r="D2841" s="133" t="str">
        <f>IFERROR(__xludf.DUMMYFUNCTION("""COMPUTED_VALUE"""),"Рыжий, Белый")</f>
        <v>Рыжий, Белый</v>
      </c>
      <c r="E2841" s="133">
        <f>IFERROR(__xludf.DUMMYFUNCTION("""COMPUTED_VALUE"""),0.0)</f>
        <v>0</v>
      </c>
      <c r="F2841" s="165" t="str">
        <f>IFERROR(__xludf.DUMMYFUNCTION("""COMPUTED_VALUE"""),"IG00101KG0")</f>
        <v>IG00101KG0</v>
      </c>
      <c r="G2841" s="133">
        <f>IFERROR(__xludf.DUMMYFUNCTION("""COMPUTED_VALUE"""),213.0)</f>
        <v>213</v>
      </c>
    </row>
    <row r="2842" ht="15.75" customHeight="1">
      <c r="A2842" s="133" t="str">
        <f>IFERROR(__xludf.DUMMYFUNCTION("""COMPUTED_VALUE"""),"IG00102KG")</f>
        <v>IG00102KG</v>
      </c>
      <c r="B2842" s="164" t="str">
        <f>IFERROR(__xludf.DUMMYFUNCTION("""COMPUTED_VALUE"""),"20833700")</f>
        <v>20833700</v>
      </c>
      <c r="C2842" s="164" t="str">
        <f>IFERROR(__xludf.DUMMYFUNCTION("""COMPUTED_VALUE"""),"208337000")</f>
        <v>208337000</v>
      </c>
      <c r="D2842" s="133" t="str">
        <f>IFERROR(__xludf.DUMMYFUNCTION("""COMPUTED_VALUE"""),"Серый, Белый")</f>
        <v>Серый, Белый</v>
      </c>
      <c r="E2842" s="133">
        <f>IFERROR(__xludf.DUMMYFUNCTION("""COMPUTED_VALUE"""),0.0)</f>
        <v>0</v>
      </c>
      <c r="F2842" s="165" t="str">
        <f>IFERROR(__xludf.DUMMYFUNCTION("""COMPUTED_VALUE"""),"IG00102KG0")</f>
        <v>IG00102KG0</v>
      </c>
      <c r="G2842" s="133">
        <f>IFERROR(__xludf.DUMMYFUNCTION("""COMPUTED_VALUE"""),215.0)</f>
        <v>215</v>
      </c>
    </row>
    <row r="2843" ht="15.75" customHeight="1">
      <c r="A2843" s="133" t="str">
        <f>IFERROR(__xludf.DUMMYFUNCTION("""COMPUTED_VALUE"""),"KA20151KE")</f>
        <v>KA20151KE</v>
      </c>
      <c r="B2843" s="164" t="str">
        <f>IFERROR(__xludf.DUMMYFUNCTION("""COMPUTED_VALUE"""),"19366410")</f>
        <v>19366410</v>
      </c>
      <c r="C2843" s="164" t="str">
        <f>IFERROR(__xludf.DUMMYFUNCTION("""COMPUTED_VALUE"""),"193664100")</f>
        <v>193664100</v>
      </c>
      <c r="D2843" s="133" t="str">
        <f>IFERROR(__xludf.DUMMYFUNCTION("""COMPUTED_VALUE"""),"Черный")</f>
        <v>Черный</v>
      </c>
      <c r="E2843" s="133">
        <f>IFERROR(__xludf.DUMMYFUNCTION("""COMPUTED_VALUE"""),0.0)</f>
        <v>0</v>
      </c>
      <c r="F2843" s="133" t="str">
        <f>IFERROR(__xludf.DUMMYFUNCTION("""COMPUTED_VALUE"""),"KA20151KE0")</f>
        <v>KA20151KE0</v>
      </c>
      <c r="G2843" s="133">
        <f>IFERROR(__xludf.DUMMYFUNCTION("""COMPUTED_VALUE"""),2041.0)</f>
        <v>2041</v>
      </c>
    </row>
    <row r="2844" ht="15.75" customHeight="1">
      <c r="A2844" s="133" t="str">
        <f>IFERROR(__xludf.DUMMYFUNCTION("""COMPUTED_VALUE"""),"BO20149KE1")</f>
        <v>BO20149KE1</v>
      </c>
      <c r="B2844" s="164" t="str">
        <f>IFERROR(__xludf.DUMMYFUNCTION("""COMPUTED_VALUE"""),"19236822")</f>
        <v>19236822</v>
      </c>
      <c r="C2844" s="164" t="str">
        <f>IFERROR(__xludf.DUMMYFUNCTION("""COMPUTED_VALUE"""),"192368220")</f>
        <v>192368220</v>
      </c>
      <c r="D2844" s="133" t="str">
        <f>IFERROR(__xludf.DUMMYFUNCTION("""COMPUTED_VALUE"""),"Тёмное дерево")</f>
        <v>Тёмное дерево</v>
      </c>
      <c r="E2844" s="133">
        <f>IFERROR(__xludf.DUMMYFUNCTION("""COMPUTED_VALUE"""),0.0)</f>
        <v>0</v>
      </c>
      <c r="F2844" s="133" t="str">
        <f>IFERROR(__xludf.DUMMYFUNCTION("""COMPUTED_VALUE"""),"BO20149KE10")</f>
        <v>BO20149KE10</v>
      </c>
      <c r="G2844" s="133">
        <f>IFERROR(__xludf.DUMMYFUNCTION("""COMPUTED_VALUE"""),1076.0)</f>
        <v>1076</v>
      </c>
    </row>
    <row r="2845" ht="15.75" customHeight="1">
      <c r="A2845" s="133" t="str">
        <f>IFERROR(__xludf.DUMMYFUNCTION("""COMPUTED_VALUE"""),"SR20155KE1")</f>
        <v>SR20155KE1</v>
      </c>
      <c r="B2845" s="164" t="str">
        <f>IFERROR(__xludf.DUMMYFUNCTION("""COMPUTED_VALUE"""),"19237955")</f>
        <v>19237955</v>
      </c>
      <c r="C2845" s="164" t="str">
        <f>IFERROR(__xludf.DUMMYFUNCTION("""COMPUTED_VALUE"""),"192379550")</f>
        <v>192379550</v>
      </c>
      <c r="D2845" s="133" t="str">
        <f>IFERROR(__xludf.DUMMYFUNCTION("""COMPUTED_VALUE"""),"Без цвета")</f>
        <v>Без цвета</v>
      </c>
      <c r="E2845" s="133">
        <f>IFERROR(__xludf.DUMMYFUNCTION("""COMPUTED_VALUE"""),0.0)</f>
        <v>0</v>
      </c>
      <c r="F2845" s="133" t="str">
        <f>IFERROR(__xludf.DUMMYFUNCTION("""COMPUTED_VALUE"""),"SR20155KE10")</f>
        <v>SR20155KE10</v>
      </c>
      <c r="G2845" s="133">
        <f>IFERROR(__xludf.DUMMYFUNCTION("""COMPUTED_VALUE"""),113.0)</f>
        <v>113</v>
      </c>
    </row>
    <row r="2846" ht="15.75" customHeight="1">
      <c r="A2846" s="133" t="str">
        <f>IFERROR(__xludf.DUMMYFUNCTION("""COMPUTED_VALUE"""),"KA20152KE1")</f>
        <v>KA20152KE1</v>
      </c>
      <c r="B2846" s="164" t="str">
        <f>IFERROR(__xludf.DUMMYFUNCTION("""COMPUTED_VALUE"""),"19236823")</f>
        <v>19236823</v>
      </c>
      <c r="C2846" s="164" t="str">
        <f>IFERROR(__xludf.DUMMYFUNCTION("""COMPUTED_VALUE"""),"192368230")</f>
        <v>192368230</v>
      </c>
      <c r="D2846" s="133" t="str">
        <f>IFERROR(__xludf.DUMMYFUNCTION("""COMPUTED_VALUE"""),"Черный")</f>
        <v>Черный</v>
      </c>
      <c r="E2846" s="133">
        <f>IFERROR(__xludf.DUMMYFUNCTION("""COMPUTED_VALUE"""),0.0)</f>
        <v>0</v>
      </c>
      <c r="F2846" s="133" t="str">
        <f>IFERROR(__xludf.DUMMYFUNCTION("""COMPUTED_VALUE"""),"KA20152KE10")</f>
        <v>KA20152KE10</v>
      </c>
      <c r="G2846" s="133">
        <f>IFERROR(__xludf.DUMMYFUNCTION("""COMPUTED_VALUE"""),517.0)</f>
        <v>517</v>
      </c>
    </row>
    <row r="2847" ht="15.75" customHeight="1">
      <c r="A2847" s="133" t="str">
        <f>IFERROR(__xludf.DUMMYFUNCTION("""COMPUTED_VALUE"""),"PO20158KE")</f>
        <v>PO20158KE</v>
      </c>
      <c r="B2847" s="164" t="str">
        <f>IFERROR(__xludf.DUMMYFUNCTION("""COMPUTED_VALUE"""),"22070610")</f>
        <v>22070610</v>
      </c>
      <c r="C2847" s="164" t="str">
        <f>IFERROR(__xludf.DUMMYFUNCTION("""COMPUTED_VALUE"""),"220706100")</f>
        <v>220706100</v>
      </c>
      <c r="D2847" s="133" t="str">
        <f>IFERROR(__xludf.DUMMYFUNCTION("""COMPUTED_VALUE"""),"Белый")</f>
        <v>Белый</v>
      </c>
      <c r="E2847" s="133">
        <f>IFERROR(__xludf.DUMMYFUNCTION("""COMPUTED_VALUE"""),0.0)</f>
        <v>0</v>
      </c>
      <c r="F2847" s="165" t="str">
        <f>IFERROR(__xludf.DUMMYFUNCTION("""COMPUTED_VALUE"""),"PO20158KE0")</f>
        <v>PO20158KE0</v>
      </c>
      <c r="G2847" s="133">
        <f>IFERROR(__xludf.DUMMYFUNCTION("""COMPUTED_VALUE"""),1397.0)</f>
        <v>1397</v>
      </c>
    </row>
    <row r="2848" ht="15.75" customHeight="1">
      <c r="A2848" s="133" t="str">
        <f>IFERROR(__xludf.DUMMYFUNCTION("""COMPUTED_VALUE"""),"SO20164KE")</f>
        <v>SO20164KE</v>
      </c>
      <c r="B2848" s="164" t="str">
        <f>IFERROR(__xludf.DUMMYFUNCTION("""COMPUTED_VALUE"""),"22069057")</f>
        <v>22069057</v>
      </c>
      <c r="C2848" s="164" t="str">
        <f>IFERROR(__xludf.DUMMYFUNCTION("""COMPUTED_VALUE"""),"220690570")</f>
        <v>220690570</v>
      </c>
      <c r="D2848" s="133" t="str">
        <f>IFERROR(__xludf.DUMMYFUNCTION("""COMPUTED_VALUE"""),"Желтый")</f>
        <v>Желтый</v>
      </c>
      <c r="E2848" s="133">
        <f>IFERROR(__xludf.DUMMYFUNCTION("""COMPUTED_VALUE"""),0.0)</f>
        <v>0</v>
      </c>
      <c r="F2848" s="165" t="str">
        <f>IFERROR(__xludf.DUMMYFUNCTION("""COMPUTED_VALUE"""),"SO20164KE0")</f>
        <v>SO20164KE0</v>
      </c>
      <c r="G2848" s="133">
        <f>IFERROR(__xludf.DUMMYFUNCTION("""COMPUTED_VALUE"""),192.0)</f>
        <v>192</v>
      </c>
    </row>
    <row r="2849" ht="15.75" customHeight="1">
      <c r="A2849" s="133" t="str">
        <f>IFERROR(__xludf.DUMMYFUNCTION("""COMPUTED_VALUE"""),"SO20162KE")</f>
        <v>SO20162KE</v>
      </c>
      <c r="B2849" s="164" t="str">
        <f>IFERROR(__xludf.DUMMYFUNCTION("""COMPUTED_VALUE"""),"22067441")</f>
        <v>22067441</v>
      </c>
      <c r="C2849" s="164" t="str">
        <f>IFERROR(__xludf.DUMMYFUNCTION("""COMPUTED_VALUE"""),"220674410")</f>
        <v>220674410</v>
      </c>
      <c r="D2849" s="133" t="str">
        <f>IFERROR(__xludf.DUMMYFUNCTION("""COMPUTED_VALUE"""),"Белый")</f>
        <v>Белый</v>
      </c>
      <c r="E2849" s="133">
        <f>IFERROR(__xludf.DUMMYFUNCTION("""COMPUTED_VALUE"""),0.0)</f>
        <v>0</v>
      </c>
      <c r="F2849" s="165" t="str">
        <f>IFERROR(__xludf.DUMMYFUNCTION("""COMPUTED_VALUE"""),"SO20162KE0")</f>
        <v>SO20162KE0</v>
      </c>
      <c r="G2849" s="133">
        <f>IFERROR(__xludf.DUMMYFUNCTION("""COMPUTED_VALUE"""),178.0)</f>
        <v>178</v>
      </c>
    </row>
    <row r="2850" ht="15.75" customHeight="1">
      <c r="A2850" s="133" t="str">
        <f>IFERROR(__xludf.DUMMYFUNCTION("""COMPUTED_VALUE"""),"FI00107KG")</f>
        <v>FI00107KG</v>
      </c>
      <c r="B2850" s="164" t="str">
        <f>IFERROR(__xludf.DUMMYFUNCTION("""COMPUTED_VALUE"""),"21651216")</f>
        <v>21651216</v>
      </c>
      <c r="C2850" s="164" t="str">
        <f>IFERROR(__xludf.DUMMYFUNCTION("""COMPUTED_VALUE"""),"216512160")</f>
        <v>216512160</v>
      </c>
      <c r="D2850" s="133" t="str">
        <f>IFERROR(__xludf.DUMMYFUNCTION("""COMPUTED_VALUE"""),"Коричневый")</f>
        <v>Коричневый</v>
      </c>
      <c r="E2850" s="133">
        <f>IFERROR(__xludf.DUMMYFUNCTION("""COMPUTED_VALUE"""),0.0)</f>
        <v>0</v>
      </c>
      <c r="F2850" s="165" t="str">
        <f>IFERROR(__xludf.DUMMYFUNCTION("""COMPUTED_VALUE"""),"FI00107KG0")</f>
        <v>FI00107KG0</v>
      </c>
      <c r="G2850" s="133">
        <f>IFERROR(__xludf.DUMMYFUNCTION("""COMPUTED_VALUE"""),272.0)</f>
        <v>272</v>
      </c>
    </row>
    <row r="2851" ht="15.75" customHeight="1">
      <c r="A2851" s="133" t="str">
        <f>IFERROR(__xludf.DUMMYFUNCTION("""COMPUTED_VALUE"""),"PO00111KG")</f>
        <v>PO00111KG</v>
      </c>
      <c r="B2851" s="164" t="str">
        <f>IFERROR(__xludf.DUMMYFUNCTION("""COMPUTED_VALUE"""),"21649622")</f>
        <v>21649622</v>
      </c>
      <c r="C2851" s="164" t="str">
        <f>IFERROR(__xludf.DUMMYFUNCTION("""COMPUTED_VALUE"""),"216496220")</f>
        <v>216496220</v>
      </c>
      <c r="D2851" s="133" t="str">
        <f>IFERROR(__xludf.DUMMYFUNCTION("""COMPUTED_VALUE"""),"Розовый")</f>
        <v>Розовый</v>
      </c>
      <c r="E2851" s="133">
        <f>IFERROR(__xludf.DUMMYFUNCTION("""COMPUTED_VALUE"""),0.0)</f>
        <v>0</v>
      </c>
      <c r="F2851" s="165" t="str">
        <f>IFERROR(__xludf.DUMMYFUNCTION("""COMPUTED_VALUE"""),"PO00111KG0")</f>
        <v>PO00111KG0</v>
      </c>
      <c r="G2851" s="133">
        <f>IFERROR(__xludf.DUMMYFUNCTION("""COMPUTED_VALUE"""),167.0)</f>
        <v>167</v>
      </c>
    </row>
    <row r="2852" ht="15.75" customHeight="1">
      <c r="A2852" s="133" t="str">
        <f>IFERROR(__xludf.DUMMYFUNCTION("""COMPUTED_VALUE"""),"DU00112KG")</f>
        <v>DU00112KG</v>
      </c>
      <c r="B2852" s="164" t="str">
        <f>IFERROR(__xludf.DUMMYFUNCTION("""COMPUTED_VALUE"""),"21650636")</f>
        <v>21650636</v>
      </c>
      <c r="C2852" s="164" t="str">
        <f>IFERROR(__xludf.DUMMYFUNCTION("""COMPUTED_VALUE"""),"216506360")</f>
        <v>216506360</v>
      </c>
      <c r="D2852" s="133" t="str">
        <f>IFERROR(__xludf.DUMMYFUNCTION("""COMPUTED_VALUE"""),"Оранжевый")</f>
        <v>Оранжевый</v>
      </c>
      <c r="E2852" s="133">
        <f>IFERROR(__xludf.DUMMYFUNCTION("""COMPUTED_VALUE"""),0.0)</f>
        <v>0</v>
      </c>
      <c r="F2852" s="165" t="str">
        <f>IFERROR(__xludf.DUMMYFUNCTION("""COMPUTED_VALUE"""),"DU00112KG0")</f>
        <v>DU00112KG0</v>
      </c>
      <c r="G2852" s="133">
        <f>IFERROR(__xludf.DUMMYFUNCTION("""COMPUTED_VALUE"""),296.0)</f>
        <v>296</v>
      </c>
    </row>
    <row r="2853" ht="15.75" customHeight="1">
      <c r="A2853" s="133" t="str">
        <f>IFERROR(__xludf.DUMMYFUNCTION("""COMPUTED_VALUE"""),"PL00137DGWрозовый")</f>
        <v>PL00137DGWрозовый</v>
      </c>
      <c r="B2853" s="164" t="str">
        <f>IFERROR(__xludf.DUMMYFUNCTION("""COMPUTED_VALUE"""),"24809758")</f>
        <v>24809758</v>
      </c>
      <c r="C2853" s="164" t="str">
        <f>IFERROR(__xludf.DUMMYFUNCTION("""COMPUTED_VALUE"""),"2480975842")</f>
        <v>2480975842</v>
      </c>
      <c r="D2853" s="133"/>
      <c r="E2853" s="133">
        <f>IFERROR(__xludf.DUMMYFUNCTION("""COMPUTED_VALUE"""),42.0)</f>
        <v>42</v>
      </c>
      <c r="F2853" s="165" t="str">
        <f>IFERROR(__xludf.DUMMYFUNCTION("""COMPUTED_VALUE"""),"PL00137DGWрозовый42")</f>
        <v>PL00137DGWрозовый42</v>
      </c>
      <c r="G2853" s="133">
        <f>IFERROR(__xludf.DUMMYFUNCTION("""COMPUTED_VALUE"""),565.0)</f>
        <v>565</v>
      </c>
    </row>
    <row r="2854" ht="15.75" customHeight="1">
      <c r="A2854" s="133" t="str">
        <f>IFERROR(__xludf.DUMMYFUNCTION("""COMPUTED_VALUE"""),"PL00137DGWрозовый")</f>
        <v>PL00137DGWрозовый</v>
      </c>
      <c r="B2854" s="164" t="str">
        <f>IFERROR(__xludf.DUMMYFUNCTION("""COMPUTED_VALUE"""),"24809758")</f>
        <v>24809758</v>
      </c>
      <c r="C2854" s="164" t="str">
        <f>IFERROR(__xludf.DUMMYFUNCTION("""COMPUTED_VALUE"""),"2480975844")</f>
        <v>2480975844</v>
      </c>
      <c r="D2854" s="133"/>
      <c r="E2854" s="133">
        <f>IFERROR(__xludf.DUMMYFUNCTION("""COMPUTED_VALUE"""),44.0)</f>
        <v>44</v>
      </c>
      <c r="F2854" s="165" t="str">
        <f>IFERROR(__xludf.DUMMYFUNCTION("""COMPUTED_VALUE"""),"PL00137DGWрозовый44")</f>
        <v>PL00137DGWрозовый44</v>
      </c>
      <c r="G2854" s="133">
        <f>IFERROR(__xludf.DUMMYFUNCTION("""COMPUTED_VALUE"""),565.0)</f>
        <v>565</v>
      </c>
    </row>
    <row r="2855" ht="15.75" customHeight="1">
      <c r="A2855" s="133" t="str">
        <f>IFERROR(__xludf.DUMMYFUNCTION("""COMPUTED_VALUE"""),"PL00137DGWрозовый")</f>
        <v>PL00137DGWрозовый</v>
      </c>
      <c r="B2855" s="164" t="str">
        <f>IFERROR(__xludf.DUMMYFUNCTION("""COMPUTED_VALUE"""),"24809758")</f>
        <v>24809758</v>
      </c>
      <c r="C2855" s="164" t="str">
        <f>IFERROR(__xludf.DUMMYFUNCTION("""COMPUTED_VALUE"""),"2480975846")</f>
        <v>2480975846</v>
      </c>
      <c r="D2855" s="133"/>
      <c r="E2855" s="133">
        <f>IFERROR(__xludf.DUMMYFUNCTION("""COMPUTED_VALUE"""),46.0)</f>
        <v>46</v>
      </c>
      <c r="F2855" s="165" t="str">
        <f>IFERROR(__xludf.DUMMYFUNCTION("""COMPUTED_VALUE"""),"PL00137DGWрозовый46")</f>
        <v>PL00137DGWрозовый46</v>
      </c>
      <c r="G2855" s="133">
        <f>IFERROR(__xludf.DUMMYFUNCTION("""COMPUTED_VALUE"""),565.0)</f>
        <v>565</v>
      </c>
    </row>
    <row r="2856" ht="15.75" customHeight="1">
      <c r="A2856" s="133" t="str">
        <f>IFERROR(__xludf.DUMMYFUNCTION("""COMPUTED_VALUE"""),"PL00137DGWрозовый")</f>
        <v>PL00137DGWрозовый</v>
      </c>
      <c r="B2856" s="164" t="str">
        <f>IFERROR(__xludf.DUMMYFUNCTION("""COMPUTED_VALUE"""),"24809758")</f>
        <v>24809758</v>
      </c>
      <c r="C2856" s="164" t="str">
        <f>IFERROR(__xludf.DUMMYFUNCTION("""COMPUTED_VALUE"""),"2480975848")</f>
        <v>2480975848</v>
      </c>
      <c r="D2856" s="133"/>
      <c r="E2856" s="133">
        <f>IFERROR(__xludf.DUMMYFUNCTION("""COMPUTED_VALUE"""),48.0)</f>
        <v>48</v>
      </c>
      <c r="F2856" s="165" t="str">
        <f>IFERROR(__xludf.DUMMYFUNCTION("""COMPUTED_VALUE"""),"PL00137DGWрозовый48")</f>
        <v>PL00137DGWрозовый48</v>
      </c>
      <c r="G2856" s="133">
        <f>IFERROR(__xludf.DUMMYFUNCTION("""COMPUTED_VALUE"""),565.0)</f>
        <v>565</v>
      </c>
    </row>
    <row r="2857" ht="15.75" customHeight="1">
      <c r="A2857" s="133" t="str">
        <f>IFERROR(__xludf.DUMMYFUNCTION("""COMPUTED_VALUE"""),"PL00137DGWрозовый")</f>
        <v>PL00137DGWрозовый</v>
      </c>
      <c r="B2857" s="164" t="str">
        <f>IFERROR(__xludf.DUMMYFUNCTION("""COMPUTED_VALUE"""),"24809758")</f>
        <v>24809758</v>
      </c>
      <c r="C2857" s="164" t="str">
        <f>IFERROR(__xludf.DUMMYFUNCTION("""COMPUTED_VALUE"""),"2480975850")</f>
        <v>2480975850</v>
      </c>
      <c r="D2857" s="133"/>
      <c r="E2857" s="133">
        <f>IFERROR(__xludf.DUMMYFUNCTION("""COMPUTED_VALUE"""),50.0)</f>
        <v>50</v>
      </c>
      <c r="F2857" s="165" t="str">
        <f>IFERROR(__xludf.DUMMYFUNCTION("""COMPUTED_VALUE"""),"PL00137DGWрозовый50")</f>
        <v>PL00137DGWрозовый50</v>
      </c>
      <c r="G2857" s="133">
        <f>IFERROR(__xludf.DUMMYFUNCTION("""COMPUTED_VALUE"""),565.0)</f>
        <v>565</v>
      </c>
    </row>
    <row r="2858" ht="15.75" customHeight="1">
      <c r="A2858" s="133" t="str">
        <f>IFERROR(__xludf.DUMMYFUNCTION("""COMPUTED_VALUE"""),"PL00137DGWрозовый")</f>
        <v>PL00137DGWрозовый</v>
      </c>
      <c r="B2858" s="164" t="str">
        <f>IFERROR(__xludf.DUMMYFUNCTION("""COMPUTED_VALUE"""),"24809758")</f>
        <v>24809758</v>
      </c>
      <c r="C2858" s="164" t="str">
        <f>IFERROR(__xludf.DUMMYFUNCTION("""COMPUTED_VALUE"""),"2480975852")</f>
        <v>2480975852</v>
      </c>
      <c r="D2858" s="133"/>
      <c r="E2858" s="133">
        <f>IFERROR(__xludf.DUMMYFUNCTION("""COMPUTED_VALUE"""),52.0)</f>
        <v>52</v>
      </c>
      <c r="F2858" s="165" t="str">
        <f>IFERROR(__xludf.DUMMYFUNCTION("""COMPUTED_VALUE"""),"PL00137DGWрозовый52")</f>
        <v>PL00137DGWрозовый52</v>
      </c>
      <c r="G2858" s="133">
        <f>IFERROR(__xludf.DUMMYFUNCTION("""COMPUTED_VALUE"""),565.0)</f>
        <v>565</v>
      </c>
    </row>
    <row r="2859" ht="15.75" customHeight="1">
      <c r="A2859" s="133" t="str">
        <f>IFERROR(__xludf.DUMMYFUNCTION("""COMPUTED_VALUE"""),"PL00137DGWрозовый")</f>
        <v>PL00137DGWрозовый</v>
      </c>
      <c r="B2859" s="164" t="str">
        <f>IFERROR(__xludf.DUMMYFUNCTION("""COMPUTED_VALUE"""),"24809758")</f>
        <v>24809758</v>
      </c>
      <c r="C2859" s="164" t="str">
        <f>IFERROR(__xludf.DUMMYFUNCTION("""COMPUTED_VALUE"""),"2480975854")</f>
        <v>2480975854</v>
      </c>
      <c r="D2859" s="133"/>
      <c r="E2859" s="133">
        <f>IFERROR(__xludf.DUMMYFUNCTION("""COMPUTED_VALUE"""),54.0)</f>
        <v>54</v>
      </c>
      <c r="F2859" s="165" t="str">
        <f>IFERROR(__xludf.DUMMYFUNCTION("""COMPUTED_VALUE"""),"PL00137DGWрозовый54")</f>
        <v>PL00137DGWрозовый54</v>
      </c>
      <c r="G2859" s="133">
        <f>IFERROR(__xludf.DUMMYFUNCTION("""COMPUTED_VALUE"""),565.0)</f>
        <v>565</v>
      </c>
    </row>
    <row r="2860" ht="15.75" customHeight="1">
      <c r="A2860" s="133" t="str">
        <f>IFERROR(__xludf.DUMMYFUNCTION("""COMPUTED_VALUE"""),"PL00137DGWкрасный")</f>
        <v>PL00137DGWкрасный</v>
      </c>
      <c r="B2860" s="133">
        <f>IFERROR(__xludf.DUMMYFUNCTION("""COMPUTED_VALUE"""),2.4809673E7)</f>
        <v>24809673</v>
      </c>
      <c r="C2860" s="164" t="str">
        <f>IFERROR(__xludf.DUMMYFUNCTION("""COMPUTED_VALUE"""),"2480967342")</f>
        <v>2480967342</v>
      </c>
      <c r="D2860" s="133"/>
      <c r="E2860" s="133">
        <f>IFERROR(__xludf.DUMMYFUNCTION("""COMPUTED_VALUE"""),42.0)</f>
        <v>42</v>
      </c>
      <c r="F2860" s="165" t="str">
        <f>IFERROR(__xludf.DUMMYFUNCTION("""COMPUTED_VALUE"""),"PL00137DGWкрасный42")</f>
        <v>PL00137DGWкрасный42</v>
      </c>
      <c r="G2860" s="133">
        <f>IFERROR(__xludf.DUMMYFUNCTION("""COMPUTED_VALUE"""),564.0)</f>
        <v>564</v>
      </c>
    </row>
    <row r="2861" ht="15.75" customHeight="1">
      <c r="A2861" s="133" t="str">
        <f>IFERROR(__xludf.DUMMYFUNCTION("""COMPUTED_VALUE"""),"PL00137DGWкрасный")</f>
        <v>PL00137DGWкрасный</v>
      </c>
      <c r="B2861" s="133">
        <f>IFERROR(__xludf.DUMMYFUNCTION("""COMPUTED_VALUE"""),2.4809673E7)</f>
        <v>24809673</v>
      </c>
      <c r="C2861" s="164" t="str">
        <f>IFERROR(__xludf.DUMMYFUNCTION("""COMPUTED_VALUE"""),"2480967344")</f>
        <v>2480967344</v>
      </c>
      <c r="D2861" s="133"/>
      <c r="E2861" s="133">
        <f>IFERROR(__xludf.DUMMYFUNCTION("""COMPUTED_VALUE"""),44.0)</f>
        <v>44</v>
      </c>
      <c r="F2861" s="165" t="str">
        <f>IFERROR(__xludf.DUMMYFUNCTION("""COMPUTED_VALUE"""),"PL00137DGWкрасный44")</f>
        <v>PL00137DGWкрасный44</v>
      </c>
      <c r="G2861" s="133">
        <f>IFERROR(__xludf.DUMMYFUNCTION("""COMPUTED_VALUE"""),564.0)</f>
        <v>564</v>
      </c>
    </row>
    <row r="2862" ht="15.75" customHeight="1">
      <c r="A2862" s="133" t="str">
        <f>IFERROR(__xludf.DUMMYFUNCTION("""COMPUTED_VALUE"""),"PL00137DGWкрасный")</f>
        <v>PL00137DGWкрасный</v>
      </c>
      <c r="B2862" s="133">
        <f>IFERROR(__xludf.DUMMYFUNCTION("""COMPUTED_VALUE"""),2.4809673E7)</f>
        <v>24809673</v>
      </c>
      <c r="C2862" s="164" t="str">
        <f>IFERROR(__xludf.DUMMYFUNCTION("""COMPUTED_VALUE"""),"2480967346")</f>
        <v>2480967346</v>
      </c>
      <c r="D2862" s="133"/>
      <c r="E2862" s="133">
        <f>IFERROR(__xludf.DUMMYFUNCTION("""COMPUTED_VALUE"""),46.0)</f>
        <v>46</v>
      </c>
      <c r="F2862" s="165" t="str">
        <f>IFERROR(__xludf.DUMMYFUNCTION("""COMPUTED_VALUE"""),"PL00137DGWкрасный46")</f>
        <v>PL00137DGWкрасный46</v>
      </c>
      <c r="G2862" s="133">
        <f>IFERROR(__xludf.DUMMYFUNCTION("""COMPUTED_VALUE"""),564.0)</f>
        <v>564</v>
      </c>
    </row>
    <row r="2863" ht="15.75" customHeight="1">
      <c r="A2863" s="133" t="str">
        <f>IFERROR(__xludf.DUMMYFUNCTION("""COMPUTED_VALUE"""),"PL00137DGWкрасный")</f>
        <v>PL00137DGWкрасный</v>
      </c>
      <c r="B2863" s="133">
        <f>IFERROR(__xludf.DUMMYFUNCTION("""COMPUTED_VALUE"""),2.4809673E7)</f>
        <v>24809673</v>
      </c>
      <c r="C2863" s="164" t="str">
        <f>IFERROR(__xludf.DUMMYFUNCTION("""COMPUTED_VALUE"""),"2480967348")</f>
        <v>2480967348</v>
      </c>
      <c r="D2863" s="133"/>
      <c r="E2863" s="133">
        <f>IFERROR(__xludf.DUMMYFUNCTION("""COMPUTED_VALUE"""),48.0)</f>
        <v>48</v>
      </c>
      <c r="F2863" s="165" t="str">
        <f>IFERROR(__xludf.DUMMYFUNCTION("""COMPUTED_VALUE"""),"PL00137DGWкрасный48")</f>
        <v>PL00137DGWкрасный48</v>
      </c>
      <c r="G2863" s="133">
        <f>IFERROR(__xludf.DUMMYFUNCTION("""COMPUTED_VALUE"""),564.0)</f>
        <v>564</v>
      </c>
    </row>
    <row r="2864" ht="15.75" customHeight="1">
      <c r="A2864" s="133" t="str">
        <f>IFERROR(__xludf.DUMMYFUNCTION("""COMPUTED_VALUE"""),"PL00137DGWкрасный")</f>
        <v>PL00137DGWкрасный</v>
      </c>
      <c r="B2864" s="133">
        <f>IFERROR(__xludf.DUMMYFUNCTION("""COMPUTED_VALUE"""),2.4809673E7)</f>
        <v>24809673</v>
      </c>
      <c r="C2864" s="164" t="str">
        <f>IFERROR(__xludf.DUMMYFUNCTION("""COMPUTED_VALUE"""),"2480967350")</f>
        <v>2480967350</v>
      </c>
      <c r="D2864" s="133"/>
      <c r="E2864" s="133">
        <f>IFERROR(__xludf.DUMMYFUNCTION("""COMPUTED_VALUE"""),50.0)</f>
        <v>50</v>
      </c>
      <c r="F2864" s="165" t="str">
        <f>IFERROR(__xludf.DUMMYFUNCTION("""COMPUTED_VALUE"""),"PL00137DGWкрасный50")</f>
        <v>PL00137DGWкрасный50</v>
      </c>
      <c r="G2864" s="133">
        <f>IFERROR(__xludf.DUMMYFUNCTION("""COMPUTED_VALUE"""),564.0)</f>
        <v>564</v>
      </c>
    </row>
    <row r="2865" ht="15.75" customHeight="1">
      <c r="A2865" s="133" t="str">
        <f>IFERROR(__xludf.DUMMYFUNCTION("""COMPUTED_VALUE"""),"PL00137DGWкрасный")</f>
        <v>PL00137DGWкрасный</v>
      </c>
      <c r="B2865" s="133">
        <f>IFERROR(__xludf.DUMMYFUNCTION("""COMPUTED_VALUE"""),2.4809673E7)</f>
        <v>24809673</v>
      </c>
      <c r="C2865" s="164" t="str">
        <f>IFERROR(__xludf.DUMMYFUNCTION("""COMPUTED_VALUE"""),"2480967352")</f>
        <v>2480967352</v>
      </c>
      <c r="D2865" s="133"/>
      <c r="E2865" s="133">
        <f>IFERROR(__xludf.DUMMYFUNCTION("""COMPUTED_VALUE"""),52.0)</f>
        <v>52</v>
      </c>
      <c r="F2865" s="165" t="str">
        <f>IFERROR(__xludf.DUMMYFUNCTION("""COMPUTED_VALUE"""),"PL00137DGWкрасный52")</f>
        <v>PL00137DGWкрасный52</v>
      </c>
      <c r="G2865" s="133">
        <f>IFERROR(__xludf.DUMMYFUNCTION("""COMPUTED_VALUE"""),564.0)</f>
        <v>564</v>
      </c>
    </row>
    <row r="2866" ht="15.75" customHeight="1">
      <c r="A2866" s="133" t="str">
        <f>IFERROR(__xludf.DUMMYFUNCTION("""COMPUTED_VALUE"""),"PL00137DGWкрасный")</f>
        <v>PL00137DGWкрасный</v>
      </c>
      <c r="B2866" s="133">
        <f>IFERROR(__xludf.DUMMYFUNCTION("""COMPUTED_VALUE"""),2.4809673E7)</f>
        <v>24809673</v>
      </c>
      <c r="C2866" s="164" t="str">
        <f>IFERROR(__xludf.DUMMYFUNCTION("""COMPUTED_VALUE"""),"2480967354")</f>
        <v>2480967354</v>
      </c>
      <c r="D2866" s="133"/>
      <c r="E2866" s="133">
        <f>IFERROR(__xludf.DUMMYFUNCTION("""COMPUTED_VALUE"""),54.0)</f>
        <v>54</v>
      </c>
      <c r="F2866" s="165" t="str">
        <f>IFERROR(__xludf.DUMMYFUNCTION("""COMPUTED_VALUE"""),"PL00137DGWкрасный54")</f>
        <v>PL00137DGWкрасный54</v>
      </c>
      <c r="G2866" s="133">
        <f>IFERROR(__xludf.DUMMYFUNCTION("""COMPUTED_VALUE"""),564.0)</f>
        <v>564</v>
      </c>
    </row>
    <row r="2867" ht="15.75" customHeight="1">
      <c r="A2867" s="133" t="str">
        <f>IFERROR(__xludf.DUMMYFUNCTION("""COMPUTED_VALUE"""),"PN20159KE")</f>
        <v>PN20159KE</v>
      </c>
      <c r="B2867" s="133">
        <f>IFERROR(__xludf.DUMMYFUNCTION("""COMPUTED_VALUE"""),2.1404246E7)</f>
        <v>21404246</v>
      </c>
      <c r="C2867" s="164" t="str">
        <f>IFERROR(__xludf.DUMMYFUNCTION("""COMPUTED_VALUE"""),"214042460")</f>
        <v>214042460</v>
      </c>
      <c r="D2867" s="133"/>
      <c r="E2867" s="133">
        <f>IFERROR(__xludf.DUMMYFUNCTION("""COMPUTED_VALUE"""),0.0)</f>
        <v>0</v>
      </c>
      <c r="F2867" s="165" t="str">
        <f>IFERROR(__xludf.DUMMYFUNCTION("""COMPUTED_VALUE"""),"PN20159KE0")</f>
        <v>PN20159KE0</v>
      </c>
      <c r="G2867" s="133">
        <f>IFERROR(__xludf.DUMMYFUNCTION("""COMPUTED_VALUE"""),286.0)</f>
        <v>286</v>
      </c>
    </row>
    <row r="2868" ht="15.75" customHeight="1">
      <c r="A2868" s="133" t="str">
        <f>IFERROR(__xludf.DUMMYFUNCTION("""COMPUTED_VALUE"""),"PL00003DDWчерное")</f>
        <v>PL00003DDWчерное</v>
      </c>
      <c r="B2868" s="133">
        <f>IFERROR(__xludf.DUMMYFUNCTION("""COMPUTED_VALUE"""),2.5346074E7)</f>
        <v>25346074</v>
      </c>
      <c r="C2868" s="164" t="str">
        <f>IFERROR(__xludf.DUMMYFUNCTION("""COMPUTED_VALUE"""),"2534607442")</f>
        <v>2534607442</v>
      </c>
      <c r="D2868" s="133"/>
      <c r="E2868" s="133">
        <f>IFERROR(__xludf.DUMMYFUNCTION("""COMPUTED_VALUE"""),42.0)</f>
        <v>42</v>
      </c>
      <c r="F2868" s="165" t="str">
        <f>IFERROR(__xludf.DUMMYFUNCTION("""COMPUTED_VALUE"""),"PL00003DDWчерное42")</f>
        <v>PL00003DDWчерное42</v>
      </c>
      <c r="G2868" s="133">
        <f>IFERROR(__xludf.DUMMYFUNCTION("""COMPUTED_VALUE"""),668.0)</f>
        <v>668</v>
      </c>
    </row>
    <row r="2869" ht="15.75" customHeight="1">
      <c r="A2869" s="133" t="str">
        <f>IFERROR(__xludf.DUMMYFUNCTION("""COMPUTED_VALUE"""),"PL00003DDWчерное")</f>
        <v>PL00003DDWчерное</v>
      </c>
      <c r="B2869" s="133">
        <f>IFERROR(__xludf.DUMMYFUNCTION("""COMPUTED_VALUE"""),2.5346074E7)</f>
        <v>25346074</v>
      </c>
      <c r="C2869" s="164" t="str">
        <f>IFERROR(__xludf.DUMMYFUNCTION("""COMPUTED_VALUE"""),"2534607444")</f>
        <v>2534607444</v>
      </c>
      <c r="D2869" s="133"/>
      <c r="E2869" s="133">
        <f>IFERROR(__xludf.DUMMYFUNCTION("""COMPUTED_VALUE"""),44.0)</f>
        <v>44</v>
      </c>
      <c r="F2869" s="165" t="str">
        <f>IFERROR(__xludf.DUMMYFUNCTION("""COMPUTED_VALUE"""),"PL00003DDWчерное44")</f>
        <v>PL00003DDWчерное44</v>
      </c>
      <c r="G2869" s="133">
        <f>IFERROR(__xludf.DUMMYFUNCTION("""COMPUTED_VALUE"""),668.0)</f>
        <v>668</v>
      </c>
    </row>
    <row r="2870" ht="15.75" customHeight="1">
      <c r="A2870" s="133" t="str">
        <f>IFERROR(__xludf.DUMMYFUNCTION("""COMPUTED_VALUE"""),"PL00003DDWчерное")</f>
        <v>PL00003DDWчерное</v>
      </c>
      <c r="B2870" s="133">
        <f>IFERROR(__xludf.DUMMYFUNCTION("""COMPUTED_VALUE"""),2.5346074E7)</f>
        <v>25346074</v>
      </c>
      <c r="C2870" s="164" t="str">
        <f>IFERROR(__xludf.DUMMYFUNCTION("""COMPUTED_VALUE"""),"2534607446")</f>
        <v>2534607446</v>
      </c>
      <c r="D2870" s="133"/>
      <c r="E2870" s="133">
        <f>IFERROR(__xludf.DUMMYFUNCTION("""COMPUTED_VALUE"""),46.0)</f>
        <v>46</v>
      </c>
      <c r="F2870" s="165" t="str">
        <f>IFERROR(__xludf.DUMMYFUNCTION("""COMPUTED_VALUE"""),"PL00003DDWчерное46")</f>
        <v>PL00003DDWчерное46</v>
      </c>
      <c r="G2870" s="133">
        <f>IFERROR(__xludf.DUMMYFUNCTION("""COMPUTED_VALUE"""),668.0)</f>
        <v>668</v>
      </c>
    </row>
    <row r="2871" ht="15.75" customHeight="1">
      <c r="A2871" s="133" t="str">
        <f>IFERROR(__xludf.DUMMYFUNCTION("""COMPUTED_VALUE"""),"PL00003DDWчерное")</f>
        <v>PL00003DDWчерное</v>
      </c>
      <c r="B2871" s="133">
        <f>IFERROR(__xludf.DUMMYFUNCTION("""COMPUTED_VALUE"""),2.5346074E7)</f>
        <v>25346074</v>
      </c>
      <c r="C2871" s="164" t="str">
        <f>IFERROR(__xludf.DUMMYFUNCTION("""COMPUTED_VALUE"""),"2534607448")</f>
        <v>2534607448</v>
      </c>
      <c r="D2871" s="133"/>
      <c r="E2871" s="133">
        <f>IFERROR(__xludf.DUMMYFUNCTION("""COMPUTED_VALUE"""),48.0)</f>
        <v>48</v>
      </c>
      <c r="F2871" s="165" t="str">
        <f>IFERROR(__xludf.DUMMYFUNCTION("""COMPUTED_VALUE"""),"PL00003DDWчерное48")</f>
        <v>PL00003DDWчерное48</v>
      </c>
      <c r="G2871" s="133">
        <f>IFERROR(__xludf.DUMMYFUNCTION("""COMPUTED_VALUE"""),668.0)</f>
        <v>668</v>
      </c>
    </row>
    <row r="2872" ht="15.75" customHeight="1">
      <c r="A2872" s="133" t="str">
        <f>IFERROR(__xludf.DUMMYFUNCTION("""COMPUTED_VALUE"""),"PL00003DDWчерное")</f>
        <v>PL00003DDWчерное</v>
      </c>
      <c r="B2872" s="133">
        <f>IFERROR(__xludf.DUMMYFUNCTION("""COMPUTED_VALUE"""),2.5346074E7)</f>
        <v>25346074</v>
      </c>
      <c r="C2872" s="164" t="str">
        <f>IFERROR(__xludf.DUMMYFUNCTION("""COMPUTED_VALUE"""),"2534607450")</f>
        <v>2534607450</v>
      </c>
      <c r="D2872" s="133"/>
      <c r="E2872" s="133">
        <f>IFERROR(__xludf.DUMMYFUNCTION("""COMPUTED_VALUE"""),50.0)</f>
        <v>50</v>
      </c>
      <c r="F2872" s="165" t="str">
        <f>IFERROR(__xludf.DUMMYFUNCTION("""COMPUTED_VALUE"""),"PL00003DDWчерное50")</f>
        <v>PL00003DDWчерное50</v>
      </c>
      <c r="G2872" s="133">
        <f>IFERROR(__xludf.DUMMYFUNCTION("""COMPUTED_VALUE"""),668.0)</f>
        <v>668</v>
      </c>
    </row>
    <row r="2873" ht="15.75" customHeight="1">
      <c r="A2873" s="133" t="str">
        <f>IFERROR(__xludf.DUMMYFUNCTION("""COMPUTED_VALUE"""),"PL00003DDWчерное")</f>
        <v>PL00003DDWчерное</v>
      </c>
      <c r="B2873" s="133">
        <f>IFERROR(__xludf.DUMMYFUNCTION("""COMPUTED_VALUE"""),2.5346074E7)</f>
        <v>25346074</v>
      </c>
      <c r="C2873" s="164" t="str">
        <f>IFERROR(__xludf.DUMMYFUNCTION("""COMPUTED_VALUE"""),"2534607452")</f>
        <v>2534607452</v>
      </c>
      <c r="D2873" s="133"/>
      <c r="E2873" s="133">
        <f>IFERROR(__xludf.DUMMYFUNCTION("""COMPUTED_VALUE"""),52.0)</f>
        <v>52</v>
      </c>
      <c r="F2873" s="165" t="str">
        <f>IFERROR(__xludf.DUMMYFUNCTION("""COMPUTED_VALUE"""),"PL00003DDWчерное52")</f>
        <v>PL00003DDWчерное52</v>
      </c>
      <c r="G2873" s="133">
        <f>IFERROR(__xludf.DUMMYFUNCTION("""COMPUTED_VALUE"""),668.0)</f>
        <v>668</v>
      </c>
    </row>
    <row r="2874" ht="15.75" customHeight="1">
      <c r="A2874" s="133" t="str">
        <f>IFERROR(__xludf.DUMMYFUNCTION("""COMPUTED_VALUE"""),"PL00003DDWчерное")</f>
        <v>PL00003DDWчерное</v>
      </c>
      <c r="B2874" s="133">
        <f>IFERROR(__xludf.DUMMYFUNCTION("""COMPUTED_VALUE"""),2.5346074E7)</f>
        <v>25346074</v>
      </c>
      <c r="C2874" s="164" t="str">
        <f>IFERROR(__xludf.DUMMYFUNCTION("""COMPUTED_VALUE"""),"2534607454")</f>
        <v>2534607454</v>
      </c>
      <c r="D2874" s="133"/>
      <c r="E2874" s="133">
        <f>IFERROR(__xludf.DUMMYFUNCTION("""COMPUTED_VALUE"""),54.0)</f>
        <v>54</v>
      </c>
      <c r="F2874" s="165" t="str">
        <f>IFERROR(__xludf.DUMMYFUNCTION("""COMPUTED_VALUE"""),"PL00003DDWчерное54")</f>
        <v>PL00003DDWчерное54</v>
      </c>
      <c r="G2874" s="133">
        <f>IFERROR(__xludf.DUMMYFUNCTION("""COMPUTED_VALUE"""),668.0)</f>
        <v>668</v>
      </c>
    </row>
    <row r="2875" ht="15.75" customHeight="1">
      <c r="A2875" s="133" t="str">
        <f>IFERROR(__xludf.DUMMYFUNCTION("""COMPUTED_VALUE"""),"DV00100ZOO")</f>
        <v>DV00100ZOO</v>
      </c>
      <c r="B2875" s="133">
        <f>IFERROR(__xludf.DUMMYFUNCTION("""COMPUTED_VALUE"""),2.4583135E7)</f>
        <v>24583135</v>
      </c>
      <c r="C2875" s="164" t="str">
        <f>IFERROR(__xludf.DUMMYFUNCTION("""COMPUTED_VALUE"""),"245831350")</f>
        <v>245831350</v>
      </c>
      <c r="D2875" s="133"/>
      <c r="E2875" s="133">
        <f>IFERROR(__xludf.DUMMYFUNCTION("""COMPUTED_VALUE"""),0.0)</f>
        <v>0</v>
      </c>
      <c r="F2875" s="133" t="str">
        <f>IFERROR(__xludf.DUMMYFUNCTION("""COMPUTED_VALUE"""),"DV00100ZOO0")</f>
        <v>DV00100ZOO0</v>
      </c>
      <c r="G2875" s="133">
        <f>IFERROR(__xludf.DUMMYFUNCTION("""COMPUTED_VALUE"""),454.0)</f>
        <v>454</v>
      </c>
    </row>
    <row r="2876" ht="15.75" customHeight="1">
      <c r="A2876" s="133" t="str">
        <f>IFERROR(__xludf.DUMMYFUNCTION("""COMPUTED_VALUE"""),"GA00103ZOO")</f>
        <v>GA00103ZOO</v>
      </c>
      <c r="B2876" s="133">
        <f>IFERROR(__xludf.DUMMYFUNCTION("""COMPUTED_VALUE"""),2.46433E7)</f>
        <v>24643300</v>
      </c>
      <c r="C2876" s="164" t="str">
        <f>IFERROR(__xludf.DUMMYFUNCTION("""COMPUTED_VALUE"""),"246433000")</f>
        <v>246433000</v>
      </c>
      <c r="D2876" s="133" t="str">
        <f>IFERROR(__xludf.DUMMYFUNCTION("""COMPUTED_VALUE"""),"Черный")</f>
        <v>Черный</v>
      </c>
      <c r="E2876" s="133">
        <f>IFERROR(__xludf.DUMMYFUNCTION("""COMPUTED_VALUE"""),2.46433E8)</f>
        <v>246433000</v>
      </c>
      <c r="F2876" s="133" t="str">
        <f>IFERROR(__xludf.DUMMYFUNCTION("""COMPUTED_VALUE"""),"GA00103ZOO0")</f>
        <v>GA00103ZOO0</v>
      </c>
      <c r="G2876" s="165">
        <f>IFERROR(__xludf.DUMMYFUNCTION("""COMPUTED_VALUE"""),368.0)</f>
        <v>368</v>
      </c>
    </row>
    <row r="2877" ht="15.75" customHeight="1">
      <c r="A2877" s="133" t="str">
        <f>IFERROR(__xludf.DUMMYFUNCTION("""COMPUTED_VALUE"""),"KL00104ZOO")</f>
        <v>KL00104ZOO</v>
      </c>
      <c r="B2877" s="133">
        <f>IFERROR(__xludf.DUMMYFUNCTION("""COMPUTED_VALUE"""),2.60279E7)</f>
        <v>26027900</v>
      </c>
      <c r="C2877" s="164" t="str">
        <f>IFERROR(__xludf.DUMMYFUNCTION("""COMPUTED_VALUE"""),"260279000")</f>
        <v>260279000</v>
      </c>
      <c r="D2877" s="133">
        <f>IFERROR(__xludf.DUMMYFUNCTION("""COMPUTED_VALUE"""),0.0)</f>
        <v>0</v>
      </c>
      <c r="E2877" s="133">
        <f>IFERROR(__xludf.DUMMYFUNCTION("""COMPUTED_VALUE"""),2.60279E8)</f>
        <v>260279000</v>
      </c>
      <c r="F2877" s="133" t="str">
        <f>IFERROR(__xludf.DUMMYFUNCTION("""COMPUTED_VALUE"""),"KL00104ZOO0")</f>
        <v>KL00104ZOO0</v>
      </c>
      <c r="G2877" s="165">
        <f>IFERROR(__xludf.DUMMYFUNCTION("""COMPUTED_VALUE"""),378.0)</f>
        <v>378</v>
      </c>
    </row>
    <row r="2878" ht="15.75" customHeight="1">
      <c r="A2878" s="133" t="str">
        <f>IFERROR(__xludf.DUMMYFUNCTION("""COMPUTED_VALUE"""),"KL00105ZOO")</f>
        <v>KL00105ZOO</v>
      </c>
      <c r="B2878" s="133">
        <f>IFERROR(__xludf.DUMMYFUNCTION("""COMPUTED_VALUE"""),2.6028242E7)</f>
        <v>26028242</v>
      </c>
      <c r="C2878" s="164" t="str">
        <f>IFERROR(__xludf.DUMMYFUNCTION("""COMPUTED_VALUE"""),"260282420")</f>
        <v>260282420</v>
      </c>
      <c r="D2878" s="133">
        <f>IFERROR(__xludf.DUMMYFUNCTION("""COMPUTED_VALUE"""),0.0)</f>
        <v>0</v>
      </c>
      <c r="E2878" s="133">
        <f>IFERROR(__xludf.DUMMYFUNCTION("""COMPUTED_VALUE"""),2.6028242E8)</f>
        <v>260282420</v>
      </c>
      <c r="F2878" s="133" t="str">
        <f>IFERROR(__xludf.DUMMYFUNCTION("""COMPUTED_VALUE"""),"KL00105ZOO0")</f>
        <v>KL00105ZOO0</v>
      </c>
      <c r="G2878" s="165">
        <f>IFERROR(__xludf.DUMMYFUNCTION("""COMPUTED_VALUE"""),508.0)</f>
        <v>508</v>
      </c>
    </row>
    <row r="2879" ht="15.75" customHeight="1">
      <c r="A2879" s="133" t="str">
        <f>IFERROR(__xludf.DUMMYFUNCTION("""COMPUTED_VALUE"""),"LO00108ZOO")</f>
        <v>LO00108ZOO</v>
      </c>
      <c r="B2879" s="133">
        <f>IFERROR(__xludf.DUMMYFUNCTION("""COMPUTED_VALUE"""),2.5966083E7)</f>
        <v>25966083</v>
      </c>
      <c r="C2879" s="164" t="str">
        <f>IFERROR(__xludf.DUMMYFUNCTION("""COMPUTED_VALUE"""),"259660830")</f>
        <v>259660830</v>
      </c>
      <c r="D2879" s="133" t="str">
        <f>IFERROR(__xludf.DUMMYFUNCTION("""COMPUTED_VALUE"""),"Черный")</f>
        <v>Черный</v>
      </c>
      <c r="E2879" s="133">
        <f>IFERROR(__xludf.DUMMYFUNCTION("""COMPUTED_VALUE"""),0.0)</f>
        <v>0</v>
      </c>
      <c r="F2879" s="165" t="str">
        <f>IFERROR(__xludf.DUMMYFUNCTION("""COMPUTED_VALUE"""),"LO00108ZOO0")</f>
        <v>LO00108ZOO0</v>
      </c>
      <c r="G2879" s="133">
        <f>IFERROR(__xludf.DUMMYFUNCTION("""COMPUTED_VALUE"""),352.0)</f>
        <v>352</v>
      </c>
    </row>
    <row r="2880" ht="15.75" customHeight="1">
      <c r="A2880" s="133" t="str">
        <f>IFERROR(__xludf.DUMMYFUNCTION("""COMPUTED_VALUE"""),"LO00109ZOO")</f>
        <v>LO00109ZOO</v>
      </c>
      <c r="B2880" s="133">
        <f>IFERROR(__xludf.DUMMYFUNCTION("""COMPUTED_VALUE"""),2.5967195E7)</f>
        <v>25967195</v>
      </c>
      <c r="C2880" s="164" t="str">
        <f>IFERROR(__xludf.DUMMYFUNCTION("""COMPUTED_VALUE"""),"259671950")</f>
        <v>259671950</v>
      </c>
      <c r="D2880" s="133" t="str">
        <f>IFERROR(__xludf.DUMMYFUNCTION("""COMPUTED_VALUE"""),"Розовый")</f>
        <v>Розовый</v>
      </c>
      <c r="E2880" s="133">
        <f>IFERROR(__xludf.DUMMYFUNCTION("""COMPUTED_VALUE"""),0.0)</f>
        <v>0</v>
      </c>
      <c r="F2880" s="165" t="str">
        <f>IFERROR(__xludf.DUMMYFUNCTION("""COMPUTED_VALUE"""),"LO00109ZOO0")</f>
        <v>LO00109ZOO0</v>
      </c>
      <c r="G2880" s="133">
        <f>IFERROR(__xludf.DUMMYFUNCTION("""COMPUTED_VALUE"""),352.0)</f>
        <v>352</v>
      </c>
    </row>
    <row r="2881" ht="15.75" customHeight="1">
      <c r="A2881" s="133" t="str">
        <f>IFERROR(__xludf.DUMMYFUNCTION("""COMPUTED_VALUE"""),"LO00110ZOO")</f>
        <v>LO00110ZOO</v>
      </c>
      <c r="B2881" s="133">
        <f>IFERROR(__xludf.DUMMYFUNCTION("""COMPUTED_VALUE"""),2.596725E7)</f>
        <v>25967250</v>
      </c>
      <c r="C2881" s="164" t="str">
        <f>IFERROR(__xludf.DUMMYFUNCTION("""COMPUTED_VALUE"""),"259672500")</f>
        <v>259672500</v>
      </c>
      <c r="D2881" s="133" t="str">
        <f>IFERROR(__xludf.DUMMYFUNCTION("""COMPUTED_VALUE"""),"Бежевый")</f>
        <v>Бежевый</v>
      </c>
      <c r="E2881" s="133">
        <f>IFERROR(__xludf.DUMMYFUNCTION("""COMPUTED_VALUE"""),0.0)</f>
        <v>0</v>
      </c>
      <c r="F2881" s="165" t="str">
        <f>IFERROR(__xludf.DUMMYFUNCTION("""COMPUTED_VALUE"""),"LO00110ZOO0")</f>
        <v>LO00110ZOO0</v>
      </c>
      <c r="G2881" s="133">
        <f>IFERROR(__xludf.DUMMYFUNCTION("""COMPUTED_VALUE"""),360.0)</f>
        <v>360</v>
      </c>
    </row>
    <row r="2882" ht="15.75" customHeight="1">
      <c r="A2882" s="133" t="str">
        <f>IFERROR(__xludf.DUMMYFUNCTION("""COMPUTED_VALUE"""),"PL00003DDWзелёный-белый")</f>
        <v>PL00003DDWзелёный-белый</v>
      </c>
      <c r="B2882" s="133">
        <f>IFERROR(__xludf.DUMMYFUNCTION("""COMPUTED_VALUE"""),2.5787722E7)</f>
        <v>25787722</v>
      </c>
      <c r="C2882" s="164" t="str">
        <f>IFERROR(__xludf.DUMMYFUNCTION("""COMPUTED_VALUE"""),"2578772242")</f>
        <v>2578772242</v>
      </c>
      <c r="D2882" s="133"/>
      <c r="E2882" s="133">
        <f>IFERROR(__xludf.DUMMYFUNCTION("""COMPUTED_VALUE"""),42.0)</f>
        <v>42</v>
      </c>
      <c r="F2882" s="165" t="str">
        <f>IFERROR(__xludf.DUMMYFUNCTION("""COMPUTED_VALUE"""),"PL00003DDWзелёный-белый42")</f>
        <v>PL00003DDWзелёный-белый42</v>
      </c>
      <c r="G2882" s="133">
        <f>IFERROR(__xludf.DUMMYFUNCTION("""COMPUTED_VALUE"""),573.0)</f>
        <v>573</v>
      </c>
    </row>
    <row r="2883" ht="15.75" customHeight="1">
      <c r="A2883" s="133" t="str">
        <f>IFERROR(__xludf.DUMMYFUNCTION("""COMPUTED_VALUE"""),"PL00003DDWзелёный-белый")</f>
        <v>PL00003DDWзелёный-белый</v>
      </c>
      <c r="B2883" s="133">
        <f>IFERROR(__xludf.DUMMYFUNCTION("""COMPUTED_VALUE"""),2.5787722E7)</f>
        <v>25787722</v>
      </c>
      <c r="C2883" s="164" t="str">
        <f>IFERROR(__xludf.DUMMYFUNCTION("""COMPUTED_VALUE"""),"2578772244")</f>
        <v>2578772244</v>
      </c>
      <c r="D2883" s="133"/>
      <c r="E2883" s="133">
        <f>IFERROR(__xludf.DUMMYFUNCTION("""COMPUTED_VALUE"""),44.0)</f>
        <v>44</v>
      </c>
      <c r="F2883" s="165" t="str">
        <f>IFERROR(__xludf.DUMMYFUNCTION("""COMPUTED_VALUE"""),"PL00003DDWзелёный-белый44")</f>
        <v>PL00003DDWзелёный-белый44</v>
      </c>
      <c r="G2883" s="133">
        <f>IFERROR(__xludf.DUMMYFUNCTION("""COMPUTED_VALUE"""),573.0)</f>
        <v>573</v>
      </c>
    </row>
    <row r="2884" ht="15.75" customHeight="1">
      <c r="A2884" s="133" t="str">
        <f>IFERROR(__xludf.DUMMYFUNCTION("""COMPUTED_VALUE"""),"PL00003DDWзелёный-белый")</f>
        <v>PL00003DDWзелёный-белый</v>
      </c>
      <c r="B2884" s="133">
        <f>IFERROR(__xludf.DUMMYFUNCTION("""COMPUTED_VALUE"""),2.5787722E7)</f>
        <v>25787722</v>
      </c>
      <c r="C2884" s="164" t="str">
        <f>IFERROR(__xludf.DUMMYFUNCTION("""COMPUTED_VALUE"""),"2578772246")</f>
        <v>2578772246</v>
      </c>
      <c r="D2884" s="133"/>
      <c r="E2884" s="133">
        <f>IFERROR(__xludf.DUMMYFUNCTION("""COMPUTED_VALUE"""),46.0)</f>
        <v>46</v>
      </c>
      <c r="F2884" s="165" t="str">
        <f>IFERROR(__xludf.DUMMYFUNCTION("""COMPUTED_VALUE"""),"PL00003DDWзелёный-белый46")</f>
        <v>PL00003DDWзелёный-белый46</v>
      </c>
      <c r="G2884" s="133">
        <f>IFERROR(__xludf.DUMMYFUNCTION("""COMPUTED_VALUE"""),573.0)</f>
        <v>573</v>
      </c>
    </row>
    <row r="2885" ht="15.75" customHeight="1">
      <c r="A2885" s="133" t="str">
        <f>IFERROR(__xludf.DUMMYFUNCTION("""COMPUTED_VALUE"""),"PL00003DDWзелёный-белый")</f>
        <v>PL00003DDWзелёный-белый</v>
      </c>
      <c r="B2885" s="133">
        <f>IFERROR(__xludf.DUMMYFUNCTION("""COMPUTED_VALUE"""),2.5787722E7)</f>
        <v>25787722</v>
      </c>
      <c r="C2885" s="164" t="str">
        <f>IFERROR(__xludf.DUMMYFUNCTION("""COMPUTED_VALUE"""),"2578772248")</f>
        <v>2578772248</v>
      </c>
      <c r="D2885" s="133"/>
      <c r="E2885" s="133">
        <f>IFERROR(__xludf.DUMMYFUNCTION("""COMPUTED_VALUE"""),48.0)</f>
        <v>48</v>
      </c>
      <c r="F2885" s="165" t="str">
        <f>IFERROR(__xludf.DUMMYFUNCTION("""COMPUTED_VALUE"""),"PL00003DDWзелёный-белый48")</f>
        <v>PL00003DDWзелёный-белый48</v>
      </c>
      <c r="G2885" s="133">
        <f>IFERROR(__xludf.DUMMYFUNCTION("""COMPUTED_VALUE"""),573.0)</f>
        <v>573</v>
      </c>
    </row>
    <row r="2886" ht="15.75" customHeight="1">
      <c r="A2886" s="133" t="str">
        <f>IFERROR(__xludf.DUMMYFUNCTION("""COMPUTED_VALUE"""),"PL00003DDWзелёный-белый")</f>
        <v>PL00003DDWзелёный-белый</v>
      </c>
      <c r="B2886" s="133">
        <f>IFERROR(__xludf.DUMMYFUNCTION("""COMPUTED_VALUE"""),2.5787722E7)</f>
        <v>25787722</v>
      </c>
      <c r="C2886" s="164" t="str">
        <f>IFERROR(__xludf.DUMMYFUNCTION("""COMPUTED_VALUE"""),"2578772250")</f>
        <v>2578772250</v>
      </c>
      <c r="D2886" s="133"/>
      <c r="E2886" s="133">
        <f>IFERROR(__xludf.DUMMYFUNCTION("""COMPUTED_VALUE"""),50.0)</f>
        <v>50</v>
      </c>
      <c r="F2886" s="165" t="str">
        <f>IFERROR(__xludf.DUMMYFUNCTION("""COMPUTED_VALUE"""),"PL00003DDWзелёный-белый50")</f>
        <v>PL00003DDWзелёный-белый50</v>
      </c>
      <c r="G2886" s="133">
        <f>IFERROR(__xludf.DUMMYFUNCTION("""COMPUTED_VALUE"""),573.0)</f>
        <v>573</v>
      </c>
    </row>
    <row r="2887" ht="15.75" customHeight="1">
      <c r="A2887" s="133" t="str">
        <f>IFERROR(__xludf.DUMMYFUNCTION("""COMPUTED_VALUE"""),"PL00003DDWзелёный-белый")</f>
        <v>PL00003DDWзелёный-белый</v>
      </c>
      <c r="B2887" s="133">
        <f>IFERROR(__xludf.DUMMYFUNCTION("""COMPUTED_VALUE"""),2.5787722E7)</f>
        <v>25787722</v>
      </c>
      <c r="C2887" s="164" t="str">
        <f>IFERROR(__xludf.DUMMYFUNCTION("""COMPUTED_VALUE"""),"2578772252")</f>
        <v>2578772252</v>
      </c>
      <c r="D2887" s="133"/>
      <c r="E2887" s="133">
        <f>IFERROR(__xludf.DUMMYFUNCTION("""COMPUTED_VALUE"""),52.0)</f>
        <v>52</v>
      </c>
      <c r="F2887" s="165" t="str">
        <f>IFERROR(__xludf.DUMMYFUNCTION("""COMPUTED_VALUE"""),"PL00003DDWзелёный-белый52")</f>
        <v>PL00003DDWзелёный-белый52</v>
      </c>
      <c r="G2887" s="133">
        <f>IFERROR(__xludf.DUMMYFUNCTION("""COMPUTED_VALUE"""),573.0)</f>
        <v>573</v>
      </c>
    </row>
    <row r="2888" ht="15.75" customHeight="1">
      <c r="A2888" s="133" t="str">
        <f>IFERROR(__xludf.DUMMYFUNCTION("""COMPUTED_VALUE"""),"PL00003DDWзелёный-белый")</f>
        <v>PL00003DDWзелёный-белый</v>
      </c>
      <c r="B2888" s="133">
        <f>IFERROR(__xludf.DUMMYFUNCTION("""COMPUTED_VALUE"""),2.5787722E7)</f>
        <v>25787722</v>
      </c>
      <c r="C2888" s="164" t="str">
        <f>IFERROR(__xludf.DUMMYFUNCTION("""COMPUTED_VALUE"""),"2578772254")</f>
        <v>2578772254</v>
      </c>
      <c r="D2888" s="133"/>
      <c r="E2888" s="133">
        <f>IFERROR(__xludf.DUMMYFUNCTION("""COMPUTED_VALUE"""),54.0)</f>
        <v>54</v>
      </c>
      <c r="F2888" s="165" t="str">
        <f>IFERROR(__xludf.DUMMYFUNCTION("""COMPUTED_VALUE"""),"PL00003DDWзелёный-белый54")</f>
        <v>PL00003DDWзелёный-белый54</v>
      </c>
      <c r="G2888" s="133">
        <f>IFERROR(__xludf.DUMMYFUNCTION("""COMPUTED_VALUE"""),573.0)</f>
        <v>573</v>
      </c>
    </row>
    <row r="2889" ht="15.75" customHeight="1">
      <c r="A2889" s="133" t="str">
        <f>IFERROR(__xludf.DUMMYFUNCTION("""COMPUTED_VALUE"""),"PL00003DDWсиний-белый")</f>
        <v>PL00003DDWсиний-белый</v>
      </c>
      <c r="B2889" s="133">
        <f>IFERROR(__xludf.DUMMYFUNCTION("""COMPUTED_VALUE"""),2.5786847E7)</f>
        <v>25786847</v>
      </c>
      <c r="C2889" s="164" t="str">
        <f>IFERROR(__xludf.DUMMYFUNCTION("""COMPUTED_VALUE"""),"2578684742")</f>
        <v>2578684742</v>
      </c>
      <c r="D2889" s="133"/>
      <c r="E2889" s="133">
        <f>IFERROR(__xludf.DUMMYFUNCTION("""COMPUTED_VALUE"""),42.0)</f>
        <v>42</v>
      </c>
      <c r="F2889" s="165" t="str">
        <f>IFERROR(__xludf.DUMMYFUNCTION("""COMPUTED_VALUE"""),"PL00003DDWсиний-белый42")</f>
        <v>PL00003DDWсиний-белый42</v>
      </c>
      <c r="G2889" s="133">
        <f>IFERROR(__xludf.DUMMYFUNCTION("""COMPUTED_VALUE"""),573.0)</f>
        <v>573</v>
      </c>
    </row>
    <row r="2890" ht="15.75" customHeight="1">
      <c r="A2890" s="133" t="str">
        <f>IFERROR(__xludf.DUMMYFUNCTION("""COMPUTED_VALUE"""),"PL00003DDWсиний-белый")</f>
        <v>PL00003DDWсиний-белый</v>
      </c>
      <c r="B2890" s="133">
        <f>IFERROR(__xludf.DUMMYFUNCTION("""COMPUTED_VALUE"""),2.5786847E7)</f>
        <v>25786847</v>
      </c>
      <c r="C2890" s="164" t="str">
        <f>IFERROR(__xludf.DUMMYFUNCTION("""COMPUTED_VALUE"""),"2578684744")</f>
        <v>2578684744</v>
      </c>
      <c r="D2890" s="133"/>
      <c r="E2890" s="133">
        <f>IFERROR(__xludf.DUMMYFUNCTION("""COMPUTED_VALUE"""),44.0)</f>
        <v>44</v>
      </c>
      <c r="F2890" s="165" t="str">
        <f>IFERROR(__xludf.DUMMYFUNCTION("""COMPUTED_VALUE"""),"PL00003DDWсиний-белый44")</f>
        <v>PL00003DDWсиний-белый44</v>
      </c>
      <c r="G2890" s="133">
        <f>IFERROR(__xludf.DUMMYFUNCTION("""COMPUTED_VALUE"""),573.0)</f>
        <v>573</v>
      </c>
    </row>
    <row r="2891" ht="15.75" customHeight="1">
      <c r="A2891" s="133" t="str">
        <f>IFERROR(__xludf.DUMMYFUNCTION("""COMPUTED_VALUE"""),"PL00003DDWсиний-белый")</f>
        <v>PL00003DDWсиний-белый</v>
      </c>
      <c r="B2891" s="133">
        <f>IFERROR(__xludf.DUMMYFUNCTION("""COMPUTED_VALUE"""),2.5786847E7)</f>
        <v>25786847</v>
      </c>
      <c r="C2891" s="164" t="str">
        <f>IFERROR(__xludf.DUMMYFUNCTION("""COMPUTED_VALUE"""),"2578684746")</f>
        <v>2578684746</v>
      </c>
      <c r="D2891" s="133"/>
      <c r="E2891" s="133">
        <f>IFERROR(__xludf.DUMMYFUNCTION("""COMPUTED_VALUE"""),46.0)</f>
        <v>46</v>
      </c>
      <c r="F2891" s="165" t="str">
        <f>IFERROR(__xludf.DUMMYFUNCTION("""COMPUTED_VALUE"""),"PL00003DDWсиний-белый46")</f>
        <v>PL00003DDWсиний-белый46</v>
      </c>
      <c r="G2891" s="133">
        <f>IFERROR(__xludf.DUMMYFUNCTION("""COMPUTED_VALUE"""),573.0)</f>
        <v>573</v>
      </c>
    </row>
    <row r="2892" ht="15.75" customHeight="1">
      <c r="A2892" s="133" t="str">
        <f>IFERROR(__xludf.DUMMYFUNCTION("""COMPUTED_VALUE"""),"PL00003DDWсиний-белый")</f>
        <v>PL00003DDWсиний-белый</v>
      </c>
      <c r="B2892" s="133">
        <f>IFERROR(__xludf.DUMMYFUNCTION("""COMPUTED_VALUE"""),2.5786847E7)</f>
        <v>25786847</v>
      </c>
      <c r="C2892" s="164" t="str">
        <f>IFERROR(__xludf.DUMMYFUNCTION("""COMPUTED_VALUE"""),"2578684748")</f>
        <v>2578684748</v>
      </c>
      <c r="D2892" s="133"/>
      <c r="E2892" s="133">
        <f>IFERROR(__xludf.DUMMYFUNCTION("""COMPUTED_VALUE"""),48.0)</f>
        <v>48</v>
      </c>
      <c r="F2892" s="165" t="str">
        <f>IFERROR(__xludf.DUMMYFUNCTION("""COMPUTED_VALUE"""),"PL00003DDWсиний-белый48")</f>
        <v>PL00003DDWсиний-белый48</v>
      </c>
      <c r="G2892" s="133">
        <f>IFERROR(__xludf.DUMMYFUNCTION("""COMPUTED_VALUE"""),573.0)</f>
        <v>573</v>
      </c>
    </row>
    <row r="2893" ht="15.75" customHeight="1">
      <c r="A2893" s="133" t="str">
        <f>IFERROR(__xludf.DUMMYFUNCTION("""COMPUTED_VALUE"""),"PL00003DDWсиний-белый")</f>
        <v>PL00003DDWсиний-белый</v>
      </c>
      <c r="B2893" s="133">
        <f>IFERROR(__xludf.DUMMYFUNCTION("""COMPUTED_VALUE"""),2.5786847E7)</f>
        <v>25786847</v>
      </c>
      <c r="C2893" s="164" t="str">
        <f>IFERROR(__xludf.DUMMYFUNCTION("""COMPUTED_VALUE"""),"2578684750")</f>
        <v>2578684750</v>
      </c>
      <c r="D2893" s="133"/>
      <c r="E2893" s="133">
        <f>IFERROR(__xludf.DUMMYFUNCTION("""COMPUTED_VALUE"""),50.0)</f>
        <v>50</v>
      </c>
      <c r="F2893" s="165" t="str">
        <f>IFERROR(__xludf.DUMMYFUNCTION("""COMPUTED_VALUE"""),"PL00003DDWсиний-белый50")</f>
        <v>PL00003DDWсиний-белый50</v>
      </c>
      <c r="G2893" s="133">
        <f>IFERROR(__xludf.DUMMYFUNCTION("""COMPUTED_VALUE"""),573.0)</f>
        <v>573</v>
      </c>
    </row>
    <row r="2894" ht="15.75" customHeight="1">
      <c r="A2894" s="133" t="str">
        <f>IFERROR(__xludf.DUMMYFUNCTION("""COMPUTED_VALUE"""),"PL00003DDWсиний-белый")</f>
        <v>PL00003DDWсиний-белый</v>
      </c>
      <c r="B2894" s="133">
        <f>IFERROR(__xludf.DUMMYFUNCTION("""COMPUTED_VALUE"""),2.5786847E7)</f>
        <v>25786847</v>
      </c>
      <c r="C2894" s="164" t="str">
        <f>IFERROR(__xludf.DUMMYFUNCTION("""COMPUTED_VALUE"""),"2578684752")</f>
        <v>2578684752</v>
      </c>
      <c r="D2894" s="133"/>
      <c r="E2894" s="133">
        <f>IFERROR(__xludf.DUMMYFUNCTION("""COMPUTED_VALUE"""),52.0)</f>
        <v>52</v>
      </c>
      <c r="F2894" s="165" t="str">
        <f>IFERROR(__xludf.DUMMYFUNCTION("""COMPUTED_VALUE"""),"PL00003DDWсиний-белый52")</f>
        <v>PL00003DDWсиний-белый52</v>
      </c>
      <c r="G2894" s="133">
        <f>IFERROR(__xludf.DUMMYFUNCTION("""COMPUTED_VALUE"""),573.0)</f>
        <v>573</v>
      </c>
    </row>
    <row r="2895" ht="15.75" customHeight="1">
      <c r="A2895" s="133" t="str">
        <f>IFERROR(__xludf.DUMMYFUNCTION("""COMPUTED_VALUE"""),"PL00003DDWсиний-белый")</f>
        <v>PL00003DDWсиний-белый</v>
      </c>
      <c r="B2895" s="133">
        <f>IFERROR(__xludf.DUMMYFUNCTION("""COMPUTED_VALUE"""),2.5786847E7)</f>
        <v>25786847</v>
      </c>
      <c r="C2895" s="164" t="str">
        <f>IFERROR(__xludf.DUMMYFUNCTION("""COMPUTED_VALUE"""),"2578684754")</f>
        <v>2578684754</v>
      </c>
      <c r="D2895" s="133"/>
      <c r="E2895" s="133">
        <f>IFERROR(__xludf.DUMMYFUNCTION("""COMPUTED_VALUE"""),54.0)</f>
        <v>54</v>
      </c>
      <c r="F2895" s="165" t="str">
        <f>IFERROR(__xludf.DUMMYFUNCTION("""COMPUTED_VALUE"""),"PL00003DDWсиний-белый54")</f>
        <v>PL00003DDWсиний-белый54</v>
      </c>
      <c r="G2895" s="133">
        <f>IFERROR(__xludf.DUMMYFUNCTION("""COMPUTED_VALUE"""),573.0)</f>
        <v>573</v>
      </c>
    </row>
    <row r="2896" ht="15.75" customHeight="1">
      <c r="A2896" s="133" t="str">
        <f>IFERROR(__xludf.DUMMYFUNCTION("""COMPUTED_VALUE"""),"PL00003DDWчерный-желтый")</f>
        <v>PL00003DDWчерный-желтый</v>
      </c>
      <c r="B2896" s="133">
        <f>IFERROR(__xludf.DUMMYFUNCTION("""COMPUTED_VALUE"""),2.5935674E7)</f>
        <v>25935674</v>
      </c>
      <c r="C2896" s="164" t="str">
        <f>IFERROR(__xludf.DUMMYFUNCTION("""COMPUTED_VALUE"""),"2534607442")</f>
        <v>2534607442</v>
      </c>
      <c r="D2896" s="133"/>
      <c r="E2896" s="133">
        <f>IFERROR(__xludf.DUMMYFUNCTION("""COMPUTED_VALUE"""),42.0)</f>
        <v>42</v>
      </c>
      <c r="F2896" s="165" t="str">
        <f>IFERROR(__xludf.DUMMYFUNCTION("""COMPUTED_VALUE"""),"PL00003DDWчерный-желтый42")</f>
        <v>PL00003DDWчерный-желтый42</v>
      </c>
      <c r="G2896" s="133">
        <f>IFERROR(__xludf.DUMMYFUNCTION("""COMPUTED_VALUE"""),573.0)</f>
        <v>573</v>
      </c>
    </row>
    <row r="2897" ht="15.75" customHeight="1">
      <c r="A2897" s="133" t="str">
        <f>IFERROR(__xludf.DUMMYFUNCTION("""COMPUTED_VALUE"""),"PL00003DDWчерный-желтый")</f>
        <v>PL00003DDWчерный-желтый</v>
      </c>
      <c r="B2897" s="133">
        <f>IFERROR(__xludf.DUMMYFUNCTION("""COMPUTED_VALUE"""),2.5935674E7)</f>
        <v>25935674</v>
      </c>
      <c r="C2897" s="164" t="str">
        <f>IFERROR(__xludf.DUMMYFUNCTION("""COMPUTED_VALUE"""),"2534607444")</f>
        <v>2534607444</v>
      </c>
      <c r="D2897" s="133"/>
      <c r="E2897" s="133">
        <f>IFERROR(__xludf.DUMMYFUNCTION("""COMPUTED_VALUE"""),44.0)</f>
        <v>44</v>
      </c>
      <c r="F2897" s="165" t="str">
        <f>IFERROR(__xludf.DUMMYFUNCTION("""COMPUTED_VALUE"""),"PL00003DDWчерный-желтый44")</f>
        <v>PL00003DDWчерный-желтый44</v>
      </c>
      <c r="G2897" s="133">
        <f>IFERROR(__xludf.DUMMYFUNCTION("""COMPUTED_VALUE"""),573.0)</f>
        <v>573</v>
      </c>
    </row>
    <row r="2898" ht="15.75" customHeight="1">
      <c r="A2898" s="133" t="str">
        <f>IFERROR(__xludf.DUMMYFUNCTION("""COMPUTED_VALUE"""),"PL00003DDWчерный-желтый")</f>
        <v>PL00003DDWчерный-желтый</v>
      </c>
      <c r="B2898" s="133">
        <f>IFERROR(__xludf.DUMMYFUNCTION("""COMPUTED_VALUE"""),2.5935674E7)</f>
        <v>25935674</v>
      </c>
      <c r="C2898" s="164" t="str">
        <f>IFERROR(__xludf.DUMMYFUNCTION("""COMPUTED_VALUE"""),"2534607446")</f>
        <v>2534607446</v>
      </c>
      <c r="D2898" s="133"/>
      <c r="E2898" s="133">
        <f>IFERROR(__xludf.DUMMYFUNCTION("""COMPUTED_VALUE"""),46.0)</f>
        <v>46</v>
      </c>
      <c r="F2898" s="165" t="str">
        <f>IFERROR(__xludf.DUMMYFUNCTION("""COMPUTED_VALUE"""),"PL00003DDWчерный-желтый46")</f>
        <v>PL00003DDWчерный-желтый46</v>
      </c>
      <c r="G2898" s="133">
        <f>IFERROR(__xludf.DUMMYFUNCTION("""COMPUTED_VALUE"""),573.0)</f>
        <v>573</v>
      </c>
    </row>
    <row r="2899" ht="15.75" customHeight="1">
      <c r="A2899" s="133" t="str">
        <f>IFERROR(__xludf.DUMMYFUNCTION("""COMPUTED_VALUE"""),"PL00003DDWчерный-желтый")</f>
        <v>PL00003DDWчерный-желтый</v>
      </c>
      <c r="B2899" s="133">
        <f>IFERROR(__xludf.DUMMYFUNCTION("""COMPUTED_VALUE"""),2.5935674E7)</f>
        <v>25935674</v>
      </c>
      <c r="C2899" s="164" t="str">
        <f>IFERROR(__xludf.DUMMYFUNCTION("""COMPUTED_VALUE"""),"2534607448")</f>
        <v>2534607448</v>
      </c>
      <c r="D2899" s="133"/>
      <c r="E2899" s="133">
        <f>IFERROR(__xludf.DUMMYFUNCTION("""COMPUTED_VALUE"""),48.0)</f>
        <v>48</v>
      </c>
      <c r="F2899" s="165" t="str">
        <f>IFERROR(__xludf.DUMMYFUNCTION("""COMPUTED_VALUE"""),"PL00003DDWчерный-желтый48")</f>
        <v>PL00003DDWчерный-желтый48</v>
      </c>
      <c r="G2899" s="133">
        <f>IFERROR(__xludf.DUMMYFUNCTION("""COMPUTED_VALUE"""),573.0)</f>
        <v>573</v>
      </c>
    </row>
    <row r="2900" ht="15.75" customHeight="1">
      <c r="A2900" s="133" t="str">
        <f>IFERROR(__xludf.DUMMYFUNCTION("""COMPUTED_VALUE"""),"PL00003DDWчерный-желтый")</f>
        <v>PL00003DDWчерный-желтый</v>
      </c>
      <c r="B2900" s="133">
        <f>IFERROR(__xludf.DUMMYFUNCTION("""COMPUTED_VALUE"""),2.5935674E7)</f>
        <v>25935674</v>
      </c>
      <c r="C2900" s="164" t="str">
        <f>IFERROR(__xludf.DUMMYFUNCTION("""COMPUTED_VALUE"""),"2534607450")</f>
        <v>2534607450</v>
      </c>
      <c r="D2900" s="133"/>
      <c r="E2900" s="133">
        <f>IFERROR(__xludf.DUMMYFUNCTION("""COMPUTED_VALUE"""),50.0)</f>
        <v>50</v>
      </c>
      <c r="F2900" s="165" t="str">
        <f>IFERROR(__xludf.DUMMYFUNCTION("""COMPUTED_VALUE"""),"PL00003DDWчерный-желтый50")</f>
        <v>PL00003DDWчерный-желтый50</v>
      </c>
      <c r="G2900" s="133">
        <f>IFERROR(__xludf.DUMMYFUNCTION("""COMPUTED_VALUE"""),573.0)</f>
        <v>573</v>
      </c>
    </row>
    <row r="2901" ht="15.75" customHeight="1">
      <c r="A2901" s="133" t="str">
        <f>IFERROR(__xludf.DUMMYFUNCTION("""COMPUTED_VALUE"""),"PL00003DDWчерный-желтый")</f>
        <v>PL00003DDWчерный-желтый</v>
      </c>
      <c r="B2901" s="133">
        <f>IFERROR(__xludf.DUMMYFUNCTION("""COMPUTED_VALUE"""),2.5935674E7)</f>
        <v>25935674</v>
      </c>
      <c r="C2901" s="164" t="str">
        <f>IFERROR(__xludf.DUMMYFUNCTION("""COMPUTED_VALUE"""),"2534607452")</f>
        <v>2534607452</v>
      </c>
      <c r="D2901" s="133"/>
      <c r="E2901" s="133">
        <f>IFERROR(__xludf.DUMMYFUNCTION("""COMPUTED_VALUE"""),52.0)</f>
        <v>52</v>
      </c>
      <c r="F2901" s="165" t="str">
        <f>IFERROR(__xludf.DUMMYFUNCTION("""COMPUTED_VALUE"""),"PL00003DDWчерный-желтый52")</f>
        <v>PL00003DDWчерный-желтый52</v>
      </c>
      <c r="G2901" s="133">
        <f>IFERROR(__xludf.DUMMYFUNCTION("""COMPUTED_VALUE"""),573.0)</f>
        <v>573</v>
      </c>
    </row>
    <row r="2902" ht="15.75" customHeight="1">
      <c r="A2902" s="133" t="str">
        <f>IFERROR(__xludf.DUMMYFUNCTION("""COMPUTED_VALUE"""),"PL00003DDWчерный-желтый")</f>
        <v>PL00003DDWчерный-желтый</v>
      </c>
      <c r="B2902" s="133">
        <f>IFERROR(__xludf.DUMMYFUNCTION("""COMPUTED_VALUE"""),2.5935674E7)</f>
        <v>25935674</v>
      </c>
      <c r="C2902" s="164" t="str">
        <f>IFERROR(__xludf.DUMMYFUNCTION("""COMPUTED_VALUE"""),"2534607454")</f>
        <v>2534607454</v>
      </c>
      <c r="D2902" s="133"/>
      <c r="E2902" s="133">
        <f>IFERROR(__xludf.DUMMYFUNCTION("""COMPUTED_VALUE"""),54.0)</f>
        <v>54</v>
      </c>
      <c r="F2902" s="165" t="str">
        <f>IFERROR(__xludf.DUMMYFUNCTION("""COMPUTED_VALUE"""),"PL00003DDWчерный-желтый54")</f>
        <v>PL00003DDWчерный-желтый54</v>
      </c>
      <c r="G2902" s="133">
        <f>IFERROR(__xludf.DUMMYFUNCTION("""COMPUTED_VALUE"""),573.0)</f>
        <v>573</v>
      </c>
    </row>
    <row r="2903" ht="15.75" customHeight="1">
      <c r="A2903" s="133" t="str">
        <f>IFERROR(__xludf.DUMMYFUNCTION("""COMPUTED_VALUE"""),"TO20166KE")</f>
        <v>TO20166KE</v>
      </c>
      <c r="B2903" s="133">
        <f>IFERROR(__xludf.DUMMYFUNCTION("""COMPUTED_VALUE"""),2.3398795E7)</f>
        <v>23398795</v>
      </c>
      <c r="C2903" s="164" t="str">
        <f>IFERROR(__xludf.DUMMYFUNCTION("""COMPUTED_VALUE"""),"233987950")</f>
        <v>233987950</v>
      </c>
      <c r="D2903" s="133"/>
      <c r="E2903" s="133">
        <f>IFERROR(__xludf.DUMMYFUNCTION("""COMPUTED_VALUE"""),0.0)</f>
        <v>0</v>
      </c>
      <c r="F2903" s="165" t="str">
        <f>IFERROR(__xludf.DUMMYFUNCTION("""COMPUTED_VALUE"""),"TO20166KE0")</f>
        <v>TO20166KE0</v>
      </c>
      <c r="G2903" s="133">
        <f>IFERROR(__xludf.DUMMYFUNCTION("""COMPUTED_VALUE"""),313.0)</f>
        <v>313</v>
      </c>
    </row>
    <row r="2904" ht="15.75" customHeight="1">
      <c r="A2904" s="133" t="str">
        <f>IFERROR(__xludf.DUMMYFUNCTION("""COMPUTED_VALUE"""),"PL00004DDWбирюза")</f>
        <v>PL00004DDWбирюза</v>
      </c>
      <c r="B2904" s="133">
        <f>IFERROR(__xludf.DUMMYFUNCTION("""COMPUTED_VALUE"""),2.5957842E7)</f>
        <v>25957842</v>
      </c>
      <c r="C2904" s="164" t="str">
        <f>IFERROR(__xludf.DUMMYFUNCTION("""COMPUTED_VALUE"""),"2595784242")</f>
        <v>2595784242</v>
      </c>
      <c r="D2904" s="133"/>
      <c r="E2904" s="133">
        <f>IFERROR(__xludf.DUMMYFUNCTION("""COMPUTED_VALUE"""),42.0)</f>
        <v>42</v>
      </c>
      <c r="F2904" s="164" t="str">
        <f>IFERROR(__xludf.DUMMYFUNCTION("""COMPUTED_VALUE"""),"PL00004DDWбирюза42")</f>
        <v>PL00004DDWбирюза42</v>
      </c>
      <c r="G2904" s="133">
        <f>IFERROR(__xludf.DUMMYFUNCTION("""COMPUTED_VALUE"""),538.0)</f>
        <v>538</v>
      </c>
    </row>
    <row r="2905" ht="15.75" customHeight="1">
      <c r="A2905" s="133" t="str">
        <f>IFERROR(__xludf.DUMMYFUNCTION("""COMPUTED_VALUE"""),"PL00004DDWбирюза")</f>
        <v>PL00004DDWбирюза</v>
      </c>
      <c r="B2905" s="133">
        <f>IFERROR(__xludf.DUMMYFUNCTION("""COMPUTED_VALUE"""),2.5957842E7)</f>
        <v>25957842</v>
      </c>
      <c r="C2905" s="164" t="str">
        <f>IFERROR(__xludf.DUMMYFUNCTION("""COMPUTED_VALUE"""),"2595784244")</f>
        <v>2595784244</v>
      </c>
      <c r="D2905" s="133"/>
      <c r="E2905" s="133">
        <f>IFERROR(__xludf.DUMMYFUNCTION("""COMPUTED_VALUE"""),44.0)</f>
        <v>44</v>
      </c>
      <c r="F2905" s="164" t="str">
        <f>IFERROR(__xludf.DUMMYFUNCTION("""COMPUTED_VALUE"""),"PL00004DDWбирюза44")</f>
        <v>PL00004DDWбирюза44</v>
      </c>
      <c r="G2905" s="133">
        <f>IFERROR(__xludf.DUMMYFUNCTION("""COMPUTED_VALUE"""),538.0)</f>
        <v>538</v>
      </c>
    </row>
    <row r="2906" ht="15.75" customHeight="1">
      <c r="A2906" s="133" t="str">
        <f>IFERROR(__xludf.DUMMYFUNCTION("""COMPUTED_VALUE"""),"PL00004DDWбирюза")</f>
        <v>PL00004DDWбирюза</v>
      </c>
      <c r="B2906" s="133">
        <f>IFERROR(__xludf.DUMMYFUNCTION("""COMPUTED_VALUE"""),2.5957842E7)</f>
        <v>25957842</v>
      </c>
      <c r="C2906" s="164" t="str">
        <f>IFERROR(__xludf.DUMMYFUNCTION("""COMPUTED_VALUE"""),"2595784246")</f>
        <v>2595784246</v>
      </c>
      <c r="D2906" s="133"/>
      <c r="E2906" s="133">
        <f>IFERROR(__xludf.DUMMYFUNCTION("""COMPUTED_VALUE"""),46.0)</f>
        <v>46</v>
      </c>
      <c r="F2906" s="164" t="str">
        <f>IFERROR(__xludf.DUMMYFUNCTION("""COMPUTED_VALUE"""),"PL00004DDWбирюза46")</f>
        <v>PL00004DDWбирюза46</v>
      </c>
      <c r="G2906" s="133">
        <f>IFERROR(__xludf.DUMMYFUNCTION("""COMPUTED_VALUE"""),538.0)</f>
        <v>538</v>
      </c>
    </row>
    <row r="2907" ht="15.75" customHeight="1">
      <c r="A2907" s="133" t="str">
        <f>IFERROR(__xludf.DUMMYFUNCTION("""COMPUTED_VALUE"""),"PL00004DDWбирюза")</f>
        <v>PL00004DDWбирюза</v>
      </c>
      <c r="B2907" s="133">
        <f>IFERROR(__xludf.DUMMYFUNCTION("""COMPUTED_VALUE"""),2.5957842E7)</f>
        <v>25957842</v>
      </c>
      <c r="C2907" s="164" t="str">
        <f>IFERROR(__xludf.DUMMYFUNCTION("""COMPUTED_VALUE"""),"2595784248")</f>
        <v>2595784248</v>
      </c>
      <c r="D2907" s="133"/>
      <c r="E2907" s="133">
        <f>IFERROR(__xludf.DUMMYFUNCTION("""COMPUTED_VALUE"""),48.0)</f>
        <v>48</v>
      </c>
      <c r="F2907" s="164" t="str">
        <f>IFERROR(__xludf.DUMMYFUNCTION("""COMPUTED_VALUE"""),"PL00004DDWбирюза48")</f>
        <v>PL00004DDWбирюза48</v>
      </c>
      <c r="G2907" s="133">
        <f>IFERROR(__xludf.DUMMYFUNCTION("""COMPUTED_VALUE"""),538.0)</f>
        <v>538</v>
      </c>
    </row>
    <row r="2908" ht="15.75" customHeight="1">
      <c r="A2908" s="133" t="str">
        <f>IFERROR(__xludf.DUMMYFUNCTION("""COMPUTED_VALUE"""),"PL00004DDWбирюза")</f>
        <v>PL00004DDWбирюза</v>
      </c>
      <c r="B2908" s="133">
        <f>IFERROR(__xludf.DUMMYFUNCTION("""COMPUTED_VALUE"""),2.5957842E7)</f>
        <v>25957842</v>
      </c>
      <c r="C2908" s="164" t="str">
        <f>IFERROR(__xludf.DUMMYFUNCTION("""COMPUTED_VALUE"""),"2595784250")</f>
        <v>2595784250</v>
      </c>
      <c r="D2908" s="133"/>
      <c r="E2908" s="133">
        <f>IFERROR(__xludf.DUMMYFUNCTION("""COMPUTED_VALUE"""),50.0)</f>
        <v>50</v>
      </c>
      <c r="F2908" s="164" t="str">
        <f>IFERROR(__xludf.DUMMYFUNCTION("""COMPUTED_VALUE"""),"PL00004DDWбирюза50")</f>
        <v>PL00004DDWбирюза50</v>
      </c>
      <c r="G2908" s="133">
        <f>IFERROR(__xludf.DUMMYFUNCTION("""COMPUTED_VALUE"""),538.0)</f>
        <v>538</v>
      </c>
    </row>
    <row r="2909" ht="15.75" customHeight="1">
      <c r="A2909" s="133" t="str">
        <f>IFERROR(__xludf.DUMMYFUNCTION("""COMPUTED_VALUE"""),"PL00004DDWбирюза")</f>
        <v>PL00004DDWбирюза</v>
      </c>
      <c r="B2909" s="133">
        <f>IFERROR(__xludf.DUMMYFUNCTION("""COMPUTED_VALUE"""),2.5957842E7)</f>
        <v>25957842</v>
      </c>
      <c r="C2909" s="164" t="str">
        <f>IFERROR(__xludf.DUMMYFUNCTION("""COMPUTED_VALUE"""),"2595784252")</f>
        <v>2595784252</v>
      </c>
      <c r="D2909" s="133"/>
      <c r="E2909" s="133">
        <f>IFERROR(__xludf.DUMMYFUNCTION("""COMPUTED_VALUE"""),52.0)</f>
        <v>52</v>
      </c>
      <c r="F2909" s="164" t="str">
        <f>IFERROR(__xludf.DUMMYFUNCTION("""COMPUTED_VALUE"""),"PL00004DDWбирюза52")</f>
        <v>PL00004DDWбирюза52</v>
      </c>
      <c r="G2909" s="133">
        <f>IFERROR(__xludf.DUMMYFUNCTION("""COMPUTED_VALUE"""),538.0)</f>
        <v>538</v>
      </c>
    </row>
    <row r="2910" ht="15.75" customHeight="1">
      <c r="A2910" s="133" t="str">
        <f>IFERROR(__xludf.DUMMYFUNCTION("""COMPUTED_VALUE"""),"PL00004DDWбирюза")</f>
        <v>PL00004DDWбирюза</v>
      </c>
      <c r="B2910" s="133">
        <f>IFERROR(__xludf.DUMMYFUNCTION("""COMPUTED_VALUE"""),2.5957842E7)</f>
        <v>25957842</v>
      </c>
      <c r="C2910" s="164" t="str">
        <f>IFERROR(__xludf.DUMMYFUNCTION("""COMPUTED_VALUE"""),"2595784254")</f>
        <v>2595784254</v>
      </c>
      <c r="D2910" s="133"/>
      <c r="E2910" s="133">
        <f>IFERROR(__xludf.DUMMYFUNCTION("""COMPUTED_VALUE"""),54.0)</f>
        <v>54</v>
      </c>
      <c r="F2910" s="164" t="str">
        <f>IFERROR(__xludf.DUMMYFUNCTION("""COMPUTED_VALUE"""),"PL00004DDWбирюза54")</f>
        <v>PL00004DDWбирюза54</v>
      </c>
      <c r="G2910" s="133">
        <f>IFERROR(__xludf.DUMMYFUNCTION("""COMPUTED_VALUE"""),538.0)</f>
        <v>538</v>
      </c>
    </row>
    <row r="2911" ht="15.75" customHeight="1">
      <c r="A2911" s="133" t="str">
        <f>IFERROR(__xludf.DUMMYFUNCTION("""COMPUTED_VALUE"""),"PL00004DDWбордовый")</f>
        <v>PL00004DDWбордовый</v>
      </c>
      <c r="B2911" s="133">
        <f>IFERROR(__xludf.DUMMYFUNCTION("""COMPUTED_VALUE"""),2.596429E7)</f>
        <v>25964290</v>
      </c>
      <c r="C2911" s="164" t="str">
        <f>IFERROR(__xludf.DUMMYFUNCTION("""COMPUTED_VALUE"""),"2596429042")</f>
        <v>2596429042</v>
      </c>
      <c r="D2911" s="133"/>
      <c r="E2911" s="133">
        <f>IFERROR(__xludf.DUMMYFUNCTION("""COMPUTED_VALUE"""),42.0)</f>
        <v>42</v>
      </c>
      <c r="F2911" s="164" t="str">
        <f>IFERROR(__xludf.DUMMYFUNCTION("""COMPUTED_VALUE"""),"PL00004DDWбордовый42")</f>
        <v>PL00004DDWбордовый42</v>
      </c>
      <c r="G2911" s="133">
        <f>IFERROR(__xludf.DUMMYFUNCTION("""COMPUTED_VALUE"""),538.0)</f>
        <v>538</v>
      </c>
    </row>
    <row r="2912" ht="15.75" customHeight="1">
      <c r="A2912" s="133" t="str">
        <f>IFERROR(__xludf.DUMMYFUNCTION("""COMPUTED_VALUE"""),"PL00004DDWбордовый")</f>
        <v>PL00004DDWбордовый</v>
      </c>
      <c r="B2912" s="133">
        <f>IFERROR(__xludf.DUMMYFUNCTION("""COMPUTED_VALUE"""),2.596429E7)</f>
        <v>25964290</v>
      </c>
      <c r="C2912" s="164" t="str">
        <f>IFERROR(__xludf.DUMMYFUNCTION("""COMPUTED_VALUE"""),"2596429044")</f>
        <v>2596429044</v>
      </c>
      <c r="D2912" s="133"/>
      <c r="E2912" s="133">
        <f>IFERROR(__xludf.DUMMYFUNCTION("""COMPUTED_VALUE"""),44.0)</f>
        <v>44</v>
      </c>
      <c r="F2912" s="164" t="str">
        <f>IFERROR(__xludf.DUMMYFUNCTION("""COMPUTED_VALUE"""),"PL00004DDWбордовый44")</f>
        <v>PL00004DDWбордовый44</v>
      </c>
      <c r="G2912" s="133">
        <f>IFERROR(__xludf.DUMMYFUNCTION("""COMPUTED_VALUE"""),538.0)</f>
        <v>538</v>
      </c>
    </row>
    <row r="2913" ht="15.75" customHeight="1">
      <c r="A2913" s="133" t="str">
        <f>IFERROR(__xludf.DUMMYFUNCTION("""COMPUTED_VALUE"""),"PL00004DDWбордовый")</f>
        <v>PL00004DDWбордовый</v>
      </c>
      <c r="B2913" s="133">
        <f>IFERROR(__xludf.DUMMYFUNCTION("""COMPUTED_VALUE"""),2.596429E7)</f>
        <v>25964290</v>
      </c>
      <c r="C2913" s="164" t="str">
        <f>IFERROR(__xludf.DUMMYFUNCTION("""COMPUTED_VALUE"""),"2596429046")</f>
        <v>2596429046</v>
      </c>
      <c r="D2913" s="133"/>
      <c r="E2913" s="133">
        <f>IFERROR(__xludf.DUMMYFUNCTION("""COMPUTED_VALUE"""),46.0)</f>
        <v>46</v>
      </c>
      <c r="F2913" s="164" t="str">
        <f>IFERROR(__xludf.DUMMYFUNCTION("""COMPUTED_VALUE"""),"PL00004DDWбордовый46")</f>
        <v>PL00004DDWбордовый46</v>
      </c>
      <c r="G2913" s="133">
        <f>IFERROR(__xludf.DUMMYFUNCTION("""COMPUTED_VALUE"""),538.0)</f>
        <v>538</v>
      </c>
    </row>
    <row r="2914" ht="15.75" customHeight="1">
      <c r="A2914" s="133" t="str">
        <f>IFERROR(__xludf.DUMMYFUNCTION("""COMPUTED_VALUE"""),"PL00004DDWбордовый")</f>
        <v>PL00004DDWбордовый</v>
      </c>
      <c r="B2914" s="133">
        <f>IFERROR(__xludf.DUMMYFUNCTION("""COMPUTED_VALUE"""),2.596429E7)</f>
        <v>25964290</v>
      </c>
      <c r="C2914" s="164" t="str">
        <f>IFERROR(__xludf.DUMMYFUNCTION("""COMPUTED_VALUE"""),"2596429048")</f>
        <v>2596429048</v>
      </c>
      <c r="D2914" s="133"/>
      <c r="E2914" s="133">
        <f>IFERROR(__xludf.DUMMYFUNCTION("""COMPUTED_VALUE"""),48.0)</f>
        <v>48</v>
      </c>
      <c r="F2914" s="164" t="str">
        <f>IFERROR(__xludf.DUMMYFUNCTION("""COMPUTED_VALUE"""),"PL00004DDWбордовый48")</f>
        <v>PL00004DDWбордовый48</v>
      </c>
      <c r="G2914" s="133">
        <f>IFERROR(__xludf.DUMMYFUNCTION("""COMPUTED_VALUE"""),538.0)</f>
        <v>538</v>
      </c>
    </row>
    <row r="2915" ht="15.75" customHeight="1">
      <c r="A2915" s="133" t="str">
        <f>IFERROR(__xludf.DUMMYFUNCTION("""COMPUTED_VALUE"""),"PL00004DDWбордовый")</f>
        <v>PL00004DDWбордовый</v>
      </c>
      <c r="B2915" s="133">
        <f>IFERROR(__xludf.DUMMYFUNCTION("""COMPUTED_VALUE"""),2.596429E7)</f>
        <v>25964290</v>
      </c>
      <c r="C2915" s="164" t="str">
        <f>IFERROR(__xludf.DUMMYFUNCTION("""COMPUTED_VALUE"""),"2596429050")</f>
        <v>2596429050</v>
      </c>
      <c r="D2915" s="133"/>
      <c r="E2915" s="133">
        <f>IFERROR(__xludf.DUMMYFUNCTION("""COMPUTED_VALUE"""),50.0)</f>
        <v>50</v>
      </c>
      <c r="F2915" s="164" t="str">
        <f>IFERROR(__xludf.DUMMYFUNCTION("""COMPUTED_VALUE"""),"PL00004DDWбордовый50")</f>
        <v>PL00004DDWбордовый50</v>
      </c>
      <c r="G2915" s="133">
        <f>IFERROR(__xludf.DUMMYFUNCTION("""COMPUTED_VALUE"""),538.0)</f>
        <v>538</v>
      </c>
    </row>
    <row r="2916" ht="15.75" customHeight="1">
      <c r="A2916" s="133" t="str">
        <f>IFERROR(__xludf.DUMMYFUNCTION("""COMPUTED_VALUE"""),"PL00004DDWбордовый")</f>
        <v>PL00004DDWбордовый</v>
      </c>
      <c r="B2916" s="133">
        <f>IFERROR(__xludf.DUMMYFUNCTION("""COMPUTED_VALUE"""),2.596429E7)</f>
        <v>25964290</v>
      </c>
      <c r="C2916" s="164" t="str">
        <f>IFERROR(__xludf.DUMMYFUNCTION("""COMPUTED_VALUE"""),"2596429052")</f>
        <v>2596429052</v>
      </c>
      <c r="D2916" s="133"/>
      <c r="E2916" s="133">
        <f>IFERROR(__xludf.DUMMYFUNCTION("""COMPUTED_VALUE"""),52.0)</f>
        <v>52</v>
      </c>
      <c r="F2916" s="164" t="str">
        <f>IFERROR(__xludf.DUMMYFUNCTION("""COMPUTED_VALUE"""),"PL00004DDWбордовый52")</f>
        <v>PL00004DDWбордовый52</v>
      </c>
      <c r="G2916" s="133">
        <f>IFERROR(__xludf.DUMMYFUNCTION("""COMPUTED_VALUE"""),538.0)</f>
        <v>538</v>
      </c>
    </row>
    <row r="2917" ht="15.75" customHeight="1">
      <c r="A2917" s="133" t="str">
        <f>IFERROR(__xludf.DUMMYFUNCTION("""COMPUTED_VALUE"""),"PL00004DDWбордовый")</f>
        <v>PL00004DDWбордовый</v>
      </c>
      <c r="B2917" s="133">
        <f>IFERROR(__xludf.DUMMYFUNCTION("""COMPUTED_VALUE"""),2.596429E7)</f>
        <v>25964290</v>
      </c>
      <c r="C2917" s="164" t="str">
        <f>IFERROR(__xludf.DUMMYFUNCTION("""COMPUTED_VALUE"""),"2596429054")</f>
        <v>2596429054</v>
      </c>
      <c r="D2917" s="133"/>
      <c r="E2917" s="133">
        <f>IFERROR(__xludf.DUMMYFUNCTION("""COMPUTED_VALUE"""),54.0)</f>
        <v>54</v>
      </c>
      <c r="F2917" s="164" t="str">
        <f>IFERROR(__xludf.DUMMYFUNCTION("""COMPUTED_VALUE"""),"PL00004DDWбордовый54")</f>
        <v>PL00004DDWбордовый54</v>
      </c>
      <c r="G2917" s="133">
        <f>IFERROR(__xludf.DUMMYFUNCTION("""COMPUTED_VALUE"""),538.0)</f>
        <v>538</v>
      </c>
    </row>
    <row r="2918" ht="15.75" customHeight="1">
      <c r="A2918" s="133" t="str">
        <f>IFERROR(__xludf.DUMMYFUNCTION("""COMPUTED_VALUE"""),"PL00004DDWсеро-беж")</f>
        <v>PL00004DDWсеро-беж</v>
      </c>
      <c r="B2918" s="133">
        <f>IFERROR(__xludf.DUMMYFUNCTION("""COMPUTED_VALUE"""),2.5967335E7)</f>
        <v>25967335</v>
      </c>
      <c r="C2918" s="164" t="str">
        <f>IFERROR(__xludf.DUMMYFUNCTION("""COMPUTED_VALUE"""),"2596733542")</f>
        <v>2596733542</v>
      </c>
      <c r="D2918" s="133"/>
      <c r="E2918" s="133">
        <f>IFERROR(__xludf.DUMMYFUNCTION("""COMPUTED_VALUE"""),42.0)</f>
        <v>42</v>
      </c>
      <c r="F2918" s="164" t="str">
        <f>IFERROR(__xludf.DUMMYFUNCTION("""COMPUTED_VALUE"""),"PL00004DDWсеро-беж42")</f>
        <v>PL00004DDWсеро-беж42</v>
      </c>
      <c r="G2918" s="133">
        <f>IFERROR(__xludf.DUMMYFUNCTION("""COMPUTED_VALUE"""),538.0)</f>
        <v>538</v>
      </c>
    </row>
    <row r="2919" ht="15.75" customHeight="1">
      <c r="A2919" s="133" t="str">
        <f>IFERROR(__xludf.DUMMYFUNCTION("""COMPUTED_VALUE"""),"PL00004DDWсеро-беж")</f>
        <v>PL00004DDWсеро-беж</v>
      </c>
      <c r="B2919" s="133">
        <f>IFERROR(__xludf.DUMMYFUNCTION("""COMPUTED_VALUE"""),2.5967335E7)</f>
        <v>25967335</v>
      </c>
      <c r="C2919" s="164" t="str">
        <f>IFERROR(__xludf.DUMMYFUNCTION("""COMPUTED_VALUE"""),"2596733544")</f>
        <v>2596733544</v>
      </c>
      <c r="D2919" s="133"/>
      <c r="E2919" s="133">
        <f>IFERROR(__xludf.DUMMYFUNCTION("""COMPUTED_VALUE"""),44.0)</f>
        <v>44</v>
      </c>
      <c r="F2919" s="164" t="str">
        <f>IFERROR(__xludf.DUMMYFUNCTION("""COMPUTED_VALUE"""),"PL00004DDWсеро-беж44")</f>
        <v>PL00004DDWсеро-беж44</v>
      </c>
      <c r="G2919" s="133">
        <f>IFERROR(__xludf.DUMMYFUNCTION("""COMPUTED_VALUE"""),538.0)</f>
        <v>538</v>
      </c>
    </row>
    <row r="2920" ht="15.75" customHeight="1">
      <c r="A2920" s="133" t="str">
        <f>IFERROR(__xludf.DUMMYFUNCTION("""COMPUTED_VALUE"""),"PL00004DDWсеро-беж")</f>
        <v>PL00004DDWсеро-беж</v>
      </c>
      <c r="B2920" s="133">
        <f>IFERROR(__xludf.DUMMYFUNCTION("""COMPUTED_VALUE"""),2.5967335E7)</f>
        <v>25967335</v>
      </c>
      <c r="C2920" s="164" t="str">
        <f>IFERROR(__xludf.DUMMYFUNCTION("""COMPUTED_VALUE"""),"2596733546")</f>
        <v>2596733546</v>
      </c>
      <c r="D2920" s="133"/>
      <c r="E2920" s="133">
        <f>IFERROR(__xludf.DUMMYFUNCTION("""COMPUTED_VALUE"""),46.0)</f>
        <v>46</v>
      </c>
      <c r="F2920" s="164" t="str">
        <f>IFERROR(__xludf.DUMMYFUNCTION("""COMPUTED_VALUE"""),"PL00004DDWсеро-беж46")</f>
        <v>PL00004DDWсеро-беж46</v>
      </c>
      <c r="G2920" s="133">
        <f>IFERROR(__xludf.DUMMYFUNCTION("""COMPUTED_VALUE"""),538.0)</f>
        <v>538</v>
      </c>
    </row>
    <row r="2921" ht="15.75" customHeight="1">
      <c r="A2921" s="133" t="str">
        <f>IFERROR(__xludf.DUMMYFUNCTION("""COMPUTED_VALUE"""),"PL00004DDWсеро-беж")</f>
        <v>PL00004DDWсеро-беж</v>
      </c>
      <c r="B2921" s="133">
        <f>IFERROR(__xludf.DUMMYFUNCTION("""COMPUTED_VALUE"""),2.5967335E7)</f>
        <v>25967335</v>
      </c>
      <c r="C2921" s="164" t="str">
        <f>IFERROR(__xludf.DUMMYFUNCTION("""COMPUTED_VALUE"""),"2596733548")</f>
        <v>2596733548</v>
      </c>
      <c r="D2921" s="133"/>
      <c r="E2921" s="133">
        <f>IFERROR(__xludf.DUMMYFUNCTION("""COMPUTED_VALUE"""),48.0)</f>
        <v>48</v>
      </c>
      <c r="F2921" s="164" t="str">
        <f>IFERROR(__xludf.DUMMYFUNCTION("""COMPUTED_VALUE"""),"PL00004DDWсеро-беж48")</f>
        <v>PL00004DDWсеро-беж48</v>
      </c>
      <c r="G2921" s="133">
        <f>IFERROR(__xludf.DUMMYFUNCTION("""COMPUTED_VALUE"""),538.0)</f>
        <v>538</v>
      </c>
    </row>
    <row r="2922" ht="15.75" customHeight="1">
      <c r="A2922" s="133" t="str">
        <f>IFERROR(__xludf.DUMMYFUNCTION("""COMPUTED_VALUE"""),"PL00004DDWсеро-беж")</f>
        <v>PL00004DDWсеро-беж</v>
      </c>
      <c r="B2922" s="133">
        <f>IFERROR(__xludf.DUMMYFUNCTION("""COMPUTED_VALUE"""),2.5967335E7)</f>
        <v>25967335</v>
      </c>
      <c r="C2922" s="164" t="str">
        <f>IFERROR(__xludf.DUMMYFUNCTION("""COMPUTED_VALUE"""),"2596733550")</f>
        <v>2596733550</v>
      </c>
      <c r="D2922" s="133"/>
      <c r="E2922" s="133">
        <f>IFERROR(__xludf.DUMMYFUNCTION("""COMPUTED_VALUE"""),50.0)</f>
        <v>50</v>
      </c>
      <c r="F2922" s="164" t="str">
        <f>IFERROR(__xludf.DUMMYFUNCTION("""COMPUTED_VALUE"""),"PL00004DDWсеро-беж50")</f>
        <v>PL00004DDWсеро-беж50</v>
      </c>
      <c r="G2922" s="133">
        <f>IFERROR(__xludf.DUMMYFUNCTION("""COMPUTED_VALUE"""),538.0)</f>
        <v>538</v>
      </c>
    </row>
    <row r="2923" ht="15.75" customHeight="1">
      <c r="A2923" s="133" t="str">
        <f>IFERROR(__xludf.DUMMYFUNCTION("""COMPUTED_VALUE"""),"PL00004DDWсеро-беж")</f>
        <v>PL00004DDWсеро-беж</v>
      </c>
      <c r="B2923" s="133">
        <f>IFERROR(__xludf.DUMMYFUNCTION("""COMPUTED_VALUE"""),2.5967335E7)</f>
        <v>25967335</v>
      </c>
      <c r="C2923" s="164" t="str">
        <f>IFERROR(__xludf.DUMMYFUNCTION("""COMPUTED_VALUE"""),"2596733552")</f>
        <v>2596733552</v>
      </c>
      <c r="D2923" s="133"/>
      <c r="E2923" s="133">
        <f>IFERROR(__xludf.DUMMYFUNCTION("""COMPUTED_VALUE"""),52.0)</f>
        <v>52</v>
      </c>
      <c r="F2923" s="164" t="str">
        <f>IFERROR(__xludf.DUMMYFUNCTION("""COMPUTED_VALUE"""),"PL00004DDWсеро-беж52")</f>
        <v>PL00004DDWсеро-беж52</v>
      </c>
      <c r="G2923" s="133">
        <f>IFERROR(__xludf.DUMMYFUNCTION("""COMPUTED_VALUE"""),538.0)</f>
        <v>538</v>
      </c>
    </row>
    <row r="2924" ht="15.75" customHeight="1">
      <c r="A2924" s="133" t="str">
        <f>IFERROR(__xludf.DUMMYFUNCTION("""COMPUTED_VALUE"""),"PL00004DDWсеро-беж")</f>
        <v>PL00004DDWсеро-беж</v>
      </c>
      <c r="B2924" s="133">
        <f>IFERROR(__xludf.DUMMYFUNCTION("""COMPUTED_VALUE"""),2.5967335E7)</f>
        <v>25967335</v>
      </c>
      <c r="C2924" s="164" t="str">
        <f>IFERROR(__xludf.DUMMYFUNCTION("""COMPUTED_VALUE"""),"2596733554")</f>
        <v>2596733554</v>
      </c>
      <c r="D2924" s="133"/>
      <c r="E2924" s="133">
        <f>IFERROR(__xludf.DUMMYFUNCTION("""COMPUTED_VALUE"""),54.0)</f>
        <v>54</v>
      </c>
      <c r="F2924" s="164" t="str">
        <f>IFERROR(__xludf.DUMMYFUNCTION("""COMPUTED_VALUE"""),"PL00004DDWсеро-беж54")</f>
        <v>PL00004DDWсеро-беж54</v>
      </c>
      <c r="G2924" s="133">
        <f>IFERROR(__xludf.DUMMYFUNCTION("""COMPUTED_VALUE"""),538.0)</f>
        <v>538</v>
      </c>
    </row>
    <row r="2925" ht="15.75" customHeight="1">
      <c r="A2925" s="133" t="str">
        <f>IFERROR(__xludf.DUMMYFUNCTION("""COMPUTED_VALUE"""),"PL00004DDW")</f>
        <v>PL00004DDW</v>
      </c>
      <c r="B2925" s="133">
        <f>IFERROR(__xludf.DUMMYFUNCTION("""COMPUTED_VALUE"""),2.5954983E7)</f>
        <v>25954983</v>
      </c>
      <c r="C2925" s="164" t="str">
        <f>IFERROR(__xludf.DUMMYFUNCTION("""COMPUTED_VALUE"""),"2595498342")</f>
        <v>2595498342</v>
      </c>
      <c r="D2925" s="133"/>
      <c r="E2925" s="133">
        <f>IFERROR(__xludf.DUMMYFUNCTION("""COMPUTED_VALUE"""),42.0)</f>
        <v>42</v>
      </c>
      <c r="F2925" s="133" t="str">
        <f>IFERROR(__xludf.DUMMYFUNCTION("""COMPUTED_VALUE"""),"PL00004DDW42")</f>
        <v>PL00004DDW42</v>
      </c>
      <c r="G2925" s="133">
        <f>IFERROR(__xludf.DUMMYFUNCTION("""COMPUTED_VALUE"""),538.0)</f>
        <v>538</v>
      </c>
    </row>
    <row r="2926" ht="15.75" customHeight="1">
      <c r="A2926" s="133" t="str">
        <f>IFERROR(__xludf.DUMMYFUNCTION("""COMPUTED_VALUE"""),"PL00004DDW")</f>
        <v>PL00004DDW</v>
      </c>
      <c r="B2926" s="133">
        <f>IFERROR(__xludf.DUMMYFUNCTION("""COMPUTED_VALUE"""),2.5954983E7)</f>
        <v>25954983</v>
      </c>
      <c r="C2926" s="164" t="str">
        <f>IFERROR(__xludf.DUMMYFUNCTION("""COMPUTED_VALUE"""),"2595498344")</f>
        <v>2595498344</v>
      </c>
      <c r="D2926" s="133"/>
      <c r="E2926" s="133">
        <f>IFERROR(__xludf.DUMMYFUNCTION("""COMPUTED_VALUE"""),44.0)</f>
        <v>44</v>
      </c>
      <c r="F2926" s="133" t="str">
        <f>IFERROR(__xludf.DUMMYFUNCTION("""COMPUTED_VALUE"""),"PL00004DDW44")</f>
        <v>PL00004DDW44</v>
      </c>
      <c r="G2926" s="133">
        <f>IFERROR(__xludf.DUMMYFUNCTION("""COMPUTED_VALUE"""),538.0)</f>
        <v>538</v>
      </c>
    </row>
    <row r="2927" ht="15.75" customHeight="1">
      <c r="A2927" s="133" t="str">
        <f>IFERROR(__xludf.DUMMYFUNCTION("""COMPUTED_VALUE"""),"PL00004DDW")</f>
        <v>PL00004DDW</v>
      </c>
      <c r="B2927" s="133">
        <f>IFERROR(__xludf.DUMMYFUNCTION("""COMPUTED_VALUE"""),2.5954983E7)</f>
        <v>25954983</v>
      </c>
      <c r="C2927" s="164" t="str">
        <f>IFERROR(__xludf.DUMMYFUNCTION("""COMPUTED_VALUE"""),"2595498346")</f>
        <v>2595498346</v>
      </c>
      <c r="D2927" s="133"/>
      <c r="E2927" s="133">
        <f>IFERROR(__xludf.DUMMYFUNCTION("""COMPUTED_VALUE"""),46.0)</f>
        <v>46</v>
      </c>
      <c r="F2927" s="133" t="str">
        <f>IFERROR(__xludf.DUMMYFUNCTION("""COMPUTED_VALUE"""),"PL00004DDW46")</f>
        <v>PL00004DDW46</v>
      </c>
      <c r="G2927" s="133">
        <f>IFERROR(__xludf.DUMMYFUNCTION("""COMPUTED_VALUE"""),538.0)</f>
        <v>538</v>
      </c>
    </row>
    <row r="2928" ht="15.75" customHeight="1">
      <c r="A2928" s="133" t="str">
        <f>IFERROR(__xludf.DUMMYFUNCTION("""COMPUTED_VALUE"""),"PL00004DDW")</f>
        <v>PL00004DDW</v>
      </c>
      <c r="B2928" s="133">
        <f>IFERROR(__xludf.DUMMYFUNCTION("""COMPUTED_VALUE"""),2.5954983E7)</f>
        <v>25954983</v>
      </c>
      <c r="C2928" s="164" t="str">
        <f>IFERROR(__xludf.DUMMYFUNCTION("""COMPUTED_VALUE"""),"2595498348")</f>
        <v>2595498348</v>
      </c>
      <c r="D2928" s="133"/>
      <c r="E2928" s="133">
        <f>IFERROR(__xludf.DUMMYFUNCTION("""COMPUTED_VALUE"""),48.0)</f>
        <v>48</v>
      </c>
      <c r="F2928" s="133" t="str">
        <f>IFERROR(__xludf.DUMMYFUNCTION("""COMPUTED_VALUE"""),"PL00004DDW48")</f>
        <v>PL00004DDW48</v>
      </c>
      <c r="G2928" s="133">
        <f>IFERROR(__xludf.DUMMYFUNCTION("""COMPUTED_VALUE"""),538.0)</f>
        <v>538</v>
      </c>
    </row>
    <row r="2929" ht="15.75" customHeight="1">
      <c r="A2929" s="133" t="str">
        <f>IFERROR(__xludf.DUMMYFUNCTION("""COMPUTED_VALUE"""),"PL00004DDW")</f>
        <v>PL00004DDW</v>
      </c>
      <c r="B2929" s="133">
        <f>IFERROR(__xludf.DUMMYFUNCTION("""COMPUTED_VALUE"""),2.5954983E7)</f>
        <v>25954983</v>
      </c>
      <c r="C2929" s="164" t="str">
        <f>IFERROR(__xludf.DUMMYFUNCTION("""COMPUTED_VALUE"""),"2595498350")</f>
        <v>2595498350</v>
      </c>
      <c r="D2929" s="133"/>
      <c r="E2929" s="133">
        <f>IFERROR(__xludf.DUMMYFUNCTION("""COMPUTED_VALUE"""),50.0)</f>
        <v>50</v>
      </c>
      <c r="F2929" s="133" t="str">
        <f>IFERROR(__xludf.DUMMYFUNCTION("""COMPUTED_VALUE"""),"PL00004DDW50")</f>
        <v>PL00004DDW50</v>
      </c>
      <c r="G2929" s="133">
        <f>IFERROR(__xludf.DUMMYFUNCTION("""COMPUTED_VALUE"""),538.0)</f>
        <v>538</v>
      </c>
    </row>
    <row r="2930" ht="15.75" customHeight="1">
      <c r="A2930" s="133" t="str">
        <f>IFERROR(__xludf.DUMMYFUNCTION("""COMPUTED_VALUE"""),"PL00004DDW")</f>
        <v>PL00004DDW</v>
      </c>
      <c r="B2930" s="133">
        <f>IFERROR(__xludf.DUMMYFUNCTION("""COMPUTED_VALUE"""),2.5954983E7)</f>
        <v>25954983</v>
      </c>
      <c r="C2930" s="164" t="str">
        <f>IFERROR(__xludf.DUMMYFUNCTION("""COMPUTED_VALUE"""),"2595498352")</f>
        <v>2595498352</v>
      </c>
      <c r="D2930" s="133"/>
      <c r="E2930" s="133">
        <f>IFERROR(__xludf.DUMMYFUNCTION("""COMPUTED_VALUE"""),52.0)</f>
        <v>52</v>
      </c>
      <c r="F2930" s="133" t="str">
        <f>IFERROR(__xludf.DUMMYFUNCTION("""COMPUTED_VALUE"""),"PL00004DDW52")</f>
        <v>PL00004DDW52</v>
      </c>
      <c r="G2930" s="133">
        <f>IFERROR(__xludf.DUMMYFUNCTION("""COMPUTED_VALUE"""),538.0)</f>
        <v>538</v>
      </c>
    </row>
    <row r="2931" ht="15.75" customHeight="1">
      <c r="A2931" s="133" t="str">
        <f>IFERROR(__xludf.DUMMYFUNCTION("""COMPUTED_VALUE"""),"PL00004DDW")</f>
        <v>PL00004DDW</v>
      </c>
      <c r="B2931" s="133">
        <f>IFERROR(__xludf.DUMMYFUNCTION("""COMPUTED_VALUE"""),2.5954983E7)</f>
        <v>25954983</v>
      </c>
      <c r="C2931" s="164" t="str">
        <f>IFERROR(__xludf.DUMMYFUNCTION("""COMPUTED_VALUE"""),"2595498354")</f>
        <v>2595498354</v>
      </c>
      <c r="D2931" s="133"/>
      <c r="E2931" s="133">
        <f>IFERROR(__xludf.DUMMYFUNCTION("""COMPUTED_VALUE"""),54.0)</f>
        <v>54</v>
      </c>
      <c r="F2931" s="133" t="str">
        <f>IFERROR(__xludf.DUMMYFUNCTION("""COMPUTED_VALUE"""),"PL00004DDW54")</f>
        <v>PL00004DDW54</v>
      </c>
      <c r="G2931" s="133">
        <f>IFERROR(__xludf.DUMMYFUNCTION("""COMPUTED_VALUE"""),538.0)</f>
        <v>538</v>
      </c>
    </row>
    <row r="2932" ht="15.75" customHeight="1">
      <c r="A2932" s="133" t="str">
        <f>IFERROR(__xludf.DUMMYFUNCTION("""COMPUTED_VALUE"""),"PL00003DDWзеленый-белый")</f>
        <v>PL00003DDWзеленый-белый</v>
      </c>
      <c r="B2932" s="133">
        <f>IFERROR(__xludf.DUMMYFUNCTION("""COMPUTED_VALUE"""),2.5787722E7)</f>
        <v>25787722</v>
      </c>
      <c r="C2932" s="133" t="str">
        <f>IFERROR(__xludf.DUMMYFUNCTION("""COMPUTED_VALUE"""),"2578772242")</f>
        <v>2578772242</v>
      </c>
      <c r="D2932" s="133"/>
      <c r="E2932" s="133">
        <f>IFERROR(__xludf.DUMMYFUNCTION("""COMPUTED_VALUE"""),42.0)</f>
        <v>42</v>
      </c>
      <c r="F2932" s="164" t="str">
        <f>IFERROR(__xludf.DUMMYFUNCTION("""COMPUTED_VALUE"""),"PL00003DDWзеленый-белый42")</f>
        <v>PL00003DDWзеленый-белый42</v>
      </c>
      <c r="G2932" s="133">
        <f>IFERROR(__xludf.DUMMYFUNCTION("""COMPUTED_VALUE"""),573.0)</f>
        <v>573</v>
      </c>
    </row>
    <row r="2933" ht="15.75" customHeight="1">
      <c r="A2933" s="133" t="str">
        <f>IFERROR(__xludf.DUMMYFUNCTION("""COMPUTED_VALUE"""),"PL00003DDWзеленый-белый")</f>
        <v>PL00003DDWзеленый-белый</v>
      </c>
      <c r="B2933" s="133">
        <f>IFERROR(__xludf.DUMMYFUNCTION("""COMPUTED_VALUE"""),2.5787722E7)</f>
        <v>25787722</v>
      </c>
      <c r="C2933" s="133" t="str">
        <f>IFERROR(__xludf.DUMMYFUNCTION("""COMPUTED_VALUE"""),"2578772244")</f>
        <v>2578772244</v>
      </c>
      <c r="D2933" s="133"/>
      <c r="E2933" s="133">
        <f>IFERROR(__xludf.DUMMYFUNCTION("""COMPUTED_VALUE"""),44.0)</f>
        <v>44</v>
      </c>
      <c r="F2933" s="164" t="str">
        <f>IFERROR(__xludf.DUMMYFUNCTION("""COMPUTED_VALUE"""),"PL00003DDWзеленый-белый44")</f>
        <v>PL00003DDWзеленый-белый44</v>
      </c>
      <c r="G2933" s="133">
        <f>IFERROR(__xludf.DUMMYFUNCTION("""COMPUTED_VALUE"""),573.0)</f>
        <v>573</v>
      </c>
    </row>
    <row r="2934" ht="15.75" customHeight="1">
      <c r="A2934" s="133" t="str">
        <f>IFERROR(__xludf.DUMMYFUNCTION("""COMPUTED_VALUE"""),"PL00003DDWзеленый-белый")</f>
        <v>PL00003DDWзеленый-белый</v>
      </c>
      <c r="B2934" s="133">
        <f>IFERROR(__xludf.DUMMYFUNCTION("""COMPUTED_VALUE"""),2.5787722E7)</f>
        <v>25787722</v>
      </c>
      <c r="C2934" s="133" t="str">
        <f>IFERROR(__xludf.DUMMYFUNCTION("""COMPUTED_VALUE"""),"2578772246")</f>
        <v>2578772246</v>
      </c>
      <c r="D2934" s="133"/>
      <c r="E2934" s="133">
        <f>IFERROR(__xludf.DUMMYFUNCTION("""COMPUTED_VALUE"""),46.0)</f>
        <v>46</v>
      </c>
      <c r="F2934" s="164" t="str">
        <f>IFERROR(__xludf.DUMMYFUNCTION("""COMPUTED_VALUE"""),"PL00003DDWзеленый-белый46")</f>
        <v>PL00003DDWзеленый-белый46</v>
      </c>
      <c r="G2934" s="133">
        <f>IFERROR(__xludf.DUMMYFUNCTION("""COMPUTED_VALUE"""),573.0)</f>
        <v>573</v>
      </c>
    </row>
    <row r="2935" ht="15.75" customHeight="1">
      <c r="A2935" s="133" t="str">
        <f>IFERROR(__xludf.DUMMYFUNCTION("""COMPUTED_VALUE"""),"PL00003DDWзеленый-белый")</f>
        <v>PL00003DDWзеленый-белый</v>
      </c>
      <c r="B2935" s="133">
        <f>IFERROR(__xludf.DUMMYFUNCTION("""COMPUTED_VALUE"""),2.5787722E7)</f>
        <v>25787722</v>
      </c>
      <c r="C2935" s="133" t="str">
        <f>IFERROR(__xludf.DUMMYFUNCTION("""COMPUTED_VALUE"""),"2578772248")</f>
        <v>2578772248</v>
      </c>
      <c r="D2935" s="133"/>
      <c r="E2935" s="133">
        <f>IFERROR(__xludf.DUMMYFUNCTION("""COMPUTED_VALUE"""),48.0)</f>
        <v>48</v>
      </c>
      <c r="F2935" s="164" t="str">
        <f>IFERROR(__xludf.DUMMYFUNCTION("""COMPUTED_VALUE"""),"PL00003DDWзеленый-белый48")</f>
        <v>PL00003DDWзеленый-белый48</v>
      </c>
      <c r="G2935" s="133">
        <f>IFERROR(__xludf.DUMMYFUNCTION("""COMPUTED_VALUE"""),573.0)</f>
        <v>573</v>
      </c>
    </row>
    <row r="2936" ht="15.75" customHeight="1">
      <c r="A2936" s="133" t="str">
        <f>IFERROR(__xludf.DUMMYFUNCTION("""COMPUTED_VALUE"""),"PL00003DDWзеленый-белый")</f>
        <v>PL00003DDWзеленый-белый</v>
      </c>
      <c r="B2936" s="133">
        <f>IFERROR(__xludf.DUMMYFUNCTION("""COMPUTED_VALUE"""),2.5787722E7)</f>
        <v>25787722</v>
      </c>
      <c r="C2936" s="133" t="str">
        <f>IFERROR(__xludf.DUMMYFUNCTION("""COMPUTED_VALUE"""),"2578772250")</f>
        <v>2578772250</v>
      </c>
      <c r="D2936" s="133"/>
      <c r="E2936" s="133">
        <f>IFERROR(__xludf.DUMMYFUNCTION("""COMPUTED_VALUE"""),50.0)</f>
        <v>50</v>
      </c>
      <c r="F2936" s="164" t="str">
        <f>IFERROR(__xludf.DUMMYFUNCTION("""COMPUTED_VALUE"""),"PL00003DDWзеленый-белый50")</f>
        <v>PL00003DDWзеленый-белый50</v>
      </c>
      <c r="G2936" s="133">
        <f>IFERROR(__xludf.DUMMYFUNCTION("""COMPUTED_VALUE"""),573.0)</f>
        <v>573</v>
      </c>
    </row>
    <row r="2937" ht="15.75" customHeight="1">
      <c r="A2937" s="133" t="str">
        <f>IFERROR(__xludf.DUMMYFUNCTION("""COMPUTED_VALUE"""),"PL00003DDWзеленый-белый")</f>
        <v>PL00003DDWзеленый-белый</v>
      </c>
      <c r="B2937" s="133">
        <f>IFERROR(__xludf.DUMMYFUNCTION("""COMPUTED_VALUE"""),2.5787722E7)</f>
        <v>25787722</v>
      </c>
      <c r="C2937" s="133" t="str">
        <f>IFERROR(__xludf.DUMMYFUNCTION("""COMPUTED_VALUE"""),"2578772252")</f>
        <v>2578772252</v>
      </c>
      <c r="D2937" s="133"/>
      <c r="E2937" s="133">
        <f>IFERROR(__xludf.DUMMYFUNCTION("""COMPUTED_VALUE"""),52.0)</f>
        <v>52</v>
      </c>
      <c r="F2937" s="164" t="str">
        <f>IFERROR(__xludf.DUMMYFUNCTION("""COMPUTED_VALUE"""),"PL00003DDWзеленый-белый52")</f>
        <v>PL00003DDWзеленый-белый52</v>
      </c>
      <c r="G2937" s="133">
        <f>IFERROR(__xludf.DUMMYFUNCTION("""COMPUTED_VALUE"""),573.0)</f>
        <v>573</v>
      </c>
    </row>
    <row r="2938" ht="15.75" customHeight="1">
      <c r="A2938" s="133" t="str">
        <f>IFERROR(__xludf.DUMMYFUNCTION("""COMPUTED_VALUE"""),"PL00003DDWзеленый-белый")</f>
        <v>PL00003DDWзеленый-белый</v>
      </c>
      <c r="B2938" s="133">
        <f>IFERROR(__xludf.DUMMYFUNCTION("""COMPUTED_VALUE"""),2.5787722E7)</f>
        <v>25787722</v>
      </c>
      <c r="C2938" s="133" t="str">
        <f>IFERROR(__xludf.DUMMYFUNCTION("""COMPUTED_VALUE"""),"2578772254")</f>
        <v>2578772254</v>
      </c>
      <c r="D2938" s="133"/>
      <c r="E2938" s="133">
        <f>IFERROR(__xludf.DUMMYFUNCTION("""COMPUTED_VALUE"""),54.0)</f>
        <v>54</v>
      </c>
      <c r="F2938" s="164" t="str">
        <f>IFERROR(__xludf.DUMMYFUNCTION("""COMPUTED_VALUE"""),"PL00003DDWзеленый-белый54")</f>
        <v>PL00003DDWзеленый-белый54</v>
      </c>
      <c r="G2938" s="133">
        <f>IFERROR(__xludf.DUMMYFUNCTION("""COMPUTED_VALUE"""),573.0)</f>
        <v>573</v>
      </c>
    </row>
    <row r="2939" ht="15.75" customHeight="1">
      <c r="A2939" s="133" t="str">
        <f>IFERROR(__xludf.DUMMYFUNCTION("""COMPUTED_VALUE"""),"PL00004DDWзеленый")</f>
        <v>PL00004DDWзеленый</v>
      </c>
      <c r="B2939" s="133">
        <f>IFERROR(__xludf.DUMMYFUNCTION("""COMPUTED_VALUE"""),2.61581E7)</f>
        <v>26158100</v>
      </c>
      <c r="C2939" s="133" t="str">
        <f>IFERROR(__xludf.DUMMYFUNCTION("""COMPUTED_VALUE"""),"2615810042")</f>
        <v>2615810042</v>
      </c>
      <c r="D2939" s="133"/>
      <c r="E2939" s="133">
        <f>IFERROR(__xludf.DUMMYFUNCTION("""COMPUTED_VALUE"""),42.0)</f>
        <v>42</v>
      </c>
      <c r="F2939" s="164" t="str">
        <f>IFERROR(__xludf.DUMMYFUNCTION("""COMPUTED_VALUE"""),"PL00004DDWзеленый42")</f>
        <v>PL00004DDWзеленый42</v>
      </c>
      <c r="G2939" s="133">
        <f>IFERROR(__xludf.DUMMYFUNCTION("""COMPUTED_VALUE"""),538.0)</f>
        <v>538</v>
      </c>
    </row>
    <row r="2940" ht="15.75" customHeight="1">
      <c r="A2940" s="133" t="str">
        <f>IFERROR(__xludf.DUMMYFUNCTION("""COMPUTED_VALUE"""),"PL00004DDWзеленый")</f>
        <v>PL00004DDWзеленый</v>
      </c>
      <c r="B2940" s="133">
        <f>IFERROR(__xludf.DUMMYFUNCTION("""COMPUTED_VALUE"""),2.61581E7)</f>
        <v>26158100</v>
      </c>
      <c r="C2940" s="133" t="str">
        <f>IFERROR(__xludf.DUMMYFUNCTION("""COMPUTED_VALUE"""),"2615810044")</f>
        <v>2615810044</v>
      </c>
      <c r="D2940" s="133"/>
      <c r="E2940" s="133">
        <f>IFERROR(__xludf.DUMMYFUNCTION("""COMPUTED_VALUE"""),44.0)</f>
        <v>44</v>
      </c>
      <c r="F2940" s="164" t="str">
        <f>IFERROR(__xludf.DUMMYFUNCTION("""COMPUTED_VALUE"""),"PL00004DDWзеленый44")</f>
        <v>PL00004DDWзеленый44</v>
      </c>
      <c r="G2940" s="133">
        <f>IFERROR(__xludf.DUMMYFUNCTION("""COMPUTED_VALUE"""),538.0)</f>
        <v>538</v>
      </c>
    </row>
    <row r="2941" ht="15.75" customHeight="1">
      <c r="A2941" s="133" t="str">
        <f>IFERROR(__xludf.DUMMYFUNCTION("""COMPUTED_VALUE"""),"PL00004DDWзеленый")</f>
        <v>PL00004DDWзеленый</v>
      </c>
      <c r="B2941" s="133">
        <f>IFERROR(__xludf.DUMMYFUNCTION("""COMPUTED_VALUE"""),2.61581E7)</f>
        <v>26158100</v>
      </c>
      <c r="C2941" s="133" t="str">
        <f>IFERROR(__xludf.DUMMYFUNCTION("""COMPUTED_VALUE"""),"2615810046")</f>
        <v>2615810046</v>
      </c>
      <c r="D2941" s="133"/>
      <c r="E2941" s="133">
        <f>IFERROR(__xludf.DUMMYFUNCTION("""COMPUTED_VALUE"""),46.0)</f>
        <v>46</v>
      </c>
      <c r="F2941" s="164" t="str">
        <f>IFERROR(__xludf.DUMMYFUNCTION("""COMPUTED_VALUE"""),"PL00004DDWзеленый46")</f>
        <v>PL00004DDWзеленый46</v>
      </c>
      <c r="G2941" s="133">
        <f>IFERROR(__xludf.DUMMYFUNCTION("""COMPUTED_VALUE"""),538.0)</f>
        <v>538</v>
      </c>
    </row>
    <row r="2942" ht="15.75" customHeight="1">
      <c r="A2942" s="133" t="str">
        <f>IFERROR(__xludf.DUMMYFUNCTION("""COMPUTED_VALUE"""),"PL00004DDWзеленый")</f>
        <v>PL00004DDWзеленый</v>
      </c>
      <c r="B2942" s="133">
        <f>IFERROR(__xludf.DUMMYFUNCTION("""COMPUTED_VALUE"""),2.61581E7)</f>
        <v>26158100</v>
      </c>
      <c r="C2942" s="133" t="str">
        <f>IFERROR(__xludf.DUMMYFUNCTION("""COMPUTED_VALUE"""),"2615810048")</f>
        <v>2615810048</v>
      </c>
      <c r="D2942" s="133"/>
      <c r="E2942" s="133">
        <f>IFERROR(__xludf.DUMMYFUNCTION("""COMPUTED_VALUE"""),48.0)</f>
        <v>48</v>
      </c>
      <c r="F2942" s="164" t="str">
        <f>IFERROR(__xludf.DUMMYFUNCTION("""COMPUTED_VALUE"""),"PL00004DDWзеленый48")</f>
        <v>PL00004DDWзеленый48</v>
      </c>
      <c r="G2942" s="133">
        <f>IFERROR(__xludf.DUMMYFUNCTION("""COMPUTED_VALUE"""),538.0)</f>
        <v>538</v>
      </c>
    </row>
    <row r="2943" ht="15.75" customHeight="1">
      <c r="A2943" s="133" t="str">
        <f>IFERROR(__xludf.DUMMYFUNCTION("""COMPUTED_VALUE"""),"PL00004DDWзеленый")</f>
        <v>PL00004DDWзеленый</v>
      </c>
      <c r="B2943" s="133">
        <f>IFERROR(__xludf.DUMMYFUNCTION("""COMPUTED_VALUE"""),2.61581E7)</f>
        <v>26158100</v>
      </c>
      <c r="C2943" s="133" t="str">
        <f>IFERROR(__xludf.DUMMYFUNCTION("""COMPUTED_VALUE"""),"2615810050")</f>
        <v>2615810050</v>
      </c>
      <c r="D2943" s="133"/>
      <c r="E2943" s="133">
        <f>IFERROR(__xludf.DUMMYFUNCTION("""COMPUTED_VALUE"""),50.0)</f>
        <v>50</v>
      </c>
      <c r="F2943" s="164" t="str">
        <f>IFERROR(__xludf.DUMMYFUNCTION("""COMPUTED_VALUE"""),"PL00004DDWзеленый50")</f>
        <v>PL00004DDWзеленый50</v>
      </c>
      <c r="G2943" s="133">
        <f>IFERROR(__xludf.DUMMYFUNCTION("""COMPUTED_VALUE"""),538.0)</f>
        <v>538</v>
      </c>
    </row>
    <row r="2944" ht="15.75" customHeight="1">
      <c r="A2944" s="133" t="str">
        <f>IFERROR(__xludf.DUMMYFUNCTION("""COMPUTED_VALUE"""),"PL00004DDWзеленый")</f>
        <v>PL00004DDWзеленый</v>
      </c>
      <c r="B2944" s="133">
        <f>IFERROR(__xludf.DUMMYFUNCTION("""COMPUTED_VALUE"""),2.61581E7)</f>
        <v>26158100</v>
      </c>
      <c r="C2944" s="133" t="str">
        <f>IFERROR(__xludf.DUMMYFUNCTION("""COMPUTED_VALUE"""),"2615810052")</f>
        <v>2615810052</v>
      </c>
      <c r="D2944" s="133"/>
      <c r="E2944" s="133">
        <f>IFERROR(__xludf.DUMMYFUNCTION("""COMPUTED_VALUE"""),52.0)</f>
        <v>52</v>
      </c>
      <c r="F2944" s="164" t="str">
        <f>IFERROR(__xludf.DUMMYFUNCTION("""COMPUTED_VALUE"""),"PL00004DDWзеленый52")</f>
        <v>PL00004DDWзеленый52</v>
      </c>
      <c r="G2944" s="133">
        <f>IFERROR(__xludf.DUMMYFUNCTION("""COMPUTED_VALUE"""),538.0)</f>
        <v>538</v>
      </c>
    </row>
    <row r="2945" ht="15.75" customHeight="1">
      <c r="A2945" s="133" t="str">
        <f>IFERROR(__xludf.DUMMYFUNCTION("""COMPUTED_VALUE"""),"PL00004DDWзеленый")</f>
        <v>PL00004DDWзеленый</v>
      </c>
      <c r="B2945" s="133">
        <f>IFERROR(__xludf.DUMMYFUNCTION("""COMPUTED_VALUE"""),2.61581E7)</f>
        <v>26158100</v>
      </c>
      <c r="C2945" s="133" t="str">
        <f>IFERROR(__xludf.DUMMYFUNCTION("""COMPUTED_VALUE"""),"2615810054")</f>
        <v>2615810054</v>
      </c>
      <c r="D2945" s="133"/>
      <c r="E2945" s="133">
        <f>IFERROR(__xludf.DUMMYFUNCTION("""COMPUTED_VALUE"""),54.0)</f>
        <v>54</v>
      </c>
      <c r="F2945" s="164" t="str">
        <f>IFERROR(__xludf.DUMMYFUNCTION("""COMPUTED_VALUE"""),"PL00004DDWзеленый54")</f>
        <v>PL00004DDWзеленый54</v>
      </c>
      <c r="G2945" s="133">
        <f>IFERROR(__xludf.DUMMYFUNCTION("""COMPUTED_VALUE"""),538.0)</f>
        <v>538</v>
      </c>
    </row>
    <row r="2946" ht="15.75" customHeight="1">
      <c r="A2946" s="133" t="str">
        <f>IFERROR(__xludf.DUMMYFUNCTION("""COMPUTED_VALUE"""),"PL00004DDWсиний")</f>
        <v>PL00004DDWсиний</v>
      </c>
      <c r="B2946" s="133">
        <f>IFERROR(__xludf.DUMMYFUNCTION("""COMPUTED_VALUE"""),2.6086531E7)</f>
        <v>26086531</v>
      </c>
      <c r="C2946" s="133" t="str">
        <f>IFERROR(__xludf.DUMMYFUNCTION("""COMPUTED_VALUE"""),"2608653142")</f>
        <v>2608653142</v>
      </c>
      <c r="D2946" s="133"/>
      <c r="E2946" s="133">
        <f>IFERROR(__xludf.DUMMYFUNCTION("""COMPUTED_VALUE"""),42.0)</f>
        <v>42</v>
      </c>
      <c r="F2946" s="164" t="str">
        <f>IFERROR(__xludf.DUMMYFUNCTION("""COMPUTED_VALUE"""),"PL00004DDWсиний42")</f>
        <v>PL00004DDWсиний42</v>
      </c>
      <c r="G2946" s="133">
        <f>IFERROR(__xludf.DUMMYFUNCTION("""COMPUTED_VALUE"""),538.0)</f>
        <v>538</v>
      </c>
    </row>
    <row r="2947" ht="15.75" customHeight="1">
      <c r="A2947" s="133" t="str">
        <f>IFERROR(__xludf.DUMMYFUNCTION("""COMPUTED_VALUE"""),"PL00004DDWсиний")</f>
        <v>PL00004DDWсиний</v>
      </c>
      <c r="B2947" s="133">
        <f>IFERROR(__xludf.DUMMYFUNCTION("""COMPUTED_VALUE"""),2.6086531E7)</f>
        <v>26086531</v>
      </c>
      <c r="C2947" s="133" t="str">
        <f>IFERROR(__xludf.DUMMYFUNCTION("""COMPUTED_VALUE"""),"2608653144")</f>
        <v>2608653144</v>
      </c>
      <c r="D2947" s="133"/>
      <c r="E2947" s="133">
        <f>IFERROR(__xludf.DUMMYFUNCTION("""COMPUTED_VALUE"""),44.0)</f>
        <v>44</v>
      </c>
      <c r="F2947" s="164" t="str">
        <f>IFERROR(__xludf.DUMMYFUNCTION("""COMPUTED_VALUE"""),"PL00004DDWсиний44")</f>
        <v>PL00004DDWсиний44</v>
      </c>
      <c r="G2947" s="133">
        <f>IFERROR(__xludf.DUMMYFUNCTION("""COMPUTED_VALUE"""),538.0)</f>
        <v>538</v>
      </c>
    </row>
    <row r="2948" ht="15.75" customHeight="1">
      <c r="A2948" s="133" t="str">
        <f>IFERROR(__xludf.DUMMYFUNCTION("""COMPUTED_VALUE"""),"PL00004DDWсиний")</f>
        <v>PL00004DDWсиний</v>
      </c>
      <c r="B2948" s="133">
        <f>IFERROR(__xludf.DUMMYFUNCTION("""COMPUTED_VALUE"""),2.6086531E7)</f>
        <v>26086531</v>
      </c>
      <c r="C2948" s="133" t="str">
        <f>IFERROR(__xludf.DUMMYFUNCTION("""COMPUTED_VALUE"""),"2608653146")</f>
        <v>2608653146</v>
      </c>
      <c r="D2948" s="133"/>
      <c r="E2948" s="133">
        <f>IFERROR(__xludf.DUMMYFUNCTION("""COMPUTED_VALUE"""),46.0)</f>
        <v>46</v>
      </c>
      <c r="F2948" s="164" t="str">
        <f>IFERROR(__xludf.DUMMYFUNCTION("""COMPUTED_VALUE"""),"PL00004DDWсиний46")</f>
        <v>PL00004DDWсиний46</v>
      </c>
      <c r="G2948" s="133">
        <f>IFERROR(__xludf.DUMMYFUNCTION("""COMPUTED_VALUE"""),538.0)</f>
        <v>538</v>
      </c>
    </row>
    <row r="2949" ht="15.75" customHeight="1">
      <c r="A2949" s="133" t="str">
        <f>IFERROR(__xludf.DUMMYFUNCTION("""COMPUTED_VALUE"""),"PL00004DDWсиний")</f>
        <v>PL00004DDWсиний</v>
      </c>
      <c r="B2949" s="133">
        <f>IFERROR(__xludf.DUMMYFUNCTION("""COMPUTED_VALUE"""),2.6086531E7)</f>
        <v>26086531</v>
      </c>
      <c r="C2949" s="133" t="str">
        <f>IFERROR(__xludf.DUMMYFUNCTION("""COMPUTED_VALUE"""),"2608653148")</f>
        <v>2608653148</v>
      </c>
      <c r="D2949" s="133"/>
      <c r="E2949" s="133">
        <f>IFERROR(__xludf.DUMMYFUNCTION("""COMPUTED_VALUE"""),48.0)</f>
        <v>48</v>
      </c>
      <c r="F2949" s="164" t="str">
        <f>IFERROR(__xludf.DUMMYFUNCTION("""COMPUTED_VALUE"""),"PL00004DDWсиний48")</f>
        <v>PL00004DDWсиний48</v>
      </c>
      <c r="G2949" s="133">
        <f>IFERROR(__xludf.DUMMYFUNCTION("""COMPUTED_VALUE"""),538.0)</f>
        <v>538</v>
      </c>
    </row>
    <row r="2950" ht="15.75" customHeight="1">
      <c r="A2950" s="133" t="str">
        <f>IFERROR(__xludf.DUMMYFUNCTION("""COMPUTED_VALUE"""),"PL00004DDWсиний")</f>
        <v>PL00004DDWсиний</v>
      </c>
      <c r="B2950" s="133">
        <f>IFERROR(__xludf.DUMMYFUNCTION("""COMPUTED_VALUE"""),2.6086531E7)</f>
        <v>26086531</v>
      </c>
      <c r="C2950" s="133" t="str">
        <f>IFERROR(__xludf.DUMMYFUNCTION("""COMPUTED_VALUE"""),"2608653150")</f>
        <v>2608653150</v>
      </c>
      <c r="D2950" s="133"/>
      <c r="E2950" s="133">
        <f>IFERROR(__xludf.DUMMYFUNCTION("""COMPUTED_VALUE"""),50.0)</f>
        <v>50</v>
      </c>
      <c r="F2950" s="164" t="str">
        <f>IFERROR(__xludf.DUMMYFUNCTION("""COMPUTED_VALUE"""),"PL00004DDWсиний50")</f>
        <v>PL00004DDWсиний50</v>
      </c>
      <c r="G2950" s="133">
        <f>IFERROR(__xludf.DUMMYFUNCTION("""COMPUTED_VALUE"""),538.0)</f>
        <v>538</v>
      </c>
    </row>
    <row r="2951" ht="15.75" customHeight="1">
      <c r="A2951" s="133" t="str">
        <f>IFERROR(__xludf.DUMMYFUNCTION("""COMPUTED_VALUE"""),"PL00004DDWсиний")</f>
        <v>PL00004DDWсиний</v>
      </c>
      <c r="B2951" s="133">
        <f>IFERROR(__xludf.DUMMYFUNCTION("""COMPUTED_VALUE"""),2.6086531E7)</f>
        <v>26086531</v>
      </c>
      <c r="C2951" s="133" t="str">
        <f>IFERROR(__xludf.DUMMYFUNCTION("""COMPUTED_VALUE"""),"2608653152")</f>
        <v>2608653152</v>
      </c>
      <c r="D2951" s="133"/>
      <c r="E2951" s="133">
        <f>IFERROR(__xludf.DUMMYFUNCTION("""COMPUTED_VALUE"""),52.0)</f>
        <v>52</v>
      </c>
      <c r="F2951" s="164" t="str">
        <f>IFERROR(__xludf.DUMMYFUNCTION("""COMPUTED_VALUE"""),"PL00004DDWсиний52")</f>
        <v>PL00004DDWсиний52</v>
      </c>
      <c r="G2951" s="133">
        <f>IFERROR(__xludf.DUMMYFUNCTION("""COMPUTED_VALUE"""),538.0)</f>
        <v>538</v>
      </c>
    </row>
    <row r="2952" ht="15.75" customHeight="1">
      <c r="A2952" s="133" t="str">
        <f>IFERROR(__xludf.DUMMYFUNCTION("""COMPUTED_VALUE"""),"PL00004DDWсиний")</f>
        <v>PL00004DDWсиний</v>
      </c>
      <c r="B2952" s="133">
        <f>IFERROR(__xludf.DUMMYFUNCTION("""COMPUTED_VALUE"""),2.6086531E7)</f>
        <v>26086531</v>
      </c>
      <c r="C2952" s="133" t="str">
        <f>IFERROR(__xludf.DUMMYFUNCTION("""COMPUTED_VALUE"""),"2608653154")</f>
        <v>2608653154</v>
      </c>
      <c r="D2952" s="133"/>
      <c r="E2952" s="133">
        <f>IFERROR(__xludf.DUMMYFUNCTION("""COMPUTED_VALUE"""),54.0)</f>
        <v>54</v>
      </c>
      <c r="F2952" s="164" t="str">
        <f>IFERROR(__xludf.DUMMYFUNCTION("""COMPUTED_VALUE"""),"PL00004DDWсиний54")</f>
        <v>PL00004DDWсиний54</v>
      </c>
      <c r="G2952" s="133">
        <f>IFERROR(__xludf.DUMMYFUNCTION("""COMPUTED_VALUE"""),538.0)</f>
        <v>538</v>
      </c>
    </row>
    <row r="2953" ht="15.75" customHeight="1">
      <c r="A2953" s="133" t="str">
        <f>IFERROR(__xludf.DUMMYFUNCTION("""COMPUTED_VALUE"""),"PL00003DDWбелый-красный")</f>
        <v>PL00003DDWбелый-красный</v>
      </c>
      <c r="B2953" s="133">
        <f>IFERROR(__xludf.DUMMYFUNCTION("""COMPUTED_VALUE"""),2.596431E7)</f>
        <v>25964310</v>
      </c>
      <c r="C2953" s="133" t="str">
        <f>IFERROR(__xludf.DUMMYFUNCTION("""COMPUTED_VALUE"""),"2596431042")</f>
        <v>2596431042</v>
      </c>
      <c r="D2953" s="133"/>
      <c r="E2953" s="133">
        <f>IFERROR(__xludf.DUMMYFUNCTION("""COMPUTED_VALUE"""),42.0)</f>
        <v>42</v>
      </c>
      <c r="F2953" s="164" t="str">
        <f>IFERROR(__xludf.DUMMYFUNCTION("""COMPUTED_VALUE"""),"PL00003DDWбелый-красный42")</f>
        <v>PL00003DDWбелый-красный42</v>
      </c>
      <c r="G2953" s="133">
        <f>IFERROR(__xludf.DUMMYFUNCTION("""COMPUTED_VALUE"""),573.0)</f>
        <v>573</v>
      </c>
    </row>
    <row r="2954" ht="15.75" customHeight="1">
      <c r="A2954" s="133" t="str">
        <f>IFERROR(__xludf.DUMMYFUNCTION("""COMPUTED_VALUE"""),"PL00003DDWбелый-красный")</f>
        <v>PL00003DDWбелый-красный</v>
      </c>
      <c r="B2954" s="133">
        <f>IFERROR(__xludf.DUMMYFUNCTION("""COMPUTED_VALUE"""),2.596431E7)</f>
        <v>25964310</v>
      </c>
      <c r="C2954" s="133" t="str">
        <f>IFERROR(__xludf.DUMMYFUNCTION("""COMPUTED_VALUE"""),"2596431044")</f>
        <v>2596431044</v>
      </c>
      <c r="D2954" s="133"/>
      <c r="E2954" s="133">
        <f>IFERROR(__xludf.DUMMYFUNCTION("""COMPUTED_VALUE"""),44.0)</f>
        <v>44</v>
      </c>
      <c r="F2954" s="164" t="str">
        <f>IFERROR(__xludf.DUMMYFUNCTION("""COMPUTED_VALUE"""),"PL00003DDWбелый-красный44")</f>
        <v>PL00003DDWбелый-красный44</v>
      </c>
      <c r="G2954" s="133">
        <f>IFERROR(__xludf.DUMMYFUNCTION("""COMPUTED_VALUE"""),573.0)</f>
        <v>573</v>
      </c>
    </row>
    <row r="2955" ht="15.75" customHeight="1">
      <c r="A2955" s="133" t="str">
        <f>IFERROR(__xludf.DUMMYFUNCTION("""COMPUTED_VALUE"""),"PL00003DDWбелый-красный")</f>
        <v>PL00003DDWбелый-красный</v>
      </c>
      <c r="B2955" s="133">
        <f>IFERROR(__xludf.DUMMYFUNCTION("""COMPUTED_VALUE"""),2.596431E7)</f>
        <v>25964310</v>
      </c>
      <c r="C2955" s="133" t="str">
        <f>IFERROR(__xludf.DUMMYFUNCTION("""COMPUTED_VALUE"""),"2596431046")</f>
        <v>2596431046</v>
      </c>
      <c r="D2955" s="133"/>
      <c r="E2955" s="133">
        <f>IFERROR(__xludf.DUMMYFUNCTION("""COMPUTED_VALUE"""),46.0)</f>
        <v>46</v>
      </c>
      <c r="F2955" s="164" t="str">
        <f>IFERROR(__xludf.DUMMYFUNCTION("""COMPUTED_VALUE"""),"PL00003DDWбелый-красный46")</f>
        <v>PL00003DDWбелый-красный46</v>
      </c>
      <c r="G2955" s="133">
        <f>IFERROR(__xludf.DUMMYFUNCTION("""COMPUTED_VALUE"""),573.0)</f>
        <v>573</v>
      </c>
    </row>
    <row r="2956" ht="15.75" customHeight="1">
      <c r="A2956" s="133" t="str">
        <f>IFERROR(__xludf.DUMMYFUNCTION("""COMPUTED_VALUE"""),"PL00003DDWбелый-красный")</f>
        <v>PL00003DDWбелый-красный</v>
      </c>
      <c r="B2956" s="133">
        <f>IFERROR(__xludf.DUMMYFUNCTION("""COMPUTED_VALUE"""),2.596431E7)</f>
        <v>25964310</v>
      </c>
      <c r="C2956" s="133" t="str">
        <f>IFERROR(__xludf.DUMMYFUNCTION("""COMPUTED_VALUE"""),"2596431048")</f>
        <v>2596431048</v>
      </c>
      <c r="D2956" s="133"/>
      <c r="E2956" s="133">
        <f>IFERROR(__xludf.DUMMYFUNCTION("""COMPUTED_VALUE"""),48.0)</f>
        <v>48</v>
      </c>
      <c r="F2956" s="164" t="str">
        <f>IFERROR(__xludf.DUMMYFUNCTION("""COMPUTED_VALUE"""),"PL00003DDWбелый-красный48")</f>
        <v>PL00003DDWбелый-красный48</v>
      </c>
      <c r="G2956" s="133">
        <f>IFERROR(__xludf.DUMMYFUNCTION("""COMPUTED_VALUE"""),573.0)</f>
        <v>573</v>
      </c>
    </row>
    <row r="2957" ht="15.75" customHeight="1">
      <c r="A2957" s="133" t="str">
        <f>IFERROR(__xludf.DUMMYFUNCTION("""COMPUTED_VALUE"""),"PL00003DDWбелый-красный")</f>
        <v>PL00003DDWбелый-красный</v>
      </c>
      <c r="B2957" s="133">
        <f>IFERROR(__xludf.DUMMYFUNCTION("""COMPUTED_VALUE"""),2.596431E7)</f>
        <v>25964310</v>
      </c>
      <c r="C2957" s="133" t="str">
        <f>IFERROR(__xludf.DUMMYFUNCTION("""COMPUTED_VALUE"""),"2596431050")</f>
        <v>2596431050</v>
      </c>
      <c r="D2957" s="133"/>
      <c r="E2957" s="133">
        <f>IFERROR(__xludf.DUMMYFUNCTION("""COMPUTED_VALUE"""),50.0)</f>
        <v>50</v>
      </c>
      <c r="F2957" s="164" t="str">
        <f>IFERROR(__xludf.DUMMYFUNCTION("""COMPUTED_VALUE"""),"PL00003DDWбелый-красный50")</f>
        <v>PL00003DDWбелый-красный50</v>
      </c>
      <c r="G2957" s="133">
        <f>IFERROR(__xludf.DUMMYFUNCTION("""COMPUTED_VALUE"""),573.0)</f>
        <v>573</v>
      </c>
    </row>
  </sheetData>
  <printOptions/>
  <pageMargins bottom="0.75" footer="0.0" header="0.0" left="0.7" right="0.7" top="0.75"/>
  <pageSetup orientation="landscape"/>
  <drawing r:id="rId1"/>
</worksheet>
</file>